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L:\DSA\CFs\AVENTURIA\Kelche der Macht\"/>
    </mc:Choice>
  </mc:AlternateContent>
  <xr:revisionPtr revIDLastSave="0" documentId="13_ncr:1_{AFFDBC53-3766-4141-BF4A-0A2C844A49A5}" xr6:coauthVersionLast="47" xr6:coauthVersionMax="47" xr10:uidLastSave="{00000000-0000-0000-0000-000000000000}"/>
  <bookViews>
    <workbookView xWindow="38280" yWindow="-120" windowWidth="38640" windowHeight="21390" tabRatio="563" xr2:uid="{3C0DC3EB-12BA-4DE2-BE53-BC5B92B614A4}"/>
  </bookViews>
  <sheets>
    <sheet name="Overview &amp; instructions" sheetId="4" r:id="rId1"/>
    <sheet name="Shopping guide" sheetId="1" r:id="rId2"/>
    <sheet name="Videos &amp; links" sheetId="10" r:id="rId3"/>
    <sheet name="Adventures_Heroes v1.0 vs v2.0" sheetId="12" r:id="rId4"/>
    <sheet name="Rules v1.0 vs v2.0" sheetId="13" r:id="rId5"/>
    <sheet name="Changelog" sheetId="11" r:id="rId6"/>
    <sheet name="Vergleich" sheetId="2" state="hidden" r:id="rId7"/>
  </sheets>
  <externalReferences>
    <externalReference r:id="rId8"/>
  </externalReferences>
  <definedNames>
    <definedName name="_xlnm.Print_Area" localSheetId="3">'Adventures_Heroes v1.0 vs v2.0'!$A$1:$F$242</definedName>
    <definedName name="_xlnm.Print_Area" localSheetId="5">Changelog!$A$1:$B$28</definedName>
    <definedName name="_xlnm.Print_Area" localSheetId="0">'Overview &amp; instructions'!$A$1:$AF$118</definedName>
    <definedName name="_xlnm.Print_Area" localSheetId="4">'Rules v1.0 vs v2.0'!$A$1:$F$68</definedName>
    <definedName name="_xlnm.Print_Area" localSheetId="1">'Shopping guide'!$A$1:$Y$109</definedName>
    <definedName name="_xlnm.Print_Titles" localSheetId="0">'Overview &amp; instructions'!$1:$24</definedName>
    <definedName name="_xlnm.Print_Titles" localSheetId="1">'Shopping guide'!$1:$6</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56" i="1" l="1"/>
  <c r="I83" i="1"/>
  <c r="J53" i="1"/>
  <c r="J83" i="1" s="1"/>
  <c r="AA53" i="1"/>
  <c r="AA48" i="1"/>
  <c r="W48" i="1"/>
  <c r="V48" i="1"/>
  <c r="AB48" i="1" s="1"/>
  <c r="B21" i="4"/>
  <c r="AW72" i="4"/>
  <c r="AX72" i="4"/>
  <c r="AY72" i="4"/>
  <c r="AZ72" i="4"/>
  <c r="AQ72" i="4"/>
  <c r="AF11" i="4"/>
  <c r="D21" i="4"/>
  <c r="AW71" i="4" l="1"/>
  <c r="AX71" i="4"/>
  <c r="AY71" i="4"/>
  <c r="AZ71" i="4"/>
  <c r="AQ71" i="4"/>
  <c r="AW70" i="4"/>
  <c r="AX70" i="4"/>
  <c r="AY70" i="4"/>
  <c r="AZ70" i="4"/>
  <c r="AQ70" i="4"/>
  <c r="AQ69" i="4"/>
  <c r="AW66" i="4" l="1"/>
  <c r="AX66" i="4"/>
  <c r="AY66" i="4"/>
  <c r="AZ66" i="4"/>
  <c r="AW67" i="4"/>
  <c r="AX67" i="4"/>
  <c r="AY67" i="4"/>
  <c r="AZ67" i="4"/>
  <c r="AW68" i="4"/>
  <c r="AX68" i="4"/>
  <c r="AY68" i="4"/>
  <c r="AZ68" i="4"/>
  <c r="AW69" i="4"/>
  <c r="AX69" i="4"/>
  <c r="AY69" i="4"/>
  <c r="AZ69" i="4"/>
  <c r="AQ68" i="4"/>
  <c r="AQ67" i="4"/>
  <c r="AQ66" i="4"/>
  <c r="W53" i="1"/>
  <c r="AA212" i="1"/>
  <c r="AA211" i="1"/>
  <c r="AA210" i="1"/>
  <c r="AA209" i="1"/>
  <c r="AA208" i="1"/>
  <c r="AA207" i="1"/>
  <c r="AA206" i="1"/>
  <c r="AA205" i="1"/>
  <c r="AA204" i="1"/>
  <c r="AA203" i="1"/>
  <c r="AA202" i="1"/>
  <c r="AA201" i="1"/>
  <c r="AA200" i="1"/>
  <c r="AA199" i="1"/>
  <c r="AA198" i="1"/>
  <c r="AA197" i="1"/>
  <c r="AA196" i="1"/>
  <c r="AA195" i="1"/>
  <c r="AA194" i="1"/>
  <c r="AA193" i="1"/>
  <c r="AA192" i="1"/>
  <c r="AA191" i="1"/>
  <c r="AA190" i="1"/>
  <c r="AA189" i="1"/>
  <c r="AA188" i="1"/>
  <c r="AA187" i="1"/>
  <c r="AA186" i="1"/>
  <c r="AA185" i="1"/>
  <c r="AA184" i="1"/>
  <c r="AA183" i="1"/>
  <c r="AA182" i="1"/>
  <c r="AA181" i="1"/>
  <c r="AA180" i="1"/>
  <c r="AA179" i="1"/>
  <c r="AA178" i="1"/>
  <c r="AA177" i="1"/>
  <c r="AA176" i="1"/>
  <c r="AA175" i="1"/>
  <c r="AA174" i="1"/>
  <c r="AA173" i="1"/>
  <c r="AA172" i="1"/>
  <c r="AA171" i="1"/>
  <c r="AA170" i="1"/>
  <c r="AA169" i="1"/>
  <c r="AA168" i="1"/>
  <c r="AA167" i="1"/>
  <c r="AA166" i="1"/>
  <c r="AA165" i="1"/>
  <c r="AA164" i="1"/>
  <c r="AA163"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3" i="1"/>
  <c r="AA122" i="1"/>
  <c r="AA121" i="1"/>
  <c r="AA120" i="1"/>
  <c r="AA119" i="1"/>
  <c r="AA118" i="1"/>
  <c r="AA117" i="1"/>
  <c r="AA116" i="1"/>
  <c r="AA115" i="1"/>
  <c r="AA114" i="1"/>
  <c r="AA113" i="1"/>
  <c r="AA73" i="1"/>
  <c r="AA72" i="1"/>
  <c r="AA71" i="1"/>
  <c r="AA70" i="1"/>
  <c r="AA69" i="1"/>
  <c r="AA68" i="1"/>
  <c r="AA67" i="1"/>
  <c r="AA66" i="1"/>
  <c r="AA65" i="1"/>
  <c r="AA64" i="1"/>
  <c r="AA63" i="1"/>
  <c r="AA62" i="1"/>
  <c r="AA61" i="1"/>
  <c r="AA60" i="1"/>
  <c r="AA58" i="1"/>
  <c r="AA57" i="1"/>
  <c r="AA49" i="1"/>
  <c r="AA54" i="1"/>
  <c r="AA42" i="1"/>
  <c r="AA41" i="1"/>
  <c r="AA40" i="1"/>
  <c r="AA38" i="1"/>
  <c r="AA37" i="1"/>
  <c r="AA36" i="1"/>
  <c r="AA34" i="1"/>
  <c r="AA33" i="1"/>
  <c r="AA32" i="1"/>
  <c r="AA31" i="1"/>
  <c r="AA30" i="1"/>
  <c r="AA29" i="1"/>
  <c r="AA28" i="1"/>
  <c r="AA27" i="1"/>
  <c r="AA26" i="1"/>
  <c r="AA25" i="1"/>
  <c r="AA24" i="1"/>
  <c r="AA23" i="1"/>
  <c r="AA22" i="1"/>
  <c r="AA21" i="1"/>
  <c r="AA20" i="1"/>
  <c r="AA19" i="1"/>
  <c r="AA18" i="1"/>
  <c r="AA17" i="1"/>
  <c r="AA16" i="1"/>
  <c r="AA15" i="1"/>
  <c r="AA14" i="1"/>
  <c r="AA13" i="1"/>
  <c r="AA12" i="1"/>
  <c r="AA11" i="1"/>
  <c r="AA10" i="1"/>
  <c r="AA9" i="1"/>
  <c r="AB52" i="1" l="1"/>
  <c r="AB55" i="1"/>
  <c r="AB54" i="1"/>
  <c r="AZ65" i="4"/>
  <c r="AY65" i="4"/>
  <c r="AX65" i="4"/>
  <c r="AW65" i="4"/>
  <c r="AT65" i="4"/>
  <c r="AR65" i="4"/>
  <c r="AQ65" i="4"/>
  <c r="AB20" i="1"/>
  <c r="AZ64" i="4"/>
  <c r="AY64" i="4"/>
  <c r="AX64" i="4"/>
  <c r="AW64" i="4"/>
  <c r="AT64" i="4"/>
  <c r="AR64" i="4"/>
  <c r="AQ64" i="4"/>
  <c r="I90" i="4"/>
  <c r="I91" i="4"/>
  <c r="I92" i="4"/>
  <c r="AZ63" i="4"/>
  <c r="AY63" i="4"/>
  <c r="AX63" i="4"/>
  <c r="AW63" i="4"/>
  <c r="AT63" i="4"/>
  <c r="AQ63" i="4"/>
  <c r="AZ62" i="4"/>
  <c r="AX62" i="4"/>
  <c r="AQ62" i="4"/>
  <c r="AO62" i="4"/>
  <c r="AR63" i="4" s="1"/>
  <c r="AB30" i="1"/>
  <c r="AU64" i="4" l="1"/>
  <c r="AU65" i="4"/>
  <c r="AU63" i="4"/>
  <c r="AR62" i="4"/>
  <c r="AU62" i="4" s="1"/>
  <c r="AT62" i="4"/>
  <c r="AW62" i="4"/>
  <c r="AY62" i="4"/>
  <c r="R16" i="4"/>
  <c r="Q16" i="4"/>
  <c r="I82" i="4"/>
  <c r="J82" i="4"/>
  <c r="K82" i="4"/>
  <c r="L82" i="4"/>
  <c r="M82" i="4"/>
  <c r="N82" i="4"/>
  <c r="O82" i="4"/>
  <c r="P82" i="4"/>
  <c r="Q82" i="4"/>
  <c r="R82" i="4"/>
  <c r="S82" i="4"/>
  <c r="T82" i="4"/>
  <c r="U82" i="4"/>
  <c r="V82" i="4"/>
  <c r="W82" i="4"/>
  <c r="X82" i="4"/>
  <c r="Y82" i="4"/>
  <c r="Z82" i="4"/>
  <c r="AA82" i="4"/>
  <c r="AB82" i="4"/>
  <c r="AC82" i="4"/>
  <c r="AD82" i="4"/>
  <c r="U74" i="1"/>
  <c r="Q74" i="1"/>
  <c r="P74" i="1"/>
  <c r="O74" i="1"/>
  <c r="J74" i="1"/>
  <c r="I74" i="1"/>
  <c r="G74" i="1"/>
  <c r="F74" i="1"/>
  <c r="E74" i="1"/>
  <c r="AB73" i="1"/>
  <c r="AB72" i="1"/>
  <c r="AB71" i="1"/>
  <c r="AB70" i="1"/>
  <c r="AB69" i="1"/>
  <c r="V68" i="1"/>
  <c r="AB68" i="1" s="1"/>
  <c r="V67" i="1"/>
  <c r="V66" i="1"/>
  <c r="AB66" i="1" s="1"/>
  <c r="V65" i="1"/>
  <c r="AB65" i="1" s="1"/>
  <c r="V64" i="1"/>
  <c r="AB64" i="1" s="1"/>
  <c r="V63" i="1"/>
  <c r="AB63" i="1" s="1"/>
  <c r="V62" i="1"/>
  <c r="AB62" i="1" s="1"/>
  <c r="V61" i="1"/>
  <c r="AB61" i="1" s="1"/>
  <c r="D74" i="1"/>
  <c r="AA74" i="1" s="1"/>
  <c r="V60" i="1"/>
  <c r="W60" i="1" s="1"/>
  <c r="S79" i="1"/>
  <c r="R79" i="1"/>
  <c r="P79" i="1"/>
  <c r="N79" i="1"/>
  <c r="M79" i="1"/>
  <c r="L79" i="1"/>
  <c r="K79" i="1"/>
  <c r="J79" i="1"/>
  <c r="K78" i="1"/>
  <c r="J78" i="1"/>
  <c r="S98" i="1"/>
  <c r="R98" i="1"/>
  <c r="P98" i="1"/>
  <c r="O98" i="1"/>
  <c r="H16" i="4"/>
  <c r="AW61" i="4"/>
  <c r="AX61" i="4"/>
  <c r="AY61" i="4"/>
  <c r="AZ61" i="4"/>
  <c r="AQ61" i="4"/>
  <c r="AW204" i="2"/>
  <c r="AV204" i="2"/>
  <c r="AU204" i="2"/>
  <c r="AT204" i="2"/>
  <c r="AS204" i="2"/>
  <c r="AR204" i="2"/>
  <c r="AQ204" i="2"/>
  <c r="AP204" i="2"/>
  <c r="AO204" i="2"/>
  <c r="AN204" i="2"/>
  <c r="AM204" i="2"/>
  <c r="AL204" i="2"/>
  <c r="AK204" i="2"/>
  <c r="AJ204" i="2"/>
  <c r="AI204" i="2"/>
  <c r="AH204" i="2"/>
  <c r="AG204" i="2"/>
  <c r="AF204" i="2"/>
  <c r="AE204" i="2"/>
  <c r="AD204" i="2"/>
  <c r="AC204" i="2"/>
  <c r="AB204" i="2"/>
  <c r="AA204" i="2"/>
  <c r="Z204" i="2"/>
  <c r="Y204" i="2"/>
  <c r="X204" i="2"/>
  <c r="W204" i="2"/>
  <c r="V204" i="2"/>
  <c r="U204" i="2"/>
  <c r="T204" i="2"/>
  <c r="S204" i="2"/>
  <c r="R204" i="2"/>
  <c r="Q204" i="2"/>
  <c r="P204" i="2"/>
  <c r="O204" i="2"/>
  <c r="N204" i="2"/>
  <c r="M204" i="2"/>
  <c r="L204" i="2"/>
  <c r="K204" i="2"/>
  <c r="J204" i="2"/>
  <c r="I204" i="2"/>
  <c r="H204" i="2"/>
  <c r="G204" i="2"/>
  <c r="F204" i="2"/>
  <c r="E204" i="2"/>
  <c r="D204" i="2"/>
  <c r="C204" i="2"/>
  <c r="B204" i="2"/>
  <c r="AW60" i="4"/>
  <c r="AX60" i="4"/>
  <c r="AY60" i="4"/>
  <c r="AZ60" i="4"/>
  <c r="AQ60" i="4"/>
  <c r="AB17" i="1"/>
  <c r="W47" i="1"/>
  <c r="W46" i="1"/>
  <c r="W45" i="1"/>
  <c r="W44" i="1"/>
  <c r="W40" i="1"/>
  <c r="W36" i="1"/>
  <c r="W32" i="1"/>
  <c r="W25" i="1"/>
  <c r="K7" i="1"/>
  <c r="K98" i="1" s="1"/>
  <c r="L7" i="1"/>
  <c r="L98" i="1" s="1"/>
  <c r="M7" i="1"/>
  <c r="N7" i="1"/>
  <c r="T7" i="1"/>
  <c r="W8" i="1"/>
  <c r="AU12" i="2"/>
  <c r="AV12" i="2"/>
  <c r="AU13" i="2"/>
  <c r="AV13" i="2"/>
  <c r="AW59" i="4"/>
  <c r="AX59" i="4"/>
  <c r="AY59" i="4"/>
  <c r="AZ59" i="4"/>
  <c r="AQ59" i="4"/>
  <c r="AZ58" i="4"/>
  <c r="AY58" i="4"/>
  <c r="AX58" i="4"/>
  <c r="AW58" i="4"/>
  <c r="AQ58" i="4"/>
  <c r="AB21" i="1"/>
  <c r="V59" i="1"/>
  <c r="W59" i="1" s="1"/>
  <c r="V53" i="1"/>
  <c r="V47" i="1"/>
  <c r="V46" i="1"/>
  <c r="V45" i="1"/>
  <c r="V44" i="1"/>
  <c r="V40" i="1"/>
  <c r="V36" i="1"/>
  <c r="V32" i="1"/>
  <c r="V25" i="1"/>
  <c r="V8" i="1"/>
  <c r="AB41" i="1"/>
  <c r="AB37" i="1"/>
  <c r="AB33" i="1"/>
  <c r="AB26" i="1"/>
  <c r="AB9" i="1"/>
  <c r="AB42" i="1"/>
  <c r="AB38" i="1"/>
  <c r="AB34" i="1"/>
  <c r="AB27" i="1"/>
  <c r="AB10" i="1"/>
  <c r="AB67" i="1" l="1"/>
  <c r="AA79" i="1"/>
  <c r="J98" i="1"/>
  <c r="AA78" i="1"/>
  <c r="M74" i="1"/>
  <c r="K74" i="1"/>
  <c r="N74" i="1"/>
  <c r="L74" i="1"/>
  <c r="W74" i="1"/>
  <c r="S74" i="1"/>
  <c r="T74" i="1"/>
  <c r="R74" i="1"/>
  <c r="I98" i="1"/>
  <c r="Q98" i="1"/>
  <c r="N98" i="1"/>
  <c r="AB60" i="1"/>
  <c r="M83" i="1"/>
  <c r="V74" i="1"/>
  <c r="K83" i="1"/>
  <c r="N83" i="1"/>
  <c r="M98" i="1"/>
  <c r="T98" i="1"/>
  <c r="L83" i="1"/>
  <c r="T83" i="1"/>
  <c r="AB47" i="1"/>
  <c r="AB46" i="1"/>
  <c r="AB13" i="1"/>
  <c r="BA57" i="4"/>
  <c r="BB57" i="4" s="1"/>
  <c r="BC57" i="4"/>
  <c r="BD57" i="4" s="1"/>
  <c r="AW57" i="4"/>
  <c r="AX57" i="4"/>
  <c r="AY57" i="4"/>
  <c r="AZ57" i="4"/>
  <c r="AQ57" i="4"/>
  <c r="BA56" i="4"/>
  <c r="BB56" i="4" s="1"/>
  <c r="BC56" i="4"/>
  <c r="BD56" i="4" s="1"/>
  <c r="AU10" i="2"/>
  <c r="AV10" i="2"/>
  <c r="AW56" i="4"/>
  <c r="AX56" i="4"/>
  <c r="AY56" i="4"/>
  <c r="AZ56" i="4"/>
  <c r="AQ56" i="4"/>
  <c r="AB74" i="1" l="1"/>
  <c r="BG56" i="4"/>
  <c r="BH56" i="4" s="1"/>
  <c r="BE56" i="4"/>
  <c r="BF56" i="4" s="1"/>
  <c r="BG57" i="4"/>
  <c r="BE57" i="4"/>
  <c r="AB49" i="1"/>
  <c r="AB29" i="1"/>
  <c r="AB12" i="1"/>
  <c r="BF57" i="4" l="1"/>
  <c r="BH57" i="4"/>
  <c r="AY30" i="2"/>
  <c r="AX30" i="2"/>
  <c r="AU9" i="2"/>
  <c r="AV9" i="2"/>
  <c r="AW54" i="4"/>
  <c r="AX54" i="4"/>
  <c r="AY54" i="4"/>
  <c r="AZ54" i="4"/>
  <c r="AW55" i="4"/>
  <c r="AX55" i="4"/>
  <c r="AY55" i="4"/>
  <c r="AZ55" i="4"/>
  <c r="AQ55" i="4"/>
  <c r="AB39" i="1"/>
  <c r="AB24" i="1"/>
  <c r="AB43" i="1"/>
  <c r="AB14" i="1"/>
  <c r="AB23" i="1"/>
  <c r="AB51" i="1"/>
  <c r="AB31" i="1"/>
  <c r="AB28" i="1"/>
  <c r="AB35" i="1"/>
  <c r="AB58" i="1"/>
  <c r="AB57" i="1"/>
  <c r="AB56" i="1"/>
  <c r="AB53" i="1"/>
  <c r="AB18" i="1"/>
  <c r="AB19" i="1"/>
  <c r="AB11" i="1"/>
  <c r="AB50" i="1"/>
  <c r="AB22" i="1"/>
  <c r="AB16" i="1"/>
  <c r="AB15" i="1"/>
  <c r="AB45" i="1"/>
  <c r="AB44" i="1"/>
  <c r="AB40" i="1"/>
  <c r="AB36" i="1"/>
  <c r="AB32" i="1"/>
  <c r="AB25" i="1"/>
  <c r="AZ10" i="2"/>
  <c r="AZ11" i="2"/>
  <c r="AZ12" i="2"/>
  <c r="AZ13" i="2"/>
  <c r="AZ14" i="2"/>
  <c r="AZ15" i="2"/>
  <c r="AZ16" i="2"/>
  <c r="AZ17" i="2"/>
  <c r="AZ18" i="2"/>
  <c r="AZ19" i="2"/>
  <c r="AZ20" i="2"/>
  <c r="AZ21" i="2"/>
  <c r="AZ22" i="2"/>
  <c r="AZ23" i="2"/>
  <c r="AZ24" i="2"/>
  <c r="AZ25" i="2"/>
  <c r="AZ26" i="2"/>
  <c r="AZ9" i="2"/>
  <c r="AZ8" i="2"/>
  <c r="AU8" i="2"/>
  <c r="AV8" i="2"/>
  <c r="DH26" i="2"/>
  <c r="DG26" i="2"/>
  <c r="DH25" i="2"/>
  <c r="DG25" i="2"/>
  <c r="DH24" i="2"/>
  <c r="DG24" i="2"/>
  <c r="DH23" i="2"/>
  <c r="DG23" i="2"/>
  <c r="DH22" i="2"/>
  <c r="DG22" i="2"/>
  <c r="DH21" i="2"/>
  <c r="DG21" i="2"/>
  <c r="DH20" i="2"/>
  <c r="DG20" i="2"/>
  <c r="DH19" i="2"/>
  <c r="DG19" i="2"/>
  <c r="DH18" i="2"/>
  <c r="DG18" i="2"/>
  <c r="DH17" i="2"/>
  <c r="DG17" i="2"/>
  <c r="EL17" i="2" s="1"/>
  <c r="DH16" i="2"/>
  <c r="DG16" i="2"/>
  <c r="DH15" i="2"/>
  <c r="DG15" i="2"/>
  <c r="DH14" i="2"/>
  <c r="DG14" i="2"/>
  <c r="DH13" i="2"/>
  <c r="DG13" i="2"/>
  <c r="DH12" i="2"/>
  <c r="DG12" i="2"/>
  <c r="DH11" i="2"/>
  <c r="DG11" i="2"/>
  <c r="DH10" i="2"/>
  <c r="DG10" i="2"/>
  <c r="DH9" i="2"/>
  <c r="DG9" i="2"/>
  <c r="DH8" i="2"/>
  <c r="DG8" i="2"/>
  <c r="DH7" i="2"/>
  <c r="DG7" i="2"/>
  <c r="EL7" i="2" s="1"/>
  <c r="DH6" i="2"/>
  <c r="DG6" i="2"/>
  <c r="AQ54" i="4"/>
  <c r="AH25" i="4"/>
  <c r="AH18" i="4"/>
  <c r="AH17" i="4"/>
  <c r="AT26" i="2"/>
  <c r="AT25" i="2"/>
  <c r="AT24" i="2"/>
  <c r="AT23" i="2"/>
  <c r="AT22" i="2"/>
  <c r="AT21" i="2"/>
  <c r="AT20" i="2"/>
  <c r="AT19" i="2"/>
  <c r="AT18" i="2"/>
  <c r="AT17" i="2"/>
  <c r="AT16" i="2"/>
  <c r="AT15" i="2"/>
  <c r="AT14" i="2"/>
  <c r="AT13" i="2"/>
  <c r="AT12" i="2"/>
  <c r="AT11" i="2"/>
  <c r="AT10" i="2"/>
  <c r="AT9" i="2"/>
  <c r="AT8" i="2"/>
  <c r="AT7" i="2"/>
  <c r="AT6" i="2"/>
  <c r="AQ26" i="2"/>
  <c r="AQ25" i="2"/>
  <c r="AQ24" i="2"/>
  <c r="AQ23" i="2"/>
  <c r="AQ22" i="2"/>
  <c r="AQ21" i="2"/>
  <c r="AQ20" i="2"/>
  <c r="AQ19" i="2"/>
  <c r="AQ18" i="2"/>
  <c r="AQ17" i="2"/>
  <c r="AQ16" i="2"/>
  <c r="AQ15" i="2"/>
  <c r="AQ14" i="2"/>
  <c r="AQ13" i="2"/>
  <c r="AQ12" i="2"/>
  <c r="AQ11" i="2"/>
  <c r="AQ10" i="2"/>
  <c r="AQ9" i="2"/>
  <c r="AQ8" i="2"/>
  <c r="AQ7" i="2"/>
  <c r="AQ6" i="2"/>
  <c r="DG35" i="2" l="1"/>
  <c r="DG36" i="2"/>
  <c r="EL21" i="2"/>
  <c r="EL13" i="2"/>
  <c r="EL23" i="2"/>
  <c r="EL14" i="2"/>
  <c r="EL24" i="2"/>
  <c r="EL16" i="2"/>
  <c r="DH36" i="2"/>
  <c r="EL15" i="2"/>
  <c r="EL25" i="2"/>
  <c r="DH39" i="2"/>
  <c r="DH49" i="2"/>
  <c r="DH50" i="2"/>
  <c r="DH33" i="2"/>
  <c r="DH43" i="2"/>
  <c r="EL9" i="2"/>
  <c r="EL19" i="2"/>
  <c r="DG37" i="2"/>
  <c r="EL8" i="2"/>
  <c r="EL18" i="2"/>
  <c r="EL6" i="2"/>
  <c r="DH40" i="2"/>
  <c r="EL26" i="2"/>
  <c r="DH32" i="2"/>
  <c r="DH42" i="2"/>
  <c r="DH45" i="2"/>
  <c r="DH37" i="2"/>
  <c r="DH38" i="2"/>
  <c r="DH48" i="2"/>
  <c r="EL10" i="2"/>
  <c r="DH35" i="2"/>
  <c r="EL11" i="2"/>
  <c r="EL12" i="2"/>
  <c r="EL20" i="2"/>
  <c r="EL22" i="2"/>
  <c r="DG47" i="2"/>
  <c r="AB8" i="1"/>
  <c r="AB59" i="1"/>
  <c r="DH41" i="2"/>
  <c r="DG45" i="2"/>
  <c r="DH47" i="2"/>
  <c r="DH31" i="2"/>
  <c r="DG46" i="2"/>
  <c r="DH34" i="2"/>
  <c r="DG44" i="2"/>
  <c r="DH44" i="2"/>
  <c r="DH46" i="2"/>
  <c r="DG42" i="2"/>
  <c r="DH27" i="2"/>
  <c r="DG33" i="2"/>
  <c r="DG43" i="2"/>
  <c r="DG34" i="2"/>
  <c r="EL28" i="2" l="1"/>
  <c r="DH52" i="2"/>
  <c r="DG31" i="2"/>
  <c r="DG27" i="2"/>
  <c r="DG50" i="2"/>
  <c r="DG40" i="2"/>
  <c r="DG49" i="2"/>
  <c r="DG39" i="2"/>
  <c r="DH51" i="2"/>
  <c r="DG38" i="2"/>
  <c r="DG48" i="2"/>
  <c r="DG32" i="2"/>
  <c r="DG41" i="2"/>
  <c r="DG52" i="2" l="1"/>
  <c r="DG51" i="2"/>
  <c r="AW198" i="2" l="1"/>
  <c r="AV198" i="2"/>
  <c r="AU198" i="2"/>
  <c r="AT198" i="2"/>
  <c r="AS198" i="2"/>
  <c r="AR198" i="2"/>
  <c r="AQ198" i="2"/>
  <c r="AP198" i="2"/>
  <c r="AO198" i="2"/>
  <c r="AN198" i="2"/>
  <c r="AM198" i="2"/>
  <c r="AL198" i="2"/>
  <c r="AK198" i="2"/>
  <c r="AJ198" i="2"/>
  <c r="AI198" i="2"/>
  <c r="AH198" i="2"/>
  <c r="AG198" i="2"/>
  <c r="AF198" i="2"/>
  <c r="AE198" i="2"/>
  <c r="AD198" i="2"/>
  <c r="AC198" i="2"/>
  <c r="AB198" i="2"/>
  <c r="AA198" i="2"/>
  <c r="Z198" i="2"/>
  <c r="Y198" i="2"/>
  <c r="X198" i="2"/>
  <c r="W198" i="2"/>
  <c r="V198" i="2"/>
  <c r="U198" i="2"/>
  <c r="T198" i="2"/>
  <c r="S198" i="2"/>
  <c r="R198" i="2"/>
  <c r="Q198" i="2"/>
  <c r="P198" i="2"/>
  <c r="O198" i="2"/>
  <c r="N198" i="2"/>
  <c r="M198" i="2"/>
  <c r="L198" i="2"/>
  <c r="K198" i="2"/>
  <c r="J198" i="2"/>
  <c r="I198" i="2"/>
  <c r="H198" i="2"/>
  <c r="G198" i="2"/>
  <c r="F198" i="2"/>
  <c r="E198" i="2"/>
  <c r="D198" i="2"/>
  <c r="C198" i="2"/>
  <c r="B198" i="2"/>
  <c r="AW193" i="2"/>
  <c r="AV193" i="2"/>
  <c r="AU193" i="2"/>
  <c r="AT193" i="2"/>
  <c r="AS193" i="2"/>
  <c r="AR193" i="2"/>
  <c r="AQ193" i="2"/>
  <c r="AP193" i="2"/>
  <c r="AO193" i="2"/>
  <c r="AN193" i="2"/>
  <c r="AM193" i="2"/>
  <c r="AL193" i="2"/>
  <c r="AK193" i="2"/>
  <c r="AJ193" i="2"/>
  <c r="AI193" i="2"/>
  <c r="AH193" i="2"/>
  <c r="AG193" i="2"/>
  <c r="AF193" i="2"/>
  <c r="AE193" i="2"/>
  <c r="AD193" i="2"/>
  <c r="AC193" i="2"/>
  <c r="AB193" i="2"/>
  <c r="AA193" i="2"/>
  <c r="Z193" i="2"/>
  <c r="Y193" i="2"/>
  <c r="X193" i="2"/>
  <c r="W193" i="2"/>
  <c r="V193" i="2"/>
  <c r="U193" i="2"/>
  <c r="T193" i="2"/>
  <c r="S193" i="2"/>
  <c r="R193" i="2"/>
  <c r="Q193" i="2"/>
  <c r="P193" i="2"/>
  <c r="O193" i="2"/>
  <c r="N193" i="2"/>
  <c r="M193" i="2"/>
  <c r="L193" i="2"/>
  <c r="K193" i="2"/>
  <c r="J193" i="2"/>
  <c r="I193" i="2"/>
  <c r="H193" i="2"/>
  <c r="G193" i="2"/>
  <c r="F193" i="2"/>
  <c r="E193" i="2"/>
  <c r="D193" i="2"/>
  <c r="C193" i="2"/>
  <c r="B193" i="2"/>
  <c r="AW188" i="2"/>
  <c r="AV188" i="2"/>
  <c r="AU188" i="2"/>
  <c r="AT188" i="2"/>
  <c r="AS188" i="2"/>
  <c r="AR188" i="2"/>
  <c r="AQ188" i="2"/>
  <c r="AP188" i="2"/>
  <c r="AO188" i="2"/>
  <c r="AN188" i="2"/>
  <c r="AM188" i="2"/>
  <c r="AL188" i="2"/>
  <c r="AK188" i="2"/>
  <c r="AJ188" i="2"/>
  <c r="AI188" i="2"/>
  <c r="AH188" i="2"/>
  <c r="AG188" i="2"/>
  <c r="AF188" i="2"/>
  <c r="AE188" i="2"/>
  <c r="AD188" i="2"/>
  <c r="AC188" i="2"/>
  <c r="AB188" i="2"/>
  <c r="AA188" i="2"/>
  <c r="Z188" i="2"/>
  <c r="Y188" i="2"/>
  <c r="X188" i="2"/>
  <c r="W188" i="2"/>
  <c r="V188" i="2"/>
  <c r="U188" i="2"/>
  <c r="T188" i="2"/>
  <c r="S188" i="2"/>
  <c r="R188" i="2"/>
  <c r="Q188" i="2"/>
  <c r="P188" i="2"/>
  <c r="O188" i="2"/>
  <c r="N188" i="2"/>
  <c r="M188" i="2"/>
  <c r="L188" i="2"/>
  <c r="K188" i="2"/>
  <c r="J188" i="2"/>
  <c r="I188" i="2"/>
  <c r="H188" i="2"/>
  <c r="G188" i="2"/>
  <c r="F188" i="2"/>
  <c r="E188" i="2"/>
  <c r="D188" i="2"/>
  <c r="C188" i="2"/>
  <c r="B188" i="2"/>
  <c r="AJ51" i="4"/>
  <c r="AH4" i="4"/>
  <c r="AW183" i="2"/>
  <c r="AV183" i="2"/>
  <c r="AU183" i="2"/>
  <c r="AT183" i="2"/>
  <c r="AS183" i="2"/>
  <c r="AR183" i="2"/>
  <c r="AQ183" i="2"/>
  <c r="AP183" i="2"/>
  <c r="AO183" i="2"/>
  <c r="AN183" i="2"/>
  <c r="AM183" i="2"/>
  <c r="AL183" i="2"/>
  <c r="AK183" i="2"/>
  <c r="AJ183" i="2"/>
  <c r="AI183" i="2"/>
  <c r="AH183" i="2"/>
  <c r="AG183" i="2"/>
  <c r="AF183" i="2"/>
  <c r="AE183" i="2"/>
  <c r="AD183" i="2"/>
  <c r="AC183" i="2"/>
  <c r="AB183" i="2"/>
  <c r="AA183" i="2"/>
  <c r="Z183" i="2"/>
  <c r="Y183" i="2"/>
  <c r="X183" i="2"/>
  <c r="W183" i="2"/>
  <c r="V183" i="2"/>
  <c r="U183" i="2"/>
  <c r="T183" i="2"/>
  <c r="S183" i="2"/>
  <c r="R183" i="2"/>
  <c r="Q183" i="2"/>
  <c r="P183" i="2"/>
  <c r="O183" i="2"/>
  <c r="N183" i="2"/>
  <c r="M183" i="2"/>
  <c r="L183" i="2"/>
  <c r="K183" i="2"/>
  <c r="J183" i="2"/>
  <c r="I183" i="2"/>
  <c r="H183" i="2"/>
  <c r="G183" i="2"/>
  <c r="F183" i="2"/>
  <c r="E183" i="2"/>
  <c r="D183" i="2"/>
  <c r="C183" i="2"/>
  <c r="B183" i="2"/>
  <c r="AW178" i="2"/>
  <c r="AV178" i="2"/>
  <c r="AU178" i="2"/>
  <c r="AT178" i="2"/>
  <c r="AS178" i="2"/>
  <c r="AR178" i="2"/>
  <c r="AQ178" i="2"/>
  <c r="AP178" i="2"/>
  <c r="AO178" i="2"/>
  <c r="AN178" i="2"/>
  <c r="AM178" i="2"/>
  <c r="AL178" i="2"/>
  <c r="AK178" i="2"/>
  <c r="AJ178" i="2"/>
  <c r="AI178" i="2"/>
  <c r="AH178" i="2"/>
  <c r="AG178" i="2"/>
  <c r="AF178" i="2"/>
  <c r="AE178" i="2"/>
  <c r="AD178" i="2"/>
  <c r="AC178" i="2"/>
  <c r="AB178" i="2"/>
  <c r="AA178" i="2"/>
  <c r="Z178" i="2"/>
  <c r="Y178" i="2"/>
  <c r="X178" i="2"/>
  <c r="W178" i="2"/>
  <c r="V178" i="2"/>
  <c r="U178" i="2"/>
  <c r="T178" i="2"/>
  <c r="S178" i="2"/>
  <c r="R178" i="2"/>
  <c r="Q178" i="2"/>
  <c r="P178" i="2"/>
  <c r="O178" i="2"/>
  <c r="N178" i="2"/>
  <c r="M178" i="2"/>
  <c r="L178" i="2"/>
  <c r="K178" i="2"/>
  <c r="J178" i="2"/>
  <c r="I178" i="2"/>
  <c r="H178" i="2"/>
  <c r="G178" i="2"/>
  <c r="F178" i="2"/>
  <c r="E178" i="2"/>
  <c r="D178" i="2"/>
  <c r="C178" i="2"/>
  <c r="B178" i="2"/>
  <c r="AW173" i="2"/>
  <c r="AV173" i="2"/>
  <c r="AU173" i="2"/>
  <c r="AT173" i="2"/>
  <c r="AS173" i="2"/>
  <c r="AR173" i="2"/>
  <c r="AQ173" i="2"/>
  <c r="AP173" i="2"/>
  <c r="AO173" i="2"/>
  <c r="AN173" i="2"/>
  <c r="AM173" i="2"/>
  <c r="AL173" i="2"/>
  <c r="AK173" i="2"/>
  <c r="AJ173" i="2"/>
  <c r="AI173" i="2"/>
  <c r="AH173" i="2"/>
  <c r="AG173" i="2"/>
  <c r="AF173" i="2"/>
  <c r="AE173" i="2"/>
  <c r="AD173" i="2"/>
  <c r="AC173" i="2"/>
  <c r="AB173" i="2"/>
  <c r="AA173" i="2"/>
  <c r="Z173" i="2"/>
  <c r="Y173" i="2"/>
  <c r="X173" i="2"/>
  <c r="W173" i="2"/>
  <c r="V173" i="2"/>
  <c r="U173" i="2"/>
  <c r="T173" i="2"/>
  <c r="S173" i="2"/>
  <c r="R173" i="2"/>
  <c r="Q173" i="2"/>
  <c r="P173" i="2"/>
  <c r="O173" i="2"/>
  <c r="N173" i="2"/>
  <c r="M173" i="2"/>
  <c r="L173" i="2"/>
  <c r="K173" i="2"/>
  <c r="J173" i="2"/>
  <c r="I173" i="2"/>
  <c r="H173" i="2"/>
  <c r="G173" i="2"/>
  <c r="F173" i="2"/>
  <c r="E173" i="2"/>
  <c r="D173" i="2"/>
  <c r="C173" i="2"/>
  <c r="B173" i="2"/>
  <c r="AW168" i="2"/>
  <c r="AV168" i="2"/>
  <c r="AU168" i="2"/>
  <c r="AT168" i="2"/>
  <c r="AS168" i="2"/>
  <c r="AR168" i="2"/>
  <c r="AQ168" i="2"/>
  <c r="AP168"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K168" i="2"/>
  <c r="J168" i="2"/>
  <c r="I168" i="2"/>
  <c r="H168" i="2"/>
  <c r="G168" i="2"/>
  <c r="F168" i="2"/>
  <c r="E168" i="2"/>
  <c r="D168" i="2"/>
  <c r="C168" i="2"/>
  <c r="B168" i="2"/>
  <c r="AW137" i="2"/>
  <c r="AV137" i="2"/>
  <c r="AU137" i="2"/>
  <c r="AT137" i="2"/>
  <c r="AS137" i="2"/>
  <c r="AR137" i="2"/>
  <c r="AQ137" i="2"/>
  <c r="AP137" i="2"/>
  <c r="AO137" i="2"/>
  <c r="AN137" i="2"/>
  <c r="AM137" i="2"/>
  <c r="AL137" i="2"/>
  <c r="AK137" i="2"/>
  <c r="AJ137" i="2"/>
  <c r="AI137" i="2"/>
  <c r="AH137" i="2"/>
  <c r="AG137" i="2"/>
  <c r="AF137" i="2"/>
  <c r="AE137" i="2"/>
  <c r="AD137" i="2"/>
  <c r="AC137" i="2"/>
  <c r="AB137" i="2"/>
  <c r="AA137" i="2"/>
  <c r="Z137" i="2"/>
  <c r="Y137" i="2"/>
  <c r="X137" i="2"/>
  <c r="W137" i="2"/>
  <c r="V137" i="2"/>
  <c r="U137" i="2"/>
  <c r="T137" i="2"/>
  <c r="S137" i="2"/>
  <c r="R137" i="2"/>
  <c r="Q137" i="2"/>
  <c r="P137" i="2"/>
  <c r="O137" i="2"/>
  <c r="N137" i="2"/>
  <c r="M137" i="2"/>
  <c r="L137" i="2"/>
  <c r="K137" i="2"/>
  <c r="J137" i="2"/>
  <c r="I137" i="2"/>
  <c r="H137" i="2"/>
  <c r="G137" i="2"/>
  <c r="F137" i="2"/>
  <c r="E137" i="2"/>
  <c r="D137" i="2"/>
  <c r="C137" i="2"/>
  <c r="B137" i="2"/>
  <c r="AW114" i="2"/>
  <c r="AV114" i="2"/>
  <c r="AU114" i="2"/>
  <c r="AT114" i="2"/>
  <c r="AS114" i="2"/>
  <c r="AR114" i="2"/>
  <c r="AQ114" i="2"/>
  <c r="AP114" i="2"/>
  <c r="AO114" i="2"/>
  <c r="AN114" i="2"/>
  <c r="AM114" i="2"/>
  <c r="AL114" i="2"/>
  <c r="AK114" i="2"/>
  <c r="AJ114" i="2"/>
  <c r="AI114" i="2"/>
  <c r="AH114" i="2"/>
  <c r="AG114" i="2"/>
  <c r="AF114"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E114" i="2"/>
  <c r="D114" i="2"/>
  <c r="C114" i="2"/>
  <c r="B114" i="2"/>
  <c r="AW110" i="2"/>
  <c r="AV110" i="2"/>
  <c r="AU110" i="2"/>
  <c r="AT110" i="2"/>
  <c r="AS110" i="2"/>
  <c r="AR110" i="2"/>
  <c r="AQ110" i="2"/>
  <c r="AP110" i="2"/>
  <c r="AO110" i="2"/>
  <c r="AN110" i="2"/>
  <c r="AM110" i="2"/>
  <c r="AL110" i="2"/>
  <c r="AK110" i="2"/>
  <c r="AJ110" i="2"/>
  <c r="AI110" i="2"/>
  <c r="AH110" i="2"/>
  <c r="AG110" i="2"/>
  <c r="AF110" i="2"/>
  <c r="AE110" i="2"/>
  <c r="AD110" i="2"/>
  <c r="AC110" i="2"/>
  <c r="AB110" i="2"/>
  <c r="AA110" i="2"/>
  <c r="Z110" i="2"/>
  <c r="Y110" i="2"/>
  <c r="X110" i="2"/>
  <c r="W110" i="2"/>
  <c r="V110" i="2"/>
  <c r="U110" i="2"/>
  <c r="T110" i="2"/>
  <c r="S110" i="2"/>
  <c r="R110" i="2"/>
  <c r="Q110" i="2"/>
  <c r="P110" i="2"/>
  <c r="O110" i="2"/>
  <c r="N110" i="2"/>
  <c r="M110" i="2"/>
  <c r="L110" i="2"/>
  <c r="K110" i="2"/>
  <c r="J110" i="2"/>
  <c r="I110" i="2"/>
  <c r="H110" i="2"/>
  <c r="G110" i="2"/>
  <c r="F110" i="2"/>
  <c r="E110" i="2"/>
  <c r="D110" i="2"/>
  <c r="C110" i="2"/>
  <c r="B110" i="2"/>
  <c r="AW78" i="2"/>
  <c r="AV78" i="2"/>
  <c r="AU78" i="2"/>
  <c r="AT78" i="2"/>
  <c r="AS78" i="2"/>
  <c r="AR78" i="2"/>
  <c r="AQ78" i="2"/>
  <c r="AP78"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C78" i="2"/>
  <c r="B78" i="2"/>
  <c r="AW54" i="2"/>
  <c r="AV54" i="2"/>
  <c r="AU54" i="2"/>
  <c r="AT54" i="2"/>
  <c r="AS54" i="2"/>
  <c r="AR54" i="2"/>
  <c r="AQ54" i="2"/>
  <c r="AP54" i="2"/>
  <c r="AO54" i="2"/>
  <c r="AN54"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C54" i="2"/>
  <c r="B54" i="2"/>
  <c r="AW29" i="2"/>
  <c r="AV29" i="2"/>
  <c r="AU29" i="2"/>
  <c r="AT29" i="2"/>
  <c r="AS29" i="2"/>
  <c r="AR29" i="2"/>
  <c r="AQ29" i="2"/>
  <c r="AP29"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C29" i="2"/>
  <c r="B29" i="2"/>
  <c r="AS51" i="2"/>
  <c r="AR51" i="2"/>
  <c r="AS50" i="2"/>
  <c r="AR50" i="2"/>
  <c r="AS49" i="2"/>
  <c r="AR49" i="2"/>
  <c r="AS48" i="2"/>
  <c r="AR48" i="2"/>
  <c r="AS47" i="2"/>
  <c r="AR47" i="2"/>
  <c r="AS46" i="2"/>
  <c r="AR46" i="2"/>
  <c r="AS45" i="2"/>
  <c r="AR45" i="2"/>
  <c r="AS44" i="2"/>
  <c r="AR44" i="2"/>
  <c r="AS43" i="2"/>
  <c r="AR43" i="2"/>
  <c r="AS42" i="2"/>
  <c r="AR42" i="2"/>
  <c r="AS41" i="2"/>
  <c r="AR41" i="2"/>
  <c r="AS40" i="2"/>
  <c r="AR40" i="2"/>
  <c r="AS39" i="2"/>
  <c r="AR39" i="2"/>
  <c r="AS38" i="2"/>
  <c r="AR38" i="2"/>
  <c r="AS37" i="2"/>
  <c r="AR37" i="2"/>
  <c r="AS36" i="2"/>
  <c r="AR36" i="2"/>
  <c r="AS35" i="2"/>
  <c r="AR35" i="2"/>
  <c r="AS34" i="2"/>
  <c r="AR34" i="2"/>
  <c r="AS33" i="2"/>
  <c r="AR33" i="2"/>
  <c r="AS32" i="2"/>
  <c r="AR32" i="2"/>
  <c r="AS31" i="2"/>
  <c r="AS55" i="2" s="1"/>
  <c r="AR31" i="2"/>
  <c r="AR55" i="2" s="1"/>
  <c r="AS64" i="2" l="1"/>
  <c r="AS74" i="2"/>
  <c r="AS59" i="2"/>
  <c r="AS58" i="2"/>
  <c r="AR69" i="2"/>
  <c r="AR61" i="2"/>
  <c r="AR71" i="2"/>
  <c r="AS70" i="2"/>
  <c r="AR58" i="2"/>
  <c r="AR68" i="2"/>
  <c r="AS68" i="2"/>
  <c r="AS60" i="2"/>
  <c r="AS62" i="2"/>
  <c r="AS61" i="2"/>
  <c r="AS65" i="2"/>
  <c r="AS56" i="2"/>
  <c r="AS66" i="2"/>
  <c r="AS67" i="2"/>
  <c r="AS75" i="2"/>
  <c r="AS57" i="2"/>
  <c r="AS71" i="2"/>
  <c r="AS72" i="2"/>
  <c r="AS69" i="2"/>
  <c r="AR62" i="2"/>
  <c r="AR74" i="2"/>
  <c r="AR75" i="2"/>
  <c r="AR56" i="2"/>
  <c r="AR169" i="2" s="1"/>
  <c r="AR66" i="2"/>
  <c r="AR59" i="2"/>
  <c r="AR57" i="2"/>
  <c r="AR67" i="2"/>
  <c r="AR72" i="2"/>
  <c r="AR63" i="2"/>
  <c r="AR64" i="2"/>
  <c r="AR65" i="2"/>
  <c r="AR70" i="2"/>
  <c r="AR60" i="2"/>
  <c r="AS199" i="2"/>
  <c r="AR199" i="2"/>
  <c r="AR73" i="2"/>
  <c r="AS63" i="2"/>
  <c r="AS73" i="2"/>
  <c r="O17" i="4"/>
  <c r="H85" i="1"/>
  <c r="J76" i="1"/>
  <c r="EH11" i="2"/>
  <c r="EH10" i="2"/>
  <c r="EH9" i="2"/>
  <c r="EH8" i="2"/>
  <c r="EH7" i="2"/>
  <c r="DF26" i="2"/>
  <c r="DE26" i="2"/>
  <c r="DF25" i="2"/>
  <c r="DE25" i="2"/>
  <c r="DF24" i="2"/>
  <c r="DE24" i="2"/>
  <c r="DF23" i="2"/>
  <c r="DE23" i="2"/>
  <c r="DF22" i="2"/>
  <c r="DE22" i="2"/>
  <c r="DF21" i="2"/>
  <c r="DE21" i="2"/>
  <c r="EJ21" i="2" s="1"/>
  <c r="DF20" i="2"/>
  <c r="DE20" i="2"/>
  <c r="DF19" i="2"/>
  <c r="DE19" i="2"/>
  <c r="DF18" i="2"/>
  <c r="DE18" i="2"/>
  <c r="DF17" i="2"/>
  <c r="DE17" i="2"/>
  <c r="DF16" i="2"/>
  <c r="DE16" i="2"/>
  <c r="DF15" i="2"/>
  <c r="DE15" i="2"/>
  <c r="DF14" i="2"/>
  <c r="DE14" i="2"/>
  <c r="DF13" i="2"/>
  <c r="DE13" i="2"/>
  <c r="DF12" i="2"/>
  <c r="DE12" i="2"/>
  <c r="DF11" i="2"/>
  <c r="DE11" i="2"/>
  <c r="DF10" i="2"/>
  <c r="DE10" i="2"/>
  <c r="DF9" i="2"/>
  <c r="DE9" i="2"/>
  <c r="DF8" i="2"/>
  <c r="DE8" i="2"/>
  <c r="DF7" i="2"/>
  <c r="DE7" i="2"/>
  <c r="DF6" i="2"/>
  <c r="DE6" i="2"/>
  <c r="DD26" i="2"/>
  <c r="DC26" i="2"/>
  <c r="DD25" i="2"/>
  <c r="DC25" i="2"/>
  <c r="DD24" i="2"/>
  <c r="DC24" i="2"/>
  <c r="DD23" i="2"/>
  <c r="DC23" i="2"/>
  <c r="DD22" i="2"/>
  <c r="DC22" i="2"/>
  <c r="DD21" i="2"/>
  <c r="DC21" i="2"/>
  <c r="DD20" i="2"/>
  <c r="DC20" i="2"/>
  <c r="DD19" i="2"/>
  <c r="DC19" i="2"/>
  <c r="DD18" i="2"/>
  <c r="DC18" i="2"/>
  <c r="DD17" i="2"/>
  <c r="DC17" i="2"/>
  <c r="DD16" i="2"/>
  <c r="DC16" i="2"/>
  <c r="DD15" i="2"/>
  <c r="DC15" i="2"/>
  <c r="DD14" i="2"/>
  <c r="DC14" i="2"/>
  <c r="DD13" i="2"/>
  <c r="DC13" i="2"/>
  <c r="DD12" i="2"/>
  <c r="DC12" i="2"/>
  <c r="DD6" i="2"/>
  <c r="DC6" i="2"/>
  <c r="H89" i="1"/>
  <c r="R17" i="4" l="1"/>
  <c r="Q17" i="4"/>
  <c r="H17" i="4"/>
  <c r="AS205" i="2"/>
  <c r="AR184" i="2"/>
  <c r="AR206" i="2"/>
  <c r="AS206" i="2"/>
  <c r="AR205" i="2"/>
  <c r="AR174" i="2"/>
  <c r="EH17" i="2"/>
  <c r="EJ16" i="2"/>
  <c r="EJ26" i="2"/>
  <c r="EJ6" i="2"/>
  <c r="AR94" i="2"/>
  <c r="AS95" i="2"/>
  <c r="AR179" i="2"/>
  <c r="AS90" i="2"/>
  <c r="AR89" i="2"/>
  <c r="AR88" i="2"/>
  <c r="AR87" i="2"/>
  <c r="AR96" i="2"/>
  <c r="AS92" i="2"/>
  <c r="AR90" i="2"/>
  <c r="AS91" i="2"/>
  <c r="AS194" i="2"/>
  <c r="AS85" i="2"/>
  <c r="AR85" i="2"/>
  <c r="AS87" i="2"/>
  <c r="AR97" i="2"/>
  <c r="AR86" i="2"/>
  <c r="AS171" i="2"/>
  <c r="AS99" i="2"/>
  <c r="AS89" i="2"/>
  <c r="AS86" i="2"/>
  <c r="AR91" i="2"/>
  <c r="AR92" i="2"/>
  <c r="AS94" i="2"/>
  <c r="AR95" i="2"/>
  <c r="AS97" i="2"/>
  <c r="AR93" i="2"/>
  <c r="AR189" i="2"/>
  <c r="AS93" i="2"/>
  <c r="AS98" i="2"/>
  <c r="AR99" i="2"/>
  <c r="AR98" i="2"/>
  <c r="AS176" i="2"/>
  <c r="AS96" i="2"/>
  <c r="AS88" i="2"/>
  <c r="AR185" i="2"/>
  <c r="AR191" i="2"/>
  <c r="AR200" i="2"/>
  <c r="DD43" i="2"/>
  <c r="AS175" i="2"/>
  <c r="AS195" i="2"/>
  <c r="EH19" i="2"/>
  <c r="AR195" i="2"/>
  <c r="DC50" i="2"/>
  <c r="DE39" i="2"/>
  <c r="AR180" i="2"/>
  <c r="AR201" i="2"/>
  <c r="AS196" i="2"/>
  <c r="AS186" i="2"/>
  <c r="EH14" i="2"/>
  <c r="AS200" i="2"/>
  <c r="AR196" i="2"/>
  <c r="EJ7" i="2"/>
  <c r="EJ17" i="2"/>
  <c r="AS179" i="2"/>
  <c r="AR171" i="2"/>
  <c r="AS184" i="2"/>
  <c r="EJ9" i="2"/>
  <c r="AS169" i="2"/>
  <c r="AS189" i="2"/>
  <c r="AR190" i="2"/>
  <c r="EH6" i="2"/>
  <c r="AS174" i="2"/>
  <c r="AS170" i="2"/>
  <c r="AS180" i="2"/>
  <c r="AS190" i="2"/>
  <c r="AR194" i="2"/>
  <c r="AR175" i="2"/>
  <c r="AR170" i="2"/>
  <c r="AS202" i="2"/>
  <c r="AS181" i="2"/>
  <c r="AS201" i="2"/>
  <c r="AS191" i="2"/>
  <c r="AR202" i="2"/>
  <c r="AR181" i="2"/>
  <c r="AS185" i="2"/>
  <c r="AR176" i="2"/>
  <c r="AR186" i="2"/>
  <c r="DE45" i="2"/>
  <c r="EH13" i="2"/>
  <c r="EH15" i="2"/>
  <c r="EJ24" i="2"/>
  <c r="EH16" i="2"/>
  <c r="DE43" i="2"/>
  <c r="DC37" i="2"/>
  <c r="DC47" i="2"/>
  <c r="DE36" i="2"/>
  <c r="DD37" i="2"/>
  <c r="EJ22" i="2"/>
  <c r="DE37" i="2"/>
  <c r="EJ12" i="2"/>
  <c r="DE49" i="2"/>
  <c r="DC43" i="2"/>
  <c r="J85" i="1"/>
  <c r="J102" i="1"/>
  <c r="J80" i="1"/>
  <c r="J81" i="1" s="1"/>
  <c r="DE33" i="2"/>
  <c r="EJ8" i="2"/>
  <c r="DE35" i="2"/>
  <c r="EJ10" i="2"/>
  <c r="EJ20" i="2"/>
  <c r="EJ13" i="2"/>
  <c r="EJ23" i="2"/>
  <c r="DD50" i="2"/>
  <c r="DE48" i="2"/>
  <c r="DE47" i="2"/>
  <c r="EH26" i="2"/>
  <c r="DE40" i="2"/>
  <c r="DE50" i="2"/>
  <c r="EH21" i="2"/>
  <c r="EJ19" i="2"/>
  <c r="DD38" i="2"/>
  <c r="DC48" i="2"/>
  <c r="DC39" i="2"/>
  <c r="DD48" i="2"/>
  <c r="EJ11" i="2"/>
  <c r="EJ15" i="2"/>
  <c r="EJ18" i="2"/>
  <c r="EJ14" i="2"/>
  <c r="EH20" i="2"/>
  <c r="DD39" i="2"/>
  <c r="EJ25" i="2"/>
  <c r="EH18" i="2"/>
  <c r="DC40" i="2"/>
  <c r="DC49" i="2"/>
  <c r="DD40" i="2"/>
  <c r="DD49" i="2"/>
  <c r="DE38" i="2"/>
  <c r="DD46" i="2"/>
  <c r="DC38" i="2"/>
  <c r="EH22" i="2"/>
  <c r="EH24" i="2"/>
  <c r="EH25" i="2"/>
  <c r="EH23" i="2"/>
  <c r="DE27" i="2"/>
  <c r="DE41" i="2"/>
  <c r="EH12" i="2"/>
  <c r="DE42" i="2"/>
  <c r="DE46" i="2"/>
  <c r="DD47" i="2"/>
  <c r="DE31" i="2"/>
  <c r="DC46" i="2"/>
  <c r="DE44" i="2"/>
  <c r="DE34" i="2"/>
  <c r="DC42" i="2"/>
  <c r="DD42" i="2"/>
  <c r="DE32" i="2"/>
  <c r="DD45" i="2"/>
  <c r="DC45" i="2"/>
  <c r="DC41" i="2"/>
  <c r="DD41" i="2"/>
  <c r="DC44" i="2"/>
  <c r="DD44" i="2"/>
  <c r="AS100" i="2" l="1"/>
  <c r="AS105" i="2"/>
  <c r="AR103" i="2"/>
  <c r="AR100" i="2"/>
  <c r="AR101" i="2"/>
  <c r="AR105" i="2"/>
  <c r="AS101" i="2"/>
  <c r="AS103" i="2"/>
  <c r="EJ28" i="2"/>
  <c r="EH28" i="2"/>
  <c r="DE52" i="2"/>
  <c r="DE51" i="2"/>
  <c r="AH16" i="4"/>
  <c r="U80" i="1"/>
  <c r="AH19" i="4"/>
  <c r="AE19" i="4"/>
  <c r="N80" i="1"/>
  <c r="N76" i="1"/>
  <c r="AP51" i="2"/>
  <c r="AO51" i="2"/>
  <c r="AP50" i="2"/>
  <c r="AP44" i="2"/>
  <c r="AO44" i="2"/>
  <c r="AP43" i="2"/>
  <c r="AO43" i="2"/>
  <c r="AP42" i="2"/>
  <c r="AO42" i="2"/>
  <c r="AP41" i="2"/>
  <c r="AO41" i="2"/>
  <c r="AP40" i="2"/>
  <c r="AO37" i="2"/>
  <c r="AP36" i="2"/>
  <c r="AO36" i="2"/>
  <c r="AO35" i="2"/>
  <c r="AP31" i="2"/>
  <c r="AP55" i="2" s="1"/>
  <c r="AO31" i="2"/>
  <c r="AO55" i="2" s="1"/>
  <c r="AO50" i="2"/>
  <c r="AP49" i="2"/>
  <c r="AO49" i="2"/>
  <c r="AP48" i="2"/>
  <c r="AO48" i="2"/>
  <c r="AP47" i="2"/>
  <c r="AO47" i="2"/>
  <c r="AO40" i="2"/>
  <c r="AP38" i="2"/>
  <c r="AO38" i="2"/>
  <c r="AP37" i="2"/>
  <c r="AP35" i="2"/>
  <c r="AP34" i="2"/>
  <c r="AO34" i="2"/>
  <c r="AP33" i="2"/>
  <c r="AH8" i="4" l="1"/>
  <c r="AS107" i="2"/>
  <c r="AR107" i="2"/>
  <c r="AP61" i="2"/>
  <c r="AO60" i="2"/>
  <c r="AP60" i="2"/>
  <c r="AP75" i="2"/>
  <c r="N89" i="1"/>
  <c r="U81" i="1"/>
  <c r="N81" i="1"/>
  <c r="N102" i="1"/>
  <c r="AP66" i="2"/>
  <c r="AP65" i="2"/>
  <c r="AP74" i="2"/>
  <c r="AP68" i="2"/>
  <c r="AP67" i="2"/>
  <c r="AO61" i="2"/>
  <c r="AO67" i="2"/>
  <c r="AO66" i="2"/>
  <c r="AO68" i="2"/>
  <c r="AO62" i="2"/>
  <c r="AP58" i="2"/>
  <c r="AO72" i="2"/>
  <c r="AO73" i="2"/>
  <c r="AP73" i="2"/>
  <c r="AO65" i="2"/>
  <c r="AO75" i="2"/>
  <c r="AP72" i="2"/>
  <c r="AO59" i="2"/>
  <c r="AP59" i="2"/>
  <c r="AO74" i="2"/>
  <c r="AP199" i="2"/>
  <c r="AP62" i="2"/>
  <c r="AO199" i="2"/>
  <c r="AP32" i="2"/>
  <c r="AP56" i="2" s="1"/>
  <c r="AP169" i="2" s="1"/>
  <c r="AO45" i="2"/>
  <c r="AO69" i="2" s="1"/>
  <c r="AP45" i="2"/>
  <c r="AP69" i="2" s="1"/>
  <c r="AO32" i="2"/>
  <c r="AO56" i="2" s="1"/>
  <c r="AO39" i="2"/>
  <c r="AO63" i="2" s="1"/>
  <c r="AO33" i="2"/>
  <c r="AO46" i="2"/>
  <c r="AP39" i="2"/>
  <c r="AP63" i="2" s="1"/>
  <c r="AP46" i="2"/>
  <c r="AP71" i="2" s="1"/>
  <c r="AO57" i="2" l="1"/>
  <c r="AO179" i="2" s="1"/>
  <c r="AO64" i="2"/>
  <c r="J89" i="1"/>
  <c r="N85" i="1"/>
  <c r="AP171" i="2"/>
  <c r="AP174" i="2"/>
  <c r="AP57" i="2"/>
  <c r="AP189" i="2" s="1"/>
  <c r="AP191" i="2"/>
  <c r="AO171" i="2"/>
  <c r="AP202" i="2"/>
  <c r="AP181" i="2"/>
  <c r="AO174" i="2"/>
  <c r="AO58" i="2"/>
  <c r="AO202" i="2"/>
  <c r="AO181" i="2"/>
  <c r="AP64" i="2"/>
  <c r="AO169" i="2"/>
  <c r="AP70" i="2"/>
  <c r="AP206" i="2" s="1"/>
  <c r="AO70" i="2"/>
  <c r="AO71" i="2"/>
  <c r="AO206" i="2" l="1"/>
  <c r="AP205" i="2"/>
  <c r="AO205" i="2"/>
  <c r="AP94" i="2"/>
  <c r="AP91" i="2"/>
  <c r="AO98" i="2"/>
  <c r="AO95" i="2"/>
  <c r="AP98" i="2"/>
  <c r="AO87" i="2"/>
  <c r="AO85" i="2"/>
  <c r="AP93" i="2"/>
  <c r="AO86" i="2"/>
  <c r="AP97" i="2"/>
  <c r="AO89" i="2"/>
  <c r="AO99" i="2"/>
  <c r="AP96" i="2"/>
  <c r="AP86" i="2"/>
  <c r="AP200" i="2"/>
  <c r="AP92" i="2"/>
  <c r="AO195" i="2"/>
  <c r="AO88" i="2"/>
  <c r="AO91" i="2"/>
  <c r="AP88" i="2"/>
  <c r="AO97" i="2"/>
  <c r="AO96" i="2"/>
  <c r="AP99" i="2"/>
  <c r="AP95" i="2"/>
  <c r="AO93" i="2"/>
  <c r="AP87" i="2"/>
  <c r="AP90" i="2"/>
  <c r="AP85" i="2"/>
  <c r="AO94" i="2"/>
  <c r="AO92" i="2"/>
  <c r="AO184" i="2"/>
  <c r="AP89" i="2"/>
  <c r="AO90" i="2"/>
  <c r="AO190" i="2"/>
  <c r="AP179" i="2"/>
  <c r="AO170" i="2"/>
  <c r="AP184" i="2"/>
  <c r="AO189" i="2"/>
  <c r="AO175" i="2"/>
  <c r="AP196" i="2"/>
  <c r="AP194" i="2"/>
  <c r="AO196" i="2"/>
  <c r="AP201" i="2"/>
  <c r="AP175" i="2"/>
  <c r="AP190" i="2"/>
  <c r="AO185" i="2"/>
  <c r="AO180" i="2"/>
  <c r="AO200" i="2"/>
  <c r="AO191" i="2"/>
  <c r="AO201" i="2"/>
  <c r="AP170" i="2"/>
  <c r="AP195" i="2"/>
  <c r="AP186" i="2"/>
  <c r="AP176" i="2"/>
  <c r="AO186" i="2"/>
  <c r="AO176" i="2"/>
  <c r="AP180" i="2"/>
  <c r="AP185" i="2"/>
  <c r="AO194" i="2"/>
  <c r="AO101" i="2" l="1"/>
  <c r="AP100" i="2"/>
  <c r="AP103" i="2"/>
  <c r="AO100" i="2"/>
  <c r="AO103" i="2"/>
  <c r="AO105" i="2"/>
  <c r="AP101" i="2"/>
  <c r="AP105" i="2"/>
  <c r="AO107" i="2" l="1"/>
  <c r="AP107" i="2"/>
  <c r="I17" i="4" l="1"/>
  <c r="BC53" i="4"/>
  <c r="BC52" i="4"/>
  <c r="BA53" i="4"/>
  <c r="BB53" i="4" s="1"/>
  <c r="AU7" i="2"/>
  <c r="AV7" i="2"/>
  <c r="AW53" i="4"/>
  <c r="AX53" i="4"/>
  <c r="AY53" i="4"/>
  <c r="AZ53" i="4"/>
  <c r="AQ53" i="4"/>
  <c r="I18" i="4" l="1"/>
  <c r="I19" i="4" s="1"/>
  <c r="I20" i="4" s="1"/>
  <c r="I21" i="4" s="1"/>
  <c r="I22" i="4" s="1"/>
  <c r="I23" i="4" s="1"/>
  <c r="I24" i="4" s="1"/>
  <c r="I25" i="4" s="1"/>
  <c r="I26" i="4" s="1"/>
  <c r="I27" i="4" s="1"/>
  <c r="I28" i="4" s="1"/>
  <c r="I29" i="4" s="1"/>
  <c r="I30" i="4" s="1"/>
  <c r="I31" i="4" s="1"/>
  <c r="I32" i="4" s="1"/>
  <c r="I33" i="4" s="1"/>
  <c r="I34" i="4" s="1"/>
  <c r="I35" i="4" s="1"/>
  <c r="I36" i="4" s="1"/>
  <c r="I37" i="4" s="1"/>
  <c r="I38" i="4" s="1"/>
  <c r="I39" i="4" s="1"/>
  <c r="I40" i="4" s="1"/>
  <c r="I41" i="4" s="1"/>
  <c r="I42" i="4" s="1"/>
  <c r="I43" i="4" s="1"/>
  <c r="I44" i="4" s="1"/>
  <c r="I45" i="4" s="1"/>
  <c r="I46" i="4" s="1"/>
  <c r="BE53" i="4"/>
  <c r="BF53" i="4" s="1"/>
  <c r="BD53" i="4"/>
  <c r="BG53" i="4"/>
  <c r="BH53" i="4" s="1"/>
  <c r="AR53" i="4" l="1"/>
  <c r="AB79" i="1"/>
  <c r="S94" i="1"/>
  <c r="Q92" i="1"/>
  <c r="AB78" i="1"/>
  <c r="AB126" i="1"/>
  <c r="AB191" i="1"/>
  <c r="AB203" i="1"/>
  <c r="AB184" i="1"/>
  <c r="AB150" i="1"/>
  <c r="AB145" i="1"/>
  <c r="AB129" i="1"/>
  <c r="AB123" i="1"/>
  <c r="AB117" i="1"/>
  <c r="AB113" i="1"/>
  <c r="AB186" i="1"/>
  <c r="AB193" i="1"/>
  <c r="AB210" i="1"/>
  <c r="AB211" i="1"/>
  <c r="AB194" i="1"/>
  <c r="AB202" i="1"/>
  <c r="AB201" i="1"/>
  <c r="AB204" i="1"/>
  <c r="AB209" i="1"/>
  <c r="AB200" i="1"/>
  <c r="AB196" i="1"/>
  <c r="AB199" i="1"/>
  <c r="AB208" i="1"/>
  <c r="AB207" i="1"/>
  <c r="AB206" i="1"/>
  <c r="AB212" i="1"/>
  <c r="AB143" i="1"/>
  <c r="AB128" i="1"/>
  <c r="AB127" i="1"/>
  <c r="AB195" i="1"/>
  <c r="AB205" i="1"/>
  <c r="AB144" i="1"/>
  <c r="AB156" i="1"/>
  <c r="AB142" i="1"/>
  <c r="AB182" i="1"/>
  <c r="AB157" i="1"/>
  <c r="AB173" i="1"/>
  <c r="AB172" i="1"/>
  <c r="AB171" i="1"/>
  <c r="AB170" i="1"/>
  <c r="AB169" i="1"/>
  <c r="AB183" i="1"/>
  <c r="AB181" i="1"/>
  <c r="AB180" i="1"/>
  <c r="AB179" i="1"/>
  <c r="AB178" i="1"/>
  <c r="AB177" i="1"/>
  <c r="AB176" i="1"/>
  <c r="AB175" i="1"/>
  <c r="AB163" i="1"/>
  <c r="AB162" i="1"/>
  <c r="AB161" i="1"/>
  <c r="AB160" i="1"/>
  <c r="AB167" i="1"/>
  <c r="AB166" i="1"/>
  <c r="AB165" i="1"/>
  <c r="AB164" i="1"/>
  <c r="J94" i="1" l="1"/>
  <c r="S85" i="1"/>
  <c r="J92" i="1"/>
  <c r="Q85" i="1"/>
  <c r="N94" i="1"/>
  <c r="S89" i="1"/>
  <c r="N92" i="1"/>
  <c r="Q89" i="1"/>
  <c r="Q94" i="1"/>
  <c r="O85" i="1" l="1"/>
  <c r="O90" i="1"/>
  <c r="P85" i="1"/>
  <c r="P91" i="1"/>
  <c r="R85" i="1"/>
  <c r="R93" i="1"/>
  <c r="R89" i="1"/>
  <c r="J93" i="1"/>
  <c r="P89" i="1"/>
  <c r="J91" i="1"/>
  <c r="O89" i="1"/>
  <c r="J90" i="1"/>
  <c r="N90" i="1"/>
  <c r="Q91" i="1"/>
  <c r="N91" i="1"/>
  <c r="Q93" i="1"/>
  <c r="N93" i="1"/>
  <c r="R90" i="1"/>
  <c r="R92" i="1"/>
  <c r="Q90" i="1"/>
  <c r="R94" i="1"/>
  <c r="R91" i="1"/>
  <c r="AB153" i="1" l="1"/>
  <c r="AB152" i="1"/>
  <c r="AB159" i="1"/>
  <c r="AB168" i="1"/>
  <c r="AB174" i="1"/>
  <c r="AB136" i="1"/>
  <c r="AB158" i="1"/>
  <c r="AB155" i="1"/>
  <c r="AB154" i="1"/>
  <c r="AB141" i="1"/>
  <c r="AB140" i="1"/>
  <c r="AB139" i="1"/>
  <c r="AB138" i="1"/>
  <c r="AB137" i="1"/>
  <c r="AB189" i="1"/>
  <c r="AB188" i="1"/>
  <c r="AB187" i="1"/>
  <c r="AB116" i="1"/>
  <c r="AB115" i="1"/>
  <c r="I85" i="4" l="1"/>
  <c r="I53" i="4"/>
  <c r="AN12" i="2"/>
  <c r="AN13" i="2"/>
  <c r="AN14" i="2"/>
  <c r="AN15" i="2"/>
  <c r="AN16" i="2"/>
  <c r="AN17" i="2"/>
  <c r="AN18" i="2"/>
  <c r="AN19" i="2"/>
  <c r="AN20" i="2"/>
  <c r="AN21" i="2"/>
  <c r="AN22" i="2"/>
  <c r="AN23" i="2"/>
  <c r="AN24" i="2"/>
  <c r="AN25" i="2"/>
  <c r="AN26" i="2"/>
  <c r="AN6" i="2"/>
  <c r="AV6" i="2"/>
  <c r="AU6" i="2"/>
  <c r="AY17" i="2" l="1"/>
  <c r="AY18" i="2"/>
  <c r="AY22" i="2"/>
  <c r="AY19" i="2"/>
  <c r="AY25" i="2"/>
  <c r="AY8" i="2"/>
  <c r="AY20" i="2"/>
  <c r="AY21" i="2"/>
  <c r="AY23" i="2"/>
  <c r="AY24" i="2"/>
  <c r="AY10" i="2"/>
  <c r="AY11" i="2"/>
  <c r="AY12" i="2"/>
  <c r="AY13" i="2"/>
  <c r="AY14" i="2"/>
  <c r="AY15" i="2"/>
  <c r="AY16" i="2"/>
  <c r="AY26" i="2"/>
  <c r="AY9" i="2"/>
  <c r="O18" i="4"/>
  <c r="R18" i="4" l="1"/>
  <c r="Q18" i="4"/>
  <c r="H18" i="4"/>
  <c r="O19" i="4"/>
  <c r="AM51" i="2"/>
  <c r="AL51" i="2"/>
  <c r="AM50" i="2"/>
  <c r="AL50" i="2"/>
  <c r="AM49" i="2"/>
  <c r="AL49" i="2"/>
  <c r="AM48" i="2"/>
  <c r="AL48" i="2"/>
  <c r="AM47" i="2"/>
  <c r="AL47" i="2"/>
  <c r="AM46" i="2"/>
  <c r="AL46" i="2"/>
  <c r="AM45" i="2"/>
  <c r="AL45" i="2"/>
  <c r="AM44" i="2"/>
  <c r="AL44" i="2"/>
  <c r="AM43" i="2"/>
  <c r="AL43" i="2"/>
  <c r="AM42" i="2"/>
  <c r="AL42" i="2"/>
  <c r="AM41" i="2"/>
  <c r="AL41" i="2"/>
  <c r="AM40" i="2"/>
  <c r="AL40" i="2"/>
  <c r="AM39" i="2"/>
  <c r="AL39" i="2"/>
  <c r="AM38" i="2"/>
  <c r="AL38" i="2"/>
  <c r="AM37" i="2"/>
  <c r="AL37" i="2"/>
  <c r="AM31" i="2"/>
  <c r="AL31" i="2"/>
  <c r="DB26" i="2"/>
  <c r="DA26" i="2"/>
  <c r="DB25" i="2"/>
  <c r="DA25" i="2"/>
  <c r="DB24" i="2"/>
  <c r="DA24" i="2"/>
  <c r="DB23" i="2"/>
  <c r="DA23" i="2"/>
  <c r="DB22" i="2"/>
  <c r="DA22" i="2"/>
  <c r="DB21" i="2"/>
  <c r="DA21" i="2"/>
  <c r="DB20" i="2"/>
  <c r="DA20" i="2"/>
  <c r="DB19" i="2"/>
  <c r="DA19" i="2"/>
  <c r="DB18" i="2"/>
  <c r="DA18" i="2"/>
  <c r="DB17" i="2"/>
  <c r="DA17" i="2"/>
  <c r="DB16" i="2"/>
  <c r="DA16" i="2"/>
  <c r="DB15" i="2"/>
  <c r="DA15" i="2"/>
  <c r="DB14" i="2"/>
  <c r="DA14" i="2"/>
  <c r="DB13" i="2"/>
  <c r="DA13" i="2"/>
  <c r="DB12" i="2"/>
  <c r="DA12" i="2"/>
  <c r="DB11" i="2"/>
  <c r="DA11" i="2"/>
  <c r="DB10" i="2"/>
  <c r="DA10" i="2"/>
  <c r="DB9" i="2"/>
  <c r="DA9" i="2"/>
  <c r="DB8" i="2"/>
  <c r="DA8" i="2"/>
  <c r="DB7" i="2"/>
  <c r="DA7" i="2"/>
  <c r="DB6" i="2"/>
  <c r="DA6" i="2"/>
  <c r="Y6" i="2"/>
  <c r="Y7" i="2"/>
  <c r="Y8" i="2"/>
  <c r="Y9" i="2"/>
  <c r="Y10" i="2"/>
  <c r="Y11" i="2"/>
  <c r="Y12" i="2"/>
  <c r="Y13" i="2"/>
  <c r="Y14" i="2"/>
  <c r="Y15" i="2"/>
  <c r="Y16" i="2"/>
  <c r="Y17" i="2"/>
  <c r="Y18" i="2"/>
  <c r="Y19" i="2"/>
  <c r="Y20" i="2"/>
  <c r="Y21" i="2"/>
  <c r="Y22" i="2"/>
  <c r="Y23" i="2"/>
  <c r="Y24" i="2"/>
  <c r="Y25" i="2"/>
  <c r="Y26" i="2"/>
  <c r="R19" i="4" l="1"/>
  <c r="Q19" i="4"/>
  <c r="H19" i="4"/>
  <c r="AL55" i="2"/>
  <c r="AM55" i="2"/>
  <c r="O20" i="4"/>
  <c r="AM70" i="2"/>
  <c r="AL65" i="2"/>
  <c r="AL71" i="2"/>
  <c r="AM72" i="2"/>
  <c r="AL69" i="2"/>
  <c r="AL72" i="2"/>
  <c r="AM64" i="2"/>
  <c r="AM74" i="2"/>
  <c r="AM71" i="2"/>
  <c r="AM62" i="2"/>
  <c r="AL75" i="2"/>
  <c r="AL62" i="2"/>
  <c r="AL67" i="2"/>
  <c r="AM67" i="2"/>
  <c r="AM75" i="2"/>
  <c r="AM66" i="2"/>
  <c r="AM68" i="2"/>
  <c r="AM69" i="2"/>
  <c r="AM65" i="2"/>
  <c r="AM63" i="2"/>
  <c r="AM73" i="2"/>
  <c r="AL63" i="2"/>
  <c r="AL64" i="2"/>
  <c r="AL74" i="2"/>
  <c r="AL70" i="2"/>
  <c r="AL66" i="2"/>
  <c r="AL73" i="2"/>
  <c r="AL68" i="2"/>
  <c r="EF7" i="2"/>
  <c r="EF14" i="2"/>
  <c r="EF24" i="2"/>
  <c r="DA31" i="2"/>
  <c r="DA41" i="2"/>
  <c r="DB31" i="2"/>
  <c r="DB41" i="2"/>
  <c r="DB38" i="2"/>
  <c r="DB48" i="2"/>
  <c r="DB39" i="2"/>
  <c r="EF15" i="2"/>
  <c r="EF25" i="2"/>
  <c r="DA34" i="2"/>
  <c r="DB34" i="2"/>
  <c r="DA35" i="2"/>
  <c r="DA45" i="2"/>
  <c r="DB45" i="2"/>
  <c r="DA33" i="2"/>
  <c r="DA43" i="2"/>
  <c r="DB43" i="2"/>
  <c r="DA36" i="2"/>
  <c r="DB49" i="2"/>
  <c r="DB32" i="2"/>
  <c r="DB42" i="2"/>
  <c r="DA40" i="2"/>
  <c r="DB37" i="2"/>
  <c r="DB47" i="2"/>
  <c r="DA38" i="2"/>
  <c r="DA48" i="2"/>
  <c r="DA39" i="2"/>
  <c r="DB27" i="2"/>
  <c r="DA50" i="2"/>
  <c r="DB50" i="2"/>
  <c r="DB36" i="2"/>
  <c r="DA49" i="2"/>
  <c r="DB46" i="2"/>
  <c r="DB40" i="2"/>
  <c r="EF12" i="2"/>
  <c r="DA27" i="2"/>
  <c r="DB35" i="2"/>
  <c r="DA37" i="2"/>
  <c r="EF11" i="2"/>
  <c r="EF21" i="2"/>
  <c r="DA46" i="2"/>
  <c r="EF22" i="2"/>
  <c r="DA47" i="2"/>
  <c r="DB33" i="2"/>
  <c r="EF17" i="2"/>
  <c r="DA42" i="2"/>
  <c r="EF9" i="2"/>
  <c r="EF19" i="2"/>
  <c r="DA44" i="2"/>
  <c r="DB44" i="2"/>
  <c r="DA32" i="2"/>
  <c r="EF6" i="2"/>
  <c r="EF16" i="2"/>
  <c r="EF26" i="2"/>
  <c r="EF8" i="2"/>
  <c r="EF18" i="2"/>
  <c r="EF13" i="2"/>
  <c r="EF23" i="2"/>
  <c r="EF20" i="2"/>
  <c r="EF10" i="2"/>
  <c r="AL91" i="2" l="1"/>
  <c r="R20" i="4"/>
  <c r="Q20" i="4"/>
  <c r="H20" i="4"/>
  <c r="AM205" i="2"/>
  <c r="AL206" i="2"/>
  <c r="AM206" i="2"/>
  <c r="AL205" i="2"/>
  <c r="AM99" i="2"/>
  <c r="AL86" i="2"/>
  <c r="AM91" i="2"/>
  <c r="AM86" i="2"/>
  <c r="AM98" i="2"/>
  <c r="AL97" i="2"/>
  <c r="AL96" i="2"/>
  <c r="AL93" i="2"/>
  <c r="AL88" i="2"/>
  <c r="AL95" i="2"/>
  <c r="AL87" i="2"/>
  <c r="AL89" i="2"/>
  <c r="AL94" i="2"/>
  <c r="AM96" i="2"/>
  <c r="AM93" i="2"/>
  <c r="AM97" i="2"/>
  <c r="AL99" i="2"/>
  <c r="AM95" i="2"/>
  <c r="AL92" i="2"/>
  <c r="AM88" i="2"/>
  <c r="AL90" i="2"/>
  <c r="AL98" i="2"/>
  <c r="AM94" i="2"/>
  <c r="AM87" i="2"/>
  <c r="AM89" i="2"/>
  <c r="AM92" i="2"/>
  <c r="AM90" i="2"/>
  <c r="O21" i="4"/>
  <c r="AM171" i="2"/>
  <c r="AL195" i="2"/>
  <c r="AL176" i="2"/>
  <c r="AL202" i="2"/>
  <c r="AL201" i="2"/>
  <c r="AL196" i="2"/>
  <c r="AL171" i="2"/>
  <c r="AM201" i="2"/>
  <c r="AL186" i="2"/>
  <c r="AM195" i="2"/>
  <c r="AL181" i="2"/>
  <c r="AM202" i="2"/>
  <c r="AM196" i="2"/>
  <c r="AM186" i="2"/>
  <c r="AM176" i="2"/>
  <c r="AM191" i="2"/>
  <c r="AM181" i="2"/>
  <c r="AL191" i="2"/>
  <c r="DB51" i="2"/>
  <c r="DB52" i="2"/>
  <c r="DA51" i="2"/>
  <c r="EF28" i="2"/>
  <c r="DA52" i="2"/>
  <c r="R21" i="4" l="1"/>
  <c r="Q21" i="4"/>
  <c r="H21" i="4"/>
  <c r="AL101" i="2"/>
  <c r="O22" i="4"/>
  <c r="AL100" i="2"/>
  <c r="AM100" i="2"/>
  <c r="AM105" i="2"/>
  <c r="AM101" i="2"/>
  <c r="AM103" i="2"/>
  <c r="AL103" i="2"/>
  <c r="AL105" i="2"/>
  <c r="AB198" i="1"/>
  <c r="AB121" i="1"/>
  <c r="AB192" i="1"/>
  <c r="AB197" i="1"/>
  <c r="AB151" i="1"/>
  <c r="AB122" i="1"/>
  <c r="AB135" i="1"/>
  <c r="AB118" i="1"/>
  <c r="AB149" i="1"/>
  <c r="AB148" i="1"/>
  <c r="AB147" i="1"/>
  <c r="AB146" i="1"/>
  <c r="AB114" i="1"/>
  <c r="AB119" i="1"/>
  <c r="AB131" i="1"/>
  <c r="AB120" i="1"/>
  <c r="AB125" i="1"/>
  <c r="AB134" i="1"/>
  <c r="AB124" i="1"/>
  <c r="AB132" i="1"/>
  <c r="AB133" i="1"/>
  <c r="AB185" i="1"/>
  <c r="AB130" i="1"/>
  <c r="AB190" i="1"/>
  <c r="M102" i="1"/>
  <c r="M88" i="1"/>
  <c r="R22" i="4" l="1"/>
  <c r="Q22" i="4"/>
  <c r="H22" i="4"/>
  <c r="I85" i="1"/>
  <c r="I84" i="1"/>
  <c r="J88" i="1"/>
  <c r="M85" i="1"/>
  <c r="I89" i="1"/>
  <c r="J84" i="1"/>
  <c r="N88" i="1"/>
  <c r="M89" i="1"/>
  <c r="N84" i="1"/>
  <c r="O23" i="4"/>
  <c r="AL107" i="2"/>
  <c r="AM107" i="2"/>
  <c r="R88" i="1"/>
  <c r="Q88" i="1"/>
  <c r="R84" i="1"/>
  <c r="Q84" i="1"/>
  <c r="AI36" i="2"/>
  <c r="AJ36" i="2"/>
  <c r="AI37" i="2"/>
  <c r="AJ37" i="2"/>
  <c r="AI38" i="2"/>
  <c r="AJ38" i="2"/>
  <c r="AJ51" i="2"/>
  <c r="AI51" i="2"/>
  <c r="AJ50" i="2"/>
  <c r="AI50" i="2"/>
  <c r="AJ49" i="2"/>
  <c r="AI49" i="2"/>
  <c r="AJ48" i="2"/>
  <c r="AI48" i="2"/>
  <c r="AJ47" i="2"/>
  <c r="AI47" i="2"/>
  <c r="AJ46" i="2"/>
  <c r="AI46" i="2"/>
  <c r="AJ45" i="2"/>
  <c r="AI45" i="2"/>
  <c r="AJ44" i="2"/>
  <c r="AI44" i="2"/>
  <c r="AJ43" i="2"/>
  <c r="AI43" i="2"/>
  <c r="AJ42" i="2"/>
  <c r="AI42" i="2"/>
  <c r="AJ41" i="2"/>
  <c r="AI41" i="2"/>
  <c r="AJ40" i="2"/>
  <c r="AI40" i="2"/>
  <c r="AJ39" i="2"/>
  <c r="AI39" i="2"/>
  <c r="AJ35" i="2"/>
  <c r="AI35" i="2"/>
  <c r="AJ34" i="2"/>
  <c r="AI34" i="2"/>
  <c r="AJ33" i="2"/>
  <c r="AI33" i="2"/>
  <c r="AJ32" i="2"/>
  <c r="AI32" i="2"/>
  <c r="AJ31" i="2"/>
  <c r="AJ55" i="2" s="1"/>
  <c r="AI31" i="2"/>
  <c r="AI55" i="2" s="1"/>
  <c r="AK19" i="2"/>
  <c r="AK18" i="2"/>
  <c r="AK14" i="2"/>
  <c r="AK13" i="2"/>
  <c r="AK12" i="2"/>
  <c r="AK9" i="2"/>
  <c r="AK8" i="2"/>
  <c r="AK7" i="2"/>
  <c r="AK6" i="2"/>
  <c r="AK10" i="2"/>
  <c r="AK11" i="2"/>
  <c r="AK15" i="2"/>
  <c r="AK16" i="2"/>
  <c r="AK17" i="2"/>
  <c r="AK20" i="2"/>
  <c r="AK21" i="2"/>
  <c r="AK22" i="2"/>
  <c r="AK23" i="2"/>
  <c r="AK24" i="2"/>
  <c r="AK25" i="2"/>
  <c r="AK26" i="2"/>
  <c r="AH6" i="2"/>
  <c r="AH7" i="2"/>
  <c r="AH8" i="2"/>
  <c r="AH9" i="2"/>
  <c r="AH10" i="2"/>
  <c r="AH11" i="2"/>
  <c r="AH12" i="2"/>
  <c r="AH13" i="2"/>
  <c r="AH14" i="2"/>
  <c r="AH15" i="2"/>
  <c r="AH16" i="2"/>
  <c r="AH17" i="2"/>
  <c r="AH18" i="2"/>
  <c r="AH19" i="2"/>
  <c r="AH20" i="2"/>
  <c r="AH21" i="2"/>
  <c r="AH22" i="2"/>
  <c r="AH23" i="2"/>
  <c r="AH24" i="2"/>
  <c r="AH25" i="2"/>
  <c r="AH26" i="2"/>
  <c r="AE6" i="2"/>
  <c r="AE7" i="2"/>
  <c r="AE8" i="2"/>
  <c r="AE9" i="2"/>
  <c r="AE10" i="2"/>
  <c r="AE11" i="2"/>
  <c r="AE12" i="2"/>
  <c r="AE13" i="2"/>
  <c r="AE14" i="2"/>
  <c r="AE15" i="2"/>
  <c r="AE16" i="2"/>
  <c r="AE17" i="2"/>
  <c r="AE18" i="2"/>
  <c r="AE19" i="2"/>
  <c r="AE20" i="2"/>
  <c r="AE21" i="2"/>
  <c r="AE22" i="2"/>
  <c r="AE23" i="2"/>
  <c r="AE24" i="2"/>
  <c r="AE25" i="2"/>
  <c r="AE26" i="2"/>
  <c r="AB6" i="2"/>
  <c r="AB7" i="2"/>
  <c r="AB8" i="2"/>
  <c r="AB9" i="2"/>
  <c r="AB10" i="2"/>
  <c r="AB11" i="2"/>
  <c r="AB12" i="2"/>
  <c r="AB13" i="2"/>
  <c r="AB14" i="2"/>
  <c r="AB15" i="2"/>
  <c r="AB16" i="2"/>
  <c r="AB17" i="2"/>
  <c r="AB18" i="2"/>
  <c r="AB19" i="2"/>
  <c r="AB20" i="2"/>
  <c r="AB21" i="2"/>
  <c r="AB22" i="2"/>
  <c r="AB23" i="2"/>
  <c r="AB24" i="2"/>
  <c r="AB25" i="2"/>
  <c r="AB26" i="2"/>
  <c r="V6" i="2"/>
  <c r="V7" i="2"/>
  <c r="V8" i="2"/>
  <c r="V9" i="2"/>
  <c r="V10" i="2"/>
  <c r="V11" i="2"/>
  <c r="V12" i="2"/>
  <c r="V13" i="2"/>
  <c r="V14" i="2"/>
  <c r="V15" i="2"/>
  <c r="V16" i="2"/>
  <c r="V17" i="2"/>
  <c r="V18" i="2"/>
  <c r="V19" i="2"/>
  <c r="V20" i="2"/>
  <c r="V21" i="2"/>
  <c r="V22" i="2"/>
  <c r="V23" i="2"/>
  <c r="V24" i="2"/>
  <c r="V25" i="2"/>
  <c r="V26" i="2"/>
  <c r="S6" i="2"/>
  <c r="S7" i="2"/>
  <c r="S8" i="2"/>
  <c r="S9" i="2"/>
  <c r="S10" i="2"/>
  <c r="S11" i="2"/>
  <c r="S12" i="2"/>
  <c r="S13" i="2"/>
  <c r="S14" i="2"/>
  <c r="S15" i="2"/>
  <c r="S16" i="2"/>
  <c r="S17" i="2"/>
  <c r="S18" i="2"/>
  <c r="S19" i="2"/>
  <c r="S20" i="2"/>
  <c r="S21" i="2"/>
  <c r="S22" i="2"/>
  <c r="S23" i="2"/>
  <c r="S24" i="2"/>
  <c r="S25" i="2"/>
  <c r="S26" i="2"/>
  <c r="P6" i="2"/>
  <c r="P7" i="2"/>
  <c r="P8" i="2"/>
  <c r="P9" i="2"/>
  <c r="P10" i="2"/>
  <c r="P11" i="2"/>
  <c r="P12" i="2"/>
  <c r="P13" i="2"/>
  <c r="P14" i="2"/>
  <c r="P15" i="2"/>
  <c r="P16" i="2"/>
  <c r="P17" i="2"/>
  <c r="P18" i="2"/>
  <c r="P19" i="2"/>
  <c r="P20" i="2"/>
  <c r="P21" i="2"/>
  <c r="P22" i="2"/>
  <c r="P23" i="2"/>
  <c r="P24" i="2"/>
  <c r="P25" i="2"/>
  <c r="P26" i="2"/>
  <c r="M6" i="2"/>
  <c r="M7" i="2"/>
  <c r="M8" i="2"/>
  <c r="M9" i="2"/>
  <c r="M10" i="2"/>
  <c r="M11" i="2"/>
  <c r="M12" i="2"/>
  <c r="M13" i="2"/>
  <c r="M14" i="2"/>
  <c r="M15" i="2"/>
  <c r="M16" i="2"/>
  <c r="M17" i="2"/>
  <c r="M18" i="2"/>
  <c r="M19" i="2"/>
  <c r="M20" i="2"/>
  <c r="M21" i="2"/>
  <c r="M22" i="2"/>
  <c r="M23" i="2"/>
  <c r="M24" i="2"/>
  <c r="M25" i="2"/>
  <c r="M26" i="2"/>
  <c r="J6" i="2"/>
  <c r="J7" i="2"/>
  <c r="J8" i="2"/>
  <c r="J9" i="2"/>
  <c r="J10" i="2"/>
  <c r="J11" i="2"/>
  <c r="J12" i="2"/>
  <c r="J13" i="2"/>
  <c r="J14" i="2"/>
  <c r="J15" i="2"/>
  <c r="J16" i="2"/>
  <c r="J17" i="2"/>
  <c r="J18" i="2"/>
  <c r="J19" i="2"/>
  <c r="J20" i="2"/>
  <c r="J21" i="2"/>
  <c r="J22" i="2"/>
  <c r="J23" i="2"/>
  <c r="J24" i="2"/>
  <c r="J25" i="2"/>
  <c r="J26" i="2"/>
  <c r="G6" i="2"/>
  <c r="G7" i="2"/>
  <c r="G8" i="2"/>
  <c r="G9" i="2"/>
  <c r="G10" i="2"/>
  <c r="G11" i="2"/>
  <c r="G12" i="2"/>
  <c r="G13" i="2"/>
  <c r="G14" i="2"/>
  <c r="G15" i="2"/>
  <c r="G16" i="2"/>
  <c r="G17" i="2"/>
  <c r="G18" i="2"/>
  <c r="G19" i="2"/>
  <c r="G20" i="2"/>
  <c r="G21" i="2"/>
  <c r="G22" i="2"/>
  <c r="G23" i="2"/>
  <c r="G24" i="2"/>
  <c r="G25" i="2"/>
  <c r="G26" i="2"/>
  <c r="D5" i="2"/>
  <c r="D6" i="2"/>
  <c r="D7" i="2"/>
  <c r="D8" i="2"/>
  <c r="D9" i="2"/>
  <c r="D10" i="2"/>
  <c r="D11" i="2"/>
  <c r="D12" i="2"/>
  <c r="D13" i="2"/>
  <c r="D14" i="2"/>
  <c r="D15" i="2"/>
  <c r="D16" i="2"/>
  <c r="D17" i="2"/>
  <c r="D18" i="2"/>
  <c r="D19" i="2"/>
  <c r="D20" i="2"/>
  <c r="D21" i="2"/>
  <c r="D22" i="2"/>
  <c r="D23" i="2"/>
  <c r="D24" i="2"/>
  <c r="D25" i="2"/>
  <c r="D26" i="2"/>
  <c r="R23" i="4" l="1"/>
  <c r="Q23" i="4"/>
  <c r="H23" i="4"/>
  <c r="DF43" i="2"/>
  <c r="DF33" i="2"/>
  <c r="DF35" i="2"/>
  <c r="DF39" i="2"/>
  <c r="DF37" i="2"/>
  <c r="DF41" i="2"/>
  <c r="DF50" i="2"/>
  <c r="DF48" i="2"/>
  <c r="DF45" i="2"/>
  <c r="O24" i="4"/>
  <c r="AI59" i="2"/>
  <c r="AI72" i="2"/>
  <c r="AJ62" i="2"/>
  <c r="AI63" i="2"/>
  <c r="AI61" i="2"/>
  <c r="AJ59" i="2"/>
  <c r="AJ72" i="2"/>
  <c r="AI62" i="2"/>
  <c r="AJ63" i="2"/>
  <c r="AI68" i="2"/>
  <c r="AI57" i="2"/>
  <c r="AI70" i="2"/>
  <c r="AJ57" i="2"/>
  <c r="AJ70" i="2"/>
  <c r="AJ64" i="2"/>
  <c r="AI65" i="2"/>
  <c r="AJ75" i="2"/>
  <c r="AI67" i="2"/>
  <c r="AJ61" i="2"/>
  <c r="AI73" i="2"/>
  <c r="AI64" i="2"/>
  <c r="AJ65" i="2"/>
  <c r="AJ66" i="2"/>
  <c r="AJ67" i="2"/>
  <c r="AJ73" i="2"/>
  <c r="AJ74" i="2"/>
  <c r="AI199" i="2"/>
  <c r="AJ60" i="2"/>
  <c r="AJ199" i="2"/>
  <c r="AJ68" i="2"/>
  <c r="AI60" i="2"/>
  <c r="AI56" i="2"/>
  <c r="AI69" i="2"/>
  <c r="AJ56" i="2"/>
  <c r="AJ69" i="2"/>
  <c r="AI66" i="2"/>
  <c r="AI75" i="2"/>
  <c r="AI58" i="2"/>
  <c r="AI71" i="2"/>
  <c r="AI74" i="2"/>
  <c r="AJ58" i="2"/>
  <c r="AJ71" i="2"/>
  <c r="R24" i="4" l="1"/>
  <c r="Q24" i="4"/>
  <c r="H24" i="4"/>
  <c r="AI205" i="2"/>
  <c r="AJ205" i="2"/>
  <c r="AI206" i="2"/>
  <c r="AJ206" i="2"/>
  <c r="AI86" i="2"/>
  <c r="AJ96" i="2"/>
  <c r="AJ98" i="2"/>
  <c r="AJ97" i="2"/>
  <c r="AJ90" i="2"/>
  <c r="AJ86" i="2"/>
  <c r="AJ89" i="2"/>
  <c r="AI88" i="2"/>
  <c r="AI98" i="2"/>
  <c r="AI97" i="2"/>
  <c r="AI95" i="2"/>
  <c r="AI91" i="2"/>
  <c r="AJ94" i="2"/>
  <c r="AI94" i="2"/>
  <c r="AI85" i="2"/>
  <c r="AI87" i="2"/>
  <c r="AJ95" i="2"/>
  <c r="AI96" i="2"/>
  <c r="AJ85" i="2"/>
  <c r="AJ99" i="2"/>
  <c r="AI89" i="2"/>
  <c r="AJ93" i="2"/>
  <c r="AI93" i="2"/>
  <c r="AJ92" i="2"/>
  <c r="AI92" i="2"/>
  <c r="AJ91" i="2"/>
  <c r="AI99" i="2"/>
  <c r="AI90" i="2"/>
  <c r="AJ88" i="2"/>
  <c r="AJ87" i="2"/>
  <c r="O25" i="4"/>
  <c r="DF38" i="2"/>
  <c r="DF32" i="2"/>
  <c r="DF27" i="2"/>
  <c r="DF31" i="2"/>
  <c r="DF40" i="2"/>
  <c r="DF36" i="2"/>
  <c r="DF42" i="2"/>
  <c r="DF49" i="2"/>
  <c r="DF34" i="2"/>
  <c r="DF47" i="2"/>
  <c r="DF46" i="2"/>
  <c r="DF44" i="2"/>
  <c r="AI195" i="2"/>
  <c r="AI201" i="2"/>
  <c r="AI194" i="2"/>
  <c r="AI179" i="2"/>
  <c r="AJ195" i="2"/>
  <c r="AJ190" i="2"/>
  <c r="AI186" i="2"/>
  <c r="AJ200" i="2"/>
  <c r="AI190" i="2"/>
  <c r="AJ196" i="2"/>
  <c r="AJ171" i="2"/>
  <c r="AJ179" i="2"/>
  <c r="AI196" i="2"/>
  <c r="AJ194" i="2"/>
  <c r="AI176" i="2"/>
  <c r="AJ181" i="2"/>
  <c r="AJ202" i="2"/>
  <c r="AJ191" i="2"/>
  <c r="AI191" i="2"/>
  <c r="AI180" i="2"/>
  <c r="AI185" i="2"/>
  <c r="AI200" i="2"/>
  <c r="AJ169" i="2"/>
  <c r="AJ170" i="2"/>
  <c r="AJ175" i="2"/>
  <c r="AI174" i="2"/>
  <c r="AI170" i="2"/>
  <c r="AI175" i="2"/>
  <c r="AJ201" i="2"/>
  <c r="AJ184" i="2"/>
  <c r="AJ189" i="2"/>
  <c r="AJ186" i="2"/>
  <c r="AJ176" i="2"/>
  <c r="AI181" i="2"/>
  <c r="AI202" i="2"/>
  <c r="AJ174" i="2"/>
  <c r="AI184" i="2"/>
  <c r="AI189" i="2"/>
  <c r="AJ180" i="2"/>
  <c r="AJ185" i="2"/>
  <c r="AI171" i="2"/>
  <c r="AI169" i="2"/>
  <c r="C51" i="2"/>
  <c r="B51" i="2"/>
  <c r="C50" i="2"/>
  <c r="B50" i="2"/>
  <c r="C49" i="2"/>
  <c r="B49" i="2"/>
  <c r="C48" i="2"/>
  <c r="B48" i="2"/>
  <c r="C47" i="2"/>
  <c r="B47" i="2"/>
  <c r="C46" i="2"/>
  <c r="B46" i="2"/>
  <c r="C45" i="2"/>
  <c r="B45" i="2"/>
  <c r="C44" i="2"/>
  <c r="B44" i="2"/>
  <c r="C43" i="2"/>
  <c r="B43" i="2"/>
  <c r="C42" i="2"/>
  <c r="B42" i="2"/>
  <c r="C41" i="2"/>
  <c r="B41" i="2"/>
  <c r="C40" i="2"/>
  <c r="B40" i="2"/>
  <c r="C39" i="2"/>
  <c r="B39" i="2"/>
  <c r="C38" i="2"/>
  <c r="B38" i="2"/>
  <c r="C37" i="2"/>
  <c r="B37" i="2"/>
  <c r="C36" i="2"/>
  <c r="B36" i="2"/>
  <c r="C35" i="2"/>
  <c r="B35" i="2"/>
  <c r="C34" i="2"/>
  <c r="B34" i="2"/>
  <c r="C33" i="2"/>
  <c r="B33" i="2"/>
  <c r="C32" i="2"/>
  <c r="B32" i="2"/>
  <c r="C31" i="2"/>
  <c r="B31" i="2"/>
  <c r="AG51" i="2"/>
  <c r="AF51" i="2"/>
  <c r="AD51" i="2"/>
  <c r="AC51" i="2"/>
  <c r="AA51" i="2"/>
  <c r="Z51" i="2"/>
  <c r="X51" i="2"/>
  <c r="W51" i="2"/>
  <c r="U51" i="2"/>
  <c r="T51" i="2"/>
  <c r="R51" i="2"/>
  <c r="Q51" i="2"/>
  <c r="O51" i="2"/>
  <c r="N51" i="2"/>
  <c r="L51" i="2"/>
  <c r="K51" i="2"/>
  <c r="I51" i="2"/>
  <c r="H51" i="2"/>
  <c r="F51" i="2"/>
  <c r="E51" i="2"/>
  <c r="AG50" i="2"/>
  <c r="AF50" i="2"/>
  <c r="AD50" i="2"/>
  <c r="AC50" i="2"/>
  <c r="AA50" i="2"/>
  <c r="Z50" i="2"/>
  <c r="X50" i="2"/>
  <c r="W50" i="2"/>
  <c r="U50" i="2"/>
  <c r="T50" i="2"/>
  <c r="R50" i="2"/>
  <c r="Q50" i="2"/>
  <c r="O50" i="2"/>
  <c r="N50" i="2"/>
  <c r="L50" i="2"/>
  <c r="K50" i="2"/>
  <c r="I50" i="2"/>
  <c r="H50" i="2"/>
  <c r="F50" i="2"/>
  <c r="E50" i="2"/>
  <c r="AG49" i="2"/>
  <c r="AF49" i="2"/>
  <c r="AD49" i="2"/>
  <c r="AC49" i="2"/>
  <c r="AA49" i="2"/>
  <c r="Z49" i="2"/>
  <c r="X49" i="2"/>
  <c r="W49" i="2"/>
  <c r="U49" i="2"/>
  <c r="T49" i="2"/>
  <c r="R49" i="2"/>
  <c r="Q49" i="2"/>
  <c r="O49" i="2"/>
  <c r="N49" i="2"/>
  <c r="L49" i="2"/>
  <c r="K49" i="2"/>
  <c r="I49" i="2"/>
  <c r="H49" i="2"/>
  <c r="F49" i="2"/>
  <c r="E49" i="2"/>
  <c r="AG48" i="2"/>
  <c r="AF48" i="2"/>
  <c r="AD48" i="2"/>
  <c r="AC48" i="2"/>
  <c r="AA48" i="2"/>
  <c r="Z48" i="2"/>
  <c r="X48" i="2"/>
  <c r="W48" i="2"/>
  <c r="U48" i="2"/>
  <c r="T48" i="2"/>
  <c r="R48" i="2"/>
  <c r="Q48" i="2"/>
  <c r="O48" i="2"/>
  <c r="N48" i="2"/>
  <c r="L48" i="2"/>
  <c r="K48" i="2"/>
  <c r="I48" i="2"/>
  <c r="H48" i="2"/>
  <c r="F48" i="2"/>
  <c r="E48" i="2"/>
  <c r="AG47" i="2"/>
  <c r="AF47" i="2"/>
  <c r="AD47" i="2"/>
  <c r="AC47" i="2"/>
  <c r="AA47" i="2"/>
  <c r="Z47" i="2"/>
  <c r="X47" i="2"/>
  <c r="W47" i="2"/>
  <c r="U47" i="2"/>
  <c r="T47" i="2"/>
  <c r="R47" i="2"/>
  <c r="Q47" i="2"/>
  <c r="O47" i="2"/>
  <c r="N47" i="2"/>
  <c r="L47" i="2"/>
  <c r="K47" i="2"/>
  <c r="I47" i="2"/>
  <c r="H47" i="2"/>
  <c r="F47" i="2"/>
  <c r="E47" i="2"/>
  <c r="AG46" i="2"/>
  <c r="AF46" i="2"/>
  <c r="AD46" i="2"/>
  <c r="AC46" i="2"/>
  <c r="AA46" i="2"/>
  <c r="Z46" i="2"/>
  <c r="X46" i="2"/>
  <c r="W46" i="2"/>
  <c r="U46" i="2"/>
  <c r="T46" i="2"/>
  <c r="R46" i="2"/>
  <c r="Q46" i="2"/>
  <c r="O46" i="2"/>
  <c r="N46" i="2"/>
  <c r="L46" i="2"/>
  <c r="K46" i="2"/>
  <c r="I46" i="2"/>
  <c r="H46" i="2"/>
  <c r="F46" i="2"/>
  <c r="E46" i="2"/>
  <c r="AG45" i="2"/>
  <c r="AF45" i="2"/>
  <c r="AD45" i="2"/>
  <c r="AC45" i="2"/>
  <c r="AA45" i="2"/>
  <c r="Z45" i="2"/>
  <c r="X45" i="2"/>
  <c r="W45" i="2"/>
  <c r="U45" i="2"/>
  <c r="T45" i="2"/>
  <c r="R45" i="2"/>
  <c r="Q45" i="2"/>
  <c r="O45" i="2"/>
  <c r="N45" i="2"/>
  <c r="L45" i="2"/>
  <c r="K45" i="2"/>
  <c r="I45" i="2"/>
  <c r="H45" i="2"/>
  <c r="F45" i="2"/>
  <c r="E45" i="2"/>
  <c r="AG44" i="2"/>
  <c r="AF44" i="2"/>
  <c r="AD44" i="2"/>
  <c r="AC44" i="2"/>
  <c r="AA44" i="2"/>
  <c r="Z44" i="2"/>
  <c r="X44" i="2"/>
  <c r="W44" i="2"/>
  <c r="U44" i="2"/>
  <c r="T44" i="2"/>
  <c r="R44" i="2"/>
  <c r="Q44" i="2"/>
  <c r="O44" i="2"/>
  <c r="N44" i="2"/>
  <c r="L44" i="2"/>
  <c r="K44" i="2"/>
  <c r="I44" i="2"/>
  <c r="H44" i="2"/>
  <c r="F44" i="2"/>
  <c r="E44" i="2"/>
  <c r="AG43" i="2"/>
  <c r="AF43" i="2"/>
  <c r="AD43" i="2"/>
  <c r="AC43" i="2"/>
  <c r="AA43" i="2"/>
  <c r="Z43" i="2"/>
  <c r="X43" i="2"/>
  <c r="W43" i="2"/>
  <c r="U43" i="2"/>
  <c r="T43" i="2"/>
  <c r="R43" i="2"/>
  <c r="Q43" i="2"/>
  <c r="O43" i="2"/>
  <c r="N43" i="2"/>
  <c r="L43" i="2"/>
  <c r="K43" i="2"/>
  <c r="I43" i="2"/>
  <c r="H43" i="2"/>
  <c r="F43" i="2"/>
  <c r="E43" i="2"/>
  <c r="AG42" i="2"/>
  <c r="AF42" i="2"/>
  <c r="AD42" i="2"/>
  <c r="AC42" i="2"/>
  <c r="AA42" i="2"/>
  <c r="Z42" i="2"/>
  <c r="X42" i="2"/>
  <c r="W42" i="2"/>
  <c r="U42" i="2"/>
  <c r="T42" i="2"/>
  <c r="R42" i="2"/>
  <c r="Q42" i="2"/>
  <c r="O42" i="2"/>
  <c r="N42" i="2"/>
  <c r="L42" i="2"/>
  <c r="K42" i="2"/>
  <c r="I42" i="2"/>
  <c r="H42" i="2"/>
  <c r="F42" i="2"/>
  <c r="E42" i="2"/>
  <c r="AG41" i="2"/>
  <c r="AF41" i="2"/>
  <c r="AD41" i="2"/>
  <c r="AC41" i="2"/>
  <c r="AA41" i="2"/>
  <c r="Z41" i="2"/>
  <c r="X41" i="2"/>
  <c r="W41" i="2"/>
  <c r="U41" i="2"/>
  <c r="T41" i="2"/>
  <c r="R41" i="2"/>
  <c r="Q41" i="2"/>
  <c r="O41" i="2"/>
  <c r="N41" i="2"/>
  <c r="L41" i="2"/>
  <c r="K41" i="2"/>
  <c r="I41" i="2"/>
  <c r="H41" i="2"/>
  <c r="F41" i="2"/>
  <c r="E41" i="2"/>
  <c r="AG40" i="2"/>
  <c r="AF40" i="2"/>
  <c r="AD40" i="2"/>
  <c r="AC40" i="2"/>
  <c r="AA40" i="2"/>
  <c r="Z40" i="2"/>
  <c r="X40" i="2"/>
  <c r="W40" i="2"/>
  <c r="U40" i="2"/>
  <c r="T40" i="2"/>
  <c r="R40" i="2"/>
  <c r="Q40" i="2"/>
  <c r="O40" i="2"/>
  <c r="N40" i="2"/>
  <c r="L40" i="2"/>
  <c r="K40" i="2"/>
  <c r="I40" i="2"/>
  <c r="H40" i="2"/>
  <c r="F40" i="2"/>
  <c r="E40" i="2"/>
  <c r="AG39" i="2"/>
  <c r="AF39" i="2"/>
  <c r="AD39" i="2"/>
  <c r="AC39" i="2"/>
  <c r="AA39" i="2"/>
  <c r="Z39" i="2"/>
  <c r="X39" i="2"/>
  <c r="W39" i="2"/>
  <c r="U39" i="2"/>
  <c r="T39" i="2"/>
  <c r="R39" i="2"/>
  <c r="Q39" i="2"/>
  <c r="O39" i="2"/>
  <c r="N39" i="2"/>
  <c r="L39" i="2"/>
  <c r="K39" i="2"/>
  <c r="I39" i="2"/>
  <c r="H39" i="2"/>
  <c r="F39" i="2"/>
  <c r="E39" i="2"/>
  <c r="AG38" i="2"/>
  <c r="AF38" i="2"/>
  <c r="AD38" i="2"/>
  <c r="AC38" i="2"/>
  <c r="AA38" i="2"/>
  <c r="Z38" i="2"/>
  <c r="X38" i="2"/>
  <c r="W38" i="2"/>
  <c r="U38" i="2"/>
  <c r="T38" i="2"/>
  <c r="R38" i="2"/>
  <c r="Q38" i="2"/>
  <c r="O38" i="2"/>
  <c r="N38" i="2"/>
  <c r="L38" i="2"/>
  <c r="K38" i="2"/>
  <c r="I38" i="2"/>
  <c r="H38" i="2"/>
  <c r="F38" i="2"/>
  <c r="E38" i="2"/>
  <c r="AG37" i="2"/>
  <c r="AF37" i="2"/>
  <c r="AD37" i="2"/>
  <c r="AC37" i="2"/>
  <c r="AA37" i="2"/>
  <c r="Z37" i="2"/>
  <c r="X37" i="2"/>
  <c r="W37" i="2"/>
  <c r="U37" i="2"/>
  <c r="T37" i="2"/>
  <c r="R37" i="2"/>
  <c r="Q37" i="2"/>
  <c r="O37" i="2"/>
  <c r="N37" i="2"/>
  <c r="L37" i="2"/>
  <c r="K37" i="2"/>
  <c r="I37" i="2"/>
  <c r="H37" i="2"/>
  <c r="F37" i="2"/>
  <c r="E37" i="2"/>
  <c r="AG36" i="2"/>
  <c r="AF36" i="2"/>
  <c r="AD36" i="2"/>
  <c r="AC36" i="2"/>
  <c r="AA36" i="2"/>
  <c r="Z36" i="2"/>
  <c r="X36" i="2"/>
  <c r="W36" i="2"/>
  <c r="U36" i="2"/>
  <c r="T36" i="2"/>
  <c r="R36" i="2"/>
  <c r="Q36" i="2"/>
  <c r="O36" i="2"/>
  <c r="N36" i="2"/>
  <c r="L36" i="2"/>
  <c r="K36" i="2"/>
  <c r="I36" i="2"/>
  <c r="H36" i="2"/>
  <c r="F36" i="2"/>
  <c r="E36" i="2"/>
  <c r="AG35" i="2"/>
  <c r="AF35" i="2"/>
  <c r="AD35" i="2"/>
  <c r="AC35" i="2"/>
  <c r="AA35" i="2"/>
  <c r="Z35" i="2"/>
  <c r="X35" i="2"/>
  <c r="W35" i="2"/>
  <c r="U35" i="2"/>
  <c r="T35" i="2"/>
  <c r="R35" i="2"/>
  <c r="Q35" i="2"/>
  <c r="O35" i="2"/>
  <c r="N35" i="2"/>
  <c r="L35" i="2"/>
  <c r="K35" i="2"/>
  <c r="I35" i="2"/>
  <c r="H35" i="2"/>
  <c r="F35" i="2"/>
  <c r="E35" i="2"/>
  <c r="AG34" i="2"/>
  <c r="AF34" i="2"/>
  <c r="AD34" i="2"/>
  <c r="AC34" i="2"/>
  <c r="AA34" i="2"/>
  <c r="Z34" i="2"/>
  <c r="X34" i="2"/>
  <c r="W34" i="2"/>
  <c r="U34" i="2"/>
  <c r="T34" i="2"/>
  <c r="R34" i="2"/>
  <c r="Q34" i="2"/>
  <c r="O34" i="2"/>
  <c r="N34" i="2"/>
  <c r="L34" i="2"/>
  <c r="K34" i="2"/>
  <c r="I34" i="2"/>
  <c r="H34" i="2"/>
  <c r="F34" i="2"/>
  <c r="E34" i="2"/>
  <c r="AG33" i="2"/>
  <c r="AF33" i="2"/>
  <c r="AD33" i="2"/>
  <c r="AC33" i="2"/>
  <c r="AA33" i="2"/>
  <c r="Z33" i="2"/>
  <c r="X33" i="2"/>
  <c r="W33" i="2"/>
  <c r="U33" i="2"/>
  <c r="T33" i="2"/>
  <c r="R33" i="2"/>
  <c r="Q33" i="2"/>
  <c r="O33" i="2"/>
  <c r="N33" i="2"/>
  <c r="L33" i="2"/>
  <c r="K33" i="2"/>
  <c r="I33" i="2"/>
  <c r="H33" i="2"/>
  <c r="F33" i="2"/>
  <c r="E33" i="2"/>
  <c r="AG32" i="2"/>
  <c r="AF32" i="2"/>
  <c r="AD32" i="2"/>
  <c r="AC32" i="2"/>
  <c r="AA32" i="2"/>
  <c r="Z32" i="2"/>
  <c r="X32" i="2"/>
  <c r="W32" i="2"/>
  <c r="U32" i="2"/>
  <c r="T32" i="2"/>
  <c r="R32" i="2"/>
  <c r="Q32" i="2"/>
  <c r="O32" i="2"/>
  <c r="N32" i="2"/>
  <c r="L32" i="2"/>
  <c r="K32" i="2"/>
  <c r="I32" i="2"/>
  <c r="H32" i="2"/>
  <c r="F32" i="2"/>
  <c r="E32" i="2"/>
  <c r="AG31" i="2"/>
  <c r="AG55" i="2" s="1"/>
  <c r="AF31" i="2"/>
  <c r="AF55" i="2" s="1"/>
  <c r="AD31" i="2"/>
  <c r="AD55" i="2" s="1"/>
  <c r="AC31" i="2"/>
  <c r="AC55" i="2" s="1"/>
  <c r="AA31" i="2"/>
  <c r="AA55" i="2" s="1"/>
  <c r="Z31" i="2"/>
  <c r="Z55" i="2" s="1"/>
  <c r="X31" i="2"/>
  <c r="X55" i="2" s="1"/>
  <c r="W31" i="2"/>
  <c r="W55" i="2" s="1"/>
  <c r="U31" i="2"/>
  <c r="U55" i="2" s="1"/>
  <c r="T31" i="2"/>
  <c r="T55" i="2" s="1"/>
  <c r="R31" i="2"/>
  <c r="R55" i="2" s="1"/>
  <c r="Q31" i="2"/>
  <c r="Q55" i="2" s="1"/>
  <c r="O31" i="2"/>
  <c r="O55" i="2" s="1"/>
  <c r="N31" i="2"/>
  <c r="N55" i="2" s="1"/>
  <c r="L31" i="2"/>
  <c r="L55" i="2" s="1"/>
  <c r="K31" i="2"/>
  <c r="K55" i="2" s="1"/>
  <c r="I31" i="2"/>
  <c r="I55" i="2" s="1"/>
  <c r="H31" i="2"/>
  <c r="H55" i="2" s="1"/>
  <c r="F31" i="2"/>
  <c r="F55" i="2" s="1"/>
  <c r="E31" i="2"/>
  <c r="E55" i="2" s="1"/>
  <c r="P92" i="1"/>
  <c r="CE16" i="2"/>
  <c r="CF16" i="2"/>
  <c r="CG16" i="2"/>
  <c r="CH16" i="2"/>
  <c r="CI16" i="2"/>
  <c r="CJ16" i="2"/>
  <c r="CK16" i="2"/>
  <c r="CL16" i="2"/>
  <c r="CM16" i="2"/>
  <c r="CN16" i="2"/>
  <c r="CO16" i="2"/>
  <c r="CP16" i="2"/>
  <c r="CQ16" i="2"/>
  <c r="CR16" i="2"/>
  <c r="CS16" i="2"/>
  <c r="CT16" i="2"/>
  <c r="CU16" i="2"/>
  <c r="CV16" i="2"/>
  <c r="CW16" i="2"/>
  <c r="CX16" i="2"/>
  <c r="CY16" i="2"/>
  <c r="CZ16" i="2"/>
  <c r="CE17" i="2"/>
  <c r="CF17" i="2"/>
  <c r="CG17" i="2"/>
  <c r="CH17" i="2"/>
  <c r="CI17" i="2"/>
  <c r="CJ17" i="2"/>
  <c r="CK17" i="2"/>
  <c r="CL17" i="2"/>
  <c r="CM17" i="2"/>
  <c r="CN17" i="2"/>
  <c r="CO17" i="2"/>
  <c r="CP17" i="2"/>
  <c r="CQ17" i="2"/>
  <c r="CR17" i="2"/>
  <c r="CS17" i="2"/>
  <c r="CT17" i="2"/>
  <c r="CU17" i="2"/>
  <c r="CV17" i="2"/>
  <c r="CW17" i="2"/>
  <c r="CX17" i="2"/>
  <c r="CY17" i="2"/>
  <c r="CZ17" i="2"/>
  <c r="CE18" i="2"/>
  <c r="CF18" i="2"/>
  <c r="CG18" i="2"/>
  <c r="CH18" i="2"/>
  <c r="CI18" i="2"/>
  <c r="CJ18" i="2"/>
  <c r="CK18" i="2"/>
  <c r="CL18" i="2"/>
  <c r="CM18" i="2"/>
  <c r="CN18" i="2"/>
  <c r="CO18" i="2"/>
  <c r="CP18" i="2"/>
  <c r="CQ18" i="2"/>
  <c r="CR18" i="2"/>
  <c r="CS18" i="2"/>
  <c r="CT18" i="2"/>
  <c r="CU18" i="2"/>
  <c r="CV18" i="2"/>
  <c r="CW18" i="2"/>
  <c r="CX18" i="2"/>
  <c r="CY18" i="2"/>
  <c r="CZ18" i="2"/>
  <c r="CE19" i="2"/>
  <c r="CF19" i="2"/>
  <c r="CG19" i="2"/>
  <c r="CH19" i="2"/>
  <c r="CI19" i="2"/>
  <c r="CJ19" i="2"/>
  <c r="CK19" i="2"/>
  <c r="CL19" i="2"/>
  <c r="CM19" i="2"/>
  <c r="CN19" i="2"/>
  <c r="CO19" i="2"/>
  <c r="CP19" i="2"/>
  <c r="CQ19" i="2"/>
  <c r="CR19" i="2"/>
  <c r="CS19" i="2"/>
  <c r="CT19" i="2"/>
  <c r="CU19" i="2"/>
  <c r="CV19" i="2"/>
  <c r="CW19" i="2"/>
  <c r="CX19" i="2"/>
  <c r="CY19" i="2"/>
  <c r="CZ19" i="2"/>
  <c r="CE20" i="2"/>
  <c r="CF20" i="2"/>
  <c r="CG20" i="2"/>
  <c r="CH20" i="2"/>
  <c r="CI20" i="2"/>
  <c r="CJ20" i="2"/>
  <c r="CK20" i="2"/>
  <c r="CL20" i="2"/>
  <c r="CM20" i="2"/>
  <c r="CN20" i="2"/>
  <c r="CO20" i="2"/>
  <c r="CP20" i="2"/>
  <c r="CQ20" i="2"/>
  <c r="CR20" i="2"/>
  <c r="CS20" i="2"/>
  <c r="CT20" i="2"/>
  <c r="CU20" i="2"/>
  <c r="CV20" i="2"/>
  <c r="CW20" i="2"/>
  <c r="CX20" i="2"/>
  <c r="CY20" i="2"/>
  <c r="CZ20" i="2"/>
  <c r="CE21" i="2"/>
  <c r="CF21" i="2"/>
  <c r="CG21" i="2"/>
  <c r="CH21" i="2"/>
  <c r="CI21" i="2"/>
  <c r="CJ21" i="2"/>
  <c r="CK21" i="2"/>
  <c r="CL21" i="2"/>
  <c r="CM21" i="2"/>
  <c r="CN21" i="2"/>
  <c r="CO21" i="2"/>
  <c r="CP21" i="2"/>
  <c r="CQ21" i="2"/>
  <c r="CR21" i="2"/>
  <c r="CS21" i="2"/>
  <c r="CT21" i="2"/>
  <c r="CU21" i="2"/>
  <c r="CV21" i="2"/>
  <c r="CW21" i="2"/>
  <c r="CX21" i="2"/>
  <c r="CY21" i="2"/>
  <c r="CZ21" i="2"/>
  <c r="CE22" i="2"/>
  <c r="CF22" i="2"/>
  <c r="CG22" i="2"/>
  <c r="CH22" i="2"/>
  <c r="CI22" i="2"/>
  <c r="CJ22" i="2"/>
  <c r="CK22" i="2"/>
  <c r="CL22" i="2"/>
  <c r="CM22" i="2"/>
  <c r="CN22" i="2"/>
  <c r="CO22" i="2"/>
  <c r="CP22" i="2"/>
  <c r="CQ22" i="2"/>
  <c r="CR22" i="2"/>
  <c r="CS22" i="2"/>
  <c r="CT22" i="2"/>
  <c r="CU22" i="2"/>
  <c r="CV22" i="2"/>
  <c r="CW22" i="2"/>
  <c r="CX22" i="2"/>
  <c r="CY22" i="2"/>
  <c r="CZ22" i="2"/>
  <c r="CE23" i="2"/>
  <c r="CF23" i="2"/>
  <c r="CG23" i="2"/>
  <c r="CH23" i="2"/>
  <c r="CI23" i="2"/>
  <c r="CJ23" i="2"/>
  <c r="CK23" i="2"/>
  <c r="CL23" i="2"/>
  <c r="CM23" i="2"/>
  <c r="CN23" i="2"/>
  <c r="CO23" i="2"/>
  <c r="CP23" i="2"/>
  <c r="CQ23" i="2"/>
  <c r="CR23" i="2"/>
  <c r="CS23" i="2"/>
  <c r="CT23" i="2"/>
  <c r="CU23" i="2"/>
  <c r="CV23" i="2"/>
  <c r="CW23" i="2"/>
  <c r="CX23" i="2"/>
  <c r="CY23" i="2"/>
  <c r="CZ23" i="2"/>
  <c r="CE24" i="2"/>
  <c r="CF24" i="2"/>
  <c r="CG24" i="2"/>
  <c r="CH24" i="2"/>
  <c r="CI24" i="2"/>
  <c r="CJ24" i="2"/>
  <c r="CK24" i="2"/>
  <c r="CL24" i="2"/>
  <c r="CM24" i="2"/>
  <c r="CN24" i="2"/>
  <c r="CO24" i="2"/>
  <c r="CP24" i="2"/>
  <c r="CQ24" i="2"/>
  <c r="CR24" i="2"/>
  <c r="CS24" i="2"/>
  <c r="CT24" i="2"/>
  <c r="CU24" i="2"/>
  <c r="CV24" i="2"/>
  <c r="CW24" i="2"/>
  <c r="CX24" i="2"/>
  <c r="CY24" i="2"/>
  <c r="CZ24" i="2"/>
  <c r="CE25" i="2"/>
  <c r="CF25" i="2"/>
  <c r="CG25" i="2"/>
  <c r="CH25" i="2"/>
  <c r="CI25" i="2"/>
  <c r="CJ25" i="2"/>
  <c r="CK25" i="2"/>
  <c r="CL25" i="2"/>
  <c r="CM25" i="2"/>
  <c r="CN25" i="2"/>
  <c r="CO25" i="2"/>
  <c r="CP25" i="2"/>
  <c r="CQ25" i="2"/>
  <c r="CR25" i="2"/>
  <c r="CS25" i="2"/>
  <c r="CT25" i="2"/>
  <c r="CU25" i="2"/>
  <c r="CV25" i="2"/>
  <c r="CW25" i="2"/>
  <c r="CX25" i="2"/>
  <c r="CY25" i="2"/>
  <c r="CZ25" i="2"/>
  <c r="CE26" i="2"/>
  <c r="CF26" i="2"/>
  <c r="CG26" i="2"/>
  <c r="CH26" i="2"/>
  <c r="CI26" i="2"/>
  <c r="CJ26" i="2"/>
  <c r="CK26" i="2"/>
  <c r="CL26" i="2"/>
  <c r="CM26" i="2"/>
  <c r="CN26" i="2"/>
  <c r="CO26" i="2"/>
  <c r="CP26" i="2"/>
  <c r="CQ26" i="2"/>
  <c r="CR26" i="2"/>
  <c r="CS26" i="2"/>
  <c r="CT26" i="2"/>
  <c r="CU26" i="2"/>
  <c r="CV26" i="2"/>
  <c r="CW26" i="2"/>
  <c r="CX26" i="2"/>
  <c r="CY26" i="2"/>
  <c r="CZ26" i="2"/>
  <c r="CE8" i="2"/>
  <c r="CF8" i="2"/>
  <c r="CG8" i="2"/>
  <c r="CH8" i="2"/>
  <c r="CI8" i="2"/>
  <c r="CJ8" i="2"/>
  <c r="CK8" i="2"/>
  <c r="CL8" i="2"/>
  <c r="CM8" i="2"/>
  <c r="CN8" i="2"/>
  <c r="CO8" i="2"/>
  <c r="CP8" i="2"/>
  <c r="CQ8" i="2"/>
  <c r="CR8" i="2"/>
  <c r="CS8" i="2"/>
  <c r="CT8" i="2"/>
  <c r="CU8" i="2"/>
  <c r="CV8" i="2"/>
  <c r="CW8" i="2"/>
  <c r="CX8" i="2"/>
  <c r="CY8" i="2"/>
  <c r="CZ8" i="2"/>
  <c r="CE9" i="2"/>
  <c r="CF9" i="2"/>
  <c r="CG9" i="2"/>
  <c r="CH9" i="2"/>
  <c r="CI9" i="2"/>
  <c r="CJ9" i="2"/>
  <c r="CK9" i="2"/>
  <c r="CL9" i="2"/>
  <c r="CM9" i="2"/>
  <c r="CN9" i="2"/>
  <c r="CO9" i="2"/>
  <c r="CP9" i="2"/>
  <c r="CQ9" i="2"/>
  <c r="CR9" i="2"/>
  <c r="CS9" i="2"/>
  <c r="CT9" i="2"/>
  <c r="CU9" i="2"/>
  <c r="CV9" i="2"/>
  <c r="CW9" i="2"/>
  <c r="CX9" i="2"/>
  <c r="CY9" i="2"/>
  <c r="CZ9" i="2"/>
  <c r="CE10" i="2"/>
  <c r="CF10" i="2"/>
  <c r="CG10" i="2"/>
  <c r="CH10" i="2"/>
  <c r="CI10" i="2"/>
  <c r="CJ10" i="2"/>
  <c r="CK10" i="2"/>
  <c r="CL10" i="2"/>
  <c r="CM10" i="2"/>
  <c r="CN10" i="2"/>
  <c r="CO10" i="2"/>
  <c r="CP10" i="2"/>
  <c r="CQ10" i="2"/>
  <c r="CR10" i="2"/>
  <c r="CS10" i="2"/>
  <c r="CT10" i="2"/>
  <c r="CU10" i="2"/>
  <c r="CV10" i="2"/>
  <c r="CW10" i="2"/>
  <c r="CX10" i="2"/>
  <c r="CY10" i="2"/>
  <c r="CZ10" i="2"/>
  <c r="CE11" i="2"/>
  <c r="CF11" i="2"/>
  <c r="CG11" i="2"/>
  <c r="CH11" i="2"/>
  <c r="CI11" i="2"/>
  <c r="CJ11" i="2"/>
  <c r="CK11" i="2"/>
  <c r="CL11" i="2"/>
  <c r="CM11" i="2"/>
  <c r="CN11" i="2"/>
  <c r="CO11" i="2"/>
  <c r="CP11" i="2"/>
  <c r="CQ11" i="2"/>
  <c r="CR11" i="2"/>
  <c r="CS11" i="2"/>
  <c r="CT11" i="2"/>
  <c r="CU11" i="2"/>
  <c r="CV11" i="2"/>
  <c r="CW11" i="2"/>
  <c r="CX11" i="2"/>
  <c r="CY11" i="2"/>
  <c r="CZ11" i="2"/>
  <c r="CE12" i="2"/>
  <c r="CF12" i="2"/>
  <c r="CG12" i="2"/>
  <c r="CH12" i="2"/>
  <c r="CI12" i="2"/>
  <c r="CJ12" i="2"/>
  <c r="CK12" i="2"/>
  <c r="CL12" i="2"/>
  <c r="CM12" i="2"/>
  <c r="CN12" i="2"/>
  <c r="CO12" i="2"/>
  <c r="CP12" i="2"/>
  <c r="CQ12" i="2"/>
  <c r="CR12" i="2"/>
  <c r="CS12" i="2"/>
  <c r="CT12" i="2"/>
  <c r="CU12" i="2"/>
  <c r="CV12" i="2"/>
  <c r="CW12" i="2"/>
  <c r="CX12" i="2"/>
  <c r="CY12" i="2"/>
  <c r="CZ12" i="2"/>
  <c r="CE13" i="2"/>
  <c r="CF13" i="2"/>
  <c r="CG13" i="2"/>
  <c r="CH13" i="2"/>
  <c r="CI13" i="2"/>
  <c r="CJ13" i="2"/>
  <c r="CK13" i="2"/>
  <c r="CL13" i="2"/>
  <c r="CM13" i="2"/>
  <c r="CN13" i="2"/>
  <c r="CO13" i="2"/>
  <c r="CP13" i="2"/>
  <c r="CQ13" i="2"/>
  <c r="CR13" i="2"/>
  <c r="CS13" i="2"/>
  <c r="CT13" i="2"/>
  <c r="CU13" i="2"/>
  <c r="CV13" i="2"/>
  <c r="CW13" i="2"/>
  <c r="CX13" i="2"/>
  <c r="CY13" i="2"/>
  <c r="CZ13" i="2"/>
  <c r="CE14" i="2"/>
  <c r="CF14" i="2"/>
  <c r="CG14" i="2"/>
  <c r="CH14" i="2"/>
  <c r="CI14" i="2"/>
  <c r="CJ14" i="2"/>
  <c r="CK14" i="2"/>
  <c r="CL14" i="2"/>
  <c r="CM14" i="2"/>
  <c r="CN14" i="2"/>
  <c r="CO14" i="2"/>
  <c r="CP14" i="2"/>
  <c r="CQ14" i="2"/>
  <c r="CR14" i="2"/>
  <c r="CS14" i="2"/>
  <c r="CT14" i="2"/>
  <c r="CU14" i="2"/>
  <c r="CV14" i="2"/>
  <c r="CW14" i="2"/>
  <c r="CX14" i="2"/>
  <c r="CY14" i="2"/>
  <c r="CZ14" i="2"/>
  <c r="CE15" i="2"/>
  <c r="CF15" i="2"/>
  <c r="CG15" i="2"/>
  <c r="CH15" i="2"/>
  <c r="CI15" i="2"/>
  <c r="CJ15" i="2"/>
  <c r="CK15" i="2"/>
  <c r="CL15" i="2"/>
  <c r="CM15" i="2"/>
  <c r="CN15" i="2"/>
  <c r="CO15" i="2"/>
  <c r="CP15" i="2"/>
  <c r="CQ15" i="2"/>
  <c r="CR15" i="2"/>
  <c r="CS15" i="2"/>
  <c r="CT15" i="2"/>
  <c r="CU15" i="2"/>
  <c r="CV15" i="2"/>
  <c r="CW15" i="2"/>
  <c r="CX15" i="2"/>
  <c r="CY15" i="2"/>
  <c r="CZ15" i="2"/>
  <c r="CZ7" i="2"/>
  <c r="CY7" i="2"/>
  <c r="CX7" i="2"/>
  <c r="CW7" i="2"/>
  <c r="CV7" i="2"/>
  <c r="CU7" i="2"/>
  <c r="CT7" i="2"/>
  <c r="CS7" i="2"/>
  <c r="CR7" i="2"/>
  <c r="CQ7" i="2"/>
  <c r="CP7" i="2"/>
  <c r="CO7" i="2"/>
  <c r="CN7" i="2"/>
  <c r="CM7" i="2"/>
  <c r="CL7" i="2"/>
  <c r="CK7" i="2"/>
  <c r="CJ7" i="2"/>
  <c r="CI7" i="2"/>
  <c r="CH7" i="2"/>
  <c r="CG7" i="2"/>
  <c r="CF7" i="2"/>
  <c r="CE7" i="2"/>
  <c r="CZ6" i="2"/>
  <c r="CY6" i="2"/>
  <c r="CX6" i="2"/>
  <c r="CW6" i="2"/>
  <c r="CV6" i="2"/>
  <c r="CU6" i="2"/>
  <c r="CT6" i="2"/>
  <c r="CS6" i="2"/>
  <c r="CR6" i="2"/>
  <c r="CQ6" i="2"/>
  <c r="CP6" i="2"/>
  <c r="CO6" i="2"/>
  <c r="CN6" i="2"/>
  <c r="CM6" i="2"/>
  <c r="CL6" i="2"/>
  <c r="CK6" i="2"/>
  <c r="CJ6" i="2"/>
  <c r="CI6" i="2"/>
  <c r="CH6" i="2"/>
  <c r="CG6" i="2"/>
  <c r="CF6" i="2"/>
  <c r="CE6" i="2"/>
  <c r="H93" i="1"/>
  <c r="H92" i="1"/>
  <c r="H95" i="1"/>
  <c r="H94" i="1"/>
  <c r="H91" i="1"/>
  <c r="H90" i="1"/>
  <c r="H88" i="1"/>
  <c r="H87" i="1"/>
  <c r="H86" i="1"/>
  <c r="R25" i="4" l="1"/>
  <c r="Q25" i="4"/>
  <c r="H25" i="4"/>
  <c r="AY47" i="2"/>
  <c r="AY49" i="2"/>
  <c r="AX50" i="2"/>
  <c r="AY50" i="2"/>
  <c r="AY51" i="2"/>
  <c r="AY32" i="2"/>
  <c r="AY42" i="2"/>
  <c r="AY45" i="2"/>
  <c r="AY46" i="2"/>
  <c r="AX47" i="2"/>
  <c r="AX48" i="2"/>
  <c r="AX51" i="2"/>
  <c r="AX43" i="2"/>
  <c r="AX35" i="2"/>
  <c r="AY35" i="2"/>
  <c r="AX36" i="2"/>
  <c r="AY36" i="2"/>
  <c r="AX37" i="2"/>
  <c r="AY37" i="2"/>
  <c r="AX38" i="2"/>
  <c r="AY48" i="2"/>
  <c r="AX39" i="2"/>
  <c r="AY39" i="2"/>
  <c r="AX40" i="2"/>
  <c r="AY40" i="2"/>
  <c r="AX31" i="2"/>
  <c r="AX41" i="2"/>
  <c r="AY41" i="2"/>
  <c r="AX32" i="2"/>
  <c r="AX33" i="2"/>
  <c r="AY33" i="2"/>
  <c r="AY43" i="2"/>
  <c r="AX49" i="2"/>
  <c r="AY31" i="2"/>
  <c r="AX34" i="2"/>
  <c r="AX44" i="2"/>
  <c r="AX45" i="2"/>
  <c r="AX46" i="2"/>
  <c r="AY38" i="2"/>
  <c r="AX42" i="2"/>
  <c r="AY34" i="2"/>
  <c r="AY44" i="2"/>
  <c r="CB25" i="2"/>
  <c r="BZ25" i="2"/>
  <c r="BX25" i="2"/>
  <c r="BZ7" i="2"/>
  <c r="BX7" i="2"/>
  <c r="BJ7" i="2" s="1"/>
  <c r="CB7" i="2"/>
  <c r="BS7" i="2" s="1"/>
  <c r="BW25" i="2"/>
  <c r="CA25" i="2"/>
  <c r="BY25" i="2"/>
  <c r="CB15" i="2"/>
  <c r="BZ15" i="2"/>
  <c r="BX15" i="2"/>
  <c r="BX24" i="2"/>
  <c r="CB24" i="2"/>
  <c r="BZ24" i="2"/>
  <c r="BW15" i="2"/>
  <c r="CA15" i="2"/>
  <c r="BY15" i="2"/>
  <c r="BY24" i="2"/>
  <c r="BW24" i="2"/>
  <c r="CA24" i="2"/>
  <c r="BX14" i="2"/>
  <c r="CB14" i="2"/>
  <c r="BZ14" i="2"/>
  <c r="BZ23" i="2"/>
  <c r="BX23" i="2"/>
  <c r="CB23" i="2"/>
  <c r="BY14" i="2"/>
  <c r="BW14" i="2"/>
  <c r="CA14" i="2"/>
  <c r="CA23" i="2"/>
  <c r="BW23" i="2"/>
  <c r="BY23" i="2"/>
  <c r="BZ13" i="2"/>
  <c r="BM13" i="2" s="1"/>
  <c r="BX13" i="2"/>
  <c r="BJ13" i="2" s="1"/>
  <c r="CB13" i="2"/>
  <c r="BS13" i="2" s="1"/>
  <c r="CB22" i="2"/>
  <c r="BZ22" i="2"/>
  <c r="BX22" i="2"/>
  <c r="CA13" i="2"/>
  <c r="BR13" i="2" s="1"/>
  <c r="BW13" i="2"/>
  <c r="BI13" i="2" s="1"/>
  <c r="BY13" i="2"/>
  <c r="BL13" i="2" s="1"/>
  <c r="BW22" i="2"/>
  <c r="CA22" i="2"/>
  <c r="BY22" i="2"/>
  <c r="CA21" i="2"/>
  <c r="BW21" i="2"/>
  <c r="BY21" i="2"/>
  <c r="CA20" i="2"/>
  <c r="BY20" i="2"/>
  <c r="BW20" i="2"/>
  <c r="CB19" i="2"/>
  <c r="BZ19" i="2"/>
  <c r="BX19" i="2"/>
  <c r="CA10" i="2"/>
  <c r="BR10" i="2" s="1"/>
  <c r="BY10" i="2"/>
  <c r="BL10" i="2" s="1"/>
  <c r="BW10" i="2"/>
  <c r="BI10" i="2" s="1"/>
  <c r="CA19" i="2"/>
  <c r="BW19" i="2"/>
  <c r="BY19" i="2"/>
  <c r="CB9" i="2"/>
  <c r="BZ9" i="2"/>
  <c r="BX9" i="2"/>
  <c r="CA9" i="2"/>
  <c r="BW9" i="2"/>
  <c r="BY9" i="2"/>
  <c r="BZ17" i="2"/>
  <c r="BX17" i="2"/>
  <c r="CB17" i="2"/>
  <c r="CA7" i="2"/>
  <c r="BR7" i="2" s="1"/>
  <c r="BY7" i="2"/>
  <c r="BW7" i="2"/>
  <c r="BI7" i="2" s="1"/>
  <c r="BW12" i="2"/>
  <c r="CA12" i="2"/>
  <c r="BY12" i="2"/>
  <c r="BY18" i="2"/>
  <c r="BW18" i="2"/>
  <c r="CA18" i="2"/>
  <c r="CB8" i="2"/>
  <c r="BX8" i="2"/>
  <c r="BZ8" i="2"/>
  <c r="BY8" i="2"/>
  <c r="BW8" i="2"/>
  <c r="CA8" i="2"/>
  <c r="CA17" i="2"/>
  <c r="BY17" i="2"/>
  <c r="BW17" i="2"/>
  <c r="BX12" i="2"/>
  <c r="CB12" i="2"/>
  <c r="BZ12" i="2"/>
  <c r="BZ21" i="2"/>
  <c r="BX21" i="2"/>
  <c r="CB21" i="2"/>
  <c r="BZ11" i="2"/>
  <c r="BX11" i="2"/>
  <c r="CB11" i="2"/>
  <c r="CB20" i="2"/>
  <c r="BZ20" i="2"/>
  <c r="BX20" i="2"/>
  <c r="CA11" i="2"/>
  <c r="BY11" i="2"/>
  <c r="BW11" i="2"/>
  <c r="CB10" i="2"/>
  <c r="BS10" i="2" s="1"/>
  <c r="BZ10" i="2"/>
  <c r="BM10" i="2" s="1"/>
  <c r="BX10" i="2"/>
  <c r="BJ10" i="2" s="1"/>
  <c r="BX18" i="2"/>
  <c r="CB18" i="2"/>
  <c r="BZ18" i="2"/>
  <c r="CB26" i="2"/>
  <c r="BZ26" i="2"/>
  <c r="BX26" i="2"/>
  <c r="CB16" i="2"/>
  <c r="BZ16" i="2"/>
  <c r="BX16" i="2"/>
  <c r="CA6" i="2"/>
  <c r="BY6" i="2"/>
  <c r="BW6" i="2"/>
  <c r="CB6" i="2"/>
  <c r="BZ6" i="2"/>
  <c r="BX6" i="2"/>
  <c r="CA26" i="2"/>
  <c r="BY26" i="2"/>
  <c r="BW26" i="2"/>
  <c r="CA16" i="2"/>
  <c r="BY16" i="2"/>
  <c r="BW16" i="2"/>
  <c r="O26" i="4"/>
  <c r="DF52" i="2"/>
  <c r="DF51" i="2"/>
  <c r="CW32" i="2"/>
  <c r="CV32" i="2"/>
  <c r="CQ32" i="2"/>
  <c r="B56" i="2"/>
  <c r="CR32" i="2"/>
  <c r="AJ100" i="2"/>
  <c r="CS32" i="2"/>
  <c r="CT32" i="2"/>
  <c r="CU32" i="2"/>
  <c r="AI100" i="2"/>
  <c r="CR40" i="2"/>
  <c r="CP32" i="2"/>
  <c r="CV38" i="2"/>
  <c r="CP50" i="2"/>
  <c r="CF45" i="2"/>
  <c r="CQ40" i="2"/>
  <c r="CT39" i="2"/>
  <c r="CZ36" i="2"/>
  <c r="CH35" i="2"/>
  <c r="CT48" i="2"/>
  <c r="CX46" i="2"/>
  <c r="CL42" i="2"/>
  <c r="CL33" i="2"/>
  <c r="CH44" i="2"/>
  <c r="CO32" i="2"/>
  <c r="CJ34" i="2"/>
  <c r="CZ45" i="2"/>
  <c r="CF36" i="2"/>
  <c r="CV47" i="2"/>
  <c r="CJ43" i="2"/>
  <c r="CP40" i="2"/>
  <c r="CX37" i="2"/>
  <c r="CR49" i="2"/>
  <c r="CN41" i="2"/>
  <c r="CS39" i="2"/>
  <c r="CE36" i="2"/>
  <c r="CO50" i="2"/>
  <c r="CU47" i="2"/>
  <c r="CI43" i="2"/>
  <c r="CY36" i="2"/>
  <c r="CI34" i="2"/>
  <c r="CS48" i="2"/>
  <c r="CE45" i="2"/>
  <c r="CK42" i="2"/>
  <c r="CO40" i="2"/>
  <c r="CW37" i="2"/>
  <c r="CK33" i="2"/>
  <c r="CW46" i="2"/>
  <c r="CM41" i="2"/>
  <c r="CU38" i="2"/>
  <c r="CG35" i="2"/>
  <c r="CQ49" i="2"/>
  <c r="CY45" i="2"/>
  <c r="CG44" i="2"/>
  <c r="CM32" i="2"/>
  <c r="CR33" i="2"/>
  <c r="CL45" i="2"/>
  <c r="CE39" i="2"/>
  <c r="CQ33" i="2"/>
  <c r="CY48" i="2"/>
  <c r="CG47" i="2"/>
  <c r="CI46" i="2"/>
  <c r="CO43" i="2"/>
  <c r="CF39" i="2"/>
  <c r="CV50" i="2"/>
  <c r="CP43" i="2"/>
  <c r="CY39" i="2"/>
  <c r="CM35" i="2"/>
  <c r="CW49" i="2"/>
  <c r="CK45" i="2"/>
  <c r="CH38" i="2"/>
  <c r="CX49" i="2"/>
  <c r="CT41" i="2"/>
  <c r="CG38" i="2"/>
  <c r="CO34" i="2"/>
  <c r="CU50" i="2"/>
  <c r="CE48" i="2"/>
  <c r="CM44" i="2"/>
  <c r="CN35" i="2"/>
  <c r="CH47" i="2"/>
  <c r="CK36" i="2"/>
  <c r="CQ42" i="2"/>
  <c r="CZ39" i="2"/>
  <c r="CJ37" i="2"/>
  <c r="CL36" i="2"/>
  <c r="CP34" i="2"/>
  <c r="CZ48" i="2"/>
  <c r="CF48" i="2"/>
  <c r="CJ46" i="2"/>
  <c r="CN44" i="2"/>
  <c r="CR42" i="2"/>
  <c r="CI37" i="2"/>
  <c r="CS41" i="2"/>
  <c r="CU40" i="2"/>
  <c r="CN32" i="2"/>
  <c r="CU39" i="2"/>
  <c r="CW38" i="2"/>
  <c r="CY37" i="2"/>
  <c r="CE37" i="2"/>
  <c r="CG36" i="2"/>
  <c r="CI35" i="2"/>
  <c r="CX40" i="2"/>
  <c r="CV40" i="2"/>
  <c r="CV39" i="2"/>
  <c r="CX38" i="2"/>
  <c r="CZ37" i="2"/>
  <c r="CW40" i="2"/>
  <c r="AJ101" i="2"/>
  <c r="AI101" i="2"/>
  <c r="CF37" i="2"/>
  <c r="CQ31" i="2"/>
  <c r="CQ27" i="2"/>
  <c r="CR39" i="2"/>
  <c r="CX36" i="2"/>
  <c r="CZ35" i="2"/>
  <c r="CJ33" i="2"/>
  <c r="CN50" i="2"/>
  <c r="CT47" i="2"/>
  <c r="CV46" i="2"/>
  <c r="CZ44" i="2"/>
  <c r="CL41" i="2"/>
  <c r="CW36" i="2"/>
  <c r="CG34" i="2"/>
  <c r="CQ48" i="2"/>
  <c r="CS47" i="2"/>
  <c r="CY44" i="2"/>
  <c r="CU27" i="2"/>
  <c r="CU31" i="2"/>
  <c r="CP39" i="2"/>
  <c r="CR38" i="2"/>
  <c r="CV36" i="2"/>
  <c r="CF34" i="2"/>
  <c r="CL50" i="2"/>
  <c r="CP48" i="2"/>
  <c r="CT46" i="2"/>
  <c r="CF43" i="2"/>
  <c r="CV31" i="2"/>
  <c r="CV27" i="2"/>
  <c r="CQ38" i="2"/>
  <c r="CW35" i="2"/>
  <c r="CE34" i="2"/>
  <c r="CO48" i="2"/>
  <c r="CU45" i="2"/>
  <c r="CE43" i="2"/>
  <c r="CL40" i="2"/>
  <c r="CR37" i="2"/>
  <c r="CT36" i="2"/>
  <c r="CZ33" i="2"/>
  <c r="CP47" i="2"/>
  <c r="CT45" i="2"/>
  <c r="CX43" i="2"/>
  <c r="CH41" i="2"/>
  <c r="CX31" i="2"/>
  <c r="CX27" i="2"/>
  <c r="CK40" i="2"/>
  <c r="CQ37" i="2"/>
  <c r="CU35" i="2"/>
  <c r="CY33" i="2"/>
  <c r="CM48" i="2"/>
  <c r="CQ46" i="2"/>
  <c r="CW43" i="2"/>
  <c r="CR36" i="2"/>
  <c r="CX33" i="2"/>
  <c r="CH50" i="2"/>
  <c r="CP46" i="2"/>
  <c r="CT44" i="2"/>
  <c r="CX42" i="2"/>
  <c r="CK39" i="2"/>
  <c r="CO37" i="2"/>
  <c r="CS35" i="2"/>
  <c r="CW33" i="2"/>
  <c r="CG50" i="2"/>
  <c r="CK48" i="2"/>
  <c r="CU43" i="2"/>
  <c r="CW42" i="2"/>
  <c r="CE41" i="2"/>
  <c r="CG31" i="2"/>
  <c r="CG27" i="2"/>
  <c r="CE32" i="2"/>
  <c r="CY32" i="2"/>
  <c r="CH40" i="2"/>
  <c r="CJ39" i="2"/>
  <c r="CN37" i="2"/>
  <c r="CP36" i="2"/>
  <c r="CR35" i="2"/>
  <c r="CT34" i="2"/>
  <c r="CV33" i="2"/>
  <c r="CZ50" i="2"/>
  <c r="CF50" i="2"/>
  <c r="CH49" i="2"/>
  <c r="CL47" i="2"/>
  <c r="CN46" i="2"/>
  <c r="CP45" i="2"/>
  <c r="CT43" i="2"/>
  <c r="CV42" i="2"/>
  <c r="CX41" i="2"/>
  <c r="CF32" i="2"/>
  <c r="CZ32" i="2"/>
  <c r="CI39" i="2"/>
  <c r="CM37" i="2"/>
  <c r="CQ35" i="2"/>
  <c r="CU33" i="2"/>
  <c r="CY50" i="2"/>
  <c r="CG49" i="2"/>
  <c r="CI48" i="2"/>
  <c r="CM46" i="2"/>
  <c r="CO45" i="2"/>
  <c r="CS43" i="2"/>
  <c r="CW41" i="2"/>
  <c r="CI27" i="2"/>
  <c r="CI31" i="2"/>
  <c r="CG32" i="2"/>
  <c r="CZ40" i="2"/>
  <c r="CF40" i="2"/>
  <c r="CH39" i="2"/>
  <c r="CJ38" i="2"/>
  <c r="CL37" i="2"/>
  <c r="CN36" i="2"/>
  <c r="CP35" i="2"/>
  <c r="CR34" i="2"/>
  <c r="CT33" i="2"/>
  <c r="CX50" i="2"/>
  <c r="CZ49" i="2"/>
  <c r="CF49" i="2"/>
  <c r="CH48" i="2"/>
  <c r="CJ47" i="2"/>
  <c r="CL46" i="2"/>
  <c r="CN45" i="2"/>
  <c r="CP44" i="2"/>
  <c r="CR43" i="2"/>
  <c r="CT42" i="2"/>
  <c r="CV41" i="2"/>
  <c r="CH34" i="2"/>
  <c r="CF44" i="2"/>
  <c r="CT27" i="2"/>
  <c r="CT31" i="2"/>
  <c r="CU37" i="2"/>
  <c r="CY35" i="2"/>
  <c r="CM50" i="2"/>
  <c r="CU46" i="2"/>
  <c r="CE44" i="2"/>
  <c r="CT37" i="2"/>
  <c r="CZ34" i="2"/>
  <c r="CR47" i="2"/>
  <c r="CH42" i="2"/>
  <c r="CU36" i="2"/>
  <c r="CY34" i="2"/>
  <c r="CM49" i="2"/>
  <c r="CS46" i="2"/>
  <c r="CG42" i="2"/>
  <c r="CP38" i="2"/>
  <c r="CJ50" i="2"/>
  <c r="CE33" i="2"/>
  <c r="CO47" i="2"/>
  <c r="CU44" i="2"/>
  <c r="CY31" i="2"/>
  <c r="CY27" i="2"/>
  <c r="CL39" i="2"/>
  <c r="CT35" i="2"/>
  <c r="CJ49" i="2"/>
  <c r="CR45" i="2"/>
  <c r="CZ41" i="2"/>
  <c r="CI40" i="2"/>
  <c r="CM38" i="2"/>
  <c r="CQ36" i="2"/>
  <c r="CU34" i="2"/>
  <c r="CI49" i="2"/>
  <c r="CS44" i="2"/>
  <c r="CY41" i="2"/>
  <c r="CL38" i="2"/>
  <c r="CJ48" i="2"/>
  <c r="CR44" i="2"/>
  <c r="CH31" i="2"/>
  <c r="CH27" i="2"/>
  <c r="CG40" i="2"/>
  <c r="CK38" i="2"/>
  <c r="CO36" i="2"/>
  <c r="CS34" i="2"/>
  <c r="CE50" i="2"/>
  <c r="CK47" i="2"/>
  <c r="CQ44" i="2"/>
  <c r="CU42" i="2"/>
  <c r="CJ27" i="2"/>
  <c r="CJ31" i="2"/>
  <c r="CH32" i="2"/>
  <c r="CY40" i="2"/>
  <c r="CE40" i="2"/>
  <c r="CG39" i="2"/>
  <c r="CI38" i="2"/>
  <c r="CK37" i="2"/>
  <c r="CM36" i="2"/>
  <c r="CO35" i="2"/>
  <c r="CQ34" i="2"/>
  <c r="CS33" i="2"/>
  <c r="CW50" i="2"/>
  <c r="CY49" i="2"/>
  <c r="CE49" i="2"/>
  <c r="CG48" i="2"/>
  <c r="CI47" i="2"/>
  <c r="CK46" i="2"/>
  <c r="CM45" i="2"/>
  <c r="CO44" i="2"/>
  <c r="CQ43" i="2"/>
  <c r="CS42" i="2"/>
  <c r="CU41" i="2"/>
  <c r="CV37" i="2"/>
  <c r="CR48" i="2"/>
  <c r="CE35" i="2"/>
  <c r="CW45" i="2"/>
  <c r="CN40" i="2"/>
  <c r="CZ43" i="2"/>
  <c r="CM40" i="2"/>
  <c r="CY43" i="2"/>
  <c r="CN39" i="2"/>
  <c r="CL49" i="2"/>
  <c r="CF42" i="2"/>
  <c r="CM39" i="2"/>
  <c r="CI50" i="2"/>
  <c r="CG41" i="2"/>
  <c r="CN38" i="2"/>
  <c r="CL48" i="2"/>
  <c r="CK31" i="2"/>
  <c r="CK27" i="2"/>
  <c r="CM27" i="2"/>
  <c r="CM31" i="2"/>
  <c r="CK32" i="2"/>
  <c r="CX39" i="2"/>
  <c r="CZ38" i="2"/>
  <c r="CF38" i="2"/>
  <c r="CH37" i="2"/>
  <c r="CJ36" i="2"/>
  <c r="CL35" i="2"/>
  <c r="CN34" i="2"/>
  <c r="CP33" i="2"/>
  <c r="CT50" i="2"/>
  <c r="CV49" i="2"/>
  <c r="CX48" i="2"/>
  <c r="CZ47" i="2"/>
  <c r="CF47" i="2"/>
  <c r="CH46" i="2"/>
  <c r="CJ45" i="2"/>
  <c r="CL44" i="2"/>
  <c r="CN43" i="2"/>
  <c r="CP42" i="2"/>
  <c r="CR41" i="2"/>
  <c r="CR27" i="2"/>
  <c r="CR31" i="2"/>
  <c r="CT38" i="2"/>
  <c r="CP49" i="2"/>
  <c r="CH43" i="2"/>
  <c r="CS38" i="2"/>
  <c r="CG43" i="2"/>
  <c r="CX35" i="2"/>
  <c r="CV45" i="2"/>
  <c r="CG33" i="2"/>
  <c r="CW44" i="2"/>
  <c r="CW31" i="2"/>
  <c r="CW27" i="2"/>
  <c r="CF33" i="2"/>
  <c r="CV44" i="2"/>
  <c r="CS36" i="2"/>
  <c r="CS45" i="2"/>
  <c r="CJ40" i="2"/>
  <c r="CV43" i="2"/>
  <c r="CX32" i="2"/>
  <c r="CO46" i="2"/>
  <c r="CJ32" i="2"/>
  <c r="CN27" i="2"/>
  <c r="CN31" i="2"/>
  <c r="CL32" i="2"/>
  <c r="CW39" i="2"/>
  <c r="CY38" i="2"/>
  <c r="CE38" i="2"/>
  <c r="CG37" i="2"/>
  <c r="CI36" i="2"/>
  <c r="CK35" i="2"/>
  <c r="CM34" i="2"/>
  <c r="CO33" i="2"/>
  <c r="CS50" i="2"/>
  <c r="CU49" i="2"/>
  <c r="CW48" i="2"/>
  <c r="CY47" i="2"/>
  <c r="CE47" i="2"/>
  <c r="CG46" i="2"/>
  <c r="CI45" i="2"/>
  <c r="CK44" i="2"/>
  <c r="CM43" i="2"/>
  <c r="CO42" i="2"/>
  <c r="CQ41" i="2"/>
  <c r="CJ42" i="2"/>
  <c r="CQ39" i="2"/>
  <c r="CO49" i="2"/>
  <c r="CI42" i="2"/>
  <c r="CH33" i="2"/>
  <c r="CX44" i="2"/>
  <c r="CO39" i="2"/>
  <c r="CK50" i="2"/>
  <c r="CI41" i="2"/>
  <c r="CV35" i="2"/>
  <c r="CN48" i="2"/>
  <c r="CZ42" i="2"/>
  <c r="CO38" i="2"/>
  <c r="CK49" i="2"/>
  <c r="CE42" i="2"/>
  <c r="CP37" i="2"/>
  <c r="CN47" i="2"/>
  <c r="CZ31" i="2"/>
  <c r="CZ27" i="2"/>
  <c r="CM47" i="2"/>
  <c r="CO27" i="2"/>
  <c r="CO31" i="2"/>
  <c r="CT40" i="2"/>
  <c r="CH36" i="2"/>
  <c r="CJ35" i="2"/>
  <c r="CL34" i="2"/>
  <c r="CN33" i="2"/>
  <c r="CR50" i="2"/>
  <c r="CT49" i="2"/>
  <c r="CV48" i="2"/>
  <c r="CX47" i="2"/>
  <c r="CZ46" i="2"/>
  <c r="CF46" i="2"/>
  <c r="CH45" i="2"/>
  <c r="CJ44" i="2"/>
  <c r="CL43" i="2"/>
  <c r="CN42" i="2"/>
  <c r="CP41" i="2"/>
  <c r="CS27" i="2"/>
  <c r="CS31" i="2"/>
  <c r="CF35" i="2"/>
  <c r="CX45" i="2"/>
  <c r="CI33" i="2"/>
  <c r="CK41" i="2"/>
  <c r="CN49" i="2"/>
  <c r="CJ41" i="2"/>
  <c r="CS37" i="2"/>
  <c r="CQ47" i="2"/>
  <c r="CX34" i="2"/>
  <c r="CR46" i="2"/>
  <c r="CW34" i="2"/>
  <c r="CY42" i="2"/>
  <c r="CE31" i="2"/>
  <c r="CE27" i="2"/>
  <c r="CV34" i="2"/>
  <c r="CF41" i="2"/>
  <c r="CF31" i="2"/>
  <c r="CF27" i="2"/>
  <c r="CQ45" i="2"/>
  <c r="CI32" i="2"/>
  <c r="CL27" i="2"/>
  <c r="CL31" i="2"/>
  <c r="CP27" i="2"/>
  <c r="CP31" i="2"/>
  <c r="CS40" i="2"/>
  <c r="CK34" i="2"/>
  <c r="CM33" i="2"/>
  <c r="CQ50" i="2"/>
  <c r="CS49" i="2"/>
  <c r="CU48" i="2"/>
  <c r="CW47" i="2"/>
  <c r="CY46" i="2"/>
  <c r="CE46" i="2"/>
  <c r="CG45" i="2"/>
  <c r="CI44" i="2"/>
  <c r="CK43" i="2"/>
  <c r="CM42" i="2"/>
  <c r="CO41" i="2"/>
  <c r="AJ105" i="2"/>
  <c r="AI105" i="2"/>
  <c r="AI103" i="2"/>
  <c r="AJ103" i="2"/>
  <c r="DV20" i="2"/>
  <c r="L65" i="2"/>
  <c r="K65" i="2"/>
  <c r="L59" i="2"/>
  <c r="R199" i="2"/>
  <c r="U199" i="2"/>
  <c r="W199" i="2"/>
  <c r="T199" i="2"/>
  <c r="Z199" i="2"/>
  <c r="AG199" i="2"/>
  <c r="H199" i="2"/>
  <c r="N199" i="2"/>
  <c r="X199" i="2"/>
  <c r="AA199" i="2"/>
  <c r="AC199" i="2"/>
  <c r="AD199" i="2"/>
  <c r="AF199" i="2"/>
  <c r="E199" i="2"/>
  <c r="F199" i="2"/>
  <c r="I199" i="2"/>
  <c r="O199" i="2"/>
  <c r="K199" i="2"/>
  <c r="L199" i="2"/>
  <c r="Q199" i="2"/>
  <c r="I65" i="2"/>
  <c r="I73" i="2"/>
  <c r="B55" i="2"/>
  <c r="C55" i="2"/>
  <c r="B65" i="2"/>
  <c r="C75" i="2"/>
  <c r="B75" i="2"/>
  <c r="C65" i="2"/>
  <c r="DN26" i="2"/>
  <c r="DV22" i="2"/>
  <c r="DX21" i="2"/>
  <c r="ED18" i="2"/>
  <c r="DL17" i="2"/>
  <c r="T60" i="2"/>
  <c r="AF63" i="2"/>
  <c r="E57" i="2"/>
  <c r="F65" i="2"/>
  <c r="K62" i="2"/>
  <c r="F62" i="2"/>
  <c r="F63" i="2"/>
  <c r="H65" i="2"/>
  <c r="E73" i="2"/>
  <c r="N58" i="2"/>
  <c r="N59" i="2"/>
  <c r="N63" i="2"/>
  <c r="K69" i="2"/>
  <c r="K70" i="2"/>
  <c r="K71" i="2"/>
  <c r="O58" i="2"/>
  <c r="O61" i="2"/>
  <c r="O64" i="2"/>
  <c r="L71" i="2"/>
  <c r="W57" i="2"/>
  <c r="C68" i="2"/>
  <c r="AC70" i="2"/>
  <c r="I63" i="2"/>
  <c r="F66" i="2"/>
  <c r="F69" i="2"/>
  <c r="K60" i="2"/>
  <c r="H73" i="2"/>
  <c r="L58" i="2"/>
  <c r="L62" i="2"/>
  <c r="I66" i="2"/>
  <c r="I68" i="2"/>
  <c r="Q58" i="2"/>
  <c r="Q61" i="2"/>
  <c r="N68" i="2"/>
  <c r="N69" i="2"/>
  <c r="N71" i="2"/>
  <c r="N72" i="2"/>
  <c r="N73" i="2"/>
  <c r="N74" i="2"/>
  <c r="N56" i="2"/>
  <c r="L61" i="2"/>
  <c r="N62" i="2"/>
  <c r="K66" i="2"/>
  <c r="K68" i="2"/>
  <c r="K72" i="2"/>
  <c r="K73" i="2"/>
  <c r="O62" i="2"/>
  <c r="L69" i="2"/>
  <c r="L72" i="2"/>
  <c r="R64" i="2"/>
  <c r="U57" i="2"/>
  <c r="U64" i="2"/>
  <c r="R66" i="2"/>
  <c r="AF62" i="2"/>
  <c r="I58" i="2"/>
  <c r="I62" i="2"/>
  <c r="F68" i="2"/>
  <c r="F73" i="2"/>
  <c r="H66" i="2"/>
  <c r="H75" i="2"/>
  <c r="Q57" i="2"/>
  <c r="Z64" i="2"/>
  <c r="AF59" i="2"/>
  <c r="E72" i="2"/>
  <c r="F72" i="2"/>
  <c r="K59" i="2"/>
  <c r="H68" i="2"/>
  <c r="I72" i="2"/>
  <c r="Q64" i="2"/>
  <c r="I75" i="2"/>
  <c r="H58" i="2"/>
  <c r="H62" i="2"/>
  <c r="E69" i="2"/>
  <c r="K61" i="2"/>
  <c r="H67" i="2"/>
  <c r="H72" i="2"/>
  <c r="I69" i="2"/>
  <c r="C56" i="2"/>
  <c r="T70" i="2"/>
  <c r="AD56" i="2"/>
  <c r="AC58" i="2"/>
  <c r="AC60" i="2"/>
  <c r="Z69" i="2"/>
  <c r="Z73" i="2"/>
  <c r="E65" i="2"/>
  <c r="F74" i="2"/>
  <c r="K58" i="2"/>
  <c r="L68" i="2"/>
  <c r="Q62" i="2"/>
  <c r="AF56" i="2"/>
  <c r="AD59" i="2"/>
  <c r="AD61" i="2"/>
  <c r="H74" i="2"/>
  <c r="B66" i="2"/>
  <c r="C66" i="2"/>
  <c r="O65" i="2"/>
  <c r="O71" i="2"/>
  <c r="K75" i="2"/>
  <c r="T59" i="2"/>
  <c r="Q65" i="2"/>
  <c r="C57" i="2"/>
  <c r="W64" i="2"/>
  <c r="X57" i="2"/>
  <c r="X64" i="2"/>
  <c r="U66" i="2"/>
  <c r="Q75" i="2"/>
  <c r="B69" i="2"/>
  <c r="R75" i="2"/>
  <c r="AA71" i="2"/>
  <c r="AG60" i="2"/>
  <c r="AD67" i="2"/>
  <c r="AD74" i="2"/>
  <c r="K56" i="2"/>
  <c r="I59" i="2"/>
  <c r="I61" i="2"/>
  <c r="F70" i="2"/>
  <c r="H71" i="2"/>
  <c r="R57" i="2"/>
  <c r="B67" i="2"/>
  <c r="T61" i="2"/>
  <c r="T64" i="2"/>
  <c r="L75" i="2"/>
  <c r="W61" i="2"/>
  <c r="Z56" i="2"/>
  <c r="X61" i="2"/>
  <c r="U65" i="2"/>
  <c r="U74" i="2"/>
  <c r="B59" i="2"/>
  <c r="Z62" i="2"/>
  <c r="C59" i="2"/>
  <c r="AD60" i="2"/>
  <c r="AA73" i="2"/>
  <c r="AG56" i="2"/>
  <c r="AC73" i="2"/>
  <c r="L56" i="2"/>
  <c r="H69" i="2"/>
  <c r="N61" i="2"/>
  <c r="N64" i="2"/>
  <c r="F75" i="2"/>
  <c r="N65" i="2"/>
  <c r="R61" i="2"/>
  <c r="B57" i="2"/>
  <c r="T57" i="2"/>
  <c r="Q66" i="2"/>
  <c r="C67" i="2"/>
  <c r="U59" i="2"/>
  <c r="U61" i="2"/>
  <c r="N75" i="2"/>
  <c r="W65" i="2"/>
  <c r="C69" i="2"/>
  <c r="AC56" i="2"/>
  <c r="AA60" i="2"/>
  <c r="AA64" i="2"/>
  <c r="X67" i="2"/>
  <c r="X73" i="2"/>
  <c r="Z67" i="2"/>
  <c r="Z70" i="2"/>
  <c r="AA67" i="2"/>
  <c r="AF60" i="2"/>
  <c r="AC67" i="2"/>
  <c r="C74" i="2"/>
  <c r="B58" i="2"/>
  <c r="T56" i="2"/>
  <c r="R58" i="2"/>
  <c r="R59" i="2"/>
  <c r="R60" i="2"/>
  <c r="R62" i="2"/>
  <c r="R63" i="2"/>
  <c r="O66" i="2"/>
  <c r="O67" i="2"/>
  <c r="O68" i="2"/>
  <c r="O69" i="2"/>
  <c r="O70" i="2"/>
  <c r="O72" i="2"/>
  <c r="O73" i="2"/>
  <c r="O74" i="2"/>
  <c r="U56" i="2"/>
  <c r="T58" i="2"/>
  <c r="T62" i="2"/>
  <c r="T63" i="2"/>
  <c r="Q67" i="2"/>
  <c r="Q68" i="2"/>
  <c r="Q69" i="2"/>
  <c r="Q70" i="2"/>
  <c r="Q71" i="2"/>
  <c r="Q72" i="2"/>
  <c r="Q73" i="2"/>
  <c r="Q74" i="2"/>
  <c r="W56" i="2"/>
  <c r="U58" i="2"/>
  <c r="U60" i="2"/>
  <c r="U62" i="2"/>
  <c r="U63" i="2"/>
  <c r="R65" i="2"/>
  <c r="R67" i="2"/>
  <c r="R68" i="2"/>
  <c r="R69" i="2"/>
  <c r="R70" i="2"/>
  <c r="R71" i="2"/>
  <c r="R72" i="2"/>
  <c r="R73" i="2"/>
  <c r="R74" i="2"/>
  <c r="B68" i="2"/>
  <c r="X56" i="2"/>
  <c r="W58" i="2"/>
  <c r="W59" i="2"/>
  <c r="W60" i="2"/>
  <c r="W62" i="2"/>
  <c r="W63" i="2"/>
  <c r="T65" i="2"/>
  <c r="T66" i="2"/>
  <c r="T67" i="2"/>
  <c r="T68" i="2"/>
  <c r="T69" i="2"/>
  <c r="T71" i="2"/>
  <c r="T72" i="2"/>
  <c r="T73" i="2"/>
  <c r="T74" i="2"/>
  <c r="O75" i="2"/>
  <c r="C58" i="2"/>
  <c r="U67" i="2"/>
  <c r="U71" i="2"/>
  <c r="AA56" i="2"/>
  <c r="Z58" i="2"/>
  <c r="Z60" i="2"/>
  <c r="Z63" i="2"/>
  <c r="W66" i="2"/>
  <c r="W67" i="2"/>
  <c r="W70" i="2"/>
  <c r="W71" i="2"/>
  <c r="W72" i="2"/>
  <c r="W73" i="2"/>
  <c r="W74" i="2"/>
  <c r="X58" i="2"/>
  <c r="X60" i="2"/>
  <c r="X63" i="2"/>
  <c r="U68" i="2"/>
  <c r="U70" i="2"/>
  <c r="Z57" i="2"/>
  <c r="AA57" i="2"/>
  <c r="AA58" i="2"/>
  <c r="AA63" i="2"/>
  <c r="X70" i="2"/>
  <c r="T75" i="2"/>
  <c r="AD57" i="2"/>
  <c r="AD63" i="2"/>
  <c r="AA66" i="2"/>
  <c r="AA70" i="2"/>
  <c r="AA74" i="2"/>
  <c r="E56" i="2"/>
  <c r="AG58" i="2"/>
  <c r="AG59" i="2"/>
  <c r="AG61" i="2"/>
  <c r="AG62" i="2"/>
  <c r="AG63" i="2"/>
  <c r="AG64" i="2"/>
  <c r="AD66" i="2"/>
  <c r="AD68" i="2"/>
  <c r="AD69" i="2"/>
  <c r="AD70" i="2"/>
  <c r="AD71" i="2"/>
  <c r="AD73" i="2"/>
  <c r="F56" i="2"/>
  <c r="E58" i="2"/>
  <c r="E59" i="2"/>
  <c r="E60" i="2"/>
  <c r="E62" i="2"/>
  <c r="E63" i="2"/>
  <c r="E64" i="2"/>
  <c r="AF66" i="2"/>
  <c r="AF67" i="2"/>
  <c r="AF69" i="2"/>
  <c r="AF70" i="2"/>
  <c r="AF72" i="2"/>
  <c r="AF73" i="2"/>
  <c r="AF74" i="2"/>
  <c r="H56" i="2"/>
  <c r="F58" i="2"/>
  <c r="F59" i="2"/>
  <c r="F60" i="2"/>
  <c r="F64" i="2"/>
  <c r="AG66" i="2"/>
  <c r="AG67" i="2"/>
  <c r="AG68" i="2"/>
  <c r="AG69" i="2"/>
  <c r="AG70" i="2"/>
  <c r="AG71" i="2"/>
  <c r="AG72" i="2"/>
  <c r="AG73" i="2"/>
  <c r="B63" i="2"/>
  <c r="B74" i="2"/>
  <c r="I56" i="2"/>
  <c r="H59" i="2"/>
  <c r="H60" i="2"/>
  <c r="E66" i="2"/>
  <c r="E68" i="2"/>
  <c r="E70" i="2"/>
  <c r="E71" i="2"/>
  <c r="C63" i="2"/>
  <c r="C73" i="2"/>
  <c r="AC63" i="2"/>
  <c r="C70" i="2"/>
  <c r="I60" i="2"/>
  <c r="F71" i="2"/>
  <c r="L57" i="2"/>
  <c r="L63" i="2"/>
  <c r="L64" i="2"/>
  <c r="I67" i="2"/>
  <c r="I70" i="2"/>
  <c r="I71" i="2"/>
  <c r="I74" i="2"/>
  <c r="B60" i="2"/>
  <c r="AC59" i="2"/>
  <c r="Z68" i="2"/>
  <c r="K57" i="2"/>
  <c r="O56" i="2"/>
  <c r="N57" i="2"/>
  <c r="N60" i="2"/>
  <c r="K67" i="2"/>
  <c r="K74" i="2"/>
  <c r="B70" i="2"/>
  <c r="AC62" i="2"/>
  <c r="Z66" i="2"/>
  <c r="Z71" i="2"/>
  <c r="C60" i="2"/>
  <c r="AF61" i="2"/>
  <c r="AC66" i="2"/>
  <c r="AC69" i="2"/>
  <c r="I64" i="2"/>
  <c r="F67" i="2"/>
  <c r="K63" i="2"/>
  <c r="L60" i="2"/>
  <c r="Q56" i="2"/>
  <c r="O57" i="2"/>
  <c r="O59" i="2"/>
  <c r="O60" i="2"/>
  <c r="O63" i="2"/>
  <c r="L66" i="2"/>
  <c r="L67" i="2"/>
  <c r="L70" i="2"/>
  <c r="L73" i="2"/>
  <c r="L74" i="2"/>
  <c r="X74" i="2"/>
  <c r="AC57" i="2"/>
  <c r="Z74" i="2"/>
  <c r="K64" i="2"/>
  <c r="H70" i="2"/>
  <c r="R56" i="2"/>
  <c r="Q59" i="2"/>
  <c r="Q60" i="2"/>
  <c r="Q63" i="2"/>
  <c r="N66" i="2"/>
  <c r="N67" i="2"/>
  <c r="N70" i="2"/>
  <c r="X59" i="2"/>
  <c r="X62" i="2"/>
  <c r="U69" i="2"/>
  <c r="U73" i="2"/>
  <c r="Z59" i="2"/>
  <c r="Z61" i="2"/>
  <c r="W68" i="2"/>
  <c r="W69" i="2"/>
  <c r="AA59" i="2"/>
  <c r="AA61" i="2"/>
  <c r="AA62" i="2"/>
  <c r="X66" i="2"/>
  <c r="X69" i="2"/>
  <c r="X71" i="2"/>
  <c r="X72" i="2"/>
  <c r="Z65" i="2"/>
  <c r="AD58" i="2"/>
  <c r="AD62" i="2"/>
  <c r="AD64" i="2"/>
  <c r="AA68" i="2"/>
  <c r="AA69" i="2"/>
  <c r="B61" i="2"/>
  <c r="B71" i="2"/>
  <c r="AF57" i="2"/>
  <c r="AF58" i="2"/>
  <c r="AF64" i="2"/>
  <c r="AC68" i="2"/>
  <c r="AC71" i="2"/>
  <c r="AC72" i="2"/>
  <c r="C71" i="2"/>
  <c r="AG57" i="2"/>
  <c r="AD65" i="2"/>
  <c r="AD72" i="2"/>
  <c r="Z75" i="2"/>
  <c r="E61" i="2"/>
  <c r="AF65" i="2"/>
  <c r="AF68" i="2"/>
  <c r="AF71" i="2"/>
  <c r="C62" i="2"/>
  <c r="F57" i="2"/>
  <c r="F61" i="2"/>
  <c r="H57" i="2"/>
  <c r="H61" i="2"/>
  <c r="H63" i="2"/>
  <c r="H64" i="2"/>
  <c r="E67" i="2"/>
  <c r="E74" i="2"/>
  <c r="AD75" i="2"/>
  <c r="B64" i="2"/>
  <c r="I57" i="2"/>
  <c r="AF75" i="2"/>
  <c r="C64" i="2"/>
  <c r="E75" i="2"/>
  <c r="AG75" i="2"/>
  <c r="X68" i="2"/>
  <c r="AC61" i="2"/>
  <c r="Z72" i="2"/>
  <c r="AA65" i="2"/>
  <c r="W75" i="2"/>
  <c r="AC65" i="2"/>
  <c r="C61" i="2"/>
  <c r="B62" i="2"/>
  <c r="AA75" i="2"/>
  <c r="AA72" i="2"/>
  <c r="AC74" i="2"/>
  <c r="B72" i="2"/>
  <c r="AC75" i="2"/>
  <c r="U72" i="2"/>
  <c r="AC64" i="2"/>
  <c r="U75" i="2"/>
  <c r="AG65" i="2"/>
  <c r="AG74" i="2"/>
  <c r="B73" i="2"/>
  <c r="X65" i="2"/>
  <c r="X75" i="2"/>
  <c r="C72" i="2"/>
  <c r="DX22" i="2"/>
  <c r="EB20" i="2"/>
  <c r="DL18" i="2"/>
  <c r="DR18" i="2"/>
  <c r="DL25" i="2"/>
  <c r="DV17" i="2"/>
  <c r="DR22" i="2"/>
  <c r="DJ26" i="2"/>
  <c r="ED20" i="2"/>
  <c r="DR12" i="2"/>
  <c r="DX20" i="2"/>
  <c r="DZ19" i="2"/>
  <c r="DJ17" i="2"/>
  <c r="DT14" i="2"/>
  <c r="DX12" i="2"/>
  <c r="EB10" i="2"/>
  <c r="DJ9" i="2"/>
  <c r="DZ20" i="2"/>
  <c r="DZ18" i="2"/>
  <c r="DZ14" i="2"/>
  <c r="DP23" i="2"/>
  <c r="ED16" i="2"/>
  <c r="DP14" i="2"/>
  <c r="DN14" i="2"/>
  <c r="EB14" i="2"/>
  <c r="DN11" i="2"/>
  <c r="DZ10" i="2"/>
  <c r="DX15" i="2"/>
  <c r="ED8" i="2"/>
  <c r="DL11" i="2"/>
  <c r="DT12" i="2"/>
  <c r="EB8" i="2"/>
  <c r="DZ8" i="2"/>
  <c r="EB15" i="2"/>
  <c r="DR10" i="2"/>
  <c r="DJ12" i="2"/>
  <c r="DV15" i="2"/>
  <c r="DL24" i="2"/>
  <c r="DX10" i="2"/>
  <c r="DV10" i="2"/>
  <c r="DN12" i="2"/>
  <c r="DV8" i="2"/>
  <c r="DN10" i="2"/>
  <c r="DJ21" i="2"/>
  <c r="ED12" i="2"/>
  <c r="DJ14" i="2"/>
  <c r="EB13" i="2"/>
  <c r="DJ18" i="2"/>
  <c r="DR14" i="2"/>
  <c r="DV12" i="2"/>
  <c r="DP22" i="2"/>
  <c r="DX24" i="2"/>
  <c r="DT11" i="2"/>
  <c r="DX9" i="2"/>
  <c r="ED15" i="2"/>
  <c r="DJ15" i="2"/>
  <c r="DL14" i="2"/>
  <c r="DN13" i="2"/>
  <c r="DP12" i="2"/>
  <c r="DR11" i="2"/>
  <c r="DT10" i="2"/>
  <c r="DV9" i="2"/>
  <c r="DX8" i="2"/>
  <c r="DT24" i="2"/>
  <c r="DV19" i="2"/>
  <c r="DP17" i="2"/>
  <c r="DZ15" i="2"/>
  <c r="ED13" i="2"/>
  <c r="DJ13" i="2"/>
  <c r="DL12" i="2"/>
  <c r="DP10" i="2"/>
  <c r="DR9" i="2"/>
  <c r="DT8" i="2"/>
  <c r="DT20" i="2"/>
  <c r="DL9" i="2"/>
  <c r="DV24" i="2"/>
  <c r="DR17" i="2"/>
  <c r="DP13" i="2"/>
  <c r="DN9" i="2"/>
  <c r="EB17" i="2"/>
  <c r="EB26" i="2"/>
  <c r="DR21" i="2"/>
  <c r="DX18" i="2"/>
  <c r="ED14" i="2"/>
  <c r="DZ26" i="2"/>
  <c r="DT19" i="2"/>
  <c r="ED23" i="2"/>
  <c r="DP20" i="2"/>
  <c r="EB23" i="2"/>
  <c r="DP8" i="2"/>
  <c r="DT26" i="2"/>
  <c r="DL20" i="2"/>
  <c r="DV14" i="2"/>
  <c r="DZ12" i="2"/>
  <c r="ED10" i="2"/>
  <c r="EB21" i="2"/>
  <c r="DN18" i="2"/>
  <c r="DV13" i="2"/>
  <c r="ED9" i="2"/>
  <c r="DR25" i="2"/>
  <c r="DT13" i="2"/>
  <c r="EB9" i="2"/>
  <c r="DZ9" i="2"/>
  <c r="DL26" i="2"/>
  <c r="DN25" i="2"/>
  <c r="DT22" i="2"/>
  <c r="EB18" i="2"/>
  <c r="ED17" i="2"/>
  <c r="DL13" i="2"/>
  <c r="DR20" i="2"/>
  <c r="DP9" i="2"/>
  <c r="DX14" i="2"/>
  <c r="DZ13" i="2"/>
  <c r="EB12" i="2"/>
  <c r="ED11" i="2"/>
  <c r="ED21" i="2"/>
  <c r="DN19" i="2"/>
  <c r="DX13" i="2"/>
  <c r="EB11" i="2"/>
  <c r="DN8" i="2"/>
  <c r="DR26" i="2"/>
  <c r="DZ22" i="2"/>
  <c r="DL19" i="2"/>
  <c r="DR15" i="2"/>
  <c r="DZ11" i="2"/>
  <c r="DZ21" i="2"/>
  <c r="DX11" i="2"/>
  <c r="DJ8" i="2"/>
  <c r="DN15" i="2"/>
  <c r="DR13" i="2"/>
  <c r="DV11" i="2"/>
  <c r="ED26" i="2"/>
  <c r="DN24" i="2"/>
  <c r="DX19" i="2"/>
  <c r="ED25" i="2"/>
  <c r="DN23" i="2"/>
  <c r="EB16" i="2"/>
  <c r="DP11" i="2"/>
  <c r="DT9" i="2"/>
  <c r="DZ16" i="2"/>
  <c r="DX26" i="2"/>
  <c r="DJ23" i="2"/>
  <c r="DX16" i="2"/>
  <c r="DR8" i="2"/>
  <c r="DN20" i="2"/>
  <c r="EB22" i="2"/>
  <c r="DP18" i="2"/>
  <c r="DT15" i="2"/>
  <c r="DL8" i="2"/>
  <c r="DP26" i="2"/>
  <c r="DP15" i="2"/>
  <c r="ED24" i="2"/>
  <c r="DN22" i="2"/>
  <c r="DP21" i="2"/>
  <c r="DJ11" i="2"/>
  <c r="EB24" i="2"/>
  <c r="DL22" i="2"/>
  <c r="DN21" i="2"/>
  <c r="DJ24" i="2"/>
  <c r="DX25" i="2"/>
  <c r="DL21" i="2"/>
  <c r="DZ23" i="2"/>
  <c r="DV16" i="2"/>
  <c r="DX23" i="2"/>
  <c r="DT16" i="2"/>
  <c r="ED19" i="2"/>
  <c r="DR16" i="2"/>
  <c r="DL10" i="2"/>
  <c r="DJ10" i="2"/>
  <c r="DP25" i="2"/>
  <c r="DR24" i="2"/>
  <c r="DT23" i="2"/>
  <c r="EB19" i="2"/>
  <c r="DN17" i="2"/>
  <c r="DP16" i="2"/>
  <c r="DV18" i="2"/>
  <c r="DX17" i="2"/>
  <c r="DZ24" i="2"/>
  <c r="DT17" i="2"/>
  <c r="DJ20" i="2"/>
  <c r="DV23" i="2"/>
  <c r="DP24" i="2"/>
  <c r="DN16" i="2"/>
  <c r="DZ25" i="2"/>
  <c r="DT18" i="2"/>
  <c r="DP19" i="2"/>
  <c r="DR23" i="2"/>
  <c r="DL15" i="2"/>
  <c r="DT21" i="2"/>
  <c r="EB25" i="2"/>
  <c r="DZ17" i="2"/>
  <c r="DR19" i="2"/>
  <c r="ED22" i="2"/>
  <c r="ED7" i="2"/>
  <c r="DV21" i="2"/>
  <c r="DV26" i="2"/>
  <c r="DV25" i="2"/>
  <c r="DT25" i="2"/>
  <c r="DJ19" i="2"/>
  <c r="DJ22" i="2"/>
  <c r="DL16" i="2"/>
  <c r="DJ25" i="2"/>
  <c r="DJ16" i="2"/>
  <c r="DL23" i="2"/>
  <c r="ED6" i="2"/>
  <c r="P93" i="1"/>
  <c r="Q205" i="2" l="1"/>
  <c r="U205" i="2"/>
  <c r="R26" i="4"/>
  <c r="Q26" i="4"/>
  <c r="W205" i="2"/>
  <c r="X205" i="2"/>
  <c r="AC205" i="2"/>
  <c r="E205" i="2"/>
  <c r="AC206" i="2"/>
  <c r="Z205" i="2"/>
  <c r="H26" i="4"/>
  <c r="F205" i="2"/>
  <c r="K205" i="2"/>
  <c r="I205" i="2"/>
  <c r="N205" i="2"/>
  <c r="AF205" i="2"/>
  <c r="T205" i="2"/>
  <c r="R205" i="2"/>
  <c r="AD205" i="2"/>
  <c r="H205" i="2"/>
  <c r="O205" i="2"/>
  <c r="AG205" i="2"/>
  <c r="AA205" i="2"/>
  <c r="L205" i="2"/>
  <c r="C206" i="2"/>
  <c r="BT10" i="2"/>
  <c r="BP13" i="2"/>
  <c r="AY55" i="2"/>
  <c r="C205" i="2"/>
  <c r="AF206" i="2"/>
  <c r="Z206" i="2"/>
  <c r="T206" i="2"/>
  <c r="AX55" i="2"/>
  <c r="B205" i="2"/>
  <c r="W206" i="2"/>
  <c r="X206" i="2"/>
  <c r="H206" i="2"/>
  <c r="I206" i="2"/>
  <c r="AD206" i="2"/>
  <c r="AG206" i="2"/>
  <c r="E206" i="2"/>
  <c r="L206" i="2"/>
  <c r="K206" i="2"/>
  <c r="B206" i="2"/>
  <c r="F206" i="2"/>
  <c r="O206" i="2"/>
  <c r="R206" i="2"/>
  <c r="U206" i="2"/>
  <c r="N206" i="2"/>
  <c r="Q206" i="2"/>
  <c r="AA206" i="2"/>
  <c r="BN13" i="2"/>
  <c r="BK13" i="2"/>
  <c r="BO13" i="2"/>
  <c r="BT13" i="2"/>
  <c r="H87" i="2"/>
  <c r="U97" i="2"/>
  <c r="L90" i="2"/>
  <c r="E95" i="2"/>
  <c r="AD92" i="2"/>
  <c r="T98" i="2"/>
  <c r="R94" i="2"/>
  <c r="K99" i="2"/>
  <c r="AY56" i="2"/>
  <c r="F97" i="2"/>
  <c r="O88" i="2"/>
  <c r="I93" i="2"/>
  <c r="AF98" i="2"/>
  <c r="AG88" i="2"/>
  <c r="AC89" i="2"/>
  <c r="W99" i="2"/>
  <c r="Q85" i="2"/>
  <c r="BP10" i="2"/>
  <c r="AA92" i="2"/>
  <c r="N94" i="2"/>
  <c r="Z92" i="2"/>
  <c r="X91" i="2"/>
  <c r="U94" i="2"/>
  <c r="AA91" i="2"/>
  <c r="N88" i="2"/>
  <c r="AA99" i="2"/>
  <c r="O87" i="2"/>
  <c r="E94" i="2"/>
  <c r="AD90" i="2"/>
  <c r="R93" i="2"/>
  <c r="N85" i="2"/>
  <c r="N96" i="2"/>
  <c r="B86" i="2"/>
  <c r="AX62" i="2"/>
  <c r="X86" i="2"/>
  <c r="T96" i="2"/>
  <c r="O98" i="2"/>
  <c r="Z91" i="2"/>
  <c r="F94" i="2"/>
  <c r="I86" i="2"/>
  <c r="AX56" i="2"/>
  <c r="C85" i="2"/>
  <c r="AY61" i="2"/>
  <c r="AA93" i="2"/>
  <c r="AG87" i="2"/>
  <c r="T95" i="2"/>
  <c r="X97" i="2"/>
  <c r="H91" i="2"/>
  <c r="K95" i="2"/>
  <c r="AF96" i="2"/>
  <c r="N97" i="2"/>
  <c r="Z94" i="2"/>
  <c r="O85" i="2"/>
  <c r="BK10" i="2"/>
  <c r="BO10" i="2"/>
  <c r="X87" i="2"/>
  <c r="H96" i="2"/>
  <c r="F85" i="2"/>
  <c r="C90" i="2"/>
  <c r="AY66" i="2"/>
  <c r="AG86" i="2"/>
  <c r="H85" i="2"/>
  <c r="T97" i="2"/>
  <c r="F92" i="2"/>
  <c r="O89" i="2"/>
  <c r="E90" i="2"/>
  <c r="O97" i="2"/>
  <c r="T93" i="2"/>
  <c r="AA96" i="2"/>
  <c r="B95" i="2"/>
  <c r="AX71" i="2"/>
  <c r="U92" i="2"/>
  <c r="H95" i="2"/>
  <c r="B85" i="2"/>
  <c r="AX61" i="2"/>
  <c r="R92" i="2"/>
  <c r="N95" i="2"/>
  <c r="AF97" i="2"/>
  <c r="I85" i="2"/>
  <c r="C89" i="2"/>
  <c r="AY65" i="2"/>
  <c r="U93" i="2"/>
  <c r="O95" i="2"/>
  <c r="E92" i="2"/>
  <c r="H93" i="2"/>
  <c r="R91" i="2"/>
  <c r="N93" i="2"/>
  <c r="R89" i="2"/>
  <c r="K94" i="2"/>
  <c r="AD88" i="2"/>
  <c r="W98" i="2"/>
  <c r="T91" i="2"/>
  <c r="H86" i="2"/>
  <c r="Z96" i="2"/>
  <c r="W96" i="2"/>
  <c r="AC85" i="2"/>
  <c r="R88" i="2"/>
  <c r="I88" i="2"/>
  <c r="O90" i="2"/>
  <c r="I97" i="2"/>
  <c r="Z99" i="2"/>
  <c r="W91" i="2"/>
  <c r="L92" i="2"/>
  <c r="B97" i="2"/>
  <c r="AX73" i="2"/>
  <c r="L88" i="2"/>
  <c r="AG98" i="2"/>
  <c r="AG94" i="2"/>
  <c r="AA86" i="2"/>
  <c r="F96" i="2"/>
  <c r="C95" i="2"/>
  <c r="AY71" i="2"/>
  <c r="X88" i="2"/>
  <c r="Z93" i="2"/>
  <c r="U87" i="2"/>
  <c r="R90" i="2"/>
  <c r="AD86" i="2"/>
  <c r="AD85" i="2"/>
  <c r="K87" i="2"/>
  <c r="AD91" i="2"/>
  <c r="C96" i="2"/>
  <c r="AY72" i="2"/>
  <c r="B87" i="2"/>
  <c r="AX63" i="2"/>
  <c r="C93" i="2"/>
  <c r="AY69" i="2"/>
  <c r="I94" i="2"/>
  <c r="Z86" i="2"/>
  <c r="E97" i="2"/>
  <c r="AC93" i="2"/>
  <c r="N99" i="2"/>
  <c r="H89" i="2"/>
  <c r="H94" i="2"/>
  <c r="Q97" i="2"/>
  <c r="H97" i="2"/>
  <c r="AF85" i="2"/>
  <c r="U89" i="2"/>
  <c r="AG89" i="2"/>
  <c r="U90" i="2"/>
  <c r="L89" i="2"/>
  <c r="F95" i="2"/>
  <c r="F90" i="2"/>
  <c r="BN10" i="2"/>
  <c r="AC96" i="2"/>
  <c r="X94" i="2"/>
  <c r="I87" i="2"/>
  <c r="U96" i="2"/>
  <c r="AD99" i="2"/>
  <c r="AC95" i="2"/>
  <c r="W93" i="2"/>
  <c r="L98" i="2"/>
  <c r="AC86" i="2"/>
  <c r="C94" i="2"/>
  <c r="AY70" i="2"/>
  <c r="AG90" i="2"/>
  <c r="AD97" i="2"/>
  <c r="AA87" i="2"/>
  <c r="U95" i="2"/>
  <c r="R98" i="2"/>
  <c r="Q92" i="2"/>
  <c r="AX58" i="2"/>
  <c r="AX57" i="2"/>
  <c r="L99" i="2"/>
  <c r="W88" i="2"/>
  <c r="Z88" i="2"/>
  <c r="N86" i="2"/>
  <c r="AC94" i="2"/>
  <c r="AF87" i="2"/>
  <c r="O96" i="2"/>
  <c r="AC97" i="2"/>
  <c r="B90" i="2"/>
  <c r="AX66" i="2"/>
  <c r="N92" i="2"/>
  <c r="B99" i="2"/>
  <c r="AX75" i="2"/>
  <c r="N91" i="2"/>
  <c r="AG85" i="2"/>
  <c r="AA88" i="2"/>
  <c r="K93" i="2"/>
  <c r="AF95" i="2"/>
  <c r="AX60" i="2"/>
  <c r="AF93" i="2"/>
  <c r="W97" i="2"/>
  <c r="U86" i="2"/>
  <c r="AD98" i="2"/>
  <c r="U88" i="2"/>
  <c r="B89" i="2"/>
  <c r="AX65" i="2"/>
  <c r="AF92" i="2"/>
  <c r="I98" i="2"/>
  <c r="B98" i="2"/>
  <c r="AX74" i="2"/>
  <c r="T90" i="2"/>
  <c r="I92" i="2"/>
  <c r="AF89" i="2"/>
  <c r="I95" i="2"/>
  <c r="AF90" i="2"/>
  <c r="W95" i="2"/>
  <c r="AY59" i="2"/>
  <c r="I99" i="2"/>
  <c r="X92" i="2"/>
  <c r="X96" i="2"/>
  <c r="AG97" i="2"/>
  <c r="AA98" i="2"/>
  <c r="W94" i="2"/>
  <c r="W89" i="2"/>
  <c r="AA95" i="2"/>
  <c r="Q88" i="2"/>
  <c r="L86" i="2"/>
  <c r="X89" i="2"/>
  <c r="AG99" i="2"/>
  <c r="AG96" i="2"/>
  <c r="E87" i="2"/>
  <c r="W86" i="2"/>
  <c r="R87" i="2"/>
  <c r="AX59" i="2"/>
  <c r="I96" i="2"/>
  <c r="I89" i="2"/>
  <c r="AD96" i="2"/>
  <c r="AC90" i="2"/>
  <c r="AG95" i="2"/>
  <c r="W90" i="2"/>
  <c r="R86" i="2"/>
  <c r="U85" i="2"/>
  <c r="B93" i="2"/>
  <c r="AX69" i="2"/>
  <c r="O86" i="2"/>
  <c r="F87" i="2"/>
  <c r="C88" i="2"/>
  <c r="AY64" i="2"/>
  <c r="X90" i="2"/>
  <c r="L87" i="2"/>
  <c r="Z87" i="2"/>
  <c r="Q99" i="2"/>
  <c r="K97" i="2"/>
  <c r="F86" i="2"/>
  <c r="AF99" i="2"/>
  <c r="AY60" i="2"/>
  <c r="AG93" i="2"/>
  <c r="C91" i="2"/>
  <c r="AY67" i="2"/>
  <c r="X85" i="2"/>
  <c r="E89" i="2"/>
  <c r="F93" i="2"/>
  <c r="AA85" i="2"/>
  <c r="AG92" i="2"/>
  <c r="T99" i="2"/>
  <c r="Q90" i="2"/>
  <c r="Z97" i="2"/>
  <c r="F89" i="2"/>
  <c r="B88" i="2"/>
  <c r="AX64" i="2"/>
  <c r="X98" i="2"/>
  <c r="AG91" i="2"/>
  <c r="W85" i="2"/>
  <c r="AC92" i="2"/>
  <c r="B94" i="2"/>
  <c r="AX70" i="2"/>
  <c r="AC87" i="2"/>
  <c r="F88" i="2"/>
  <c r="U91" i="2"/>
  <c r="R97" i="2"/>
  <c r="Q91" i="2"/>
  <c r="C98" i="2"/>
  <c r="AY74" i="2"/>
  <c r="R85" i="2"/>
  <c r="T88" i="2"/>
  <c r="AY57" i="2"/>
  <c r="L85" i="2"/>
  <c r="C92" i="2"/>
  <c r="AY68" i="2"/>
  <c r="AF86" i="2"/>
  <c r="C86" i="2"/>
  <c r="AY62" i="2"/>
  <c r="T92" i="2"/>
  <c r="H98" i="2"/>
  <c r="C99" i="2"/>
  <c r="AY75" i="2"/>
  <c r="N90" i="2"/>
  <c r="AA97" i="2"/>
  <c r="Q87" i="2"/>
  <c r="O92" i="2"/>
  <c r="F91" i="2"/>
  <c r="O91" i="2"/>
  <c r="I90" i="2"/>
  <c r="E85" i="2"/>
  <c r="W87" i="2"/>
  <c r="L96" i="2"/>
  <c r="X95" i="2"/>
  <c r="AA94" i="2"/>
  <c r="R99" i="2"/>
  <c r="E99" i="2"/>
  <c r="AA90" i="2"/>
  <c r="H92" i="2"/>
  <c r="AD89" i="2"/>
  <c r="AD87" i="2"/>
  <c r="F98" i="2"/>
  <c r="K89" i="2"/>
  <c r="Z98" i="2"/>
  <c r="Q95" i="2"/>
  <c r="K96" i="2"/>
  <c r="U99" i="2"/>
  <c r="Z95" i="2"/>
  <c r="E96" i="2"/>
  <c r="Q93" i="2"/>
  <c r="E98" i="2"/>
  <c r="L97" i="2"/>
  <c r="AD95" i="2"/>
  <c r="B96" i="2"/>
  <c r="AX72" i="2"/>
  <c r="E91" i="2"/>
  <c r="AF88" i="2"/>
  <c r="Z85" i="2"/>
  <c r="L94" i="2"/>
  <c r="K98" i="2"/>
  <c r="C97" i="2"/>
  <c r="AY73" i="2"/>
  <c r="AD94" i="2"/>
  <c r="AY58" i="2"/>
  <c r="R96" i="2"/>
  <c r="T87" i="2"/>
  <c r="AC91" i="2"/>
  <c r="N89" i="2"/>
  <c r="T85" i="2"/>
  <c r="Q89" i="2"/>
  <c r="H99" i="2"/>
  <c r="K85" i="2"/>
  <c r="AF94" i="2"/>
  <c r="O94" i="2"/>
  <c r="E93" i="2"/>
  <c r="AA89" i="2"/>
  <c r="O93" i="2"/>
  <c r="N87" i="2"/>
  <c r="AF91" i="2"/>
  <c r="Z89" i="2"/>
  <c r="T89" i="2"/>
  <c r="X99" i="2"/>
  <c r="E88" i="2"/>
  <c r="Q86" i="2"/>
  <c r="I91" i="2"/>
  <c r="Q98" i="2"/>
  <c r="L93" i="2"/>
  <c r="X93" i="2"/>
  <c r="E86" i="2"/>
  <c r="U98" i="2"/>
  <c r="K88" i="2"/>
  <c r="Q96" i="2"/>
  <c r="K86" i="2"/>
  <c r="Q94" i="2"/>
  <c r="K92" i="2"/>
  <c r="AC88" i="2"/>
  <c r="Z90" i="2"/>
  <c r="B92" i="2"/>
  <c r="AX68" i="2"/>
  <c r="K90" i="2"/>
  <c r="AC99" i="2"/>
  <c r="W92" i="2"/>
  <c r="AC98" i="2"/>
  <c r="H88" i="2"/>
  <c r="L91" i="2"/>
  <c r="K91" i="2"/>
  <c r="C87" i="2"/>
  <c r="AY63" i="2"/>
  <c r="AD93" i="2"/>
  <c r="O99" i="2"/>
  <c r="R95" i="2"/>
  <c r="T86" i="2"/>
  <c r="F99" i="2"/>
  <c r="B91" i="2"/>
  <c r="AX67" i="2"/>
  <c r="T94" i="2"/>
  <c r="H90" i="2"/>
  <c r="N98" i="2"/>
  <c r="L95" i="2"/>
  <c r="CC6" i="2"/>
  <c r="O27" i="4"/>
  <c r="BX48" i="2"/>
  <c r="CD25" i="2"/>
  <c r="CC25" i="2"/>
  <c r="CB49" i="2"/>
  <c r="CD18" i="2"/>
  <c r="BT7" i="2"/>
  <c r="CD6" i="2"/>
  <c r="CD24" i="2"/>
  <c r="CD9" i="2"/>
  <c r="CC10" i="2"/>
  <c r="CC11" i="2"/>
  <c r="CC15" i="2"/>
  <c r="CD20" i="2"/>
  <c r="CC8" i="2"/>
  <c r="CD8" i="2"/>
  <c r="CC9" i="2"/>
  <c r="CC19" i="2"/>
  <c r="CD22" i="2"/>
  <c r="CC23" i="2"/>
  <c r="CC17" i="2"/>
  <c r="CD21" i="2"/>
  <c r="CD23" i="2"/>
  <c r="CC26" i="2"/>
  <c r="CD12" i="2"/>
  <c r="CD17" i="2"/>
  <c r="CC22" i="2"/>
  <c r="BL7" i="2"/>
  <c r="CC7" i="2"/>
  <c r="CC13" i="2"/>
  <c r="BM7" i="2"/>
  <c r="CD7" i="2"/>
  <c r="BK7" i="2"/>
  <c r="CC20" i="2"/>
  <c r="CC18" i="2"/>
  <c r="CD19" i="2"/>
  <c r="CC24" i="2"/>
  <c r="CC21" i="2"/>
  <c r="CD14" i="2"/>
  <c r="CD10" i="2"/>
  <c r="CD26" i="2"/>
  <c r="CC12" i="2"/>
  <c r="CD13" i="2"/>
  <c r="CC14" i="2"/>
  <c r="CD16" i="2"/>
  <c r="CD15" i="2"/>
  <c r="CC16" i="2"/>
  <c r="CD11" i="2"/>
  <c r="AG174" i="2"/>
  <c r="AC174" i="2"/>
  <c r="X174" i="2"/>
  <c r="Z174" i="2"/>
  <c r="F174" i="2"/>
  <c r="AA174" i="2"/>
  <c r="L174" i="2"/>
  <c r="AF174" i="2"/>
  <c r="CA36" i="2"/>
  <c r="I174" i="2"/>
  <c r="E174" i="2"/>
  <c r="W174" i="2"/>
  <c r="H174" i="2"/>
  <c r="U174" i="2"/>
  <c r="BY36" i="2"/>
  <c r="BZ48" i="2"/>
  <c r="BY34" i="2"/>
  <c r="CB44" i="2"/>
  <c r="BW35" i="2"/>
  <c r="BZ36" i="2"/>
  <c r="BZ38" i="2"/>
  <c r="CA47" i="2"/>
  <c r="BX36" i="2"/>
  <c r="BZ43" i="2"/>
  <c r="BX47" i="2"/>
  <c r="BX43" i="2"/>
  <c r="BX45" i="2"/>
  <c r="BW34" i="2"/>
  <c r="BZ47" i="2"/>
  <c r="CA44" i="2"/>
  <c r="BZ41" i="2"/>
  <c r="CA35" i="2"/>
  <c r="BY35" i="2"/>
  <c r="BZ34" i="2"/>
  <c r="BZ45" i="2"/>
  <c r="CE52" i="2"/>
  <c r="CA32" i="2"/>
  <c r="CY52" i="2"/>
  <c r="BY50" i="2"/>
  <c r="BW49" i="2"/>
  <c r="AI107" i="2"/>
  <c r="AJ107" i="2"/>
  <c r="CB50" i="2"/>
  <c r="BW50" i="2"/>
  <c r="BX50" i="2"/>
  <c r="CL51" i="2"/>
  <c r="BX34" i="2"/>
  <c r="CB35" i="2"/>
  <c r="CB45" i="2"/>
  <c r="CA38" i="2"/>
  <c r="BW45" i="2"/>
  <c r="CW51" i="2"/>
  <c r="CT51" i="2"/>
  <c r="BW48" i="2"/>
  <c r="CV51" i="2"/>
  <c r="CA50" i="2"/>
  <c r="BY48" i="2"/>
  <c r="CQ51" i="2"/>
  <c r="CA45" i="2"/>
  <c r="CB32" i="2"/>
  <c r="BW36" i="2"/>
  <c r="BY45" i="2"/>
  <c r="CF52" i="2"/>
  <c r="CR51" i="2"/>
  <c r="CB42" i="2"/>
  <c r="BY46" i="2"/>
  <c r="CB47" i="2"/>
  <c r="CX52" i="2"/>
  <c r="BX49" i="2"/>
  <c r="BY42" i="2"/>
  <c r="CA48" i="2"/>
  <c r="BZ49" i="2"/>
  <c r="BW46" i="2"/>
  <c r="CU51" i="2"/>
  <c r="BX27" i="2"/>
  <c r="BX31" i="2"/>
  <c r="CA40" i="2"/>
  <c r="CP52" i="2"/>
  <c r="BZ44" i="2"/>
  <c r="BY39" i="2"/>
  <c r="CO52" i="2"/>
  <c r="CM51" i="2"/>
  <c r="CA46" i="2"/>
  <c r="BZ35" i="2"/>
  <c r="BZ42" i="2"/>
  <c r="CW52" i="2"/>
  <c r="BX39" i="2"/>
  <c r="BZ46" i="2"/>
  <c r="CA43" i="2"/>
  <c r="CB38" i="2"/>
  <c r="BW37" i="2"/>
  <c r="BZ39" i="2"/>
  <c r="BX37" i="2"/>
  <c r="CZ52" i="2"/>
  <c r="CJ51" i="2"/>
  <c r="CR52" i="2"/>
  <c r="CG51" i="2"/>
  <c r="CB48" i="2"/>
  <c r="BY37" i="2"/>
  <c r="CI52" i="2"/>
  <c r="CB31" i="2"/>
  <c r="CB27" i="2"/>
  <c r="BZ40" i="2"/>
  <c r="BY44" i="2"/>
  <c r="CX51" i="2"/>
  <c r="CM52" i="2"/>
  <c r="BY27" i="2"/>
  <c r="BY31" i="2"/>
  <c r="BX38" i="2"/>
  <c r="BW31" i="2"/>
  <c r="BW27" i="2"/>
  <c r="BW39" i="2"/>
  <c r="CL52" i="2"/>
  <c r="CH52" i="2"/>
  <c r="BX35" i="2"/>
  <c r="BZ33" i="2"/>
  <c r="CP51" i="2"/>
  <c r="CA39" i="2"/>
  <c r="BX33" i="2"/>
  <c r="CG52" i="2"/>
  <c r="CA34" i="2"/>
  <c r="BW44" i="2"/>
  <c r="BZ37" i="2"/>
  <c r="CB39" i="2"/>
  <c r="CB41" i="2"/>
  <c r="CA49" i="2"/>
  <c r="CB33" i="2"/>
  <c r="BX40" i="2"/>
  <c r="BY40" i="2"/>
  <c r="CH51" i="2"/>
  <c r="BY33" i="2"/>
  <c r="BW33" i="2"/>
  <c r="CI51" i="2"/>
  <c r="CE51" i="2"/>
  <c r="CO51" i="2"/>
  <c r="CB43" i="2"/>
  <c r="BZ50" i="2"/>
  <c r="BW41" i="2"/>
  <c r="BY49" i="2"/>
  <c r="BW38" i="2"/>
  <c r="CB37" i="2"/>
  <c r="CN51" i="2"/>
  <c r="CZ51" i="2"/>
  <c r="BX42" i="2"/>
  <c r="CS52" i="2"/>
  <c r="CS51" i="2"/>
  <c r="CN52" i="2"/>
  <c r="BW40" i="2"/>
  <c r="BW47" i="2"/>
  <c r="CJ52" i="2"/>
  <c r="BY47" i="2"/>
  <c r="CK52" i="2"/>
  <c r="CB34" i="2"/>
  <c r="CA31" i="2"/>
  <c r="CA27" i="2"/>
  <c r="BZ32" i="2"/>
  <c r="BY41" i="2"/>
  <c r="BY38" i="2"/>
  <c r="CT52" i="2"/>
  <c r="ED28" i="2"/>
  <c r="CA41" i="2"/>
  <c r="CB36" i="2"/>
  <c r="CF51" i="2"/>
  <c r="BX46" i="2"/>
  <c r="CA37" i="2"/>
  <c r="CA42" i="2"/>
  <c r="BW43" i="2"/>
  <c r="CV52" i="2"/>
  <c r="BX41" i="2"/>
  <c r="CU52" i="2"/>
  <c r="BX44" i="2"/>
  <c r="CY51" i="2"/>
  <c r="CB40" i="2"/>
  <c r="BX32" i="2"/>
  <c r="BY32" i="2"/>
  <c r="CA33" i="2"/>
  <c r="CB46" i="2"/>
  <c r="BZ31" i="2"/>
  <c r="BZ27" i="2"/>
  <c r="BW32" i="2"/>
  <c r="BW42" i="2"/>
  <c r="BY43" i="2"/>
  <c r="CK51" i="2"/>
  <c r="CQ52" i="2"/>
  <c r="N184" i="2"/>
  <c r="R184" i="2"/>
  <c r="O201" i="2"/>
  <c r="N176" i="2"/>
  <c r="H202" i="2"/>
  <c r="AG184" i="2"/>
  <c r="AD200" i="2"/>
  <c r="C175" i="2"/>
  <c r="Z176" i="2"/>
  <c r="T176" i="2"/>
  <c r="U202" i="2"/>
  <c r="AG202" i="2"/>
  <c r="B176" i="2"/>
  <c r="N174" i="2"/>
  <c r="X176" i="2"/>
  <c r="T175" i="2"/>
  <c r="X175" i="2"/>
  <c r="C176" i="2"/>
  <c r="AA201" i="2"/>
  <c r="I202" i="2"/>
  <c r="T169" i="2"/>
  <c r="T200" i="2"/>
  <c r="AD176" i="2"/>
  <c r="U176" i="2"/>
  <c r="N175" i="2"/>
  <c r="F202" i="2"/>
  <c r="F176" i="2"/>
  <c r="AC202" i="2"/>
  <c r="Q169" i="2"/>
  <c r="Q200" i="2"/>
  <c r="Q201" i="2"/>
  <c r="AD174" i="2"/>
  <c r="I176" i="2"/>
  <c r="R169" i="2"/>
  <c r="R200" i="2"/>
  <c r="E201" i="2"/>
  <c r="AA176" i="2"/>
  <c r="R201" i="2"/>
  <c r="C184" i="2"/>
  <c r="C199" i="2"/>
  <c r="AY199" i="2" s="1"/>
  <c r="C174" i="2"/>
  <c r="B175" i="2"/>
  <c r="T201" i="2"/>
  <c r="Q175" i="2"/>
  <c r="N169" i="2"/>
  <c r="N200" i="2"/>
  <c r="H169" i="2"/>
  <c r="H200" i="2"/>
  <c r="H191" i="2"/>
  <c r="AG169" i="2"/>
  <c r="AG200" i="2"/>
  <c r="E179" i="2"/>
  <c r="E200" i="2"/>
  <c r="W201" i="2"/>
  <c r="B202" i="2"/>
  <c r="H186" i="2"/>
  <c r="H176" i="2"/>
  <c r="Q202" i="2"/>
  <c r="K191" i="2"/>
  <c r="AC201" i="2"/>
  <c r="AA175" i="2"/>
  <c r="F201" i="2"/>
  <c r="O191" i="2"/>
  <c r="I201" i="2"/>
  <c r="Q184" i="2"/>
  <c r="AF202" i="2"/>
  <c r="L169" i="2"/>
  <c r="L200" i="2"/>
  <c r="F175" i="2"/>
  <c r="AF201" i="2"/>
  <c r="AF176" i="2"/>
  <c r="K200" i="2"/>
  <c r="W175" i="2"/>
  <c r="K184" i="2"/>
  <c r="W176" i="2"/>
  <c r="L201" i="2"/>
  <c r="AG176" i="2"/>
  <c r="AD201" i="2"/>
  <c r="Z201" i="2"/>
  <c r="K176" i="2"/>
  <c r="B184" i="2"/>
  <c r="B199" i="2"/>
  <c r="AX199" i="2" s="1"/>
  <c r="B174" i="2"/>
  <c r="K174" i="2"/>
  <c r="F179" i="2"/>
  <c r="F200" i="2"/>
  <c r="AD202" i="2"/>
  <c r="L176" i="2"/>
  <c r="Z175" i="2"/>
  <c r="R175" i="2"/>
  <c r="T202" i="2"/>
  <c r="B200" i="2"/>
  <c r="O169" i="2"/>
  <c r="O200" i="2"/>
  <c r="AC176" i="2"/>
  <c r="L184" i="2"/>
  <c r="O175" i="2"/>
  <c r="O176" i="2"/>
  <c r="I181" i="2"/>
  <c r="B201" i="2"/>
  <c r="W200" i="2"/>
  <c r="Q174" i="2"/>
  <c r="AG175" i="2"/>
  <c r="L175" i="2"/>
  <c r="AD175" i="2"/>
  <c r="K202" i="2"/>
  <c r="R174" i="2"/>
  <c r="AA169" i="2"/>
  <c r="AA200" i="2"/>
  <c r="L202" i="2"/>
  <c r="R202" i="2"/>
  <c r="E202" i="2"/>
  <c r="C202" i="2"/>
  <c r="C201" i="2"/>
  <c r="H201" i="2"/>
  <c r="AF175" i="2"/>
  <c r="R176" i="2"/>
  <c r="C200" i="2"/>
  <c r="E176" i="2"/>
  <c r="U184" i="2"/>
  <c r="U200" i="2"/>
  <c r="H175" i="2"/>
  <c r="X201" i="2"/>
  <c r="K175" i="2"/>
  <c r="AG201" i="2"/>
  <c r="O202" i="2"/>
  <c r="X202" i="2"/>
  <c r="E175" i="2"/>
  <c r="H184" i="2"/>
  <c r="U201" i="2"/>
  <c r="I169" i="2"/>
  <c r="I200" i="2"/>
  <c r="W202" i="2"/>
  <c r="AA202" i="2"/>
  <c r="U169" i="2"/>
  <c r="T174" i="2"/>
  <c r="K201" i="2"/>
  <c r="AC169" i="2"/>
  <c r="AC200" i="2"/>
  <c r="N202" i="2"/>
  <c r="L191" i="2"/>
  <c r="AF169" i="2"/>
  <c r="AF200" i="2"/>
  <c r="U179" i="2"/>
  <c r="U175" i="2"/>
  <c r="I175" i="2"/>
  <c r="AC175" i="2"/>
  <c r="X179" i="2"/>
  <c r="X200" i="2"/>
  <c r="Q176" i="2"/>
  <c r="Z184" i="2"/>
  <c r="Z200" i="2"/>
  <c r="Z202" i="2"/>
  <c r="N201" i="2"/>
  <c r="O174" i="2"/>
  <c r="H185" i="2"/>
  <c r="I184" i="2"/>
  <c r="W189" i="2"/>
  <c r="AF184" i="2"/>
  <c r="B185" i="2"/>
  <c r="AA185" i="2"/>
  <c r="AD185" i="2"/>
  <c r="U185" i="2"/>
  <c r="I186" i="2"/>
  <c r="K185" i="2"/>
  <c r="E185" i="2"/>
  <c r="Q186" i="2"/>
  <c r="C186" i="2"/>
  <c r="F184" i="2"/>
  <c r="B186" i="2"/>
  <c r="AC185" i="2"/>
  <c r="L190" i="2"/>
  <c r="N185" i="2"/>
  <c r="AC184" i="2"/>
  <c r="L186" i="2"/>
  <c r="AD186" i="2"/>
  <c r="C185" i="2"/>
  <c r="AD189" i="2"/>
  <c r="L185" i="2"/>
  <c r="R189" i="2"/>
  <c r="AA184" i="2"/>
  <c r="AF185" i="2"/>
  <c r="T186" i="2"/>
  <c r="X189" i="2"/>
  <c r="AG186" i="2"/>
  <c r="Q189" i="2"/>
  <c r="Q185" i="2"/>
  <c r="R185" i="2"/>
  <c r="X186" i="2"/>
  <c r="F186" i="2"/>
  <c r="F189" i="2"/>
  <c r="W184" i="2"/>
  <c r="AG185" i="2"/>
  <c r="W186" i="2"/>
  <c r="O185" i="2"/>
  <c r="K186" i="2"/>
  <c r="Z185" i="2"/>
  <c r="R186" i="2"/>
  <c r="N189" i="2"/>
  <c r="I189" i="2"/>
  <c r="K189" i="2"/>
  <c r="AA186" i="2"/>
  <c r="W185" i="2"/>
  <c r="B169" i="2"/>
  <c r="U186" i="2"/>
  <c r="N186" i="2"/>
  <c r="X185" i="2"/>
  <c r="I185" i="2"/>
  <c r="AC186" i="2"/>
  <c r="T184" i="2"/>
  <c r="E184" i="2"/>
  <c r="F185" i="2"/>
  <c r="T185" i="2"/>
  <c r="X184" i="2"/>
  <c r="E186" i="2"/>
  <c r="U189" i="2"/>
  <c r="Z186" i="2"/>
  <c r="AF186" i="2"/>
  <c r="O186" i="2"/>
  <c r="O184" i="2"/>
  <c r="AD184" i="2"/>
  <c r="AD190" i="2"/>
  <c r="H189" i="2"/>
  <c r="W190" i="2"/>
  <c r="E190" i="2"/>
  <c r="C189" i="2"/>
  <c r="C191" i="2"/>
  <c r="F191" i="2"/>
  <c r="AF190" i="2"/>
  <c r="AA189" i="2"/>
  <c r="O179" i="2"/>
  <c r="O189" i="2"/>
  <c r="W191" i="2"/>
  <c r="C190" i="2"/>
  <c r="Q190" i="2"/>
  <c r="N191" i="2"/>
  <c r="X191" i="2"/>
  <c r="B190" i="2"/>
  <c r="AG191" i="2"/>
  <c r="U190" i="2"/>
  <c r="R190" i="2"/>
  <c r="K190" i="2"/>
  <c r="Z191" i="2"/>
  <c r="E189" i="2"/>
  <c r="AC191" i="2"/>
  <c r="U191" i="2"/>
  <c r="N190" i="2"/>
  <c r="AF189" i="2"/>
  <c r="AD191" i="2"/>
  <c r="Z190" i="2"/>
  <c r="F190" i="2"/>
  <c r="R191" i="2"/>
  <c r="T190" i="2"/>
  <c r="I191" i="2"/>
  <c r="E191" i="2"/>
  <c r="X190" i="2"/>
  <c r="O190" i="2"/>
  <c r="T191" i="2"/>
  <c r="H179" i="2"/>
  <c r="L189" i="2"/>
  <c r="Z189" i="2"/>
  <c r="B189" i="2"/>
  <c r="I190" i="2"/>
  <c r="AA191" i="2"/>
  <c r="Q191" i="2"/>
  <c r="AA190" i="2"/>
  <c r="B191" i="2"/>
  <c r="AC189" i="2"/>
  <c r="AC190" i="2"/>
  <c r="H190" i="2"/>
  <c r="K179" i="2"/>
  <c r="AG189" i="2"/>
  <c r="O194" i="2"/>
  <c r="T189" i="2"/>
  <c r="AF191" i="2"/>
  <c r="AG190" i="2"/>
  <c r="W194" i="2"/>
  <c r="L194" i="2"/>
  <c r="K169" i="2"/>
  <c r="AF179" i="2"/>
  <c r="E195" i="2"/>
  <c r="Z194" i="2"/>
  <c r="W169" i="2"/>
  <c r="R179" i="2"/>
  <c r="W196" i="2"/>
  <c r="H194" i="2"/>
  <c r="C179" i="2"/>
  <c r="E169" i="2"/>
  <c r="X196" i="2"/>
  <c r="K180" i="2"/>
  <c r="W179" i="2"/>
  <c r="AD179" i="2"/>
  <c r="K195" i="2"/>
  <c r="O195" i="2"/>
  <c r="T170" i="2"/>
  <c r="L196" i="2"/>
  <c r="U194" i="2"/>
  <c r="R195" i="2"/>
  <c r="R194" i="2"/>
  <c r="B196" i="2"/>
  <c r="F195" i="2"/>
  <c r="AG170" i="2"/>
  <c r="AG196" i="2"/>
  <c r="Q180" i="2"/>
  <c r="AC170" i="2"/>
  <c r="E180" i="2"/>
  <c r="Z180" i="2"/>
  <c r="Z181" i="2"/>
  <c r="Z196" i="2"/>
  <c r="L171" i="2"/>
  <c r="B170" i="2"/>
  <c r="AA180" i="2"/>
  <c r="C170" i="2"/>
  <c r="N195" i="2"/>
  <c r="F169" i="2"/>
  <c r="K171" i="2"/>
  <c r="C180" i="2"/>
  <c r="AC171" i="2"/>
  <c r="Z170" i="2"/>
  <c r="U181" i="2"/>
  <c r="F180" i="2"/>
  <c r="T180" i="2"/>
  <c r="R170" i="2"/>
  <c r="Z169" i="2"/>
  <c r="N170" i="2"/>
  <c r="F181" i="2"/>
  <c r="Z179" i="2"/>
  <c r="X195" i="2"/>
  <c r="H196" i="2"/>
  <c r="AA196" i="2"/>
  <c r="K170" i="2"/>
  <c r="AF181" i="2"/>
  <c r="O181" i="2"/>
  <c r="X181" i="2"/>
  <c r="I195" i="2"/>
  <c r="L180" i="2"/>
  <c r="AD169" i="2"/>
  <c r="X194" i="2"/>
  <c r="AA179" i="2"/>
  <c r="F170" i="2"/>
  <c r="O170" i="2"/>
  <c r="AG195" i="2"/>
  <c r="X180" i="2"/>
  <c r="T196" i="2"/>
  <c r="AC181" i="2"/>
  <c r="I180" i="2"/>
  <c r="N179" i="2"/>
  <c r="AD194" i="2"/>
  <c r="C194" i="2"/>
  <c r="X169" i="2"/>
  <c r="AA194" i="2"/>
  <c r="U171" i="2"/>
  <c r="AG171" i="2"/>
  <c r="AA195" i="2"/>
  <c r="I170" i="2"/>
  <c r="K194" i="2"/>
  <c r="C171" i="2"/>
  <c r="AG194" i="2"/>
  <c r="AA170" i="2"/>
  <c r="Q170" i="2"/>
  <c r="B194" i="2"/>
  <c r="O180" i="2"/>
  <c r="AF170" i="2"/>
  <c r="T171" i="2"/>
  <c r="AF194" i="2"/>
  <c r="R196" i="2"/>
  <c r="Q179" i="2"/>
  <c r="L195" i="2"/>
  <c r="C169" i="2"/>
  <c r="U195" i="2"/>
  <c r="AD171" i="2"/>
  <c r="N194" i="2"/>
  <c r="AC179" i="2"/>
  <c r="AD180" i="2"/>
  <c r="I171" i="2"/>
  <c r="B171" i="2"/>
  <c r="AG180" i="2"/>
  <c r="H195" i="2"/>
  <c r="N181" i="2"/>
  <c r="H181" i="2"/>
  <c r="T194" i="2"/>
  <c r="E196" i="2"/>
  <c r="E181" i="2"/>
  <c r="U180" i="2"/>
  <c r="C196" i="2"/>
  <c r="H180" i="2"/>
  <c r="U170" i="2"/>
  <c r="I179" i="2"/>
  <c r="Q181" i="2"/>
  <c r="F171" i="2"/>
  <c r="AD170" i="2"/>
  <c r="E171" i="2"/>
  <c r="R181" i="2"/>
  <c r="AG179" i="2"/>
  <c r="T195" i="2"/>
  <c r="B195" i="2"/>
  <c r="AF171" i="2"/>
  <c r="O171" i="2"/>
  <c r="I196" i="2"/>
  <c r="AC194" i="2"/>
  <c r="AD195" i="2"/>
  <c r="AF196" i="2"/>
  <c r="AA181" i="2"/>
  <c r="N171" i="2"/>
  <c r="T179" i="2"/>
  <c r="AG181" i="2"/>
  <c r="AA171" i="2"/>
  <c r="Z195" i="2"/>
  <c r="Q195" i="2"/>
  <c r="F196" i="2"/>
  <c r="W170" i="2"/>
  <c r="K196" i="2"/>
  <c r="I194" i="2"/>
  <c r="E170" i="2"/>
  <c r="B181" i="2"/>
  <c r="N180" i="2"/>
  <c r="Z171" i="2"/>
  <c r="L170" i="2"/>
  <c r="W180" i="2"/>
  <c r="K181" i="2"/>
  <c r="R180" i="2"/>
  <c r="X171" i="2"/>
  <c r="Q196" i="2"/>
  <c r="X170" i="2"/>
  <c r="AC195" i="2"/>
  <c r="AD181" i="2"/>
  <c r="R171" i="2"/>
  <c r="B180" i="2"/>
  <c r="F194" i="2"/>
  <c r="L181" i="2"/>
  <c r="AC180" i="2"/>
  <c r="B179" i="2"/>
  <c r="L179" i="2"/>
  <c r="C181" i="2"/>
  <c r="AF180" i="2"/>
  <c r="AD196" i="2"/>
  <c r="E194" i="2"/>
  <c r="U196" i="2"/>
  <c r="T181" i="2"/>
  <c r="H170" i="2"/>
  <c r="Q194" i="2"/>
  <c r="C195" i="2"/>
  <c r="W171" i="2"/>
  <c r="H171" i="2"/>
  <c r="AF195" i="2"/>
  <c r="W181" i="2"/>
  <c r="O196" i="2"/>
  <c r="AC196" i="2"/>
  <c r="W195" i="2"/>
  <c r="Q171" i="2"/>
  <c r="N196" i="2"/>
  <c r="EB7" i="2"/>
  <c r="R27" i="4" l="1"/>
  <c r="Q27" i="4"/>
  <c r="H27" i="4"/>
  <c r="BQ13" i="2"/>
  <c r="AX206" i="2"/>
  <c r="AX205" i="2"/>
  <c r="AY206" i="2"/>
  <c r="AY205" i="2"/>
  <c r="AX94" i="2"/>
  <c r="BQ10" i="2"/>
  <c r="AX200" i="2"/>
  <c r="AX179" i="2"/>
  <c r="AY87" i="2"/>
  <c r="AX186" i="2"/>
  <c r="AY89" i="2"/>
  <c r="AY85" i="2"/>
  <c r="AY169" i="2"/>
  <c r="AY186" i="2"/>
  <c r="AX191" i="2"/>
  <c r="AY189" i="2"/>
  <c r="AY97" i="2"/>
  <c r="AY86" i="2"/>
  <c r="AX86" i="2"/>
  <c r="AX189" i="2"/>
  <c r="AX175" i="2"/>
  <c r="AX184" i="2"/>
  <c r="AY174" i="2"/>
  <c r="AX88" i="2"/>
  <c r="AX98" i="2"/>
  <c r="AX90" i="2"/>
  <c r="AY95" i="2"/>
  <c r="AX196" i="2"/>
  <c r="AX185" i="2"/>
  <c r="AX201" i="2"/>
  <c r="AY92" i="2"/>
  <c r="AX95" i="2"/>
  <c r="AY184" i="2"/>
  <c r="AX91" i="2"/>
  <c r="AX96" i="2"/>
  <c r="AY88" i="2"/>
  <c r="AY194" i="2"/>
  <c r="AY175" i="2"/>
  <c r="AY179" i="2"/>
  <c r="AY99" i="2"/>
  <c r="AX92" i="2"/>
  <c r="AY94" i="2"/>
  <c r="AY200" i="2"/>
  <c r="AY96" i="2"/>
  <c r="AX169" i="2"/>
  <c r="AX85" i="2"/>
  <c r="AX190" i="2"/>
  <c r="AY176" i="2"/>
  <c r="AX195" i="2"/>
  <c r="AX181" i="2"/>
  <c r="AX202" i="2"/>
  <c r="AX93" i="2"/>
  <c r="AY93" i="2"/>
  <c r="AX170" i="2"/>
  <c r="AX180" i="2"/>
  <c r="AX99" i="2"/>
  <c r="AY195" i="2"/>
  <c r="AX194" i="2"/>
  <c r="AY171" i="2"/>
  <c r="AY185" i="2"/>
  <c r="AX89" i="2"/>
  <c r="AY181" i="2"/>
  <c r="AY190" i="2"/>
  <c r="AY201" i="2"/>
  <c r="AY98" i="2"/>
  <c r="AX97" i="2"/>
  <c r="AY91" i="2"/>
  <c r="AY90" i="2"/>
  <c r="AY191" i="2"/>
  <c r="AY196" i="2"/>
  <c r="AX174" i="2"/>
  <c r="AY180" i="2"/>
  <c r="AX171" i="2"/>
  <c r="AY170" i="2"/>
  <c r="AY202" i="2"/>
  <c r="AX176" i="2"/>
  <c r="AX87" i="2"/>
  <c r="CC50" i="2"/>
  <c r="O28" i="4"/>
  <c r="CD50" i="2"/>
  <c r="CC49" i="2"/>
  <c r="CD49" i="2"/>
  <c r="CD42" i="2"/>
  <c r="CD48" i="2"/>
  <c r="CD33" i="2"/>
  <c r="CD38" i="2"/>
  <c r="CC35" i="2"/>
  <c r="CD41" i="2"/>
  <c r="CC36" i="2"/>
  <c r="CD45" i="2"/>
  <c r="CC39" i="2"/>
  <c r="CC32" i="2"/>
  <c r="CD44" i="2"/>
  <c r="CC34" i="2"/>
  <c r="CD32" i="2"/>
  <c r="CC42" i="2"/>
  <c r="CC47" i="2"/>
  <c r="CD35" i="2"/>
  <c r="CD36" i="2"/>
  <c r="CC41" i="2"/>
  <c r="CD31" i="2"/>
  <c r="CC46" i="2"/>
  <c r="CC38" i="2"/>
  <c r="CC33" i="2"/>
  <c r="W100" i="2"/>
  <c r="CD40" i="2"/>
  <c r="CD46" i="2"/>
  <c r="I100" i="2"/>
  <c r="CC40" i="2"/>
  <c r="CC43" i="2"/>
  <c r="CD47" i="2"/>
  <c r="CC37" i="2"/>
  <c r="CD43" i="2"/>
  <c r="AD100" i="2"/>
  <c r="CD39" i="2"/>
  <c r="X100" i="2"/>
  <c r="AA100" i="2"/>
  <c r="R100" i="2"/>
  <c r="T100" i="2"/>
  <c r="Q100" i="2"/>
  <c r="BP7" i="2"/>
  <c r="AF100" i="2"/>
  <c r="CC45" i="2"/>
  <c r="CC44" i="2"/>
  <c r="Z100" i="2"/>
  <c r="U100" i="2"/>
  <c r="N100" i="2"/>
  <c r="O100" i="2"/>
  <c r="AG100" i="2"/>
  <c r="BN7" i="2"/>
  <c r="CC31" i="2"/>
  <c r="BO7" i="2"/>
  <c r="E100" i="2"/>
  <c r="AC100" i="2"/>
  <c r="H100" i="2"/>
  <c r="C100" i="2"/>
  <c r="CD34" i="2"/>
  <c r="CD37" i="2"/>
  <c r="K100" i="2"/>
  <c r="CC48" i="2"/>
  <c r="F100" i="2"/>
  <c r="B100" i="2"/>
  <c r="L100" i="2"/>
  <c r="L101" i="2"/>
  <c r="X101" i="2"/>
  <c r="AD101" i="2"/>
  <c r="O101" i="2"/>
  <c r="B101" i="2"/>
  <c r="I101" i="2"/>
  <c r="AF101" i="2"/>
  <c r="AA101" i="2"/>
  <c r="C101" i="2"/>
  <c r="U101" i="2"/>
  <c r="CA51" i="2"/>
  <c r="BX52" i="2"/>
  <c r="K101" i="2"/>
  <c r="N101" i="2"/>
  <c r="AG101" i="2"/>
  <c r="E101" i="2"/>
  <c r="H101" i="2"/>
  <c r="Q101" i="2"/>
  <c r="T101" i="2"/>
  <c r="CB51" i="2"/>
  <c r="F101" i="2"/>
  <c r="W101" i="2"/>
  <c r="AC101" i="2"/>
  <c r="R101" i="2"/>
  <c r="E105" i="2"/>
  <c r="Z101" i="2"/>
  <c r="BZ51" i="2"/>
  <c r="BW52" i="2"/>
  <c r="BW51" i="2"/>
  <c r="BY52" i="2"/>
  <c r="BY51" i="2"/>
  <c r="CA52" i="2"/>
  <c r="CB52" i="2"/>
  <c r="BZ52" i="2"/>
  <c r="BX51" i="2"/>
  <c r="I105" i="2"/>
  <c r="AA105" i="2"/>
  <c r="B105" i="2"/>
  <c r="F105" i="2"/>
  <c r="T105" i="2"/>
  <c r="L105" i="2"/>
  <c r="K105" i="2"/>
  <c r="H105" i="2"/>
  <c r="X105" i="2"/>
  <c r="AG105" i="2"/>
  <c r="W103" i="2"/>
  <c r="O105" i="2"/>
  <c r="AC105" i="2"/>
  <c r="C105" i="2"/>
  <c r="AF105" i="2"/>
  <c r="W105" i="2"/>
  <c r="O103" i="2"/>
  <c r="U105" i="2"/>
  <c r="R105" i="2"/>
  <c r="Q105" i="2"/>
  <c r="AD105" i="2"/>
  <c r="N105" i="2"/>
  <c r="Z105" i="2"/>
  <c r="Z103" i="2"/>
  <c r="AD103" i="2"/>
  <c r="U103" i="2"/>
  <c r="E103" i="2"/>
  <c r="C103" i="2"/>
  <c r="H103" i="2"/>
  <c r="I103" i="2"/>
  <c r="X103" i="2"/>
  <c r="AC103" i="2"/>
  <c r="N103" i="2"/>
  <c r="T103" i="2"/>
  <c r="L103" i="2"/>
  <c r="AG103" i="2"/>
  <c r="K103" i="2"/>
  <c r="AF103" i="2"/>
  <c r="AA103" i="2"/>
  <c r="Q103" i="2"/>
  <c r="R103" i="2"/>
  <c r="B103" i="2"/>
  <c r="F103" i="2"/>
  <c r="EB6" i="2"/>
  <c r="EB28" i="2" s="1"/>
  <c r="B1" i="1"/>
  <c r="AE25" i="4"/>
  <c r="AE24" i="4"/>
  <c r="AE23" i="4"/>
  <c r="AE22" i="4"/>
  <c r="AE21" i="4"/>
  <c r="AE20" i="4"/>
  <c r="AE18" i="4"/>
  <c r="AE17" i="4"/>
  <c r="AE16" i="4"/>
  <c r="AV115" i="2"/>
  <c r="AU115" i="2"/>
  <c r="I84" i="4"/>
  <c r="M83" i="4"/>
  <c r="L83" i="4"/>
  <c r="I83" i="4"/>
  <c r="BA52" i="4"/>
  <c r="AZ52" i="4"/>
  <c r="K84" i="4" s="1"/>
  <c r="AY52" i="4"/>
  <c r="AX52" i="4"/>
  <c r="AW52" i="4"/>
  <c r="J52" i="4" s="1"/>
  <c r="AT52" i="4"/>
  <c r="AR52" i="4"/>
  <c r="AQ52" i="4"/>
  <c r="L84" i="4" s="1"/>
  <c r="AJ52" i="4"/>
  <c r="AL52" i="4" s="1"/>
  <c r="H52" i="4" s="1"/>
  <c r="H84" i="4" s="1"/>
  <c r="I52" i="4"/>
  <c r="M51" i="4"/>
  <c r="I51" i="4"/>
  <c r="BA51" i="4"/>
  <c r="L51" i="4" s="1"/>
  <c r="AZ51" i="4"/>
  <c r="K83" i="4" s="1"/>
  <c r="AY51" i="4"/>
  <c r="AX51" i="4"/>
  <c r="AW51" i="4"/>
  <c r="J51" i="4" s="1"/>
  <c r="AL51" i="4"/>
  <c r="H51" i="4" s="1"/>
  <c r="H83" i="4" s="1"/>
  <c r="AI51" i="4"/>
  <c r="R28" i="4" l="1"/>
  <c r="Q28" i="4"/>
  <c r="H28" i="4"/>
  <c r="O29" i="4"/>
  <c r="CD52" i="2"/>
  <c r="AY100" i="2"/>
  <c r="CC52" i="2"/>
  <c r="CC51" i="2"/>
  <c r="AX100" i="2"/>
  <c r="CD51" i="2"/>
  <c r="BQ7" i="2"/>
  <c r="K52" i="4"/>
  <c r="J84" i="4"/>
  <c r="J83" i="4"/>
  <c r="K51" i="4"/>
  <c r="Z107" i="2"/>
  <c r="AG107" i="2"/>
  <c r="K107" i="2"/>
  <c r="I107" i="2"/>
  <c r="AA107" i="2"/>
  <c r="N107" i="2"/>
  <c r="C107" i="2"/>
  <c r="AC107" i="2"/>
  <c r="B107" i="2"/>
  <c r="W107" i="2"/>
  <c r="O107" i="2"/>
  <c r="AF107" i="2"/>
  <c r="F107" i="2"/>
  <c r="AD107" i="2"/>
  <c r="T107" i="2"/>
  <c r="X107" i="2"/>
  <c r="Q107" i="2"/>
  <c r="H107" i="2"/>
  <c r="U107" i="2"/>
  <c r="R107" i="2"/>
  <c r="AY101" i="2"/>
  <c r="E107" i="2"/>
  <c r="L107" i="2"/>
  <c r="AX101" i="2"/>
  <c r="AX105" i="2"/>
  <c r="AY105" i="2"/>
  <c r="AX103" i="2"/>
  <c r="AY103" i="2"/>
  <c r="AW115" i="2"/>
  <c r="AW6" i="2"/>
  <c r="AV52" i="4"/>
  <c r="AJ53" i="4"/>
  <c r="AI53" i="4" s="1"/>
  <c r="AU52" i="4"/>
  <c r="BD52" i="4"/>
  <c r="BB52" i="4"/>
  <c r="BE52" i="4"/>
  <c r="L52" i="4"/>
  <c r="BG52" i="4"/>
  <c r="AM52" i="4"/>
  <c r="Q29" i="4" l="1"/>
  <c r="R29" i="4"/>
  <c r="H29" i="4"/>
  <c r="O30" i="4"/>
  <c r="AX107" i="2"/>
  <c r="AY107" i="2"/>
  <c r="AJ54" i="4"/>
  <c r="AJ55" i="4" s="1"/>
  <c r="AL55" i="4" s="1"/>
  <c r="H55" i="4" s="1"/>
  <c r="H87" i="4" s="1"/>
  <c r="AL53" i="4"/>
  <c r="AM53" i="4" s="1"/>
  <c r="AS53" i="4" s="1"/>
  <c r="BH52" i="4"/>
  <c r="M84" i="4"/>
  <c r="AN52" i="4"/>
  <c r="AS52" i="4"/>
  <c r="M52" i="4"/>
  <c r="BF52" i="4"/>
  <c r="R30" i="4" l="1"/>
  <c r="Q30" i="4"/>
  <c r="H30" i="4"/>
  <c r="O31" i="4"/>
  <c r="AJ56" i="4"/>
  <c r="AI56" i="4" s="1"/>
  <c r="AI54" i="4"/>
  <c r="AI55" i="4"/>
  <c r="AL54" i="4"/>
  <c r="AM54" i="4" s="1"/>
  <c r="AM55" i="4"/>
  <c r="H53" i="4"/>
  <c r="H85" i="4" s="1"/>
  <c r="AN53" i="4"/>
  <c r="R31" i="4" l="1"/>
  <c r="Q31" i="4"/>
  <c r="H31" i="4"/>
  <c r="O32" i="4"/>
  <c r="AN54" i="4"/>
  <c r="AJ57" i="4"/>
  <c r="AI57" i="4" s="1"/>
  <c r="AL56" i="4"/>
  <c r="H56" i="4" s="1"/>
  <c r="H88" i="4" s="1"/>
  <c r="H54" i="4"/>
  <c r="H86" i="4" s="1"/>
  <c r="AN55" i="4"/>
  <c r="DZ7" i="2"/>
  <c r="R32" i="4" l="1"/>
  <c r="Q32" i="4"/>
  <c r="H32" i="4"/>
  <c r="O33" i="4"/>
  <c r="AM56" i="4"/>
  <c r="AJ58" i="4"/>
  <c r="AL58" i="4" s="1"/>
  <c r="AM58" i="4" s="1"/>
  <c r="AL57" i="4"/>
  <c r="AM57" i="4" s="1"/>
  <c r="AS57" i="4" s="1"/>
  <c r="DZ6" i="2"/>
  <c r="DZ28" i="2" s="1"/>
  <c r="P76" i="1"/>
  <c r="R33" i="4" l="1"/>
  <c r="Q33" i="4"/>
  <c r="H33" i="4"/>
  <c r="AN56" i="4"/>
  <c r="AS56" i="4"/>
  <c r="O34" i="4"/>
  <c r="AN57" i="4"/>
  <c r="AI58" i="4"/>
  <c r="H58" i="4"/>
  <c r="H90" i="4" s="1"/>
  <c r="AJ59" i="4"/>
  <c r="AJ60" i="4" s="1"/>
  <c r="AL60" i="4" s="1"/>
  <c r="AN58" i="4"/>
  <c r="H57" i="4"/>
  <c r="H89" i="4" s="1"/>
  <c r="P80" i="1"/>
  <c r="P81" i="1" s="1"/>
  <c r="R34" i="4" l="1"/>
  <c r="Q34" i="4"/>
  <c r="H34" i="4"/>
  <c r="O35" i="4"/>
  <c r="AJ61" i="4"/>
  <c r="AI61" i="4" s="1"/>
  <c r="AI60" i="4"/>
  <c r="AI59" i="4"/>
  <c r="AL59" i="4"/>
  <c r="H59" i="4" s="1"/>
  <c r="H91" i="4" s="1"/>
  <c r="H60" i="4"/>
  <c r="H92" i="4" s="1"/>
  <c r="AM60" i="4"/>
  <c r="R35" i="4" l="1"/>
  <c r="Q35" i="4"/>
  <c r="H35" i="4"/>
  <c r="O36" i="4"/>
  <c r="AL61" i="4"/>
  <c r="H61" i="4" s="1"/>
  <c r="H93" i="4" s="1"/>
  <c r="AJ62" i="4"/>
  <c r="AI62" i="4" s="1"/>
  <c r="AM59" i="4"/>
  <c r="AN59" i="4" s="1"/>
  <c r="DX7" i="2"/>
  <c r="DV7" i="2"/>
  <c r="DX6" i="2"/>
  <c r="DV6" i="2"/>
  <c r="R36" i="4" l="1"/>
  <c r="Q36" i="4"/>
  <c r="H36" i="4"/>
  <c r="DX28" i="2"/>
  <c r="AL62" i="4"/>
  <c r="O37" i="4"/>
  <c r="DV28" i="2"/>
  <c r="AJ63" i="4"/>
  <c r="AM61" i="4"/>
  <c r="AN61" i="4" s="1"/>
  <c r="AN60" i="4"/>
  <c r="AJ64" i="4"/>
  <c r="AL63" i="4"/>
  <c r="AI63" i="4"/>
  <c r="H62" i="4"/>
  <c r="H94" i="4" s="1"/>
  <c r="AM62" i="4"/>
  <c r="AS62" i="4" s="1"/>
  <c r="R37" i="4" l="1"/>
  <c r="Q37" i="4"/>
  <c r="H37" i="4"/>
  <c r="O38" i="4"/>
  <c r="AN62" i="4"/>
  <c r="AM63" i="4"/>
  <c r="H63" i="4"/>
  <c r="H95" i="4" s="1"/>
  <c r="AL64" i="4"/>
  <c r="AI64" i="4"/>
  <c r="AJ65" i="4"/>
  <c r="AN63" i="4" l="1"/>
  <c r="AS63" i="4"/>
  <c r="H38" i="4"/>
  <c r="O39" i="4"/>
  <c r="AM64" i="4"/>
  <c r="H64" i="4"/>
  <c r="H96" i="4" s="1"/>
  <c r="AL65" i="4"/>
  <c r="AI65" i="4"/>
  <c r="AJ66" i="4"/>
  <c r="K86" i="1"/>
  <c r="L76" i="1"/>
  <c r="K76" i="1"/>
  <c r="O40" i="4" l="1"/>
  <c r="O41" i="4" s="1"/>
  <c r="O42" i="4" s="1"/>
  <c r="O43" i="4" s="1"/>
  <c r="AN64" i="4"/>
  <c r="AS64" i="4"/>
  <c r="H39" i="4"/>
  <c r="L85" i="1"/>
  <c r="L87" i="1"/>
  <c r="K89" i="1"/>
  <c r="J86" i="1"/>
  <c r="K85" i="1"/>
  <c r="L89" i="1"/>
  <c r="J87" i="1"/>
  <c r="N87" i="1"/>
  <c r="N86" i="1"/>
  <c r="P87" i="1"/>
  <c r="R87" i="1"/>
  <c r="Q87" i="1"/>
  <c r="P86" i="1"/>
  <c r="R86" i="1"/>
  <c r="Q86" i="1"/>
  <c r="AM65" i="4"/>
  <c r="H65" i="4"/>
  <c r="H97" i="4" s="1"/>
  <c r="AL66" i="4"/>
  <c r="AI66" i="4"/>
  <c r="AJ67" i="4"/>
  <c r="L86" i="1"/>
  <c r="K91" i="1"/>
  <c r="L91" i="1"/>
  <c r="K87" i="1"/>
  <c r="K102" i="1"/>
  <c r="O44" i="4" l="1"/>
  <c r="O45" i="4" s="1"/>
  <c r="O46" i="4" s="1"/>
  <c r="AF7" i="4" s="1"/>
  <c r="AN65" i="4"/>
  <c r="AS65" i="4"/>
  <c r="H40" i="4"/>
  <c r="AL67" i="4"/>
  <c r="AI67" i="4"/>
  <c r="AJ68" i="4"/>
  <c r="AM66" i="4"/>
  <c r="AN66" i="4" s="1"/>
  <c r="H66" i="4"/>
  <c r="H98" i="4" s="1"/>
  <c r="L80" i="1"/>
  <c r="K80" i="1"/>
  <c r="K81" i="1" s="1"/>
  <c r="AF9" i="4" l="1"/>
  <c r="D23" i="4"/>
  <c r="H41" i="4"/>
  <c r="AI68" i="4"/>
  <c r="AJ69" i="4"/>
  <c r="AL68" i="4"/>
  <c r="H67" i="4"/>
  <c r="H99" i="4" s="1"/>
  <c r="AM67" i="4"/>
  <c r="AN67" i="4" s="1"/>
  <c r="H43" i="4" l="1"/>
  <c r="H42" i="4"/>
  <c r="AJ70" i="4"/>
  <c r="AL69" i="4"/>
  <c r="AI69" i="4"/>
  <c r="H68" i="4"/>
  <c r="H100" i="4" s="1"/>
  <c r="AM68" i="4"/>
  <c r="AN68" i="4" s="1"/>
  <c r="H44" i="4" l="1"/>
  <c r="AM69" i="4"/>
  <c r="AN69" i="4" s="1"/>
  <c r="H69" i="4"/>
  <c r="H101" i="4" s="1"/>
  <c r="AL70" i="4"/>
  <c r="AI70" i="4"/>
  <c r="AJ71" i="4"/>
  <c r="H45" i="4" l="1"/>
  <c r="AM70" i="4"/>
  <c r="AN70" i="4" s="1"/>
  <c r="H70" i="4"/>
  <c r="H102" i="4" s="1"/>
  <c r="AL71" i="4"/>
  <c r="AI71" i="4"/>
  <c r="AJ72" i="4"/>
  <c r="DT6" i="2"/>
  <c r="DT7" i="2"/>
  <c r="H46" i="4" l="1"/>
  <c r="DT28" i="2"/>
  <c r="AI72" i="4"/>
  <c r="AL72" i="4"/>
  <c r="H71" i="4"/>
  <c r="H103" i="4" s="1"/>
  <c r="AM71" i="4"/>
  <c r="AN71" i="4" s="1"/>
  <c r="M76" i="1"/>
  <c r="O76" i="1"/>
  <c r="Q76" i="1"/>
  <c r="R76" i="1"/>
  <c r="S76" i="1"/>
  <c r="T76" i="1"/>
  <c r="I80" i="1"/>
  <c r="V80" i="1"/>
  <c r="T85" i="1" l="1"/>
  <c r="T95" i="1"/>
  <c r="T89" i="1"/>
  <c r="J95" i="1"/>
  <c r="N95" i="1"/>
  <c r="P95" i="1"/>
  <c r="R95" i="1"/>
  <c r="Q95" i="1"/>
  <c r="H72" i="4"/>
  <c r="H104" i="4" s="1"/>
  <c r="AM72" i="4"/>
  <c r="AN72" i="4" s="1"/>
  <c r="T91" i="1"/>
  <c r="L95" i="1"/>
  <c r="K95" i="1"/>
  <c r="T86" i="1"/>
  <c r="T87" i="1"/>
  <c r="L92" i="1"/>
  <c r="T92" i="1"/>
  <c r="K92" i="1"/>
  <c r="P94" i="1"/>
  <c r="Q80" i="1"/>
  <c r="Q81" i="1" s="1"/>
  <c r="L81" i="1"/>
  <c r="L102" i="1"/>
  <c r="P84" i="1"/>
  <c r="T80" i="1"/>
  <c r="T81" i="1" s="1"/>
  <c r="W80" i="1"/>
  <c r="W81" i="1" s="1"/>
  <c r="P90" i="1"/>
  <c r="P88" i="1"/>
  <c r="V81" i="1"/>
  <c r="I81" i="1"/>
  <c r="S80" i="1"/>
  <c r="S81" i="1" s="1"/>
  <c r="R80" i="1"/>
  <c r="R81" i="1" s="1"/>
  <c r="S91" i="1" l="1"/>
  <c r="I94" i="1"/>
  <c r="S86" i="1"/>
  <c r="I93" i="1"/>
  <c r="L84" i="1"/>
  <c r="M84" i="1"/>
  <c r="O84" i="1"/>
  <c r="S84" i="1"/>
  <c r="I91" i="1"/>
  <c r="I92" i="1"/>
  <c r="K84" i="1"/>
  <c r="I87" i="1"/>
  <c r="I86" i="1"/>
  <c r="I88" i="1"/>
  <c r="M86" i="1"/>
  <c r="I90" i="1"/>
  <c r="O86" i="1"/>
  <c r="I95" i="1"/>
  <c r="T84" i="1"/>
  <c r="O91" i="1"/>
  <c r="M91" i="1"/>
  <c r="O92" i="1"/>
  <c r="S92" i="1"/>
  <c r="L88" i="1"/>
  <c r="S88" i="1"/>
  <c r="K88" i="1"/>
  <c r="T88" i="1"/>
  <c r="O88" i="1"/>
  <c r="M87" i="1"/>
  <c r="T90" i="1"/>
  <c r="S90" i="1"/>
  <c r="K90" i="1"/>
  <c r="L90" i="1"/>
  <c r="M90" i="1"/>
  <c r="O87" i="1"/>
  <c r="M92" i="1"/>
  <c r="O95" i="1"/>
  <c r="M95" i="1"/>
  <c r="K93" i="1"/>
  <c r="L93" i="1"/>
  <c r="S93" i="1"/>
  <c r="M93" i="1"/>
  <c r="O93" i="1"/>
  <c r="T93" i="1"/>
  <c r="K94" i="1"/>
  <c r="L94" i="1"/>
  <c r="O94" i="1"/>
  <c r="M94" i="1"/>
  <c r="T94" i="1"/>
  <c r="S87" i="1"/>
  <c r="S95" i="1"/>
  <c r="O80" i="1"/>
  <c r="O81" i="1" s="1"/>
  <c r="M80" i="1"/>
  <c r="M81" i="1" s="1"/>
  <c r="DR6" i="2" l="1"/>
  <c r="DR7" i="2" l="1"/>
  <c r="DR28" i="2" s="1"/>
  <c r="DP6" i="2" l="1"/>
  <c r="DP7" i="2" l="1"/>
  <c r="DP28" i="2" s="1"/>
  <c r="DJ6" i="2" l="1"/>
  <c r="DL7" i="2" l="1"/>
  <c r="BL6" i="2" l="1"/>
  <c r="BI6" i="2"/>
  <c r="BR6" i="2"/>
  <c r="BJ6" i="2"/>
  <c r="BM6" i="2"/>
  <c r="BS6" i="2"/>
  <c r="DL6" i="2"/>
  <c r="DL28" i="2" s="1"/>
  <c r="BO6" i="2" l="1"/>
  <c r="BT6" i="2" s="1"/>
  <c r="BP6" i="2"/>
  <c r="BN6" i="2"/>
  <c r="DJ7" i="2"/>
  <c r="DJ28" i="2" s="1"/>
  <c r="BK6" i="2" l="1"/>
  <c r="BQ6" i="2" l="1"/>
  <c r="I97" i="1" l="1"/>
  <c r="J99" i="1" l="1"/>
  <c r="J100" i="1" s="1"/>
  <c r="J103" i="1"/>
  <c r="J104" i="1" s="1"/>
  <c r="J105" i="1" s="1"/>
  <c r="N103" i="1"/>
  <c r="N104" i="1" s="1"/>
  <c r="N105" i="1" s="1"/>
  <c r="N99" i="1"/>
  <c r="N100" i="1" s="1"/>
  <c r="M99" i="1"/>
  <c r="M100" i="1" s="1"/>
  <c r="M103" i="1"/>
  <c r="M104" i="1" s="1"/>
  <c r="M105" i="1" s="1"/>
  <c r="L99" i="1"/>
  <c r="L100" i="1" s="1"/>
  <c r="K99" i="1"/>
  <c r="K100" i="1" s="1"/>
  <c r="K103" i="1"/>
  <c r="K104" i="1" s="1"/>
  <c r="K105" i="1" s="1"/>
  <c r="L103" i="1"/>
  <c r="L104" i="1" s="1"/>
  <c r="L105" i="1" s="1"/>
  <c r="T99" i="1"/>
  <c r="T100" i="1" s="1"/>
  <c r="I99" i="1"/>
  <c r="I100" i="1" s="1"/>
  <c r="DN6" i="2" l="1"/>
  <c r="DN7" i="2"/>
  <c r="DN28" i="2" l="1"/>
  <c r="I102" i="1" l="1"/>
  <c r="I103" i="1" s="1"/>
  <c r="I104" i="1" s="1"/>
  <c r="I105" i="1" s="1"/>
  <c r="T102" i="1"/>
  <c r="T103" i="1" s="1"/>
  <c r="T104" i="1" s="1"/>
  <c r="T105" i="1" s="1"/>
  <c r="AV53" i="4" l="1"/>
  <c r="AU53" i="4"/>
  <c r="AT53" i="4"/>
  <c r="AU116" i="2"/>
  <c r="K85" i="4" l="1"/>
  <c r="AV116" i="2"/>
  <c r="J53" i="4"/>
  <c r="J85" i="4"/>
  <c r="K53" i="4"/>
  <c r="AW7" i="2"/>
  <c r="AW116" i="2" l="1"/>
  <c r="M85" i="4"/>
  <c r="L85" i="4" l="1"/>
  <c r="M53" i="4" l="1"/>
  <c r="L53" i="4" l="1"/>
  <c r="AR55" i="4" l="1"/>
  <c r="BM8" i="2"/>
  <c r="I55" i="4"/>
  <c r="AT55" i="4"/>
  <c r="AS55" i="4"/>
  <c r="I87" i="4"/>
  <c r="BC54" i="4"/>
  <c r="L86" i="4" s="1"/>
  <c r="BA54" i="4"/>
  <c r="BE54" i="4" s="1"/>
  <c r="AR54" i="4"/>
  <c r="I54" i="4"/>
  <c r="AS54" i="4"/>
  <c r="AT54" i="4"/>
  <c r="AW8" i="2"/>
  <c r="I86" i="4"/>
  <c r="BS8" i="2"/>
  <c r="BL8" i="2"/>
  <c r="BA55" i="4"/>
  <c r="BE55" i="4" s="1"/>
  <c r="M55" i="4" s="1"/>
  <c r="BC55" i="4"/>
  <c r="BG55" i="4" s="1"/>
  <c r="BI8" i="2"/>
  <c r="AU117" i="2"/>
  <c r="M54" i="4" l="1"/>
  <c r="BF54" i="4"/>
  <c r="BD54" i="4"/>
  <c r="AU55" i="4"/>
  <c r="BG54" i="4"/>
  <c r="BN8" i="2"/>
  <c r="BO8" i="2"/>
  <c r="BH55" i="4"/>
  <c r="M87" i="4"/>
  <c r="BR9" i="2"/>
  <c r="BL9" i="2"/>
  <c r="BI9" i="2"/>
  <c r="AW9" i="2"/>
  <c r="AU118" i="2"/>
  <c r="BD55" i="4"/>
  <c r="L87" i="4"/>
  <c r="BM9" i="2"/>
  <c r="BJ9" i="2"/>
  <c r="AV118" i="2"/>
  <c r="BS9" i="2"/>
  <c r="BF55" i="4"/>
  <c r="BB55" i="4"/>
  <c r="L55" i="4"/>
  <c r="BR8" i="2"/>
  <c r="BT8" i="2" s="1"/>
  <c r="AV54" i="4"/>
  <c r="AU54" i="4"/>
  <c r="AV55" i="4"/>
  <c r="AV117" i="2"/>
  <c r="BJ8" i="2"/>
  <c r="L54" i="4"/>
  <c r="BB54" i="4"/>
  <c r="BH54" i="4" l="1"/>
  <c r="M86" i="4"/>
  <c r="BP9" i="2"/>
  <c r="BP8" i="2"/>
  <c r="BQ8" i="2" s="1"/>
  <c r="AW117" i="2"/>
  <c r="BK9" i="2"/>
  <c r="BO9" i="2"/>
  <c r="AW118" i="2"/>
  <c r="BN9" i="2"/>
  <c r="BT9" i="2"/>
  <c r="BK8" i="2"/>
  <c r="BQ9" i="2" l="1"/>
  <c r="L88" i="4"/>
  <c r="L56" i="4"/>
  <c r="M88" i="4"/>
  <c r="L89" i="4" l="1"/>
  <c r="M89" i="4"/>
  <c r="M56" i="4"/>
  <c r="L57" i="4"/>
  <c r="M57" i="4" l="1"/>
  <c r="K57" i="4" l="1"/>
  <c r="J54" i="4"/>
  <c r="J88" i="4"/>
  <c r="K86" i="4"/>
  <c r="J86" i="4"/>
  <c r="J87" i="4"/>
  <c r="K87" i="4"/>
  <c r="K89" i="4" l="1"/>
  <c r="J57" i="4"/>
  <c r="K88" i="4"/>
  <c r="J89" i="4"/>
  <c r="J56" i="4"/>
  <c r="K55" i="4"/>
  <c r="K56" i="4"/>
  <c r="K54" i="4"/>
  <c r="J55" i="4"/>
  <c r="I88" i="4" l="1"/>
  <c r="AV119" i="2"/>
  <c r="AT56" i="4"/>
  <c r="AR56" i="4"/>
  <c r="I56" i="4"/>
  <c r="AV11" i="2" l="1"/>
  <c r="I89" i="4"/>
  <c r="AU56" i="4"/>
  <c r="AV56" i="4"/>
  <c r="AW10" i="2"/>
  <c r="AU119" i="2"/>
  <c r="AV120" i="2" l="1"/>
  <c r="BJ11" i="2"/>
  <c r="BM11" i="2"/>
  <c r="BS11" i="2"/>
  <c r="I57" i="4"/>
  <c r="AT57" i="4"/>
  <c r="AU11" i="2"/>
  <c r="AR57" i="4"/>
  <c r="AV57" i="4" s="1"/>
  <c r="AW119" i="2"/>
  <c r="BF74" i="4" l="1"/>
  <c r="BG58" i="4" s="1"/>
  <c r="BG59" i="4" s="1"/>
  <c r="BM29" i="2"/>
  <c r="BM28" i="2"/>
  <c r="BJ28" i="2"/>
  <c r="BJ29" i="2"/>
  <c r="BI11" i="2"/>
  <c r="BL11" i="2"/>
  <c r="BR11" i="2"/>
  <c r="BT11" i="2" s="1"/>
  <c r="BP11" i="2"/>
  <c r="BB74" i="4"/>
  <c r="BC58" i="4" s="1"/>
  <c r="AW11" i="2"/>
  <c r="AU120" i="2"/>
  <c r="AU57" i="4"/>
  <c r="BP28" i="2" l="1"/>
  <c r="BP29" i="2"/>
  <c r="M90" i="4"/>
  <c r="BL29" i="2"/>
  <c r="BN29" i="2" s="1"/>
  <c r="BL28" i="2"/>
  <c r="BN28" i="2" s="1"/>
  <c r="BI28" i="2"/>
  <c r="BI29" i="2"/>
  <c r="BC59" i="4"/>
  <c r="L90" i="4"/>
  <c r="BK11" i="2"/>
  <c r="BO11" i="2"/>
  <c r="BQ11" i="2" s="1"/>
  <c r="AZ74" i="4"/>
  <c r="BA58" i="4" s="1"/>
  <c r="BG60" i="4"/>
  <c r="M91" i="4"/>
  <c r="BN11" i="2"/>
  <c r="BD74" i="4"/>
  <c r="AW120" i="2"/>
  <c r="BO29" i="2" l="1"/>
  <c r="BQ29" i="2" s="1"/>
  <c r="BK29" i="2"/>
  <c r="BO28" i="2"/>
  <c r="BQ28" i="2" s="1"/>
  <c r="BK28" i="2"/>
  <c r="J90" i="4"/>
  <c r="BG61" i="4"/>
  <c r="M92" i="4"/>
  <c r="BE58" i="4"/>
  <c r="M72" i="4"/>
  <c r="BA59" i="4"/>
  <c r="L58" i="4"/>
  <c r="BC60" i="4"/>
  <c r="L91" i="4"/>
  <c r="BA60" i="4" l="1"/>
  <c r="L59" i="4"/>
  <c r="J58" i="4"/>
  <c r="K58" i="4"/>
  <c r="BC61" i="4"/>
  <c r="L92" i="4"/>
  <c r="BG62" i="4"/>
  <c r="M93" i="4"/>
  <c r="BF58" i="4"/>
  <c r="BE59" i="4"/>
  <c r="M58" i="4"/>
  <c r="AT58" i="4" l="1"/>
  <c r="AS58" i="4"/>
  <c r="AR58" i="4"/>
  <c r="I58" i="4"/>
  <c r="BB58" i="4"/>
  <c r="BE60" i="4"/>
  <c r="M59" i="4"/>
  <c r="BG63" i="4"/>
  <c r="M94" i="4"/>
  <c r="BC62" i="4"/>
  <c r="L93" i="4"/>
  <c r="BD58" i="4"/>
  <c r="BH58" i="4"/>
  <c r="BA61" i="4"/>
  <c r="L61" i="4" s="1"/>
  <c r="L60" i="4"/>
  <c r="AV121" i="2" l="1"/>
  <c r="BS12" i="2"/>
  <c r="BJ12" i="2"/>
  <c r="BM12" i="2"/>
  <c r="BR12" i="2"/>
  <c r="BL12" i="2"/>
  <c r="BI12" i="2"/>
  <c r="BC63" i="4"/>
  <c r="L94" i="4"/>
  <c r="BG64" i="4"/>
  <c r="M95" i="4"/>
  <c r="BA62" i="4"/>
  <c r="BE61" i="4"/>
  <c r="M60" i="4"/>
  <c r="AV58" i="4"/>
  <c r="AU58" i="4"/>
  <c r="AU121" i="2"/>
  <c r="AW12" i="2"/>
  <c r="BT12" i="2" l="1"/>
  <c r="BP12" i="2"/>
  <c r="BO12" i="2"/>
  <c r="BK12" i="2"/>
  <c r="BN12" i="2"/>
  <c r="BC64" i="4"/>
  <c r="L95" i="4"/>
  <c r="BG65" i="4"/>
  <c r="M96" i="4"/>
  <c r="AW121" i="2"/>
  <c r="BA63" i="4"/>
  <c r="L62" i="4"/>
  <c r="BE62" i="4"/>
  <c r="M61" i="4"/>
  <c r="BQ12" i="2" l="1"/>
  <c r="BA64" i="4"/>
  <c r="L63" i="4"/>
  <c r="BG66" i="4"/>
  <c r="M97" i="4"/>
  <c r="BE63" i="4"/>
  <c r="M62" i="4"/>
  <c r="BC65" i="4"/>
  <c r="L96" i="4"/>
  <c r="K59" i="4" l="1"/>
  <c r="BH59" i="4"/>
  <c r="AV122" i="2"/>
  <c r="BD59" i="4"/>
  <c r="J60" i="4"/>
  <c r="AV14" i="2"/>
  <c r="BD60" i="4"/>
  <c r="BH60" i="4"/>
  <c r="K60" i="4"/>
  <c r="J59" i="4"/>
  <c r="BA65" i="4"/>
  <c r="L64" i="4"/>
  <c r="BG67" i="4"/>
  <c r="M98" i="4"/>
  <c r="BC66" i="4"/>
  <c r="L97" i="4"/>
  <c r="BE64" i="4"/>
  <c r="M63" i="4"/>
  <c r="BJ14" i="2" l="1"/>
  <c r="BM14" i="2"/>
  <c r="BS14" i="2"/>
  <c r="AV123" i="2"/>
  <c r="BC67" i="4"/>
  <c r="L98" i="4"/>
  <c r="BE65" i="4"/>
  <c r="M64" i="4"/>
  <c r="BG68" i="4"/>
  <c r="M99" i="4"/>
  <c r="BA66" i="4"/>
  <c r="L65" i="4"/>
  <c r="BP14" i="2" l="1"/>
  <c r="AT59" i="4"/>
  <c r="BF59" i="4"/>
  <c r="I59" i="4"/>
  <c r="BB59" i="4"/>
  <c r="AS59" i="4"/>
  <c r="AR59" i="4"/>
  <c r="BC68" i="4"/>
  <c r="L99" i="4"/>
  <c r="BA67" i="4"/>
  <c r="L66" i="4"/>
  <c r="BG69" i="4"/>
  <c r="M100" i="4"/>
  <c r="BE66" i="4"/>
  <c r="M65" i="4"/>
  <c r="AU59" i="4" l="1"/>
  <c r="AV59" i="4"/>
  <c r="AU122" i="2"/>
  <c r="AW13" i="2"/>
  <c r="BE67" i="4"/>
  <c r="M66" i="4"/>
  <c r="BC69" i="4"/>
  <c r="L100" i="4"/>
  <c r="BA68" i="4"/>
  <c r="L67" i="4"/>
  <c r="BG70" i="4"/>
  <c r="M101" i="4"/>
  <c r="K92" i="4" l="1"/>
  <c r="J92" i="4"/>
  <c r="K91" i="4"/>
  <c r="J91" i="4"/>
  <c r="K90" i="4"/>
  <c r="K93" i="4"/>
  <c r="J93" i="4"/>
  <c r="AW122" i="2"/>
  <c r="AU14" i="2"/>
  <c r="BF60" i="4"/>
  <c r="AT60" i="4"/>
  <c r="I60" i="4"/>
  <c r="AR60" i="4"/>
  <c r="AS60" i="4"/>
  <c r="BB60" i="4"/>
  <c r="BA69" i="4"/>
  <c r="L68" i="4"/>
  <c r="BG71" i="4"/>
  <c r="BG72" i="4" s="1"/>
  <c r="BH72" i="4" s="1"/>
  <c r="M102" i="4"/>
  <c r="BC70" i="4"/>
  <c r="L101" i="4"/>
  <c r="BE68" i="4"/>
  <c r="M67" i="4"/>
  <c r="BR14" i="2" l="1"/>
  <c r="BT14" i="2" s="1"/>
  <c r="BI14" i="2"/>
  <c r="BL14" i="2"/>
  <c r="BN14" i="2" s="1"/>
  <c r="BH61" i="4"/>
  <c r="I93" i="4"/>
  <c r="AV15" i="2"/>
  <c r="BD61" i="4"/>
  <c r="AU60" i="4"/>
  <c r="AV60" i="4"/>
  <c r="AU123" i="2"/>
  <c r="AW14" i="2"/>
  <c r="M104" i="4"/>
  <c r="M103" i="4"/>
  <c r="BE69" i="4"/>
  <c r="M68" i="4"/>
  <c r="BC71" i="4"/>
  <c r="BC72" i="4" s="1"/>
  <c r="BD72" i="4" s="1"/>
  <c r="L102" i="4"/>
  <c r="BA70" i="4"/>
  <c r="L69" i="4"/>
  <c r="BA124" i="4"/>
  <c r="BA125" i="4" s="1"/>
  <c r="AV124" i="2" l="1"/>
  <c r="BK14" i="2"/>
  <c r="BO14" i="2"/>
  <c r="BQ14" i="2" s="1"/>
  <c r="AS61" i="4"/>
  <c r="AW123" i="2"/>
  <c r="BB61" i="4"/>
  <c r="AU15" i="2"/>
  <c r="AT61" i="4"/>
  <c r="BF61" i="4"/>
  <c r="AR61" i="4"/>
  <c r="AV62" i="4" s="1"/>
  <c r="I61" i="4"/>
  <c r="BE70" i="4"/>
  <c r="M69" i="4"/>
  <c r="BA71" i="4"/>
  <c r="BA72" i="4" s="1"/>
  <c r="BB72" i="4" s="1"/>
  <c r="L70" i="4"/>
  <c r="L104" i="4"/>
  <c r="L103" i="4"/>
  <c r="P16" i="4" l="1"/>
  <c r="P17" i="4"/>
  <c r="P18" i="4"/>
  <c r="P19" i="4"/>
  <c r="P20" i="4"/>
  <c r="P21" i="4"/>
  <c r="P22" i="4"/>
  <c r="P23" i="4"/>
  <c r="P24" i="4"/>
  <c r="P25" i="4"/>
  <c r="P26" i="4"/>
  <c r="P27" i="4"/>
  <c r="P28" i="4"/>
  <c r="P29" i="4"/>
  <c r="P30" i="4"/>
  <c r="P31" i="4"/>
  <c r="P32" i="4"/>
  <c r="P33" i="4"/>
  <c r="P34" i="4"/>
  <c r="P35" i="4"/>
  <c r="P36" i="4"/>
  <c r="AW15" i="2"/>
  <c r="AU124" i="2"/>
  <c r="AU61" i="4"/>
  <c r="AV61" i="4"/>
  <c r="L71" i="4"/>
  <c r="BE71" i="4"/>
  <c r="BE72" i="4" s="1"/>
  <c r="BF72" i="4" s="1"/>
  <c r="M70" i="4"/>
  <c r="AV63" i="4" l="1"/>
  <c r="AV65" i="4" s="1"/>
  <c r="AV67" i="4" s="1"/>
  <c r="J61" i="4"/>
  <c r="K61" i="4"/>
  <c r="AW124" i="2"/>
  <c r="L72" i="4"/>
  <c r="BA73" i="4"/>
  <c r="BE73" i="4"/>
  <c r="M71" i="4"/>
  <c r="AV64" i="4" l="1"/>
  <c r="AV66" i="4" s="1"/>
  <c r="AV68" i="4" s="1"/>
  <c r="J62" i="4"/>
  <c r="K62" i="4"/>
  <c r="I94" i="4" l="1"/>
  <c r="BD62" i="4"/>
  <c r="BH62" i="4"/>
  <c r="AV16" i="2"/>
  <c r="AV125" i="2" l="1"/>
  <c r="BB62" i="4" l="1"/>
  <c r="I62" i="4"/>
  <c r="BF62" i="4"/>
  <c r="AU16" i="2"/>
  <c r="AW16" i="2" l="1"/>
  <c r="AU125" i="2"/>
  <c r="AW125" i="2" l="1"/>
  <c r="Q38" i="4" l="1"/>
  <c r="R38" i="4"/>
  <c r="K94" i="4" l="1"/>
  <c r="J94" i="4"/>
  <c r="AV17" i="2" l="1"/>
  <c r="I95" i="4"/>
  <c r="BD63" i="4"/>
  <c r="BH63" i="4"/>
  <c r="J64" i="4"/>
  <c r="K63" i="4"/>
  <c r="J63" i="4"/>
  <c r="BH64" i="4"/>
  <c r="AV18" i="2"/>
  <c r="BD64" i="4"/>
  <c r="I96" i="4"/>
  <c r="K64" i="4"/>
  <c r="AU17" i="2" l="1"/>
  <c r="I63" i="4"/>
  <c r="BB63" i="4"/>
  <c r="BF63" i="4"/>
  <c r="AV126" i="2"/>
  <c r="AV127" i="2"/>
  <c r="AW17" i="2" l="1"/>
  <c r="AU126" i="2"/>
  <c r="I64" i="4"/>
  <c r="BF64" i="4"/>
  <c r="AU18" i="2"/>
  <c r="BB64" i="4"/>
  <c r="AU127" i="2" l="1"/>
  <c r="AW18" i="2"/>
  <c r="AW126" i="2"/>
  <c r="AV19" i="2" l="1"/>
  <c r="BD65" i="4"/>
  <c r="BH65" i="4"/>
  <c r="I97" i="4"/>
  <c r="AW127" i="2"/>
  <c r="J65" i="4" l="1"/>
  <c r="K65" i="4"/>
  <c r="AV128" i="2"/>
  <c r="AU19" i="2"/>
  <c r="BB65" i="4"/>
  <c r="I65" i="4"/>
  <c r="BF65" i="4"/>
  <c r="AU128" i="2" l="1"/>
  <c r="AW19" i="2"/>
  <c r="Q39" i="4"/>
  <c r="R39" i="4"/>
  <c r="AW128" i="2" l="1"/>
  <c r="J97" i="4" l="1"/>
  <c r="K97" i="4"/>
  <c r="K95" i="4"/>
  <c r="J95" i="4"/>
  <c r="K96" i="4"/>
  <c r="J96" i="4"/>
  <c r="BH66" i="4"/>
  <c r="BD66" i="4"/>
  <c r="I98" i="4"/>
  <c r="I100" i="4"/>
  <c r="BD68" i="4"/>
  <c r="BH68" i="4"/>
  <c r="AT68" i="4"/>
  <c r="AS68" i="4"/>
  <c r="I68" i="4"/>
  <c r="BB68" i="4"/>
  <c r="BF68" i="4"/>
  <c r="I67" i="4"/>
  <c r="P37" i="4" s="1"/>
  <c r="AR66" i="4"/>
  <c r="AU66" i="4" s="1"/>
  <c r="AS66" i="4"/>
  <c r="AT66" i="4"/>
  <c r="BB66" i="4"/>
  <c r="I66" i="4"/>
  <c r="BF66" i="4"/>
  <c r="BF67" i="4"/>
  <c r="AT67" i="4"/>
  <c r="AS67" i="4"/>
  <c r="BB67" i="4"/>
  <c r="AV21" i="2"/>
  <c r="AV130" i="2" s="1"/>
  <c r="BH67" i="4"/>
  <c r="I99" i="4"/>
  <c r="BD67" i="4"/>
  <c r="AV20" i="2"/>
  <c r="AV129" i="2" s="1"/>
  <c r="AU21" i="2"/>
  <c r="AR68" i="4"/>
  <c r="AU68" i="4" s="1"/>
  <c r="AR67" i="4"/>
  <c r="AU67" i="4" s="1"/>
  <c r="AU20" i="2"/>
  <c r="AU129" i="2" s="1"/>
  <c r="AV22" i="2"/>
  <c r="AU22" i="2"/>
  <c r="P40" i="4" l="1"/>
  <c r="AW129" i="2"/>
  <c r="AV131" i="2"/>
  <c r="AU130" i="2"/>
  <c r="AW21" i="2"/>
  <c r="AW22" i="2"/>
  <c r="AW20" i="2"/>
  <c r="AU131" i="2"/>
  <c r="P38" i="4"/>
  <c r="P39" i="4"/>
  <c r="AW131" i="2" l="1"/>
  <c r="AW130" i="2"/>
  <c r="K67" i="4" l="1"/>
  <c r="AV23" i="2" l="1"/>
  <c r="AS69" i="4"/>
  <c r="BD69" i="4"/>
  <c r="BH69" i="4"/>
  <c r="I101" i="4"/>
  <c r="J67" i="4"/>
  <c r="K66" i="4"/>
  <c r="R40" i="4" s="1"/>
  <c r="K68" i="4"/>
  <c r="J66" i="4"/>
  <c r="K69" i="4"/>
  <c r="J68" i="4"/>
  <c r="AV132" i="2" l="1"/>
  <c r="BF69" i="4"/>
  <c r="AR69" i="4"/>
  <c r="AU69" i="4" s="1"/>
  <c r="AU23" i="2"/>
  <c r="AU132" i="2" s="1"/>
  <c r="R41" i="4"/>
  <c r="AT69" i="4"/>
  <c r="AV69" i="4" s="1"/>
  <c r="I69" i="4"/>
  <c r="BB69" i="4"/>
  <c r="Q42" i="4"/>
  <c r="Q41" i="4"/>
  <c r="Q40" i="4"/>
  <c r="R42" i="4"/>
  <c r="AW23" i="2"/>
  <c r="AW132" i="2" l="1"/>
  <c r="AV24" i="2" l="1"/>
  <c r="BH70" i="4"/>
  <c r="I102" i="4"/>
  <c r="BD70" i="4"/>
  <c r="K70" i="4" l="1"/>
  <c r="J69" i="4"/>
  <c r="AV133" i="2"/>
  <c r="J70" i="4"/>
  <c r="AS70" i="4"/>
  <c r="AU24" i="2"/>
  <c r="BF70" i="4"/>
  <c r="BB70" i="4"/>
  <c r="AR70" i="4"/>
  <c r="AU70" i="4" s="1"/>
  <c r="AT70" i="4"/>
  <c r="AV70" i="4" s="1"/>
  <c r="I70" i="4"/>
  <c r="P41" i="4" s="1"/>
  <c r="AU133" i="2" l="1"/>
  <c r="AW24" i="2"/>
  <c r="AW133" i="2" l="1"/>
  <c r="J99" i="4" l="1"/>
  <c r="K99" i="4"/>
  <c r="K101" i="4"/>
  <c r="J101" i="4"/>
  <c r="BC124" i="4"/>
  <c r="BC125" i="4" s="1"/>
  <c r="K98" i="4"/>
  <c r="J98" i="4"/>
  <c r="K100" i="4"/>
  <c r="J100" i="4"/>
  <c r="K102" i="4"/>
  <c r="J102" i="4"/>
  <c r="AR71" i="4"/>
  <c r="AU71" i="4" s="1"/>
  <c r="I103" i="4"/>
  <c r="BD71" i="4"/>
  <c r="BH71" i="4"/>
  <c r="AT71" i="4"/>
  <c r="AV71" i="4" s="1"/>
  <c r="P43" i="4"/>
  <c r="I71" i="4"/>
  <c r="P42" i="4" s="1"/>
  <c r="BB71" i="4"/>
  <c r="AS71" i="4"/>
  <c r="BF71" i="4"/>
  <c r="AV25" i="2"/>
  <c r="AU25" i="2"/>
  <c r="AU134" i="2" s="1"/>
  <c r="AS111" i="2" l="1"/>
  <c r="AP111" i="2"/>
  <c r="AJ111" i="2"/>
  <c r="AG111" i="2"/>
  <c r="O111" i="2"/>
  <c r="AD111" i="2"/>
  <c r="F111" i="2"/>
  <c r="X111" i="2"/>
  <c r="L111" i="2"/>
  <c r="R111" i="2"/>
  <c r="U111" i="2"/>
  <c r="AA111" i="2"/>
  <c r="C111" i="2"/>
  <c r="I111" i="2"/>
  <c r="AR111" i="2"/>
  <c r="AO111" i="2"/>
  <c r="AI111" i="2"/>
  <c r="AI126" i="2" s="1"/>
  <c r="Q111" i="2"/>
  <c r="Z111" i="2"/>
  <c r="Z117" i="2" s="1"/>
  <c r="B111" i="2"/>
  <c r="K111" i="2"/>
  <c r="E111" i="2"/>
  <c r="W111" i="2"/>
  <c r="H111" i="2"/>
  <c r="N111" i="2"/>
  <c r="N125" i="2" s="1"/>
  <c r="T111" i="2"/>
  <c r="T134" i="2" s="1"/>
  <c r="T157" i="2" s="1"/>
  <c r="AC111" i="2"/>
  <c r="AF111" i="2"/>
  <c r="AF132" i="2" s="1"/>
  <c r="AF155" i="2"/>
  <c r="AF123" i="2"/>
  <c r="AF119" i="2"/>
  <c r="AF120" i="2"/>
  <c r="AF125" i="2"/>
  <c r="AF134" i="2"/>
  <c r="AF157" i="2" s="1"/>
  <c r="AF133" i="2"/>
  <c r="AF126" i="2"/>
  <c r="AF121" i="2"/>
  <c r="AF117" i="2"/>
  <c r="AF115" i="2"/>
  <c r="AV134" i="2"/>
  <c r="AW134" i="2" s="1"/>
  <c r="N135" i="2"/>
  <c r="N132" i="2"/>
  <c r="N129" i="2"/>
  <c r="N131" i="2"/>
  <c r="N123" i="2"/>
  <c r="N130" i="2"/>
  <c r="N116" i="2"/>
  <c r="N119" i="2"/>
  <c r="N134" i="2"/>
  <c r="N126" i="2"/>
  <c r="N115" i="2"/>
  <c r="AW25" i="2"/>
  <c r="N122" i="2"/>
  <c r="T133" i="2"/>
  <c r="T123" i="2"/>
  <c r="T119" i="2"/>
  <c r="H132" i="2"/>
  <c r="H128" i="2"/>
  <c r="H118" i="2"/>
  <c r="H134" i="2"/>
  <c r="H116" i="2"/>
  <c r="H119" i="2"/>
  <c r="H127" i="2"/>
  <c r="E132" i="2"/>
  <c r="H131" i="2"/>
  <c r="H123" i="2"/>
  <c r="W119" i="2"/>
  <c r="W135" i="2"/>
  <c r="W133" i="2"/>
  <c r="W128" i="2"/>
  <c r="W130" i="2"/>
  <c r="W129" i="2"/>
  <c r="W123" i="2"/>
  <c r="W131" i="2"/>
  <c r="W122" i="2"/>
  <c r="W116" i="2"/>
  <c r="E126" i="2"/>
  <c r="W125" i="2"/>
  <c r="W127" i="2"/>
  <c r="W117" i="2"/>
  <c r="E127" i="2"/>
  <c r="E134" i="2"/>
  <c r="E157" i="2" s="1"/>
  <c r="E128" i="2"/>
  <c r="E131" i="2"/>
  <c r="E122" i="2"/>
  <c r="E116" i="2"/>
  <c r="E135" i="2"/>
  <c r="E133" i="2"/>
  <c r="E129" i="2"/>
  <c r="E121" i="2"/>
  <c r="E120" i="2"/>
  <c r="W118" i="2"/>
  <c r="H125" i="2"/>
  <c r="E130" i="2"/>
  <c r="E117" i="2"/>
  <c r="Z126" i="2" l="1"/>
  <c r="AF124" i="2"/>
  <c r="T125" i="2"/>
  <c r="AF122" i="2"/>
  <c r="AF131" i="2"/>
  <c r="AI123" i="2"/>
  <c r="AF128" i="2"/>
  <c r="T130" i="2"/>
  <c r="T153" i="2" s="1"/>
  <c r="AI135" i="2"/>
  <c r="AF116" i="2"/>
  <c r="AI122" i="2"/>
  <c r="AF118" i="2"/>
  <c r="AF141" i="2" s="1"/>
  <c r="Z124" i="2"/>
  <c r="Z147" i="2" s="1"/>
  <c r="Z127" i="2"/>
  <c r="Z150" i="2" s="1"/>
  <c r="Z134" i="2"/>
  <c r="Z157" i="2" s="1"/>
  <c r="Z123" i="2"/>
  <c r="Z146" i="2" s="1"/>
  <c r="Z133" i="2"/>
  <c r="Z156" i="2" s="1"/>
  <c r="Z130" i="2"/>
  <c r="Z153" i="2" s="1"/>
  <c r="Z120" i="2"/>
  <c r="Z143" i="2" s="1"/>
  <c r="Z122" i="2"/>
  <c r="Z145" i="2" s="1"/>
  <c r="Z125" i="2"/>
  <c r="Z148" i="2" s="1"/>
  <c r="AR122" i="2"/>
  <c r="AR145" i="2" s="1"/>
  <c r="AR120" i="2"/>
  <c r="AR143" i="2" s="1"/>
  <c r="AR123" i="2"/>
  <c r="AR146" i="2" s="1"/>
  <c r="AR121" i="2"/>
  <c r="AR144" i="2" s="1"/>
  <c r="AR131" i="2"/>
  <c r="AR154" i="2" s="1"/>
  <c r="AR133" i="2"/>
  <c r="AR156" i="2" s="1"/>
  <c r="AR116" i="2"/>
  <c r="AR139" i="2" s="1"/>
  <c r="AR127" i="2"/>
  <c r="AR150" i="2" s="1"/>
  <c r="AR132" i="2"/>
  <c r="AI130" i="2"/>
  <c r="AI153" i="2" s="1"/>
  <c r="Z116" i="2"/>
  <c r="Z139" i="2" s="1"/>
  <c r="AI117" i="2"/>
  <c r="AI140" i="2" s="1"/>
  <c r="Z118" i="2"/>
  <c r="Z141" i="2" s="1"/>
  <c r="AI128" i="2"/>
  <c r="AR125" i="2"/>
  <c r="AR148" i="2" s="1"/>
  <c r="AR129" i="2"/>
  <c r="AR152" i="2" s="1"/>
  <c r="AR124" i="2"/>
  <c r="AR147" i="2" s="1"/>
  <c r="AI115" i="2"/>
  <c r="AI138" i="2" s="1"/>
  <c r="AR135" i="2"/>
  <c r="T132" i="2"/>
  <c r="AI131" i="2"/>
  <c r="AR134" i="2"/>
  <c r="T124" i="2"/>
  <c r="T147" i="2" s="1"/>
  <c r="AI120" i="2"/>
  <c r="AI143" i="2" s="1"/>
  <c r="N124" i="2"/>
  <c r="N147" i="2" s="1"/>
  <c r="N117" i="2"/>
  <c r="N140" i="2" s="1"/>
  <c r="AR128" i="2"/>
  <c r="AI125" i="2"/>
  <c r="AI148" i="2" s="1"/>
  <c r="Z131" i="2"/>
  <c r="N128" i="2"/>
  <c r="N151" i="2" s="1"/>
  <c r="AF135" i="2"/>
  <c r="AI118" i="2"/>
  <c r="AR115" i="2"/>
  <c r="AR138" i="2" s="1"/>
  <c r="AR119" i="2"/>
  <c r="AR142" i="2" s="1"/>
  <c r="AI121" i="2"/>
  <c r="AI144" i="2" s="1"/>
  <c r="Z115" i="2"/>
  <c r="Z138" i="2" s="1"/>
  <c r="T115" i="2"/>
  <c r="T138" i="2" s="1"/>
  <c r="T131" i="2"/>
  <c r="T154" i="2" s="1"/>
  <c r="T122" i="2"/>
  <c r="T145" i="2" s="1"/>
  <c r="T120" i="2"/>
  <c r="T143" i="2" s="1"/>
  <c r="T127" i="2"/>
  <c r="T150" i="2" s="1"/>
  <c r="T129" i="2"/>
  <c r="T152" i="2" s="1"/>
  <c r="T116" i="2"/>
  <c r="T139" i="2" s="1"/>
  <c r="T121" i="2"/>
  <c r="T144" i="2" s="1"/>
  <c r="T128" i="2"/>
  <c r="T151" i="2" s="1"/>
  <c r="AR117" i="2"/>
  <c r="AI119" i="2"/>
  <c r="AI142" i="2" s="1"/>
  <c r="T117" i="2"/>
  <c r="T140" i="2" s="1"/>
  <c r="N118" i="2"/>
  <c r="N141" i="2" s="1"/>
  <c r="AR126" i="2"/>
  <c r="AR149" i="2" s="1"/>
  <c r="T126" i="2"/>
  <c r="T149" i="2" s="1"/>
  <c r="AI133" i="2"/>
  <c r="AI156" i="2" s="1"/>
  <c r="Z121" i="2"/>
  <c r="AF127" i="2"/>
  <c r="W126" i="2"/>
  <c r="W149" i="2" s="1"/>
  <c r="W124" i="2"/>
  <c r="W147" i="2" s="1"/>
  <c r="W115" i="2"/>
  <c r="W138" i="2" s="1"/>
  <c r="W134" i="2"/>
  <c r="W157" i="2" s="1"/>
  <c r="W121" i="2"/>
  <c r="W144" i="2" s="1"/>
  <c r="W132" i="2"/>
  <c r="W155" i="2" s="1"/>
  <c r="W120" i="2"/>
  <c r="W143" i="2" s="1"/>
  <c r="Z119" i="2"/>
  <c r="AR130" i="2"/>
  <c r="AI134" i="2"/>
  <c r="T135" i="2"/>
  <c r="Z129" i="2"/>
  <c r="Z152" i="2" s="1"/>
  <c r="N133" i="2"/>
  <c r="N156" i="2" s="1"/>
  <c r="N127" i="2"/>
  <c r="N150" i="2" s="1"/>
  <c r="N121" i="2"/>
  <c r="N144" i="2" s="1"/>
  <c r="AR118" i="2"/>
  <c r="AR141" i="2" s="1"/>
  <c r="AI127" i="2"/>
  <c r="AI150" i="2" s="1"/>
  <c r="Z128" i="2"/>
  <c r="Z151" i="2" s="1"/>
  <c r="AF129" i="2"/>
  <c r="AF152" i="2" s="1"/>
  <c r="H133" i="2"/>
  <c r="H156" i="2" s="1"/>
  <c r="H129" i="2"/>
  <c r="H152" i="2" s="1"/>
  <c r="H126" i="2"/>
  <c r="H149" i="2" s="1"/>
  <c r="H122" i="2"/>
  <c r="H145" i="2" s="1"/>
  <c r="H120" i="2"/>
  <c r="H143" i="2" s="1"/>
  <c r="H130" i="2"/>
  <c r="H153" i="2" s="1"/>
  <c r="H124" i="2"/>
  <c r="H147" i="2" s="1"/>
  <c r="H117" i="2"/>
  <c r="H140" i="2" s="1"/>
  <c r="H121" i="2"/>
  <c r="H144" i="2" s="1"/>
  <c r="H115" i="2"/>
  <c r="H138" i="2" s="1"/>
  <c r="H135" i="2"/>
  <c r="T118" i="2"/>
  <c r="T141" i="2" s="1"/>
  <c r="Z132" i="2"/>
  <c r="Z155" i="2" s="1"/>
  <c r="N120" i="2"/>
  <c r="N143" i="2" s="1"/>
  <c r="AF130" i="2"/>
  <c r="AF153" i="2" s="1"/>
  <c r="E118" i="2"/>
  <c r="E141" i="2" s="1"/>
  <c r="E115" i="2"/>
  <c r="E138" i="2" s="1"/>
  <c r="E123" i="2"/>
  <c r="E146" i="2" s="1"/>
  <c r="E124" i="2"/>
  <c r="E147" i="2" s="1"/>
  <c r="E125" i="2"/>
  <c r="E148" i="2" s="1"/>
  <c r="E119" i="2"/>
  <c r="E142" i="2" s="1"/>
  <c r="AI116" i="2"/>
  <c r="AI139" i="2" s="1"/>
  <c r="AI124" i="2"/>
  <c r="AI147" i="2" s="1"/>
  <c r="AI132" i="2"/>
  <c r="AI155" i="2" s="1"/>
  <c r="AI129" i="2"/>
  <c r="AI152" i="2" s="1"/>
  <c r="Z135" i="2"/>
  <c r="AF143" i="2"/>
  <c r="L133" i="2"/>
  <c r="L156" i="2" s="1"/>
  <c r="L128" i="2"/>
  <c r="L151" i="2" s="1"/>
  <c r="L124" i="2"/>
  <c r="L147" i="2" s="1"/>
  <c r="L118" i="2"/>
  <c r="L141" i="2" s="1"/>
  <c r="L122" i="2"/>
  <c r="L145" i="2" s="1"/>
  <c r="L121" i="2"/>
  <c r="L144" i="2" s="1"/>
  <c r="L119" i="2"/>
  <c r="L142" i="2" s="1"/>
  <c r="L125" i="2"/>
  <c r="L148" i="2" s="1"/>
  <c r="L129" i="2"/>
  <c r="L152" i="2" s="1"/>
  <c r="L116" i="2"/>
  <c r="L139" i="2" s="1"/>
  <c r="L130" i="2"/>
  <c r="L153" i="2" s="1"/>
  <c r="L134" i="2"/>
  <c r="L157" i="2" s="1"/>
  <c r="L126" i="2"/>
  <c r="L149" i="2" s="1"/>
  <c r="L131" i="2"/>
  <c r="L154" i="2" s="1"/>
  <c r="L115" i="2"/>
  <c r="L138" i="2" s="1"/>
  <c r="L117" i="2"/>
  <c r="L140" i="2" s="1"/>
  <c r="L135" i="2"/>
  <c r="L127" i="2"/>
  <c r="L150" i="2" s="1"/>
  <c r="L120" i="2"/>
  <c r="L143" i="2" s="1"/>
  <c r="L123" i="2"/>
  <c r="L146" i="2" s="1"/>
  <c r="L132" i="2"/>
  <c r="L155" i="2" s="1"/>
  <c r="H141" i="2"/>
  <c r="H151" i="2"/>
  <c r="AF151" i="2"/>
  <c r="H155" i="2"/>
  <c r="AF139" i="2"/>
  <c r="H148" i="2"/>
  <c r="AI157" i="2"/>
  <c r="W141" i="2"/>
  <c r="W146" i="2"/>
  <c r="O130" i="2"/>
  <c r="O153" i="2" s="1"/>
  <c r="O123" i="2"/>
  <c r="O146" i="2" s="1"/>
  <c r="O121" i="2"/>
  <c r="O129" i="2"/>
  <c r="O152" i="2" s="1"/>
  <c r="O131" i="2"/>
  <c r="O154" i="2" s="1"/>
  <c r="O124" i="2"/>
  <c r="O147" i="2" s="1"/>
  <c r="O135" i="2"/>
  <c r="P135" i="2" s="1"/>
  <c r="O119" i="2"/>
  <c r="O142" i="2" s="1"/>
  <c r="O127" i="2"/>
  <c r="O122" i="2"/>
  <c r="O145" i="2" s="1"/>
  <c r="O133" i="2"/>
  <c r="O120" i="2"/>
  <c r="O143" i="2" s="1"/>
  <c r="O134" i="2"/>
  <c r="O157" i="2" s="1"/>
  <c r="O116" i="2"/>
  <c r="O139" i="2" s="1"/>
  <c r="O115" i="2"/>
  <c r="O138" i="2" s="1"/>
  <c r="O126" i="2"/>
  <c r="O149" i="2" s="1"/>
  <c r="O118" i="2"/>
  <c r="O141" i="2" s="1"/>
  <c r="O132" i="2"/>
  <c r="O155" i="2" s="1"/>
  <c r="O125" i="2"/>
  <c r="O148" i="2" s="1"/>
  <c r="O117" i="2"/>
  <c r="O140" i="2" s="1"/>
  <c r="O128" i="2"/>
  <c r="O151" i="2" s="1"/>
  <c r="E152" i="2"/>
  <c r="AI149" i="2"/>
  <c r="AD130" i="2"/>
  <c r="AD153" i="2" s="1"/>
  <c r="AD121" i="2"/>
  <c r="AD144" i="2" s="1"/>
  <c r="AD120" i="2"/>
  <c r="AD143" i="2" s="1"/>
  <c r="AD125" i="2"/>
  <c r="AD148" i="2" s="1"/>
  <c r="AD119" i="2"/>
  <c r="AD142" i="2" s="1"/>
  <c r="AD122" i="2"/>
  <c r="AD145" i="2" s="1"/>
  <c r="AD118" i="2"/>
  <c r="AD141" i="2" s="1"/>
  <c r="AD131" i="2"/>
  <c r="AD154" i="2" s="1"/>
  <c r="AD123" i="2"/>
  <c r="AD146" i="2" s="1"/>
  <c r="AD132" i="2"/>
  <c r="AD155" i="2" s="1"/>
  <c r="AD117" i="2"/>
  <c r="AD140" i="2" s="1"/>
  <c r="AD129" i="2"/>
  <c r="AD152" i="2" s="1"/>
  <c r="AD133" i="2"/>
  <c r="AD156" i="2" s="1"/>
  <c r="AD124" i="2"/>
  <c r="AD147" i="2" s="1"/>
  <c r="AD126" i="2"/>
  <c r="AD149" i="2" s="1"/>
  <c r="AD128" i="2"/>
  <c r="AD151" i="2" s="1"/>
  <c r="AD134" i="2"/>
  <c r="AD157" i="2" s="1"/>
  <c r="AD127" i="2"/>
  <c r="AD150" i="2" s="1"/>
  <c r="AD116" i="2"/>
  <c r="AD139" i="2" s="1"/>
  <c r="AD135" i="2"/>
  <c r="AD115" i="2"/>
  <c r="AD138" i="2" s="1"/>
  <c r="Z140" i="2"/>
  <c r="W151" i="2"/>
  <c r="AR157" i="2"/>
  <c r="AI146" i="2"/>
  <c r="Z149" i="2"/>
  <c r="B129" i="2"/>
  <c r="B131" i="2"/>
  <c r="B135" i="2"/>
  <c r="B121" i="2"/>
  <c r="AX111" i="2"/>
  <c r="B118" i="2"/>
  <c r="B115" i="2"/>
  <c r="B127" i="2"/>
  <c r="B125" i="2"/>
  <c r="B130" i="2"/>
  <c r="B126" i="2"/>
  <c r="B117" i="2"/>
  <c r="B122" i="2"/>
  <c r="B134" i="2"/>
  <c r="B123" i="2"/>
  <c r="B119" i="2"/>
  <c r="B133" i="2"/>
  <c r="B128" i="2"/>
  <c r="B116" i="2"/>
  <c r="B120" i="2"/>
  <c r="B124" i="2"/>
  <c r="B132" i="2"/>
  <c r="W150" i="2"/>
  <c r="AC133" i="2"/>
  <c r="AC117" i="2"/>
  <c r="AC119" i="2"/>
  <c r="AC135" i="2"/>
  <c r="AC116" i="2"/>
  <c r="AC127" i="2"/>
  <c r="AC130" i="2"/>
  <c r="AC134" i="2"/>
  <c r="AC129" i="2"/>
  <c r="AC120" i="2"/>
  <c r="AC118" i="2"/>
  <c r="AC125" i="2"/>
  <c r="AC132" i="2"/>
  <c r="AC124" i="2"/>
  <c r="AC131" i="2"/>
  <c r="AC115" i="2"/>
  <c r="AC122" i="2"/>
  <c r="AC121" i="2"/>
  <c r="AC123" i="2"/>
  <c r="AC126" i="2"/>
  <c r="AC128" i="2"/>
  <c r="N138" i="2"/>
  <c r="AF154" i="2"/>
  <c r="E149" i="2"/>
  <c r="N146" i="2"/>
  <c r="N145" i="2"/>
  <c r="E144" i="2"/>
  <c r="W153" i="2"/>
  <c r="E139" i="2"/>
  <c r="N155" i="2"/>
  <c r="T156" i="2"/>
  <c r="AI145" i="2"/>
  <c r="H157" i="2"/>
  <c r="N139" i="2"/>
  <c r="C133" i="2"/>
  <c r="C131" i="2"/>
  <c r="C116" i="2"/>
  <c r="C121" i="2"/>
  <c r="C132" i="2"/>
  <c r="C123" i="2"/>
  <c r="C126" i="2"/>
  <c r="C124" i="2"/>
  <c r="C128" i="2"/>
  <c r="C129" i="2"/>
  <c r="C120" i="2"/>
  <c r="C130" i="2"/>
  <c r="C134" i="2"/>
  <c r="C157" i="2" s="1"/>
  <c r="C119" i="2"/>
  <c r="C127" i="2"/>
  <c r="C115" i="2"/>
  <c r="AY111" i="2"/>
  <c r="C125" i="2"/>
  <c r="C118" i="2"/>
  <c r="C135" i="2"/>
  <c r="C122" i="2"/>
  <c r="C117" i="2"/>
  <c r="W139" i="2"/>
  <c r="AP134" i="2"/>
  <c r="AP157" i="2" s="1"/>
  <c r="AP123" i="2"/>
  <c r="AP146" i="2" s="1"/>
  <c r="AP117" i="2"/>
  <c r="AP140" i="2" s="1"/>
  <c r="AP118" i="2"/>
  <c r="AP141" i="2" s="1"/>
  <c r="AP133" i="2"/>
  <c r="AP156" i="2" s="1"/>
  <c r="AP124" i="2"/>
  <c r="AP147" i="2" s="1"/>
  <c r="AP126" i="2"/>
  <c r="AP149" i="2" s="1"/>
  <c r="AP130" i="2"/>
  <c r="AP153" i="2" s="1"/>
  <c r="AP122" i="2"/>
  <c r="AP145" i="2" s="1"/>
  <c r="AP132" i="2"/>
  <c r="AP155" i="2" s="1"/>
  <c r="AP119" i="2"/>
  <c r="AP142" i="2" s="1"/>
  <c r="AP116" i="2"/>
  <c r="AP139" i="2" s="1"/>
  <c r="AP128" i="2"/>
  <c r="AP151" i="2" s="1"/>
  <c r="AP135" i="2"/>
  <c r="AP121" i="2"/>
  <c r="AP144" i="2" s="1"/>
  <c r="AP120" i="2"/>
  <c r="AP143" i="2" s="1"/>
  <c r="AP127" i="2"/>
  <c r="AP150" i="2" s="1"/>
  <c r="AP131" i="2"/>
  <c r="AP154" i="2" s="1"/>
  <c r="AP125" i="2"/>
  <c r="AP148" i="2" s="1"/>
  <c r="AP129" i="2"/>
  <c r="AP152" i="2" s="1"/>
  <c r="AP115" i="2"/>
  <c r="AP138" i="2" s="1"/>
  <c r="P125" i="2"/>
  <c r="P148" i="2" s="1"/>
  <c r="N148" i="2"/>
  <c r="T146" i="2"/>
  <c r="I128" i="2"/>
  <c r="I151" i="2" s="1"/>
  <c r="I117" i="2"/>
  <c r="I120" i="2"/>
  <c r="I131" i="2"/>
  <c r="I154" i="2" s="1"/>
  <c r="I124" i="2"/>
  <c r="I125" i="2"/>
  <c r="I148" i="2" s="1"/>
  <c r="I122" i="2"/>
  <c r="I133" i="2"/>
  <c r="I115" i="2"/>
  <c r="I127" i="2"/>
  <c r="I150" i="2" s="1"/>
  <c r="I135" i="2"/>
  <c r="I123" i="2"/>
  <c r="I146" i="2" s="1"/>
  <c r="I129" i="2"/>
  <c r="I118" i="2"/>
  <c r="I141" i="2" s="1"/>
  <c r="I134" i="2"/>
  <c r="J134" i="2" s="1"/>
  <c r="J157" i="2" s="1"/>
  <c r="I121" i="2"/>
  <c r="I116" i="2"/>
  <c r="I139" i="2" s="1"/>
  <c r="I130" i="2"/>
  <c r="I132" i="2"/>
  <c r="I155" i="2" s="1"/>
  <c r="I126" i="2"/>
  <c r="I119" i="2"/>
  <c r="I142" i="2" s="1"/>
  <c r="T155" i="2"/>
  <c r="AI141" i="2"/>
  <c r="Z142" i="2"/>
  <c r="X126" i="2"/>
  <c r="X117" i="2"/>
  <c r="X140" i="2" s="1"/>
  <c r="X130" i="2"/>
  <c r="X153" i="2" s="1"/>
  <c r="X131" i="2"/>
  <c r="X154" i="2" s="1"/>
  <c r="X121" i="2"/>
  <c r="X132" i="2"/>
  <c r="X129" i="2"/>
  <c r="X152" i="2" s="1"/>
  <c r="X119" i="2"/>
  <c r="X142" i="2" s="1"/>
  <c r="X134" i="2"/>
  <c r="X118" i="2"/>
  <c r="X141" i="2" s="1"/>
  <c r="X125" i="2"/>
  <c r="X148" i="2" s="1"/>
  <c r="X123" i="2"/>
  <c r="X146" i="2" s="1"/>
  <c r="X116" i="2"/>
  <c r="X139" i="2" s="1"/>
  <c r="X135" i="2"/>
  <c r="Y135" i="2" s="1"/>
  <c r="X124" i="2"/>
  <c r="X128" i="2"/>
  <c r="X151" i="2" s="1"/>
  <c r="X133" i="2"/>
  <c r="X156" i="2" s="1"/>
  <c r="X122" i="2"/>
  <c r="X145" i="2" s="1"/>
  <c r="X115" i="2"/>
  <c r="X127" i="2"/>
  <c r="X150" i="2" s="1"/>
  <c r="X120" i="2"/>
  <c r="AF156" i="2"/>
  <c r="W140" i="2"/>
  <c r="N149" i="2"/>
  <c r="AF142" i="2"/>
  <c r="Q124" i="2"/>
  <c r="Q132" i="2"/>
  <c r="Q134" i="2"/>
  <c r="Q123" i="2"/>
  <c r="Q125" i="2"/>
  <c r="Q126" i="2"/>
  <c r="Q119" i="2"/>
  <c r="Q130" i="2"/>
  <c r="Q127" i="2"/>
  <c r="Q117" i="2"/>
  <c r="Q115" i="2"/>
  <c r="Q133" i="2"/>
  <c r="Q118" i="2"/>
  <c r="Q120" i="2"/>
  <c r="Q135" i="2"/>
  <c r="Q121" i="2"/>
  <c r="Q122" i="2"/>
  <c r="Q116" i="2"/>
  <c r="Q131" i="2"/>
  <c r="Q128" i="2"/>
  <c r="Q129" i="2"/>
  <c r="W148" i="2"/>
  <c r="E155" i="2"/>
  <c r="W154" i="2"/>
  <c r="N154" i="2"/>
  <c r="N152" i="2"/>
  <c r="W152" i="2"/>
  <c r="F123" i="2"/>
  <c r="F128" i="2"/>
  <c r="F151" i="2" s="1"/>
  <c r="F120" i="2"/>
  <c r="F143" i="2" s="1"/>
  <c r="F133" i="2"/>
  <c r="F156" i="2" s="1"/>
  <c r="F125" i="2"/>
  <c r="F127" i="2"/>
  <c r="F150" i="2" s="1"/>
  <c r="F135" i="2"/>
  <c r="G135" i="2" s="1"/>
  <c r="F132" i="2"/>
  <c r="F155" i="2" s="1"/>
  <c r="F122" i="2"/>
  <c r="F145" i="2" s="1"/>
  <c r="F131" i="2"/>
  <c r="F154" i="2" s="1"/>
  <c r="F116" i="2"/>
  <c r="F139" i="2" s="1"/>
  <c r="F118" i="2"/>
  <c r="F124" i="2"/>
  <c r="F115" i="2"/>
  <c r="F134" i="2"/>
  <c r="F157" i="2" s="1"/>
  <c r="F119" i="2"/>
  <c r="F117" i="2"/>
  <c r="F140" i="2" s="1"/>
  <c r="F130" i="2"/>
  <c r="F153" i="2" s="1"/>
  <c r="F126" i="2"/>
  <c r="F149" i="2" s="1"/>
  <c r="F121" i="2"/>
  <c r="F144" i="2" s="1"/>
  <c r="F129" i="2"/>
  <c r="F152" i="2" s="1"/>
  <c r="AR151" i="2"/>
  <c r="E145" i="2"/>
  <c r="W142" i="2"/>
  <c r="R120" i="2"/>
  <c r="R143" i="2" s="1"/>
  <c r="R127" i="2"/>
  <c r="R150" i="2" s="1"/>
  <c r="R125" i="2"/>
  <c r="R148" i="2" s="1"/>
  <c r="R116" i="2"/>
  <c r="R139" i="2" s="1"/>
  <c r="R122" i="2"/>
  <c r="R145" i="2" s="1"/>
  <c r="R118" i="2"/>
  <c r="R141" i="2" s="1"/>
  <c r="R134" i="2"/>
  <c r="R157" i="2" s="1"/>
  <c r="R126" i="2"/>
  <c r="R149" i="2" s="1"/>
  <c r="R132" i="2"/>
  <c r="R155" i="2" s="1"/>
  <c r="R121" i="2"/>
  <c r="R144" i="2" s="1"/>
  <c r="R129" i="2"/>
  <c r="R152" i="2" s="1"/>
  <c r="R131" i="2"/>
  <c r="R154" i="2" s="1"/>
  <c r="R123" i="2"/>
  <c r="R146" i="2" s="1"/>
  <c r="R115" i="2"/>
  <c r="R138" i="2" s="1"/>
  <c r="R117" i="2"/>
  <c r="R140" i="2" s="1"/>
  <c r="R124" i="2"/>
  <c r="R147" i="2" s="1"/>
  <c r="R135" i="2"/>
  <c r="R130" i="2"/>
  <c r="R153" i="2" s="1"/>
  <c r="R119" i="2"/>
  <c r="R142" i="2" s="1"/>
  <c r="R128" i="2"/>
  <c r="R151" i="2" s="1"/>
  <c r="R133" i="2"/>
  <c r="R156" i="2" s="1"/>
  <c r="AF147" i="2"/>
  <c r="AF146" i="2"/>
  <c r="H150" i="2"/>
  <c r="J127" i="2"/>
  <c r="J150" i="2" s="1"/>
  <c r="K135" i="2"/>
  <c r="M135" i="2" s="1"/>
  <c r="K116" i="2"/>
  <c r="K121" i="2"/>
  <c r="K128" i="2"/>
  <c r="K133" i="2"/>
  <c r="K134" i="2"/>
  <c r="K126" i="2"/>
  <c r="K119" i="2"/>
  <c r="K127" i="2"/>
  <c r="K129" i="2"/>
  <c r="K131" i="2"/>
  <c r="K123" i="2"/>
  <c r="K130" i="2"/>
  <c r="K125" i="2"/>
  <c r="K115" i="2"/>
  <c r="K117" i="2"/>
  <c r="K120" i="2"/>
  <c r="K124" i="2"/>
  <c r="K118" i="2"/>
  <c r="K122" i="2"/>
  <c r="K132" i="2"/>
  <c r="P134" i="2"/>
  <c r="P157" i="2" s="1"/>
  <c r="AO116" i="2"/>
  <c r="AO129" i="2"/>
  <c r="AO128" i="2"/>
  <c r="AO134" i="2"/>
  <c r="AO121" i="2"/>
  <c r="AO130" i="2"/>
  <c r="AO125" i="2"/>
  <c r="AO135" i="2"/>
  <c r="AO127" i="2"/>
  <c r="AO133" i="2"/>
  <c r="AO120" i="2"/>
  <c r="AO131" i="2"/>
  <c r="AO119" i="2"/>
  <c r="AO117" i="2"/>
  <c r="AO122" i="2"/>
  <c r="AO126" i="2"/>
  <c r="AO118" i="2"/>
  <c r="AO124" i="2"/>
  <c r="AO115" i="2"/>
  <c r="AO123" i="2"/>
  <c r="AO132" i="2"/>
  <c r="N142" i="2"/>
  <c r="T148" i="2"/>
  <c r="H154" i="2"/>
  <c r="AA131" i="2"/>
  <c r="AA154" i="2" s="1"/>
  <c r="AA124" i="2"/>
  <c r="AA117" i="2"/>
  <c r="AA140" i="2" s="1"/>
  <c r="AA116" i="2"/>
  <c r="AA139" i="2" s="1"/>
  <c r="AA132" i="2"/>
  <c r="AA155" i="2" s="1"/>
  <c r="AA130" i="2"/>
  <c r="AA123" i="2"/>
  <c r="AA120" i="2"/>
  <c r="AA133" i="2"/>
  <c r="AA135" i="2"/>
  <c r="AA122" i="2"/>
  <c r="AA118" i="2"/>
  <c r="AA141" i="2" s="1"/>
  <c r="AA134" i="2"/>
  <c r="AA125" i="2"/>
  <c r="AA148" i="2" s="1"/>
  <c r="AA126" i="2"/>
  <c r="AA149" i="2" s="1"/>
  <c r="AA129" i="2"/>
  <c r="AA152" i="2" s="1"/>
  <c r="AA115" i="2"/>
  <c r="AA138" i="2" s="1"/>
  <c r="AA127" i="2"/>
  <c r="AA121" i="2"/>
  <c r="AA144" i="2" s="1"/>
  <c r="AA119" i="2"/>
  <c r="AA142" i="2" s="1"/>
  <c r="AA128" i="2"/>
  <c r="AA151" i="2" s="1"/>
  <c r="AG132" i="2"/>
  <c r="AG127" i="2"/>
  <c r="AG150" i="2" s="1"/>
  <c r="AG125" i="2"/>
  <c r="AG148" i="2" s="1"/>
  <c r="AG121" i="2"/>
  <c r="AG144" i="2" s="1"/>
  <c r="AG122" i="2"/>
  <c r="AG145" i="2" s="1"/>
  <c r="AG130" i="2"/>
  <c r="AG153" i="2" s="1"/>
  <c r="AG116" i="2"/>
  <c r="AG139" i="2" s="1"/>
  <c r="AG124" i="2"/>
  <c r="AG147" i="2" s="1"/>
  <c r="AG129" i="2"/>
  <c r="AG152" i="2" s="1"/>
  <c r="AG117" i="2"/>
  <c r="AG140" i="2" s="1"/>
  <c r="AG131" i="2"/>
  <c r="AG154" i="2" s="1"/>
  <c r="AG133" i="2"/>
  <c r="AG156" i="2" s="1"/>
  <c r="AG115" i="2"/>
  <c r="AG138" i="2" s="1"/>
  <c r="AG126" i="2"/>
  <c r="AG149" i="2" s="1"/>
  <c r="AG135" i="2"/>
  <c r="AG128" i="2"/>
  <c r="AG151" i="2" s="1"/>
  <c r="AG123" i="2"/>
  <c r="AG146" i="2" s="1"/>
  <c r="AG134" i="2"/>
  <c r="AG157" i="2" s="1"/>
  <c r="AG119" i="2"/>
  <c r="AG142" i="2" s="1"/>
  <c r="AG118" i="2"/>
  <c r="AG141" i="2" s="1"/>
  <c r="AG120" i="2"/>
  <c r="AG143" i="2" s="1"/>
  <c r="W145" i="2"/>
  <c r="AF138" i="2"/>
  <c r="Z144" i="2"/>
  <c r="AF144" i="2"/>
  <c r="E154" i="2"/>
  <c r="H142" i="2"/>
  <c r="H139" i="2"/>
  <c r="AF145" i="2"/>
  <c r="AI154" i="2"/>
  <c r="AS128" i="2"/>
  <c r="AS151" i="2" s="1"/>
  <c r="AS124" i="2"/>
  <c r="AS147" i="2" s="1"/>
  <c r="AS129" i="2"/>
  <c r="AS152" i="2" s="1"/>
  <c r="AS118" i="2"/>
  <c r="AS141" i="2" s="1"/>
  <c r="AS123" i="2"/>
  <c r="AS131" i="2"/>
  <c r="AS122" i="2"/>
  <c r="AS133" i="2"/>
  <c r="AS132" i="2"/>
  <c r="AS155" i="2" s="1"/>
  <c r="AS125" i="2"/>
  <c r="AS148" i="2" s="1"/>
  <c r="AS120" i="2"/>
  <c r="AS126" i="2"/>
  <c r="AS149" i="2" s="1"/>
  <c r="AS130" i="2"/>
  <c r="AS153" i="2" s="1"/>
  <c r="AS134" i="2"/>
  <c r="AS115" i="2"/>
  <c r="AS138" i="2" s="1"/>
  <c r="AS127" i="2"/>
  <c r="AS135" i="2"/>
  <c r="AS116" i="2"/>
  <c r="AS119" i="2"/>
  <c r="AS142" i="2" s="1"/>
  <c r="AS121" i="2"/>
  <c r="AS117" i="2"/>
  <c r="AS140" i="2" s="1"/>
  <c r="E140" i="2"/>
  <c r="U132" i="2"/>
  <c r="U155" i="2" s="1"/>
  <c r="U115" i="2"/>
  <c r="U129" i="2"/>
  <c r="U120" i="2"/>
  <c r="U119" i="2"/>
  <c r="U142" i="2" s="1"/>
  <c r="U118" i="2"/>
  <c r="U141" i="2" s="1"/>
  <c r="U134" i="2"/>
  <c r="U157" i="2" s="1"/>
  <c r="U131" i="2"/>
  <c r="U116" i="2"/>
  <c r="U124" i="2"/>
  <c r="U147" i="2" s="1"/>
  <c r="U125" i="2"/>
  <c r="U148" i="2" s="1"/>
  <c r="U133" i="2"/>
  <c r="U156" i="2" s="1"/>
  <c r="U127" i="2"/>
  <c r="U123" i="2"/>
  <c r="U146" i="2" s="1"/>
  <c r="U128" i="2"/>
  <c r="U135" i="2"/>
  <c r="U130" i="2"/>
  <c r="U153" i="2" s="1"/>
  <c r="U126" i="2"/>
  <c r="U149" i="2" s="1"/>
  <c r="U121" i="2"/>
  <c r="U122" i="2"/>
  <c r="U117" i="2"/>
  <c r="U140" i="2" s="1"/>
  <c r="N153" i="2"/>
  <c r="E153" i="2"/>
  <c r="N157" i="2"/>
  <c r="E143" i="2"/>
  <c r="AF140" i="2"/>
  <c r="T142" i="2"/>
  <c r="E156" i="2"/>
  <c r="AF149" i="2"/>
  <c r="W156" i="2"/>
  <c r="AF150" i="2"/>
  <c r="AR153" i="2"/>
  <c r="AR140" i="2"/>
  <c r="E151" i="2"/>
  <c r="AI151" i="2"/>
  <c r="J123" i="2"/>
  <c r="J146" i="2" s="1"/>
  <c r="H146" i="2"/>
  <c r="AJ131" i="2"/>
  <c r="AJ154" i="2" s="1"/>
  <c r="AJ122" i="2"/>
  <c r="AJ145" i="2" s="1"/>
  <c r="AJ123" i="2"/>
  <c r="AJ146" i="2" s="1"/>
  <c r="AJ126" i="2"/>
  <c r="AJ149" i="2" s="1"/>
  <c r="AJ127" i="2"/>
  <c r="AJ150" i="2" s="1"/>
  <c r="AJ117" i="2"/>
  <c r="AJ140" i="2" s="1"/>
  <c r="AJ129" i="2"/>
  <c r="AJ152" i="2" s="1"/>
  <c r="AJ130" i="2"/>
  <c r="AJ153" i="2" s="1"/>
  <c r="AJ121" i="2"/>
  <c r="AJ144" i="2" s="1"/>
  <c r="AJ116" i="2"/>
  <c r="AJ133" i="2"/>
  <c r="AJ156" i="2" s="1"/>
  <c r="AJ124" i="2"/>
  <c r="AJ135" i="2"/>
  <c r="AK135" i="2" s="1"/>
  <c r="AJ120" i="2"/>
  <c r="AJ143" i="2" s="1"/>
  <c r="AJ134" i="2"/>
  <c r="AK134" i="2" s="1"/>
  <c r="AK157" i="2" s="1"/>
  <c r="AJ118" i="2"/>
  <c r="AJ141" i="2" s="1"/>
  <c r="AJ128" i="2"/>
  <c r="AJ151" i="2" s="1"/>
  <c r="AJ119" i="2"/>
  <c r="AJ142" i="2" s="1"/>
  <c r="AJ115" i="2"/>
  <c r="AJ138" i="2" s="1"/>
  <c r="AJ125" i="2"/>
  <c r="AJ148" i="2" s="1"/>
  <c r="AJ132" i="2"/>
  <c r="E150" i="2"/>
  <c r="AF148" i="2"/>
  <c r="AB131" i="2" l="1"/>
  <c r="AB154" i="2" s="1"/>
  <c r="AT135" i="2"/>
  <c r="Y134" i="2"/>
  <c r="Y157" i="2" s="1"/>
  <c r="P130" i="2"/>
  <c r="P153" i="2" s="1"/>
  <c r="AT132" i="2"/>
  <c r="AT155" i="2" s="1"/>
  <c r="AB134" i="2"/>
  <c r="AB157" i="2" s="1"/>
  <c r="Y128" i="2"/>
  <c r="Y151" i="2" s="1"/>
  <c r="AH135" i="2"/>
  <c r="AR155" i="2"/>
  <c r="P118" i="2"/>
  <c r="P141" i="2" s="1"/>
  <c r="AT134" i="2"/>
  <c r="AT157" i="2" s="1"/>
  <c r="Z154" i="2"/>
  <c r="J135" i="2"/>
  <c r="AH121" i="2"/>
  <c r="AH144" i="2" s="1"/>
  <c r="I157" i="2"/>
  <c r="BE157" i="2" s="1"/>
  <c r="V135" i="2"/>
  <c r="AH125" i="2"/>
  <c r="AH148" i="2" s="1"/>
  <c r="AB135" i="2"/>
  <c r="AK129" i="2"/>
  <c r="AK152" i="2" s="1"/>
  <c r="G130" i="2"/>
  <c r="G153" i="2" s="1"/>
  <c r="V133" i="2"/>
  <c r="V156" i="2" s="1"/>
  <c r="P126" i="2"/>
  <c r="P149" i="2" s="1"/>
  <c r="AB117" i="2"/>
  <c r="AB140" i="2" s="1"/>
  <c r="V123" i="2"/>
  <c r="V146" i="2" s="1"/>
  <c r="AS157" i="2"/>
  <c r="Y119" i="2"/>
  <c r="Y142" i="2" s="1"/>
  <c r="AT130" i="2"/>
  <c r="AT153" i="2" s="1"/>
  <c r="AQ135" i="2"/>
  <c r="P116" i="2"/>
  <c r="P139" i="2" s="1"/>
  <c r="AH127" i="2"/>
  <c r="AH150" i="2" s="1"/>
  <c r="AE135" i="2"/>
  <c r="Y125" i="2"/>
  <c r="Y148" i="2" s="1"/>
  <c r="AK126" i="2"/>
  <c r="AK149" i="2" s="1"/>
  <c r="V132" i="2"/>
  <c r="V155" i="2" s="1"/>
  <c r="V126" i="2"/>
  <c r="V149" i="2" s="1"/>
  <c r="P115" i="2"/>
  <c r="P138" i="2" s="1"/>
  <c r="P132" i="2"/>
  <c r="P155" i="2" s="1"/>
  <c r="AH126" i="2"/>
  <c r="AH149" i="2" s="1"/>
  <c r="G133" i="2"/>
  <c r="G156" i="2" s="1"/>
  <c r="V118" i="2"/>
  <c r="V141" i="2" s="1"/>
  <c r="G117" i="2"/>
  <c r="G140" i="2" s="1"/>
  <c r="AH122" i="2"/>
  <c r="AH145" i="2" s="1"/>
  <c r="AB125" i="2"/>
  <c r="AB148" i="2" s="1"/>
  <c r="AK117" i="2"/>
  <c r="AK140" i="2" s="1"/>
  <c r="Y127" i="2"/>
  <c r="Y150" i="2" s="1"/>
  <c r="AH124" i="2"/>
  <c r="AH147" i="2" s="1"/>
  <c r="AH116" i="2"/>
  <c r="AH139" i="2" s="1"/>
  <c r="V134" i="2"/>
  <c r="V157" i="2" s="1"/>
  <c r="AH117" i="2"/>
  <c r="AH140" i="2" s="1"/>
  <c r="J131" i="2"/>
  <c r="J154" i="2" s="1"/>
  <c r="AT128" i="2"/>
  <c r="AT151" i="2" s="1"/>
  <c r="AT115" i="2"/>
  <c r="AT138" i="2" s="1"/>
  <c r="G116" i="2"/>
  <c r="G139" i="2" s="1"/>
  <c r="AH129" i="2"/>
  <c r="AH152" i="2" s="1"/>
  <c r="AH131" i="2"/>
  <c r="AH154" i="2" s="1"/>
  <c r="V125" i="2"/>
  <c r="V148" i="2" s="1"/>
  <c r="Y118" i="2"/>
  <c r="Y141" i="2" s="1"/>
  <c r="Y122" i="2"/>
  <c r="Y145" i="2" s="1"/>
  <c r="AK133" i="2"/>
  <c r="AK156" i="2" s="1"/>
  <c r="G134" i="2"/>
  <c r="G157" i="2" s="1"/>
  <c r="AH134" i="2"/>
  <c r="AH157" i="2" s="1"/>
  <c r="AT126" i="2"/>
  <c r="AT149" i="2" s="1"/>
  <c r="AB116" i="2"/>
  <c r="AB139" i="2" s="1"/>
  <c r="Y117" i="2"/>
  <c r="Y140" i="2" s="1"/>
  <c r="Y130" i="2"/>
  <c r="Y153" i="2" s="1"/>
  <c r="X157" i="2"/>
  <c r="AA157" i="2"/>
  <c r="G131" i="2"/>
  <c r="G154" i="2" s="1"/>
  <c r="AJ157" i="2"/>
  <c r="AS156" i="2"/>
  <c r="AT133" i="2"/>
  <c r="AT156" i="2" s="1"/>
  <c r="AO150" i="2"/>
  <c r="AQ127" i="2"/>
  <c r="AQ150" i="2" s="1"/>
  <c r="M131" i="2"/>
  <c r="M154" i="2" s="1"/>
  <c r="K154" i="2"/>
  <c r="I140" i="2"/>
  <c r="J117" i="2"/>
  <c r="J140" i="2" s="1"/>
  <c r="C141" i="2"/>
  <c r="BB118" i="2"/>
  <c r="AY118" i="2"/>
  <c r="BE118" i="2"/>
  <c r="BA130" i="2"/>
  <c r="AX130" i="2"/>
  <c r="D130" i="2"/>
  <c r="D153" i="2" s="1"/>
  <c r="BD130" i="2"/>
  <c r="B153" i="2"/>
  <c r="U143" i="2"/>
  <c r="V120" i="2"/>
  <c r="V143" i="2" s="1"/>
  <c r="D125" i="2"/>
  <c r="D148" i="2" s="1"/>
  <c r="AX125" i="2"/>
  <c r="AZ125" i="2" s="1"/>
  <c r="B148" i="2"/>
  <c r="BA125" i="2"/>
  <c r="BD125" i="2"/>
  <c r="U152" i="2"/>
  <c r="V129" i="2"/>
  <c r="V152" i="2" s="1"/>
  <c r="M127" i="2"/>
  <c r="M150" i="2" s="1"/>
  <c r="K150" i="2"/>
  <c r="S132" i="2"/>
  <c r="S155" i="2" s="1"/>
  <c r="Q155" i="2"/>
  <c r="BD127" i="2"/>
  <c r="B150" i="2"/>
  <c r="BA127" i="2"/>
  <c r="D127" i="2"/>
  <c r="D150" i="2" s="1"/>
  <c r="AX127" i="2"/>
  <c r="U138" i="2"/>
  <c r="V115" i="2"/>
  <c r="V138" i="2" s="1"/>
  <c r="AO153" i="2"/>
  <c r="AQ130" i="2"/>
  <c r="AQ153" i="2" s="1"/>
  <c r="AE119" i="2"/>
  <c r="AE142" i="2" s="1"/>
  <c r="AC142" i="2"/>
  <c r="AX118" i="2"/>
  <c r="B141" i="2"/>
  <c r="D118" i="2"/>
  <c r="D141" i="2" s="1"/>
  <c r="BA118" i="2"/>
  <c r="BD118" i="2"/>
  <c r="AA161" i="2"/>
  <c r="S131" i="2"/>
  <c r="S154" i="2" s="1"/>
  <c r="Q154" i="2"/>
  <c r="AY119" i="2"/>
  <c r="BE119" i="2"/>
  <c r="BB119" i="2"/>
  <c r="C142" i="2"/>
  <c r="AE128" i="2"/>
  <c r="AE151" i="2" s="1"/>
  <c r="AC151" i="2"/>
  <c r="AC156" i="2"/>
  <c r="AE133" i="2"/>
  <c r="AE156" i="2" s="1"/>
  <c r="P119" i="2"/>
  <c r="P142" i="2" s="1"/>
  <c r="M133" i="2"/>
  <c r="M156" i="2" s="1"/>
  <c r="K156" i="2"/>
  <c r="Q139" i="2"/>
  <c r="S116" i="2"/>
  <c r="S139" i="2" s="1"/>
  <c r="AH119" i="2"/>
  <c r="AH142" i="2" s="1"/>
  <c r="AE126" i="2"/>
  <c r="AE149" i="2" s="1"/>
  <c r="AC149" i="2"/>
  <c r="B144" i="2"/>
  <c r="BA121" i="2"/>
  <c r="BC121" i="2" s="1"/>
  <c r="AX121" i="2"/>
  <c r="AZ121" i="2" s="1"/>
  <c r="D121" i="2"/>
  <c r="D144" i="2" s="1"/>
  <c r="BD121" i="2"/>
  <c r="J128" i="2"/>
  <c r="J151" i="2" s="1"/>
  <c r="K151" i="2"/>
  <c r="M128" i="2"/>
  <c r="M151" i="2" s="1"/>
  <c r="C153" i="2"/>
  <c r="BE130" i="2"/>
  <c r="AY130" i="2"/>
  <c r="BB130" i="2"/>
  <c r="V117" i="2"/>
  <c r="V140" i="2" s="1"/>
  <c r="BD135" i="2"/>
  <c r="BA135" i="2"/>
  <c r="AX135" i="2"/>
  <c r="D135" i="2"/>
  <c r="AS144" i="2"/>
  <c r="AT121" i="2"/>
  <c r="AT144" i="2" s="1"/>
  <c r="AO139" i="2"/>
  <c r="AQ116" i="2"/>
  <c r="AQ139" i="2" s="1"/>
  <c r="F146" i="2"/>
  <c r="G123" i="2"/>
  <c r="G146" i="2" s="1"/>
  <c r="AP161" i="2"/>
  <c r="BA132" i="2"/>
  <c r="BD132" i="2"/>
  <c r="AX132" i="2"/>
  <c r="D132" i="2"/>
  <c r="D155" i="2" s="1"/>
  <c r="B155" i="2"/>
  <c r="AK131" i="2"/>
  <c r="AK154" i="2" s="1"/>
  <c r="M116" i="2"/>
  <c r="M139" i="2" s="1"/>
  <c r="K139" i="2"/>
  <c r="S135" i="2"/>
  <c r="AT119" i="2"/>
  <c r="AT142" i="2" s="1"/>
  <c r="BD124" i="2"/>
  <c r="AX124" i="2"/>
  <c r="B147" i="2"/>
  <c r="BA124" i="2"/>
  <c r="D124" i="2"/>
  <c r="D147" i="2" s="1"/>
  <c r="G128" i="2"/>
  <c r="G151" i="2" s="1"/>
  <c r="AS139" i="2"/>
  <c r="AT116" i="2"/>
  <c r="AT139" i="2" s="1"/>
  <c r="B143" i="2"/>
  <c r="BA120" i="2"/>
  <c r="BD120" i="2"/>
  <c r="D120" i="2"/>
  <c r="D143" i="2" s="1"/>
  <c r="AX120" i="2"/>
  <c r="G120" i="2"/>
  <c r="G143" i="2" s="1"/>
  <c r="AT124" i="2"/>
  <c r="AT147" i="2" s="1"/>
  <c r="K145" i="2"/>
  <c r="M122" i="2"/>
  <c r="M145" i="2" s="1"/>
  <c r="Y129" i="2"/>
  <c r="Y152" i="2" s="1"/>
  <c r="AR161" i="2"/>
  <c r="AX116" i="2"/>
  <c r="B139" i="2"/>
  <c r="BD116" i="2"/>
  <c r="D116" i="2"/>
  <c r="D139" i="2" s="1"/>
  <c r="BA116" i="2"/>
  <c r="AS150" i="2"/>
  <c r="AT127" i="2"/>
  <c r="AT150" i="2" s="1"/>
  <c r="AT129" i="2"/>
  <c r="AT152" i="2" s="1"/>
  <c r="AQ118" i="2"/>
  <c r="AQ141" i="2" s="1"/>
  <c r="AO141" i="2"/>
  <c r="M118" i="2"/>
  <c r="M141" i="2" s="1"/>
  <c r="K141" i="2"/>
  <c r="S133" i="2"/>
  <c r="S156" i="2" s="1"/>
  <c r="Q156" i="2"/>
  <c r="C149" i="2"/>
  <c r="BB126" i="2"/>
  <c r="BE126" i="2"/>
  <c r="AY126" i="2"/>
  <c r="AC147" i="2"/>
  <c r="AE124" i="2"/>
  <c r="AE147" i="2" s="1"/>
  <c r="BA128" i="2"/>
  <c r="AX128" i="2"/>
  <c r="BD128" i="2"/>
  <c r="BF128" i="2" s="1"/>
  <c r="B151" i="2"/>
  <c r="D128" i="2"/>
  <c r="D151" i="2" s="1"/>
  <c r="P120" i="2"/>
  <c r="P143" i="2" s="1"/>
  <c r="AK115" i="2"/>
  <c r="AK138" i="2" s="1"/>
  <c r="P128" i="2"/>
  <c r="P151" i="2" s="1"/>
  <c r="AA156" i="2"/>
  <c r="AB133" i="2"/>
  <c r="AB156" i="2" s="1"/>
  <c r="AO149" i="2"/>
  <c r="AQ126" i="2"/>
  <c r="AQ149" i="2" s="1"/>
  <c r="M124" i="2"/>
  <c r="M147" i="2" s="1"/>
  <c r="K147" i="2"/>
  <c r="F142" i="2"/>
  <c r="G119" i="2"/>
  <c r="G142" i="2" s="1"/>
  <c r="Q138" i="2"/>
  <c r="S115" i="2"/>
  <c r="S138" i="2" s="1"/>
  <c r="AH133" i="2"/>
  <c r="AH156" i="2" s="1"/>
  <c r="I138" i="2"/>
  <c r="J115" i="2"/>
  <c r="J138" i="2" s="1"/>
  <c r="W161" i="2"/>
  <c r="C146" i="2"/>
  <c r="AY123" i="2"/>
  <c r="BB123" i="2"/>
  <c r="BE123" i="2"/>
  <c r="AH130" i="2"/>
  <c r="AH153" i="2" s="1"/>
  <c r="AE132" i="2"/>
  <c r="AE155" i="2" s="1"/>
  <c r="AC155" i="2"/>
  <c r="B156" i="2"/>
  <c r="BD133" i="2"/>
  <c r="BA133" i="2"/>
  <c r="AX133" i="2"/>
  <c r="D133" i="2"/>
  <c r="D156" i="2" s="1"/>
  <c r="AB132" i="2"/>
  <c r="AB155" i="2" s="1"/>
  <c r="AT125" i="2"/>
  <c r="AT148" i="2" s="1"/>
  <c r="S123" i="2"/>
  <c r="S146" i="2" s="1"/>
  <c r="Q146" i="2"/>
  <c r="AY125" i="2"/>
  <c r="BB125" i="2"/>
  <c r="BE125" i="2"/>
  <c r="C148" i="2"/>
  <c r="I149" i="2"/>
  <c r="J126" i="2"/>
  <c r="J149" i="2" s="1"/>
  <c r="S124" i="2"/>
  <c r="S147" i="2" s="1"/>
  <c r="Q147" i="2"/>
  <c r="R161" i="2"/>
  <c r="I144" i="2"/>
  <c r="J121" i="2"/>
  <c r="J144" i="2" s="1"/>
  <c r="AO155" i="2"/>
  <c r="AQ132" i="2"/>
  <c r="AQ155" i="2" s="1"/>
  <c r="AT118" i="2"/>
  <c r="AT141" i="2" s="1"/>
  <c r="I152" i="2"/>
  <c r="J129" i="2"/>
  <c r="J152" i="2" s="1"/>
  <c r="O144" i="2"/>
  <c r="P121" i="2"/>
  <c r="P144" i="2" s="1"/>
  <c r="AO138" i="2"/>
  <c r="AQ115" i="2"/>
  <c r="AQ138" i="2" s="1"/>
  <c r="E161" i="2"/>
  <c r="AA143" i="2"/>
  <c r="AB120" i="2"/>
  <c r="AB143" i="2" s="1"/>
  <c r="P129" i="2"/>
  <c r="P152" i="2" s="1"/>
  <c r="I156" i="2"/>
  <c r="J133" i="2"/>
  <c r="J156" i="2" s="1"/>
  <c r="AC148" i="2"/>
  <c r="AE125" i="2"/>
  <c r="AE148" i="2" s="1"/>
  <c r="H161" i="2"/>
  <c r="AB121" i="2"/>
  <c r="AB144" i="2" s="1"/>
  <c r="AA146" i="2"/>
  <c r="AB123" i="2"/>
  <c r="AB146" i="2" s="1"/>
  <c r="AQ117" i="2"/>
  <c r="AQ140" i="2" s="1"/>
  <c r="AO140" i="2"/>
  <c r="M117" i="2"/>
  <c r="M140" i="2" s="1"/>
  <c r="K140" i="2"/>
  <c r="F138" i="2"/>
  <c r="G115" i="2"/>
  <c r="G138" i="2" s="1"/>
  <c r="Q150" i="2"/>
  <c r="S127" i="2"/>
  <c r="S150" i="2" s="1"/>
  <c r="AB119" i="2"/>
  <c r="AB142" i="2" s="1"/>
  <c r="I145" i="2"/>
  <c r="J122" i="2"/>
  <c r="J145" i="2" s="1"/>
  <c r="AB115" i="2"/>
  <c r="AB138" i="2" s="1"/>
  <c r="BE121" i="2"/>
  <c r="AY121" i="2"/>
  <c r="C144" i="2"/>
  <c r="BB121" i="2"/>
  <c r="AB118" i="2"/>
  <c r="AB141" i="2" s="1"/>
  <c r="AE118" i="2"/>
  <c r="AE141" i="2" s="1"/>
  <c r="AC141" i="2"/>
  <c r="B146" i="2"/>
  <c r="BD123" i="2"/>
  <c r="BA123" i="2"/>
  <c r="D123" i="2"/>
  <c r="D146" i="2" s="1"/>
  <c r="AX123" i="2"/>
  <c r="AB126" i="2"/>
  <c r="AB149" i="2" s="1"/>
  <c r="Y123" i="2"/>
  <c r="Y146" i="2" s="1"/>
  <c r="AH118" i="2"/>
  <c r="AH141" i="2" s="1"/>
  <c r="AS146" i="2"/>
  <c r="AT123" i="2"/>
  <c r="AT146" i="2" s="1"/>
  <c r="O150" i="2"/>
  <c r="P127" i="2"/>
  <c r="P150" i="2" s="1"/>
  <c r="S128" i="2"/>
  <c r="S151" i="2" s="1"/>
  <c r="Q151" i="2"/>
  <c r="AQ134" i="2"/>
  <c r="AQ157" i="2" s="1"/>
  <c r="AO157" i="2"/>
  <c r="AD161" i="2"/>
  <c r="BB120" i="2"/>
  <c r="AY120" i="2"/>
  <c r="C143" i="2"/>
  <c r="BE120" i="2"/>
  <c r="AO146" i="2"/>
  <c r="AQ123" i="2"/>
  <c r="AQ146" i="2" s="1"/>
  <c r="M132" i="2"/>
  <c r="M155" i="2" s="1"/>
  <c r="K155" i="2"/>
  <c r="X144" i="2"/>
  <c r="Y121" i="2"/>
  <c r="Y144" i="2" s="1"/>
  <c r="G121" i="2"/>
  <c r="G144" i="2" s="1"/>
  <c r="G129" i="2"/>
  <c r="G152" i="2" s="1"/>
  <c r="AA145" i="2"/>
  <c r="AB122" i="2"/>
  <c r="AB145" i="2" s="1"/>
  <c r="X143" i="2"/>
  <c r="Y120" i="2"/>
  <c r="Y143" i="2" s="1"/>
  <c r="Y116" i="2"/>
  <c r="Y139" i="2" s="1"/>
  <c r="AB129" i="2"/>
  <c r="AB152" i="2" s="1"/>
  <c r="P124" i="2"/>
  <c r="P147" i="2" s="1"/>
  <c r="U139" i="2"/>
  <c r="V116" i="2"/>
  <c r="V139" i="2" s="1"/>
  <c r="J119" i="2"/>
  <c r="J142" i="2" s="1"/>
  <c r="AH115" i="2"/>
  <c r="AH138" i="2" s="1"/>
  <c r="AA153" i="2"/>
  <c r="AB130" i="2"/>
  <c r="AB153" i="2" s="1"/>
  <c r="AQ119" i="2"/>
  <c r="AQ142" i="2" s="1"/>
  <c r="AO142" i="2"/>
  <c r="M115" i="2"/>
  <c r="M138" i="2" s="1"/>
  <c r="K138" i="2"/>
  <c r="F147" i="2"/>
  <c r="G124" i="2"/>
  <c r="G147" i="2" s="1"/>
  <c r="P131" i="2"/>
  <c r="P154" i="2" s="1"/>
  <c r="Q153" i="2"/>
  <c r="S130" i="2"/>
  <c r="S153" i="2" s="1"/>
  <c r="Y115" i="2"/>
  <c r="Y138" i="2" s="1"/>
  <c r="X138" i="2"/>
  <c r="Z161" i="2"/>
  <c r="BE116" i="2"/>
  <c r="AY116" i="2"/>
  <c r="C139" i="2"/>
  <c r="BB116" i="2"/>
  <c r="P123" i="2"/>
  <c r="P146" i="2" s="1"/>
  <c r="AE120" i="2"/>
  <c r="AE143" i="2" s="1"/>
  <c r="AC143" i="2"/>
  <c r="D134" i="2"/>
  <c r="D157" i="2" s="1"/>
  <c r="AX134" i="2"/>
  <c r="BD134" i="2"/>
  <c r="BA134" i="2"/>
  <c r="B157" i="2"/>
  <c r="L161" i="2"/>
  <c r="AK121" i="2"/>
  <c r="AK144" i="2" s="1"/>
  <c r="AA147" i="2"/>
  <c r="AB124" i="2"/>
  <c r="AB147" i="2" s="1"/>
  <c r="AJ155" i="2"/>
  <c r="AK132" i="2"/>
  <c r="AK155" i="2" s="1"/>
  <c r="K152" i="2"/>
  <c r="M129" i="2"/>
  <c r="M152" i="2" s="1"/>
  <c r="AO148" i="2"/>
  <c r="AQ125" i="2"/>
  <c r="AQ148" i="2" s="1"/>
  <c r="AQ121" i="2"/>
  <c r="AQ144" i="2" s="1"/>
  <c r="AO144" i="2"/>
  <c r="AK128" i="2"/>
  <c r="AK151" i="2" s="1"/>
  <c r="AO152" i="2"/>
  <c r="AQ129" i="2"/>
  <c r="AQ152" i="2" s="1"/>
  <c r="S120" i="2"/>
  <c r="S143" i="2" s="1"/>
  <c r="Q143" i="2"/>
  <c r="AJ139" i="2"/>
  <c r="AJ161" i="2" s="1"/>
  <c r="AK116" i="2"/>
  <c r="AK139" i="2" s="1"/>
  <c r="M120" i="2"/>
  <c r="M143" i="2" s="1"/>
  <c r="K143" i="2"/>
  <c r="Q140" i="2"/>
  <c r="S117" i="2"/>
  <c r="S140" i="2" s="1"/>
  <c r="BB132" i="2"/>
  <c r="AY132" i="2"/>
  <c r="BE132" i="2"/>
  <c r="C155" i="2"/>
  <c r="M125" i="2"/>
  <c r="M148" i="2" s="1"/>
  <c r="K148" i="2"/>
  <c r="F141" i="2"/>
  <c r="G118" i="2"/>
  <c r="G141" i="2" s="1"/>
  <c r="Y131" i="2"/>
  <c r="Y154" i="2" s="1"/>
  <c r="Q142" i="2"/>
  <c r="S119" i="2"/>
  <c r="S142" i="2" s="1"/>
  <c r="I147" i="2"/>
  <c r="J124" i="2"/>
  <c r="J147" i="2" s="1"/>
  <c r="BB117" i="2"/>
  <c r="C140" i="2"/>
  <c r="BE117" i="2"/>
  <c r="AY117" i="2"/>
  <c r="AY131" i="2"/>
  <c r="BE131" i="2"/>
  <c r="C154" i="2"/>
  <c r="BB131" i="2"/>
  <c r="AK122" i="2"/>
  <c r="AK145" i="2" s="1"/>
  <c r="AE129" i="2"/>
  <c r="AE152" i="2" s="1"/>
  <c r="AC152" i="2"/>
  <c r="AX122" i="2"/>
  <c r="BA122" i="2"/>
  <c r="BD122" i="2"/>
  <c r="B145" i="2"/>
  <c r="D122" i="2"/>
  <c r="D145" i="2" s="1"/>
  <c r="AK123" i="2"/>
  <c r="AK146" i="2" s="1"/>
  <c r="O161" i="2"/>
  <c r="AK127" i="2"/>
  <c r="AK150" i="2" s="1"/>
  <c r="O156" i="2"/>
  <c r="P133" i="2"/>
  <c r="P156" i="2" s="1"/>
  <c r="K142" i="2"/>
  <c r="M119" i="2"/>
  <c r="M142" i="2" s="1"/>
  <c r="F148" i="2"/>
  <c r="G125" i="2"/>
  <c r="G148" i="2" s="1"/>
  <c r="V119" i="2"/>
  <c r="V142" i="2" s="1"/>
  <c r="AG161" i="2"/>
  <c r="S121" i="2"/>
  <c r="S144" i="2" s="1"/>
  <c r="Q144" i="2"/>
  <c r="T161" i="2"/>
  <c r="S118" i="2"/>
  <c r="S141" i="2" s="1"/>
  <c r="Q141" i="2"/>
  <c r="P122" i="2"/>
  <c r="P145" i="2" s="1"/>
  <c r="AI161" i="2"/>
  <c r="X149" i="2"/>
  <c r="Y126" i="2"/>
  <c r="Y149" i="2" s="1"/>
  <c r="P117" i="2"/>
  <c r="P140" i="2" s="1"/>
  <c r="U154" i="2"/>
  <c r="V131" i="2"/>
  <c r="V154" i="2" s="1"/>
  <c r="AK125" i="2"/>
  <c r="AK148" i="2" s="1"/>
  <c r="S126" i="2"/>
  <c r="S149" i="2" s="1"/>
  <c r="Q149" i="2"/>
  <c r="AK118" i="2"/>
  <c r="AK141" i="2" s="1"/>
  <c r="C145" i="2"/>
  <c r="BE122" i="2"/>
  <c r="AY122" i="2"/>
  <c r="BB122" i="2"/>
  <c r="C156" i="2"/>
  <c r="AY133" i="2"/>
  <c r="BB133" i="2"/>
  <c r="BE133" i="2"/>
  <c r="G126" i="2"/>
  <c r="G149" i="2" s="1"/>
  <c r="AE134" i="2"/>
  <c r="AE157" i="2" s="1"/>
  <c r="AC157" i="2"/>
  <c r="BD117" i="2"/>
  <c r="D117" i="2"/>
  <c r="D140" i="2" s="1"/>
  <c r="BA117" i="2"/>
  <c r="AX117" i="2"/>
  <c r="B140" i="2"/>
  <c r="AK119" i="2"/>
  <c r="AK142" i="2" s="1"/>
  <c r="AH120" i="2"/>
  <c r="AH143" i="2" s="1"/>
  <c r="AG155" i="2"/>
  <c r="AH132" i="2"/>
  <c r="AH155" i="2" s="1"/>
  <c r="X147" i="2"/>
  <c r="Y124" i="2"/>
  <c r="Y147" i="2" s="1"/>
  <c r="AC150" i="2"/>
  <c r="AE127" i="2"/>
  <c r="AE150" i="2" s="1"/>
  <c r="AS145" i="2"/>
  <c r="AT122" i="2"/>
  <c r="AT145" i="2" s="1"/>
  <c r="S134" i="2"/>
  <c r="S157" i="2" s="1"/>
  <c r="Q157" i="2"/>
  <c r="AE116" i="2"/>
  <c r="AE139" i="2" s="1"/>
  <c r="AC139" i="2"/>
  <c r="AS154" i="2"/>
  <c r="AT131" i="2"/>
  <c r="AT154" i="2" s="1"/>
  <c r="G122" i="2"/>
  <c r="G145" i="2" s="1"/>
  <c r="S129" i="2"/>
  <c r="S152" i="2" s="1"/>
  <c r="Q152" i="2"/>
  <c r="BE115" i="2"/>
  <c r="C138" i="2"/>
  <c r="AY115" i="2"/>
  <c r="BB115" i="2"/>
  <c r="N161" i="2"/>
  <c r="BA115" i="2"/>
  <c r="BD115" i="2"/>
  <c r="B138" i="2"/>
  <c r="D115" i="2"/>
  <c r="D138" i="2" s="1"/>
  <c r="AX115" i="2"/>
  <c r="J132" i="2"/>
  <c r="J155" i="2" s="1"/>
  <c r="AA150" i="2"/>
  <c r="AB127" i="2"/>
  <c r="AB150" i="2" s="1"/>
  <c r="K149" i="2"/>
  <c r="M126" i="2"/>
  <c r="M149" i="2" s="1"/>
  <c r="I153" i="2"/>
  <c r="J130" i="2"/>
  <c r="J153" i="2" s="1"/>
  <c r="AY127" i="2"/>
  <c r="C150" i="2"/>
  <c r="BE127" i="2"/>
  <c r="BB127" i="2"/>
  <c r="AC140" i="2"/>
  <c r="AE117" i="2"/>
  <c r="AE140" i="2" s="1"/>
  <c r="V122" i="2"/>
  <c r="V145" i="2" s="1"/>
  <c r="U145" i="2"/>
  <c r="M134" i="2"/>
  <c r="M157" i="2" s="1"/>
  <c r="K157" i="2"/>
  <c r="AH128" i="2"/>
  <c r="AH151" i="2" s="1"/>
  <c r="U144" i="2"/>
  <c r="V121" i="2"/>
  <c r="V144" i="2" s="1"/>
  <c r="AO151" i="2"/>
  <c r="AQ128" i="2"/>
  <c r="AQ151" i="2" s="1"/>
  <c r="BB134" i="2"/>
  <c r="J103" i="4" s="1"/>
  <c r="AY134" i="2"/>
  <c r="BE134" i="2"/>
  <c r="K103" i="4" s="1"/>
  <c r="Q145" i="2"/>
  <c r="S122" i="2"/>
  <c r="S145" i="2" s="1"/>
  <c r="AE123" i="2"/>
  <c r="AE146" i="2" s="1"/>
  <c r="AC146" i="2"/>
  <c r="K144" i="2"/>
  <c r="M121" i="2"/>
  <c r="M144" i="2" s="1"/>
  <c r="AE121" i="2"/>
  <c r="AE144" i="2" s="1"/>
  <c r="AC144" i="2"/>
  <c r="B154" i="2"/>
  <c r="BD131" i="2"/>
  <c r="AX131" i="2"/>
  <c r="BA131" i="2"/>
  <c r="D131" i="2"/>
  <c r="D154" i="2" s="1"/>
  <c r="X155" i="2"/>
  <c r="Y132" i="2"/>
  <c r="Y155" i="2" s="1"/>
  <c r="BB129" i="2"/>
  <c r="C152" i="2"/>
  <c r="BE129" i="2"/>
  <c r="AY129" i="2"/>
  <c r="AE122" i="2"/>
  <c r="AE145" i="2" s="1"/>
  <c r="AC145" i="2"/>
  <c r="BD129" i="2"/>
  <c r="B152" i="2"/>
  <c r="D129" i="2"/>
  <c r="D152" i="2" s="1"/>
  <c r="AX129" i="2"/>
  <c r="AZ129" i="2" s="1"/>
  <c r="BA129" i="2"/>
  <c r="BC129" i="2" s="1"/>
  <c r="J118" i="2"/>
  <c r="J141" i="2" s="1"/>
  <c r="AJ147" i="2"/>
  <c r="AK124" i="2"/>
  <c r="AK147" i="2" s="1"/>
  <c r="U151" i="2"/>
  <c r="V128" i="2"/>
  <c r="V151" i="2" s="1"/>
  <c r="BB128" i="2"/>
  <c r="AY128" i="2"/>
  <c r="C151" i="2"/>
  <c r="BE128" i="2"/>
  <c r="AE115" i="2"/>
  <c r="AE138" i="2" s="1"/>
  <c r="AC138" i="2"/>
  <c r="AQ124" i="2"/>
  <c r="AQ147" i="2" s="1"/>
  <c r="AO147" i="2"/>
  <c r="C147" i="2"/>
  <c r="AY124" i="2"/>
  <c r="BE124" i="2"/>
  <c r="BB124" i="2"/>
  <c r="AE131" i="2"/>
  <c r="AE154" i="2" s="1"/>
  <c r="AC154" i="2"/>
  <c r="AT117" i="2"/>
  <c r="AT140" i="2" s="1"/>
  <c r="U150" i="2"/>
  <c r="V127" i="2"/>
  <c r="V150" i="2" s="1"/>
  <c r="J116" i="2"/>
  <c r="J139" i="2" s="1"/>
  <c r="AQ122" i="2"/>
  <c r="AQ145" i="2" s="1"/>
  <c r="AO145" i="2"/>
  <c r="AH123" i="2"/>
  <c r="AH146" i="2" s="1"/>
  <c r="B142" i="2"/>
  <c r="BD119" i="2"/>
  <c r="AX119" i="2"/>
  <c r="D119" i="2"/>
  <c r="D142" i="2" s="1"/>
  <c r="BA119" i="2"/>
  <c r="V130" i="2"/>
  <c r="V153" i="2" s="1"/>
  <c r="AS143" i="2"/>
  <c r="AT120" i="2"/>
  <c r="AT143" i="2" s="1"/>
  <c r="AF161" i="2"/>
  <c r="AQ131" i="2"/>
  <c r="AQ154" i="2" s="1"/>
  <c r="AO154" i="2"/>
  <c r="AK130" i="2"/>
  <c r="AK153" i="2" s="1"/>
  <c r="AO143" i="2"/>
  <c r="AQ120" i="2"/>
  <c r="AQ143" i="2" s="1"/>
  <c r="K153" i="2"/>
  <c r="M130" i="2"/>
  <c r="M153" i="2" s="1"/>
  <c r="G127" i="2"/>
  <c r="G150" i="2" s="1"/>
  <c r="Y133" i="2"/>
  <c r="Y156" i="2" s="1"/>
  <c r="AQ133" i="2"/>
  <c r="AQ156" i="2" s="1"/>
  <c r="AO156" i="2"/>
  <c r="M123" i="2"/>
  <c r="M146" i="2" s="1"/>
  <c r="K146" i="2"/>
  <c r="V124" i="2"/>
  <c r="V147" i="2" s="1"/>
  <c r="AB128" i="2"/>
  <c r="AB151" i="2" s="1"/>
  <c r="G132" i="2"/>
  <c r="G155" i="2" s="1"/>
  <c r="S125" i="2"/>
  <c r="S148" i="2" s="1"/>
  <c r="Q148" i="2"/>
  <c r="I143" i="2"/>
  <c r="J120" i="2"/>
  <c r="J143" i="2" s="1"/>
  <c r="BE135" i="2"/>
  <c r="K104" i="4" s="1"/>
  <c r="BB135" i="2"/>
  <c r="J104" i="4" s="1"/>
  <c r="AY135" i="2"/>
  <c r="AK120" i="2"/>
  <c r="AK143" i="2" s="1"/>
  <c r="AE130" i="2"/>
  <c r="AE153" i="2" s="1"/>
  <c r="AC153" i="2"/>
  <c r="AX126" i="2"/>
  <c r="D126" i="2"/>
  <c r="D149" i="2" s="1"/>
  <c r="BD126" i="2"/>
  <c r="B149" i="2"/>
  <c r="BA126" i="2"/>
  <c r="J125" i="2"/>
  <c r="J148" i="2" s="1"/>
  <c r="BB157" i="2" l="1"/>
  <c r="P161" i="2"/>
  <c r="BC115" i="2"/>
  <c r="BF126" i="2"/>
  <c r="BC117" i="2"/>
  <c r="AZ117" i="2"/>
  <c r="AY157" i="2"/>
  <c r="BF117" i="2"/>
  <c r="BF131" i="2"/>
  <c r="BF118" i="2"/>
  <c r="BC119" i="2"/>
  <c r="AZ119" i="2"/>
  <c r="BF119" i="2"/>
  <c r="BF130" i="2"/>
  <c r="BF124" i="2"/>
  <c r="AZ131" i="2"/>
  <c r="AZ124" i="2"/>
  <c r="BF129" i="2"/>
  <c r="BF125" i="2"/>
  <c r="BF122" i="2"/>
  <c r="BC116" i="2"/>
  <c r="BC124" i="2"/>
  <c r="AZ127" i="2"/>
  <c r="BC131" i="2"/>
  <c r="BF115" i="2"/>
  <c r="AZ130" i="2"/>
  <c r="BC127" i="2"/>
  <c r="BC130" i="2"/>
  <c r="AZ123" i="2"/>
  <c r="AZ133" i="2"/>
  <c r="BF127" i="2"/>
  <c r="BC123" i="2"/>
  <c r="BC133" i="2"/>
  <c r="BF116" i="2"/>
  <c r="AZ126" i="2"/>
  <c r="BF123" i="2"/>
  <c r="BF133" i="2"/>
  <c r="BE139" i="2"/>
  <c r="AY139" i="2"/>
  <c r="BB139" i="2"/>
  <c r="BC156" i="2"/>
  <c r="BF156" i="2"/>
  <c r="AZ156" i="2"/>
  <c r="AX142" i="2"/>
  <c r="BA142" i="2"/>
  <c r="BD142" i="2"/>
  <c r="AZ154" i="2"/>
  <c r="BF154" i="2"/>
  <c r="BC154" i="2"/>
  <c r="BD138" i="2"/>
  <c r="BA138" i="2"/>
  <c r="B161" i="2"/>
  <c r="AX138" i="2"/>
  <c r="AZ145" i="2"/>
  <c r="BC145" i="2"/>
  <c r="BF145" i="2"/>
  <c r="AZ128" i="2"/>
  <c r="BD145" i="2"/>
  <c r="BA145" i="2"/>
  <c r="AX145" i="2"/>
  <c r="S161" i="2"/>
  <c r="BC128" i="2"/>
  <c r="BF139" i="2"/>
  <c r="BC139" i="2"/>
  <c r="AZ139" i="2"/>
  <c r="AZ153" i="2"/>
  <c r="BC153" i="2"/>
  <c r="BF153" i="2"/>
  <c r="AH161" i="2"/>
  <c r="Q161" i="2"/>
  <c r="BF147" i="2"/>
  <c r="BC147" i="2"/>
  <c r="AZ147" i="2"/>
  <c r="BC150" i="2"/>
  <c r="BF150" i="2"/>
  <c r="AZ150" i="2"/>
  <c r="AX146" i="2"/>
  <c r="BA146" i="2"/>
  <c r="BD146" i="2"/>
  <c r="BA154" i="2"/>
  <c r="BD154" i="2"/>
  <c r="AX154" i="2"/>
  <c r="BE145" i="2"/>
  <c r="AY145" i="2"/>
  <c r="BB145" i="2"/>
  <c r="AZ122" i="2"/>
  <c r="AZ116" i="2"/>
  <c r="AX147" i="2"/>
  <c r="BD147" i="2"/>
  <c r="BA147" i="2"/>
  <c r="BE155" i="2"/>
  <c r="BB155" i="2"/>
  <c r="AY155" i="2"/>
  <c r="BB136" i="2"/>
  <c r="BE136" i="2"/>
  <c r="BB149" i="2"/>
  <c r="AY149" i="2"/>
  <c r="BE149" i="2"/>
  <c r="BA136" i="2"/>
  <c r="AZ135" i="2"/>
  <c r="BD136" i="2"/>
  <c r="BE141" i="2"/>
  <c r="AY141" i="2"/>
  <c r="BB141" i="2"/>
  <c r="C161" i="2"/>
  <c r="BE138" i="2"/>
  <c r="AY138" i="2"/>
  <c r="BB138" i="2"/>
  <c r="BC135" i="2"/>
  <c r="X161" i="2"/>
  <c r="BF135" i="2"/>
  <c r="Y161" i="2"/>
  <c r="AB161" i="2"/>
  <c r="BC140" i="2"/>
  <c r="BF140" i="2"/>
  <c r="AZ140" i="2"/>
  <c r="AS161" i="2"/>
  <c r="BA155" i="2"/>
  <c r="AX155" i="2"/>
  <c r="BD155" i="2"/>
  <c r="BB147" i="2"/>
  <c r="BE147" i="2"/>
  <c r="AY147" i="2"/>
  <c r="AZ120" i="2"/>
  <c r="AZ155" i="2"/>
  <c r="BC155" i="2"/>
  <c r="BF155" i="2"/>
  <c r="BC125" i="2"/>
  <c r="BF149" i="2"/>
  <c r="BC149" i="2"/>
  <c r="AZ149" i="2"/>
  <c r="BD139" i="2"/>
  <c r="BA139" i="2"/>
  <c r="AX139" i="2"/>
  <c r="BA140" i="2"/>
  <c r="BD140" i="2"/>
  <c r="AX140" i="2"/>
  <c r="AT161" i="2"/>
  <c r="AY140" i="2"/>
  <c r="BE140" i="2"/>
  <c r="BB140" i="2"/>
  <c r="BC134" i="2"/>
  <c r="J71" i="4"/>
  <c r="BB148" i="2"/>
  <c r="BE148" i="2"/>
  <c r="AY148" i="2"/>
  <c r="BF132" i="2"/>
  <c r="AC161" i="2"/>
  <c r="BE152" i="2"/>
  <c r="BB152" i="2"/>
  <c r="AY152" i="2"/>
  <c r="BF134" i="2"/>
  <c r="K71" i="4"/>
  <c r="K161" i="2"/>
  <c r="BC120" i="2"/>
  <c r="BC132" i="2"/>
  <c r="V161" i="2"/>
  <c r="AZ148" i="2"/>
  <c r="BC148" i="2"/>
  <c r="BF148" i="2"/>
  <c r="BE156" i="2"/>
  <c r="AY156" i="2"/>
  <c r="BB156" i="2"/>
  <c r="AY143" i="2"/>
  <c r="BE143" i="2"/>
  <c r="BB143" i="2"/>
  <c r="BD144" i="2"/>
  <c r="AX144" i="2"/>
  <c r="BA144" i="2"/>
  <c r="BC122" i="2"/>
  <c r="AX150" i="2"/>
  <c r="BA150" i="2"/>
  <c r="BD150" i="2"/>
  <c r="BC118" i="2"/>
  <c r="AZ141" i="2"/>
  <c r="BC141" i="2"/>
  <c r="BF141" i="2"/>
  <c r="BD141" i="2"/>
  <c r="AX141" i="2"/>
  <c r="BA141" i="2"/>
  <c r="AZ152" i="2"/>
  <c r="BC152" i="2"/>
  <c r="BF152" i="2"/>
  <c r="BE154" i="2"/>
  <c r="AY154" i="2"/>
  <c r="BB154" i="2"/>
  <c r="AZ132" i="2"/>
  <c r="AK161" i="2"/>
  <c r="AZ142" i="2"/>
  <c r="BC142" i="2"/>
  <c r="BF142" i="2"/>
  <c r="AE161" i="2"/>
  <c r="AZ134" i="2"/>
  <c r="M161" i="2"/>
  <c r="G161" i="2"/>
  <c r="AQ161" i="2"/>
  <c r="AZ151" i="2"/>
  <c r="BC151" i="2"/>
  <c r="BF151" i="2"/>
  <c r="BD143" i="2"/>
  <c r="AX143" i="2"/>
  <c r="BA143" i="2"/>
  <c r="U161" i="2"/>
  <c r="AX149" i="2"/>
  <c r="BA149" i="2"/>
  <c r="BD149" i="2"/>
  <c r="AZ146" i="2"/>
  <c r="BC146" i="2"/>
  <c r="BF146" i="2"/>
  <c r="BA156" i="2"/>
  <c r="BD156" i="2"/>
  <c r="AX156" i="2"/>
  <c r="BB144" i="2"/>
  <c r="AY144" i="2"/>
  <c r="BE144" i="2"/>
  <c r="AZ118" i="2"/>
  <c r="BE150" i="2"/>
  <c r="AY150" i="2"/>
  <c r="BB150" i="2"/>
  <c r="BA152" i="2"/>
  <c r="BD152" i="2"/>
  <c r="AX152" i="2"/>
  <c r="BE146" i="2"/>
  <c r="AY146" i="2"/>
  <c r="BB146" i="2"/>
  <c r="BF143" i="2"/>
  <c r="BC143" i="2"/>
  <c r="AZ143" i="2"/>
  <c r="BE153" i="2"/>
  <c r="BB153" i="2"/>
  <c r="AY153" i="2"/>
  <c r="BD148" i="2"/>
  <c r="AX148" i="2"/>
  <c r="BA148" i="2"/>
  <c r="BF120" i="2"/>
  <c r="BE142" i="2"/>
  <c r="AY142" i="2"/>
  <c r="BB142" i="2"/>
  <c r="AZ115" i="2"/>
  <c r="BF157" i="2"/>
  <c r="AZ157" i="2"/>
  <c r="BC157" i="2"/>
  <c r="F161" i="2"/>
  <c r="AO161" i="2"/>
  <c r="J161" i="2"/>
  <c r="AX151" i="2"/>
  <c r="BA151" i="2"/>
  <c r="BD151" i="2"/>
  <c r="BF121" i="2"/>
  <c r="BD157" i="2"/>
  <c r="BA157" i="2"/>
  <c r="AX157" i="2"/>
  <c r="BC126" i="2"/>
  <c r="BB151" i="2"/>
  <c r="BE151" i="2"/>
  <c r="AY151" i="2"/>
  <c r="AZ138" i="2"/>
  <c r="BC138" i="2"/>
  <c r="BF138" i="2"/>
  <c r="D161" i="2"/>
  <c r="I161" i="2"/>
  <c r="BC144" i="2"/>
  <c r="BF144" i="2"/>
  <c r="AZ144" i="2"/>
  <c r="BD153" i="2"/>
  <c r="BA153" i="2"/>
  <c r="AX153" i="2"/>
  <c r="K72" i="4" l="1"/>
  <c r="AY73" i="4"/>
  <c r="Q43" i="4"/>
  <c r="J72" i="4"/>
  <c r="Q46" i="4" s="1"/>
  <c r="AW73" i="4"/>
  <c r="I104" i="4"/>
  <c r="AV26" i="2"/>
  <c r="R43" i="4"/>
  <c r="R46" i="4"/>
  <c r="R45" i="4"/>
  <c r="R44" i="4"/>
  <c r="BE161" i="2"/>
  <c r="AY161" i="2"/>
  <c r="BB161" i="2"/>
  <c r="BD161" i="2"/>
  <c r="BA161" i="2"/>
  <c r="AX161" i="2"/>
  <c r="AZ161" i="2"/>
  <c r="Q44" i="4" l="1"/>
  <c r="AS72" i="4"/>
  <c r="I72" i="4"/>
  <c r="AT72" i="4"/>
  <c r="AV72" i="4" s="1"/>
  <c r="AU26" i="2"/>
  <c r="AR72" i="4"/>
  <c r="AU72" i="4" s="1"/>
  <c r="Q45" i="4"/>
  <c r="AV35" i="2"/>
  <c r="AV32" i="2"/>
  <c r="AV42" i="2"/>
  <c r="AV66" i="2" s="1"/>
  <c r="AV33" i="2"/>
  <c r="AV57" i="2" s="1"/>
  <c r="AV45" i="2"/>
  <c r="AV69" i="2" s="1"/>
  <c r="AV37" i="2"/>
  <c r="AV36" i="2"/>
  <c r="AV60" i="2" s="1"/>
  <c r="AV39" i="2"/>
  <c r="AV63" i="2" s="1"/>
  <c r="AV34" i="2"/>
  <c r="AV58" i="2" s="1"/>
  <c r="AV135" i="2"/>
  <c r="AV46" i="2"/>
  <c r="AV70" i="2" s="1"/>
  <c r="AV43" i="2"/>
  <c r="AV31" i="2"/>
  <c r="AV55" i="2" s="1"/>
  <c r="AV49" i="2"/>
  <c r="AV48" i="2"/>
  <c r="AV51" i="2"/>
  <c r="AV47" i="2"/>
  <c r="AV38" i="2"/>
  <c r="AV44" i="2"/>
  <c r="AV40" i="2"/>
  <c r="AV41" i="2"/>
  <c r="AV65" i="2" s="1"/>
  <c r="AV50" i="2"/>
  <c r="AV74" i="2" s="1"/>
  <c r="BC161" i="2"/>
  <c r="BF161" i="2"/>
  <c r="AV56" i="2" l="1"/>
  <c r="AV67" i="2"/>
  <c r="AV61" i="2"/>
  <c r="AV71" i="2"/>
  <c r="AV64" i="2"/>
  <c r="AV59" i="2"/>
  <c r="AU32" i="2"/>
  <c r="AU43" i="2"/>
  <c r="AU48" i="2"/>
  <c r="AU36" i="2"/>
  <c r="AU60" i="2" s="1"/>
  <c r="AU44" i="2"/>
  <c r="AU68" i="2" s="1"/>
  <c r="AU40" i="2"/>
  <c r="AU49" i="2"/>
  <c r="AU34" i="2"/>
  <c r="AU39" i="2"/>
  <c r="AU45" i="2"/>
  <c r="AU41" i="2"/>
  <c r="AU31" i="2"/>
  <c r="AU55" i="2" s="1"/>
  <c r="AU33" i="2"/>
  <c r="AU38" i="2"/>
  <c r="AU47" i="2"/>
  <c r="AU42" i="2"/>
  <c r="AU51" i="2"/>
  <c r="AU35" i="2"/>
  <c r="AU135" i="2"/>
  <c r="AU46" i="2"/>
  <c r="AW26" i="2"/>
  <c r="AU37" i="2"/>
  <c r="AU50" i="2"/>
  <c r="P46" i="4"/>
  <c r="P44" i="4"/>
  <c r="P45" i="4"/>
  <c r="AA158" i="2"/>
  <c r="F158" i="2"/>
  <c r="L158" i="2"/>
  <c r="AJ158" i="2"/>
  <c r="C158" i="2"/>
  <c r="X158" i="2"/>
  <c r="U158" i="2"/>
  <c r="AD158" i="2"/>
  <c r="I158" i="2"/>
  <c r="AG158" i="2"/>
  <c r="AS158" i="2"/>
  <c r="O158" i="2"/>
  <c r="R158" i="2"/>
  <c r="AP158" i="2"/>
  <c r="AV62" i="2"/>
  <c r="AV68" i="2"/>
  <c r="AV75" i="2"/>
  <c r="AV171" i="2" s="1"/>
  <c r="AV72" i="2"/>
  <c r="AV73" i="2"/>
  <c r="AV179" i="2"/>
  <c r="AV169" i="2"/>
  <c r="AV189" i="2"/>
  <c r="AV174" i="2"/>
  <c r="AV184" i="2"/>
  <c r="AV199" i="2"/>
  <c r="AU65" i="2" l="1"/>
  <c r="AV196" i="2"/>
  <c r="AU72" i="2"/>
  <c r="AV206" i="2"/>
  <c r="AU67" i="2"/>
  <c r="AU74" i="2"/>
  <c r="AV93" i="2"/>
  <c r="AU59" i="2"/>
  <c r="AU70" i="2"/>
  <c r="AV87" i="2"/>
  <c r="AU56" i="2"/>
  <c r="AU179" i="2" s="1"/>
  <c r="AU66" i="2"/>
  <c r="AV180" i="2"/>
  <c r="AU171" i="2"/>
  <c r="O160" i="2"/>
  <c r="O163" i="2"/>
  <c r="I163" i="2"/>
  <c r="I160" i="2"/>
  <c r="X163" i="2"/>
  <c r="X160" i="2"/>
  <c r="AV85" i="2"/>
  <c r="AP163" i="2"/>
  <c r="AP160" i="2"/>
  <c r="R160" i="2"/>
  <c r="R163" i="2"/>
  <c r="AV205" i="2"/>
  <c r="AU62" i="2"/>
  <c r="AU199" i="2"/>
  <c r="AU69" i="2"/>
  <c r="AU63" i="2"/>
  <c r="AV94" i="2"/>
  <c r="AV190" i="2"/>
  <c r="B158" i="2"/>
  <c r="AC158" i="2"/>
  <c r="T158" i="2"/>
  <c r="Z158" i="2"/>
  <c r="AF158" i="2"/>
  <c r="AO158" i="2"/>
  <c r="N158" i="2"/>
  <c r="E158" i="2"/>
  <c r="AW135" i="2"/>
  <c r="K158" i="2"/>
  <c r="AI158" i="2"/>
  <c r="AR158" i="2"/>
  <c r="Q158" i="2"/>
  <c r="H158" i="2"/>
  <c r="W158" i="2"/>
  <c r="AU75" i="2"/>
  <c r="AG163" i="2"/>
  <c r="AG160" i="2"/>
  <c r="AD163" i="2"/>
  <c r="AD160" i="2"/>
  <c r="AV194" i="2"/>
  <c r="AV96" i="2"/>
  <c r="AV95" i="2"/>
  <c r="AV191" i="2"/>
  <c r="AV170" i="2"/>
  <c r="AU58" i="2"/>
  <c r="AV186" i="2"/>
  <c r="AU61" i="2"/>
  <c r="AV90" i="2"/>
  <c r="AV88" i="2"/>
  <c r="AU57" i="2"/>
  <c r="AJ160" i="2"/>
  <c r="AJ163" i="2"/>
  <c r="AU73" i="2"/>
  <c r="AV176" i="2"/>
  <c r="AV195" i="2"/>
  <c r="AV86" i="2"/>
  <c r="AV89" i="2"/>
  <c r="AS163" i="2"/>
  <c r="AS160" i="2"/>
  <c r="AV185" i="2"/>
  <c r="AU71" i="2"/>
  <c r="U163" i="2"/>
  <c r="U160" i="2"/>
  <c r="AV98" i="2"/>
  <c r="AV97" i="2"/>
  <c r="AV181" i="2"/>
  <c r="AV202" i="2"/>
  <c r="BB158" i="2"/>
  <c r="BE158" i="2"/>
  <c r="AY158" i="2"/>
  <c r="C163" i="2"/>
  <c r="C160" i="2"/>
  <c r="AV99" i="2"/>
  <c r="AV200" i="2"/>
  <c r="AV92" i="2"/>
  <c r="L160" i="2"/>
  <c r="L163" i="2"/>
  <c r="F163" i="2"/>
  <c r="F160" i="2"/>
  <c r="AV175" i="2"/>
  <c r="AA163" i="2"/>
  <c r="AA160" i="2"/>
  <c r="AV201" i="2"/>
  <c r="AU64" i="2"/>
  <c r="AV91" i="2"/>
  <c r="AU174" i="2" l="1"/>
  <c r="AU169" i="2"/>
  <c r="AU184" i="2"/>
  <c r="AU92" i="2"/>
  <c r="AU189" i="2"/>
  <c r="AU206" i="2"/>
  <c r="AV103" i="2"/>
  <c r="AU200" i="2"/>
  <c r="AU191" i="2"/>
  <c r="AU95" i="2"/>
  <c r="K163" i="2"/>
  <c r="K160" i="2"/>
  <c r="AU190" i="2"/>
  <c r="AU186" i="2"/>
  <c r="AC160" i="2"/>
  <c r="AC163" i="2"/>
  <c r="AV100" i="2"/>
  <c r="AU181" i="2"/>
  <c r="AU97" i="2"/>
  <c r="AU202" i="2"/>
  <c r="AU201" i="2"/>
  <c r="AU87" i="2"/>
  <c r="AU85" i="2"/>
  <c r="AO160" i="2"/>
  <c r="AO163" i="2"/>
  <c r="AU91" i="2"/>
  <c r="BD158" i="2"/>
  <c r="AX158" i="2"/>
  <c r="BA158" i="2"/>
  <c r="B160" i="2"/>
  <c r="B163" i="2"/>
  <c r="AV105" i="2"/>
  <c r="AU99" i="2"/>
  <c r="AU90" i="2"/>
  <c r="W160" i="2"/>
  <c r="W163" i="2"/>
  <c r="AU89" i="2"/>
  <c r="H160" i="2"/>
  <c r="H163" i="2"/>
  <c r="AK158" i="2"/>
  <c r="Y158" i="2"/>
  <c r="P158" i="2"/>
  <c r="AQ158" i="2"/>
  <c r="J158" i="2"/>
  <c r="M158" i="2"/>
  <c r="V158" i="2"/>
  <c r="G158" i="2"/>
  <c r="AE158" i="2"/>
  <c r="S158" i="2"/>
  <c r="AB158" i="2"/>
  <c r="D158" i="2"/>
  <c r="AT158" i="2"/>
  <c r="AH158" i="2"/>
  <c r="N160" i="2"/>
  <c r="N163" i="2"/>
  <c r="T163" i="2"/>
  <c r="T160" i="2"/>
  <c r="BE160" i="2"/>
  <c r="BB160" i="2"/>
  <c r="AY160" i="2"/>
  <c r="AV101" i="2"/>
  <c r="AU88" i="2"/>
  <c r="Q163" i="2"/>
  <c r="Q160" i="2"/>
  <c r="AU194" i="2"/>
  <c r="E160" i="2"/>
  <c r="E163" i="2"/>
  <c r="AU86" i="2"/>
  <c r="AU195" i="2"/>
  <c r="AU185" i="2"/>
  <c r="AU180" i="2"/>
  <c r="AF160" i="2"/>
  <c r="AF163" i="2"/>
  <c r="AU94" i="2"/>
  <c r="Z160" i="2"/>
  <c r="Z163" i="2"/>
  <c r="AU176" i="2"/>
  <c r="BE163" i="2"/>
  <c r="AY163" i="2"/>
  <c r="BB163" i="2"/>
  <c r="AU96" i="2"/>
  <c r="AU93" i="2"/>
  <c r="AU196" i="2"/>
  <c r="AU175" i="2"/>
  <c r="AU170" i="2"/>
  <c r="AR160" i="2"/>
  <c r="AR163" i="2"/>
  <c r="AU98" i="2"/>
  <c r="AI160" i="2"/>
  <c r="AI163" i="2"/>
  <c r="AU205" i="2"/>
  <c r="AV107" i="2" l="1"/>
  <c r="AE163" i="2"/>
  <c r="AE160" i="2"/>
  <c r="G163" i="2"/>
  <c r="G160" i="2"/>
  <c r="AU100" i="2"/>
  <c r="Y163" i="2"/>
  <c r="Y160" i="2"/>
  <c r="AK163" i="2"/>
  <c r="AK160" i="2"/>
  <c r="AU105" i="2"/>
  <c r="AT163" i="2"/>
  <c r="AT160" i="2"/>
  <c r="BC158" i="2"/>
  <c r="AZ158" i="2"/>
  <c r="BF158" i="2"/>
  <c r="D163" i="2"/>
  <c r="D160" i="2"/>
  <c r="BA163" i="2"/>
  <c r="AX163" i="2"/>
  <c r="BD163" i="2"/>
  <c r="V163" i="2"/>
  <c r="V160" i="2"/>
  <c r="BD160" i="2"/>
  <c r="BF160" i="2" s="1"/>
  <c r="BA160" i="2"/>
  <c r="BC160" i="2" s="1"/>
  <c r="AX160" i="2"/>
  <c r="AU103" i="2"/>
  <c r="M163" i="2"/>
  <c r="M160" i="2"/>
  <c r="J163" i="2"/>
  <c r="J160" i="2"/>
  <c r="AQ163" i="2"/>
  <c r="AQ160" i="2"/>
  <c r="P163" i="2"/>
  <c r="P160" i="2"/>
  <c r="AU101" i="2"/>
  <c r="AU107" i="2" s="1"/>
  <c r="AH163" i="2"/>
  <c r="AH160" i="2"/>
  <c r="AB160" i="2"/>
  <c r="AB163" i="2"/>
  <c r="S163" i="2"/>
  <c r="S160" i="2"/>
  <c r="AZ160" i="2" l="1"/>
  <c r="AZ163" i="2"/>
  <c r="BC163" i="2"/>
  <c r="BF163" i="2"/>
  <c r="AF12" i="4" l="1"/>
  <c r="AF1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Gernot</author>
  </authors>
  <commentList>
    <comment ref="AV56" authorId="0" shapeId="0" xr:uid="{B550EC9F-B4FD-4F50-A3E5-2663D3E485A3}">
      <text>
        <r>
          <rPr>
            <b/>
            <sz val="9"/>
            <color indexed="81"/>
            <rFont val="Segoe UI"/>
            <family val="2"/>
          </rPr>
          <t>Gernot:</t>
        </r>
        <r>
          <rPr>
            <sz val="9"/>
            <color indexed="81"/>
            <rFont val="Segoe UI"/>
            <family val="2"/>
          </rPr>
          <t xml:space="preserve">
bis hier weniger als 5 Tage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HdA-Zentrale</author>
  </authors>
  <commentList>
    <comment ref="Y48" authorId="0" shapeId="0" xr:uid="{D8199089-8F0A-4813-A2B7-54026144A8B9}">
      <text>
        <r>
          <rPr>
            <b/>
            <sz val="9"/>
            <color indexed="81"/>
            <rFont val="Segoe UI"/>
            <family val="2"/>
          </rPr>
          <t>HdA-Zentrale:</t>
        </r>
        <r>
          <rPr>
            <sz val="9"/>
            <color indexed="81"/>
            <rFont val="Segoe UI"/>
            <family val="2"/>
          </rPr>
          <t xml:space="preserve">
What is the crowdfunding package worth to you?
(incl. tax)</t>
        </r>
      </text>
    </comment>
    <comment ref="Y53" authorId="0" shapeId="0" xr:uid="{804965D7-E911-4DCD-BC45-6D1A365A00A8}">
      <text>
        <r>
          <rPr>
            <b/>
            <sz val="9"/>
            <color indexed="81"/>
            <rFont val="Segoe UI"/>
            <family val="2"/>
          </rPr>
          <t>HdA-Zentrale:</t>
        </r>
        <r>
          <rPr>
            <sz val="9"/>
            <color indexed="81"/>
            <rFont val="Segoe UI"/>
            <family val="2"/>
          </rPr>
          <t xml:space="preserve">
What is the crowdfunding package worth to you?
(incl. tax)</t>
        </r>
      </text>
    </comment>
    <comment ref="Y56" authorId="0" shapeId="0" xr:uid="{65619297-9578-4FA4-866A-9CAC8839E75B}">
      <text>
        <r>
          <rPr>
            <b/>
            <sz val="9"/>
            <color indexed="81"/>
            <rFont val="Segoe UI"/>
            <family val="2"/>
          </rPr>
          <t>HdA-Zentrale:</t>
        </r>
        <r>
          <rPr>
            <sz val="9"/>
            <color indexed="81"/>
            <rFont val="Segoe UI"/>
            <family val="2"/>
          </rPr>
          <t xml:space="preserve">
What is the crowdfunding package worth to you?
(incl. tax)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HdA-Zentrale</author>
  </authors>
  <commentList>
    <comment ref="AQ14" authorId="0" shapeId="0" xr:uid="{9A6BD4FF-6761-4E27-A0C0-DFC813F6E18B}">
      <text>
        <r>
          <rPr>
            <b/>
            <sz val="9"/>
            <color indexed="81"/>
            <rFont val="Segoe UI"/>
            <family val="2"/>
          </rPr>
          <t>HdA-Zentrale:</t>
        </r>
        <r>
          <rPr>
            <sz val="9"/>
            <color indexed="81"/>
            <rFont val="Segoe UI"/>
            <family val="2"/>
          </rPr>
          <t xml:space="preserve">
Zusatzprodukt "Portrait"!</t>
        </r>
      </text>
    </comment>
    <comment ref="AT14" authorId="0" shapeId="0" xr:uid="{DCC17368-70C1-45FF-886F-9DBCEC1DC7DD}">
      <text>
        <r>
          <rPr>
            <b/>
            <sz val="9"/>
            <color indexed="81"/>
            <rFont val="Segoe UI"/>
            <family val="2"/>
          </rPr>
          <t>HdA-Zentrale:</t>
        </r>
        <r>
          <rPr>
            <sz val="9"/>
            <color indexed="81"/>
            <rFont val="Segoe UI"/>
            <family val="2"/>
          </rPr>
          <t xml:space="preserve">
Zusatzprodukt "Portrait"!</t>
        </r>
      </text>
    </comment>
  </commentList>
</comments>
</file>

<file path=xl/sharedStrings.xml><?xml version="1.0" encoding="utf-8"?>
<sst xmlns="http://schemas.openxmlformats.org/spreadsheetml/2006/main" count="4194" uniqueCount="1114">
  <si>
    <t>↓</t>
  </si>
  <si>
    <t>Format</t>
  </si>
  <si>
    <t>µ</t>
  </si>
  <si>
    <t>-</t>
  </si>
  <si>
    <t>x</t>
  </si>
  <si>
    <t>Preis als
Zusatz-produkt</t>
  </si>
  <si>
    <t>Kein Paket</t>
  </si>
  <si>
    <t>Donnerstag</t>
  </si>
  <si>
    <t>Datum</t>
  </si>
  <si>
    <t>Backer</t>
  </si>
  <si>
    <t>€</t>
  </si>
  <si>
    <t>nächste Stufe</t>
  </si>
  <si>
    <t>Tag</t>
  </si>
  <si>
    <t>Wochentag</t>
  </si>
  <si>
    <t>Timecode</t>
  </si>
  <si>
    <t>Uhrzeit</t>
  </si>
  <si>
    <t>h ges.</t>
  </si>
  <si>
    <t>h Diff.</t>
  </si>
  <si>
    <t>€ ges. Ist</t>
  </si>
  <si>
    <t>Abw.</t>
  </si>
  <si>
    <t>€ Diff.</t>
  </si>
  <si>
    <t>Backer ges.</t>
  </si>
  <si>
    <t>€/Backer</t>
  </si>
  <si>
    <t>€/Tag ges.</t>
  </si>
  <si>
    <t>Backer Diff.</t>
  </si>
  <si>
    <t>Schnitt l. 5 Tage</t>
  </si>
  <si>
    <t>€/Backer NEU</t>
  </si>
  <si>
    <t>Tag 1 mal X</t>
  </si>
  <si>
    <t>Werkzeuge (€)</t>
  </si>
  <si>
    <t>Werkzeuge (Backer)</t>
  </si>
  <si>
    <t>B</t>
  </si>
  <si>
    <t>Anmerkungen</t>
  </si>
  <si>
    <t>Summe</t>
  </si>
  <si>
    <t>Mythen (€)</t>
  </si>
  <si>
    <t>Mythen (Backer)</t>
  </si>
  <si>
    <t>Tag 1</t>
  </si>
  <si>
    <t>Tag 2</t>
  </si>
  <si>
    <t>Kalkulation min.</t>
  </si>
  <si>
    <t>Kalkulation max.</t>
  </si>
  <si>
    <t>€ ges.</t>
  </si>
  <si>
    <t>Prognose</t>
  </si>
  <si>
    <t>Tag 3</t>
  </si>
  <si>
    <t>Schnitt</t>
  </si>
  <si>
    <t>PDF</t>
  </si>
  <si>
    <t>MP AML (€)</t>
  </si>
  <si>
    <t>MP AML (B)</t>
  </si>
  <si>
    <t>SOK (€)</t>
  </si>
  <si>
    <t>SOK (Backer)</t>
  </si>
  <si>
    <t>Tag 4</t>
  </si>
  <si>
    <t>Tag 5</t>
  </si>
  <si>
    <t>Tag 6</t>
  </si>
  <si>
    <t>Tag 7</t>
  </si>
  <si>
    <t>UVP-Preis
im ebook-Shop</t>
  </si>
  <si>
    <t>RE (€)</t>
  </si>
  <si>
    <t>RE (Backer)</t>
  </si>
  <si>
    <t>MP SOK (€)</t>
  </si>
  <si>
    <t>MP SOK (B)</t>
  </si>
  <si>
    <t>Rohals Erben</t>
  </si>
  <si>
    <t>In %</t>
  </si>
  <si>
    <t>Kauf nach CF</t>
  </si>
  <si>
    <r>
      <rPr>
        <b/>
        <u/>
        <sz val="14"/>
        <color theme="1"/>
        <rFont val="Book Antiqua"/>
        <family val="1"/>
      </rPr>
      <t>Digitale/Sonstige</t>
    </r>
    <r>
      <rPr>
        <b/>
        <sz val="14"/>
        <color theme="1"/>
        <rFont val="Book Antiqua"/>
        <family val="1"/>
      </rPr>
      <t xml:space="preserve"> Produkte des Crowdfundings</t>
    </r>
    <r>
      <rPr>
        <b/>
        <sz val="11"/>
        <color rgb="FFFF0000"/>
        <rFont val="Book Antiqua"/>
        <family val="1"/>
      </rPr>
      <t/>
    </r>
  </si>
  <si>
    <t>Mein Wunschpaket umfasst ("x" setzen)</t>
  </si>
  <si>
    <t>Digitale Produkte</t>
  </si>
  <si>
    <t>Alle Produkte</t>
  </si>
  <si>
    <t>DGG (€)</t>
  </si>
  <si>
    <t>MP RE (€)</t>
  </si>
  <si>
    <t>MP RE (B)</t>
  </si>
  <si>
    <t>DGG (Backer)</t>
  </si>
  <si>
    <t>https://hinter-dem-schwarzen-auge.de/links/</t>
  </si>
  <si>
    <t>Prognose min</t>
  </si>
  <si>
    <t>Prognose max</t>
  </si>
  <si>
    <t>€ max.</t>
  </si>
  <si>
    <t>€ min.</t>
  </si>
  <si>
    <t>https://hinter-dem-schwarzen-auge.de/support</t>
  </si>
  <si>
    <t>DSK SV (€)</t>
  </si>
  <si>
    <t>DSK SV (Backer)</t>
  </si>
  <si>
    <t>WW (€)</t>
  </si>
  <si>
    <t>WW (Backer)</t>
  </si>
  <si>
    <t>DSK Fasar (€)</t>
  </si>
  <si>
    <t>DSK Fasar (Backer)</t>
  </si>
  <si>
    <t>MP ANB (€)</t>
  </si>
  <si>
    <t>MP ANB (B)</t>
  </si>
  <si>
    <t>MP DSKF (€)</t>
  </si>
  <si>
    <t>MP DSKF (B)</t>
  </si>
  <si>
    <t>MP WdM (€)</t>
  </si>
  <si>
    <t>MP WdM (B)</t>
  </si>
  <si>
    <t>MP DGG (€)</t>
  </si>
  <si>
    <t>MP DGG (B)</t>
  </si>
  <si>
    <t>MP DSKSV (€)</t>
  </si>
  <si>
    <t>MP DSKSV (B)</t>
  </si>
  <si>
    <t>Min</t>
  </si>
  <si>
    <t>Max</t>
  </si>
  <si>
    <t>DSK Fasar</t>
  </si>
  <si>
    <t>DSK R (Backer)</t>
  </si>
  <si>
    <t>DSK R (€)</t>
  </si>
  <si>
    <t>MP WW (€)</t>
  </si>
  <si>
    <t>MP WW (B)</t>
  </si>
  <si>
    <t>0 €</t>
  </si>
  <si>
    <t>DSK Refurbished</t>
  </si>
  <si>
    <t>Links</t>
  </si>
  <si>
    <r>
      <t xml:space="preserve">made with </t>
    </r>
    <r>
      <rPr>
        <b/>
        <sz val="10"/>
        <color rgb="FFC00000"/>
        <rFont val="Book Antiqua"/>
        <family val="1"/>
      </rPr>
      <t>Auge</t>
    </r>
    <r>
      <rPr>
        <b/>
        <sz val="10"/>
        <color theme="1"/>
        <rFont val="Book Antiqua"/>
        <family val="1"/>
      </rPr>
      <t xml:space="preserve"> by Hinter dem Schwarzen Auge!</t>
    </r>
  </si>
  <si>
    <t>A1:CQ150</t>
  </si>
  <si>
    <t>Ära (€)</t>
  </si>
  <si>
    <t>Ära (Backer)</t>
  </si>
  <si>
    <t>MP DSK R (€)</t>
  </si>
  <si>
    <t>MP DSK R (B)</t>
  </si>
  <si>
    <t>Bereits erhältliches Produkt</t>
  </si>
  <si>
    <t>Thorwal</t>
  </si>
  <si>
    <t>Werkzeuge</t>
  </si>
  <si>
    <t>Mosaik (€)</t>
  </si>
  <si>
    <t>Mosaik (Backer)</t>
  </si>
  <si>
    <t>MP ÄRA (€)</t>
  </si>
  <si>
    <t>MP ÄRA (B)</t>
  </si>
  <si>
    <t>Tag 8</t>
  </si>
  <si>
    <t>Tag 9</t>
  </si>
  <si>
    <t>Tag 10</t>
  </si>
  <si>
    <t>Tag 11</t>
  </si>
  <si>
    <t>Tag 12</t>
  </si>
  <si>
    <t>Tag 13</t>
  </si>
  <si>
    <t>Tag 14</t>
  </si>
  <si>
    <t>Tag 15</t>
  </si>
  <si>
    <t>Tag 16</t>
  </si>
  <si>
    <t>Tag 17</t>
  </si>
  <si>
    <t>Tag 18</t>
  </si>
  <si>
    <t>Tag 19</t>
  </si>
  <si>
    <t>Tag 20</t>
  </si>
  <si>
    <t>Tag 21</t>
  </si>
  <si>
    <t>Differenz</t>
  </si>
  <si>
    <t>MP ANB</t>
  </si>
  <si>
    <t>MP WdM</t>
  </si>
  <si>
    <t>MP DSKF</t>
  </si>
  <si>
    <t>MP AML</t>
  </si>
  <si>
    <t>MP SOK</t>
  </si>
  <si>
    <t>MP RE</t>
  </si>
  <si>
    <t>MP DGG</t>
  </si>
  <si>
    <t>MP DSKSV</t>
  </si>
  <si>
    <t>MP WW</t>
  </si>
  <si>
    <t>MP DSK R</t>
  </si>
  <si>
    <t>MP ÄRA</t>
  </si>
  <si>
    <t>€ p.P.</t>
  </si>
  <si>
    <t>Hochrechnung aktuelles CF</t>
  </si>
  <si>
    <t>Backer-la.</t>
  </si>
  <si>
    <t>€-lastig</t>
  </si>
  <si>
    <t>Schätzpreis, Preis im/nach CF ist unbekannt</t>
  </si>
  <si>
    <t>Extrema</t>
  </si>
  <si>
    <t>Mittelwert</t>
  </si>
  <si>
    <t>Zielwerte</t>
  </si>
  <si>
    <t>Anteile kumuliert</t>
  </si>
  <si>
    <t>Anteil/Tag</t>
  </si>
  <si>
    <t>Faktor</t>
  </si>
  <si>
    <t>Starkes Finale</t>
  </si>
  <si>
    <t>Schwaches Finale</t>
  </si>
  <si>
    <t>5 Tage</t>
  </si>
  <si>
    <t>6 Tage</t>
  </si>
  <si>
    <t>+ Starkes Finale</t>
  </si>
  <si>
    <t>+ Schwaches Finale</t>
  </si>
  <si>
    <t>Anteil Blöcke</t>
  </si>
  <si>
    <t>Tag 1-7</t>
  </si>
  <si>
    <t>Tag 8-14</t>
  </si>
  <si>
    <t>Tag 15-21</t>
  </si>
  <si>
    <t>Tag 1-3</t>
  </si>
  <si>
    <t>Tag 19-21</t>
  </si>
  <si>
    <t>Tag 4-18</t>
  </si>
  <si>
    <t>Tag 1-2</t>
  </si>
  <si>
    <t>Tag 3-19</t>
  </si>
  <si>
    <t>Tag 20-21</t>
  </si>
  <si>
    <t>UNTER VORBEHALT!</t>
  </si>
  <si>
    <t>GESAMT</t>
  </si>
  <si>
    <t>Tag 1-4</t>
  </si>
  <si>
    <t>Tag 5-16</t>
  </si>
  <si>
    <t>Tag 17-21</t>
  </si>
  <si>
    <t>Tag 4-15</t>
  </si>
  <si>
    <t>Tag 16-21</t>
  </si>
  <si>
    <t>Tag 3-15</t>
  </si>
  <si>
    <t>Erste 2 Tage</t>
  </si>
  <si>
    <t>Letzte 6 Tage</t>
  </si>
  <si>
    <t>Mittlere 13 Tage</t>
  </si>
  <si>
    <t>Letzte 2 Tage</t>
  </si>
  <si>
    <t>Mittlere 17 Tage</t>
  </si>
  <si>
    <t>Erste 3 Tage</t>
  </si>
  <si>
    <t>Letzte 3 Tage</t>
  </si>
  <si>
    <t>Mittlere 15 Tage</t>
  </si>
  <si>
    <t>Mittlere 12 Tage</t>
  </si>
  <si>
    <t>Erste 4 Tage</t>
  </si>
  <si>
    <t>Letzte 4 Tage</t>
  </si>
  <si>
    <t>Erste 7 Tage</t>
  </si>
  <si>
    <t>Mittlere 7 Tage</t>
  </si>
  <si>
    <t>Letzte 7 Tage</t>
  </si>
  <si>
    <t>Tag 2-8</t>
  </si>
  <si>
    <t>Tag 9-18</t>
  </si>
  <si>
    <t>Erster Tag</t>
  </si>
  <si>
    <t>Zweite 7 Tage</t>
  </si>
  <si>
    <t>Dritte 10 Tage</t>
  </si>
  <si>
    <t>Aktuelles CF mit Verlauf von…</t>
  </si>
  <si>
    <t>Alle Links zum Projekt findest du hier (Klick):</t>
  </si>
  <si>
    <t>Differenzen zu Prognose</t>
  </si>
  <si>
    <t>Standardabweichung</t>
  </si>
  <si>
    <t>Geringste Standardabw.</t>
  </si>
  <si>
    <t>Durchschn. Abw.</t>
  </si>
  <si>
    <t>Höchste Standardabw.</t>
  </si>
  <si>
    <t>Ned (€)</t>
  </si>
  <si>
    <t>Ned (Backer)</t>
  </si>
  <si>
    <t>Ned (€/B)</t>
  </si>
  <si>
    <t>Werkz (€/B)</t>
  </si>
  <si>
    <t>DSK Fasar (€/B)</t>
  </si>
  <si>
    <t>SPERREN &amp; AUSBLENDEN</t>
  </si>
  <si>
    <t>Mosaik der Märchen</t>
  </si>
  <si>
    <t>Mythen (€/B)</t>
  </si>
  <si>
    <t>SOK (€/B)</t>
  </si>
  <si>
    <t>RE (€/B)</t>
  </si>
  <si>
    <t>DGG (€/B)</t>
  </si>
  <si>
    <t>DSK SV (€/B)</t>
  </si>
  <si>
    <t>WW (€/B)</t>
  </si>
  <si>
    <t>DSK R (€/B)</t>
  </si>
  <si>
    <t>Ära (€/B)</t>
  </si>
  <si>
    <t>Mosaik (€/B)</t>
  </si>
  <si>
    <t>DSK ES (€)</t>
  </si>
  <si>
    <t>DSK ES (€/B)</t>
  </si>
  <si>
    <t>DSK ES (Backer)</t>
  </si>
  <si>
    <t>Stoff</t>
  </si>
  <si>
    <t>nicht erhältlich</t>
  </si>
  <si>
    <t>CD</t>
  </si>
  <si>
    <t>Werkzeuge des Meisters</t>
  </si>
  <si>
    <t>DSK - Fasar</t>
  </si>
  <si>
    <t>Aventuria - Mythen &amp; Legenden</t>
  </si>
  <si>
    <t>Aventuria - Nedime &amp; Borbarad</t>
  </si>
  <si>
    <t>Die Sonnenküste</t>
  </si>
  <si>
    <t>Die Gunst der Göttin</t>
  </si>
  <si>
    <t>DSK - Schleichender Verfall</t>
  </si>
  <si>
    <t>DSK - Refurbished</t>
  </si>
  <si>
    <t>Die Winterwacht</t>
  </si>
  <si>
    <t>Die Ära des Goldenen Kaisers</t>
  </si>
  <si>
    <t>MP Mosaik</t>
  </si>
  <si>
    <t>Mittelwert (Min/Max)</t>
  </si>
  <si>
    <t>Schnitt (Faktor)</t>
  </si>
  <si>
    <t>Faktor l. 5 Tage</t>
  </si>
  <si>
    <t>Faktor l. 6 Tage</t>
  </si>
  <si>
    <t>Ist-Verläufe</t>
  </si>
  <si>
    <t>&gt;2/3</t>
  </si>
  <si>
    <t>&gt;2/4</t>
  </si>
  <si>
    <t>&gt;1/3</t>
  </si>
  <si>
    <t>&gt;1/4</t>
  </si>
  <si>
    <t>&gt;3/4</t>
  </si>
  <si>
    <t>Std.abw.</t>
  </si>
  <si>
    <t>Sehr gleichmäßig</t>
  </si>
  <si>
    <t>Flacher Start</t>
  </si>
  <si>
    <t>Std.abw</t>
  </si>
  <si>
    <t>Konstant</t>
  </si>
  <si>
    <t>Faktor l. 3 Tage</t>
  </si>
  <si>
    <t>3 Tage</t>
  </si>
  <si>
    <t>Anteil Restlaufzeit - NUR FÜR 1. PROGNOSE!</t>
  </si>
  <si>
    <t>Die Echsensümpfe</t>
  </si>
  <si>
    <t>ES (€)</t>
  </si>
  <si>
    <t>ES (Backer)</t>
  </si>
  <si>
    <t>ES (€/B)</t>
  </si>
  <si>
    <t>ohne DSK ES</t>
  </si>
  <si>
    <t>Diff.</t>
  </si>
  <si>
    <t>DSK Ewige Suche</t>
  </si>
  <si>
    <t>Kunstleder-Hardcover, A6 + PDF</t>
  </si>
  <si>
    <t>Acrylmarker</t>
  </si>
  <si>
    <t>Kunststoff</t>
  </si>
  <si>
    <t>40 Jahre DSA: Bleistiftspiel</t>
  </si>
  <si>
    <t>Rubbelposter, A1</t>
  </si>
  <si>
    <r>
      <t xml:space="preserve">40 Jahre DSA: Aventurien </t>
    </r>
    <r>
      <rPr>
        <sz val="8"/>
        <color theme="1"/>
        <rFont val="Book Antiqua"/>
        <family val="1"/>
      </rPr>
      <t>(Landkartensets)</t>
    </r>
  </si>
  <si>
    <r>
      <t>40 Jahre DSA: 100 Abenteuer, die man gespielt haben muss</t>
    </r>
    <r>
      <rPr>
        <sz val="8"/>
        <color theme="1"/>
        <rFont val="Book Antiqua"/>
        <family val="1"/>
      </rPr>
      <t xml:space="preserve"> (Poster)</t>
    </r>
  </si>
  <si>
    <t>40 Jahre DSA: Epische Begegnung - Silvanas Befreiung</t>
  </si>
  <si>
    <t>Resin</t>
  </si>
  <si>
    <t>Poster (diverse) + Begleitheft</t>
  </si>
  <si>
    <t>Bleistufte + Radiergummi</t>
  </si>
  <si>
    <t>Tsa-Vademecum</t>
  </si>
  <si>
    <t>Acrylmarkerset - Schuppenkleid &amp; Lange Zungen</t>
  </si>
  <si>
    <r>
      <t>Schicksal und Verdammnis - Gottheit Hesinde</t>
    </r>
    <r>
      <rPr>
        <sz val="8"/>
        <color theme="1"/>
        <rFont val="Book Antiqua"/>
        <family val="1"/>
      </rPr>
      <t xml:space="preserve"> (Würfel &amp; Schicksalspunkte)</t>
    </r>
  </si>
  <si>
    <r>
      <t>Schicksal und Verdammnis - Gottheit Tsa</t>
    </r>
    <r>
      <rPr>
        <sz val="8"/>
        <color theme="1"/>
        <rFont val="Book Antiqua"/>
        <family val="1"/>
      </rPr>
      <t xml:space="preserve"> (Würfel &amp; Schicksalspunkte)</t>
    </r>
  </si>
  <si>
    <r>
      <t>Schicksal und Verdammnis - Gottheit Kor</t>
    </r>
    <r>
      <rPr>
        <sz val="8"/>
        <color theme="1"/>
        <rFont val="Book Antiqua"/>
        <family val="1"/>
      </rPr>
      <t xml:space="preserve"> (Würfel &amp; Schicksalspunkte)</t>
    </r>
  </si>
  <si>
    <r>
      <t>Schicksal und Verdammnis - Gottheit Satuaria</t>
    </r>
    <r>
      <rPr>
        <sz val="8"/>
        <color theme="1"/>
        <rFont val="Book Antiqua"/>
        <family val="1"/>
      </rPr>
      <t xml:space="preserve"> (Würfel &amp; Schicksalspunkte)</t>
    </r>
  </si>
  <si>
    <r>
      <t>Schicksal und Verdammnis - Erzdämon Charyptoroth</t>
    </r>
    <r>
      <rPr>
        <sz val="8"/>
        <color theme="1"/>
        <rFont val="Book Antiqua"/>
        <family val="1"/>
      </rPr>
      <t xml:space="preserve"> (Würfel &amp; Schicksalspunkte)</t>
    </r>
  </si>
  <si>
    <t>Hesinde-Vademecum</t>
  </si>
  <si>
    <t>Almanach der Ungeheuer</t>
  </si>
  <si>
    <t>Eynmaleyns der Kreutherkunde</t>
  </si>
  <si>
    <t>Catalogus Heptasphaericum</t>
  </si>
  <si>
    <t>DSA5 - Aventurisches Transmutarium</t>
  </si>
  <si>
    <t>DSA5 - Arkane Schmieden &amp; Labore</t>
  </si>
  <si>
    <t>Hardcover, A4</t>
  </si>
  <si>
    <r>
      <t>Das Wüstenreich</t>
    </r>
    <r>
      <rPr>
        <sz val="8"/>
        <color theme="1"/>
        <rFont val="Book Antiqua"/>
        <family val="1"/>
      </rPr>
      <t xml:space="preserve"> (Regionalband)</t>
    </r>
  </si>
  <si>
    <t>DSA5 Spielkartenset Die Siebenwindküste</t>
  </si>
  <si>
    <t>DSA5 Spielkartenset Havena</t>
  </si>
  <si>
    <t>DSA5 Spielkartenset Av. Zufallskarten - Gestade des Gottwals</t>
  </si>
  <si>
    <t>DSA5 Spielkartenset Die Sonnenküste</t>
  </si>
  <si>
    <t>DSA5 Spielkartenset Kritische Treffer</t>
  </si>
  <si>
    <t>DSA5 Spielkartenset Kritische Offensiv-Fehlschläge</t>
  </si>
  <si>
    <t>DSA5 Spielkartenset Kritische Defensiv Erfolge</t>
  </si>
  <si>
    <t>DSA5 Spielkartenset Kritische Defensiv Fehlschläge</t>
  </si>
  <si>
    <t>DSA5 Spielkartenset Schätze &amp; Kostbarkeiten</t>
  </si>
  <si>
    <t>DSA5 Spielkartenset Schätze &amp; Kostbarkeiten 2</t>
  </si>
  <si>
    <t>DSA5 Spielkartenset Schätze &amp; Kostbarkeiten 3</t>
  </si>
  <si>
    <t>DSA5 Spielkartenset Schätze &amp; Kostbarkeiten 5</t>
  </si>
  <si>
    <t>DSA5 Spielkartenset Falltüren &amp; Speergruben</t>
  </si>
  <si>
    <t>DSA5 Spielkartenset Katakomben und Ruinen</t>
  </si>
  <si>
    <t>DSA5-Spielkartenset Meisterpersonen - Handel &amp; Wandel</t>
  </si>
  <si>
    <t>DSA5 Spielkartenset Kampfbegegnungen – Räuber &amp; Gardisten</t>
  </si>
  <si>
    <t>DSA5 Spielkartenset Aventurisches Bestiarium 2 Deluxe</t>
  </si>
  <si>
    <t>DSA5 Spielkartenset Aventurisches Transmutarium</t>
  </si>
  <si>
    <t>DSA5 Spielkartenset Aventurisches Animatorium</t>
  </si>
  <si>
    <t>DSA5 Spielkartenset Aventurisches Nekromanthäum</t>
  </si>
  <si>
    <t>DSA5 Spielkartenset Aventurisches Elementarium</t>
  </si>
  <si>
    <t>DSA5 Spielkartenset Aventurisches Pandämonium 2 Deluxe</t>
  </si>
  <si>
    <t>DSA5 Spielkartenset Aventurische Rüstkammer 2</t>
  </si>
  <si>
    <t>DSA5 Spielkartenbundle Aventurische Magie</t>
  </si>
  <si>
    <t>DSA5 Spielkartenbundle Aventurische Magie 2</t>
  </si>
  <si>
    <t>DSA5 Spielkartenbundle Aventurische Magie 3</t>
  </si>
  <si>
    <t>DSA5 Spielkartenbundle Aventurisches Götterwirken</t>
  </si>
  <si>
    <t>Trefferzonen-Set</t>
  </si>
  <si>
    <t>DSA5 Einsteigerbox: Magier - Würfelset</t>
  </si>
  <si>
    <t>DSA5 Einsteigerbox: Krieger - Würfelset</t>
  </si>
  <si>
    <t>DSA5 Einsteigerbox: Zwergen - Würfelset</t>
  </si>
  <si>
    <t>DSA5 Einsteigerbox: Elfen - Würfelset</t>
  </si>
  <si>
    <t>DSA5 Einsteigerbox: Schicksalspunkte-Set</t>
  </si>
  <si>
    <t>Havena - Crowdfunding Pack</t>
  </si>
  <si>
    <t>Diverses</t>
  </si>
  <si>
    <t>Die Gestade des Gottwals - Crowdfunding Pack</t>
  </si>
  <si>
    <t>Spielkarten</t>
  </si>
  <si>
    <t>Kunstoff-Schips</t>
  </si>
  <si>
    <t>DSA5 Spielkartenbundle Aventurisches Kompendium</t>
  </si>
  <si>
    <t>DSA5 Spielkartenbundle Aventurisches Kompendium 2</t>
  </si>
  <si>
    <t>DSA5 Spielkartenset Zusatzkarten</t>
  </si>
  <si>
    <t>DSA5-Spielkartenset Meisterpersonen 2 - Mentoren &amp; Lehrmeister</t>
  </si>
  <si>
    <t>DSA5 Schicksalspunkte Kaiser-Raul-Konvent</t>
  </si>
  <si>
    <t>DSA5 Mythos - Spielkartenset Mythos-Magie</t>
  </si>
  <si>
    <t>DSA5 Spielkartenbundle Aventurisches Götterwirken 2</t>
  </si>
  <si>
    <t>DSA5 Mythos - Spielkartenset Mythos-Monster</t>
  </si>
  <si>
    <t>Spielkarten (groß)</t>
  </si>
  <si>
    <t>DSA5 Mythos - Sphärenklänge des Wahnsinns</t>
  </si>
  <si>
    <t>DSA5 Mythos - Traumlande Stoffkarte</t>
  </si>
  <si>
    <t>DSA5 - Spielkartenset - Heldenerschaffung</t>
  </si>
  <si>
    <t>DSA5 - Heldenwerk-Archiv 2 (KRK Ausgabe)</t>
  </si>
  <si>
    <t>DSA5 - Heldenwerkarchiv 2 (RatCon Ausgabe)</t>
  </si>
  <si>
    <t>DSA - Aventurische Würfelspiele - Deluxe-Würfelbecherset</t>
  </si>
  <si>
    <t>Leder</t>
  </si>
  <si>
    <t>DSA - Aventurische Würfelspiele - Deluxe-Münzset</t>
  </si>
  <si>
    <t>Metall</t>
  </si>
  <si>
    <t>TDE - Aventuria Almanac Deluxe (red leatherette)</t>
  </si>
  <si>
    <t>TDE - The Warring Kingdoms (green leatherette)</t>
  </si>
  <si>
    <t>TDE - Aventuria Compendium Deluxe (red leatherette)</t>
  </si>
  <si>
    <t>TDE - Magic of Aventuria Deluxe (red leatherette)</t>
  </si>
  <si>
    <t>TDE - Gods of Aventuria Deluxe (red leatherette)</t>
  </si>
  <si>
    <t>DSA5 - Aventurisches Pandämonium (blaue limitierte Ausgabe)</t>
  </si>
  <si>
    <t>DSA5 - Aventurisches Herbarium (blaue limitierte Ausgabe)</t>
  </si>
  <si>
    <t>DSA5 - Aventurisches Pandämonium 2 (blaue limitierte Ausgabe)</t>
  </si>
  <si>
    <t>DSA5 - Aventurisches Herbarium 2 (blaue limitierte Ausgabe)</t>
  </si>
  <si>
    <t>DSA5 - Aventurisches Transmutarium (blaue limitierte Ausgabe)</t>
  </si>
  <si>
    <t>DSA5 - Aventurisches Elementarium (blaue limitierte Ausgabe)</t>
  </si>
  <si>
    <t>TDE - Gods of Aventuria Charity (white leatherette)</t>
  </si>
  <si>
    <t>TDE- The Dark Eye Core Rules Limitied (black leather)</t>
  </si>
  <si>
    <t>TDE - Gods of Aventuria Limited (black leather)</t>
  </si>
  <si>
    <t>DSA5 - Aventurische Magie 3 (blaue limitierte Auflage)</t>
  </si>
  <si>
    <t>TDE - Aventuria Compendium Limited (black leather</t>
  </si>
  <si>
    <t>DSA5 - Regelwerk (blaue limitierte Ausgabe)</t>
  </si>
  <si>
    <t>DSA5 Mythos - Sandy Petersens Cthulhu Mythos - Sammelbox</t>
  </si>
  <si>
    <t>DSA5 - Aventurisches Animatorium (blaue limitierte Ausgabe)</t>
  </si>
  <si>
    <t>Ausverkauft!</t>
  </si>
  <si>
    <r>
      <t>Bereits erhältliches Produkt (max. 50 St.);</t>
    </r>
    <r>
      <rPr>
        <sz val="10"/>
        <color rgb="FFFF0000"/>
        <rFont val="Book Antiqua"/>
        <family val="1"/>
      </rPr>
      <t xml:space="preserve"> 50% Rabatt!</t>
    </r>
  </si>
  <si>
    <t>DSA5 Mythos - Spielkartenset Wahnsinn</t>
  </si>
  <si>
    <t>DSA5 - Aventurische Meisterschaft Deluxe (blaue limitierte Ausgabe)</t>
  </si>
  <si>
    <t>DSA5 - Aventurisches Götterwirken 2 (blaue limitierte Ausgabe)</t>
  </si>
  <si>
    <r>
      <t xml:space="preserve">Bereits erhältliches Produkt (max. </t>
    </r>
    <r>
      <rPr>
        <sz val="10"/>
        <color rgb="FFFF0000"/>
        <rFont val="Book Antiqua"/>
        <family val="1"/>
      </rPr>
      <t>20</t>
    </r>
    <r>
      <rPr>
        <sz val="10"/>
        <color theme="1"/>
        <rFont val="Book Antiqua"/>
        <family val="1"/>
      </rPr>
      <t xml:space="preserve"> St.);</t>
    </r>
    <r>
      <rPr>
        <sz val="10"/>
        <color rgb="FFFF0000"/>
        <rFont val="Book Antiqua"/>
        <family val="1"/>
      </rPr>
      <t xml:space="preserve"> 50% Rabatt!</t>
    </r>
  </si>
  <si>
    <r>
      <t>Bereits erhältliches Produkt (max. 100 St.);</t>
    </r>
    <r>
      <rPr>
        <sz val="10"/>
        <color rgb="FFFF0000"/>
        <rFont val="Book Antiqua"/>
        <family val="1"/>
      </rPr>
      <t xml:space="preserve"> 50% Rabatt!</t>
    </r>
  </si>
  <si>
    <r>
      <t xml:space="preserve">Bereits erhältliches Produkt (max. </t>
    </r>
    <r>
      <rPr>
        <sz val="10"/>
        <color rgb="FFFF0000"/>
        <rFont val="Book Antiqua"/>
        <family val="1"/>
      </rPr>
      <t>10</t>
    </r>
    <r>
      <rPr>
        <sz val="10"/>
        <color theme="1"/>
        <rFont val="Book Antiqua"/>
        <family val="1"/>
      </rPr>
      <t xml:space="preserve"> St.);</t>
    </r>
    <r>
      <rPr>
        <sz val="10"/>
        <color rgb="FFFF0000"/>
        <rFont val="Book Antiqua"/>
        <family val="1"/>
      </rPr>
      <t xml:space="preserve"> 33% Rabatt!</t>
    </r>
  </si>
  <si>
    <r>
      <t>Bereits erhältliches Produkt (max. 50 St.);</t>
    </r>
    <r>
      <rPr>
        <sz val="10"/>
        <color rgb="FFFF0000"/>
        <rFont val="Book Antiqua"/>
        <family val="1"/>
      </rPr>
      <t xml:space="preserve"> 33% Rabatt!</t>
    </r>
  </si>
  <si>
    <r>
      <t>Bereits erhältliches Produkt (max. 50 St.);</t>
    </r>
    <r>
      <rPr>
        <sz val="10"/>
        <color rgb="FFFF0000"/>
        <rFont val="Book Antiqua"/>
        <family val="1"/>
      </rPr>
      <t xml:space="preserve"> 25% Rabatt!</t>
    </r>
  </si>
  <si>
    <r>
      <t xml:space="preserve">Bereits erhältliches Produkt (max. </t>
    </r>
    <r>
      <rPr>
        <sz val="10"/>
        <color rgb="FFFF0000"/>
        <rFont val="Book Antiqua"/>
        <family val="1"/>
      </rPr>
      <t>5</t>
    </r>
    <r>
      <rPr>
        <sz val="10"/>
        <color theme="1"/>
        <rFont val="Book Antiqua"/>
        <family val="1"/>
      </rPr>
      <t xml:space="preserve"> St.);</t>
    </r>
    <r>
      <rPr>
        <sz val="10"/>
        <color rgb="FFFF0000"/>
        <rFont val="Book Antiqua"/>
        <family val="1"/>
      </rPr>
      <t xml:space="preserve"> 50% Rabatt!</t>
    </r>
  </si>
  <si>
    <r>
      <t xml:space="preserve">Bereits erhältliches Produkt (max. </t>
    </r>
    <r>
      <rPr>
        <sz val="10"/>
        <color rgb="FFFF0000"/>
        <rFont val="Book Antiqua"/>
        <family val="1"/>
      </rPr>
      <t>10</t>
    </r>
    <r>
      <rPr>
        <sz val="10"/>
        <color theme="1"/>
        <rFont val="Book Antiqua"/>
        <family val="1"/>
      </rPr>
      <t xml:space="preserve"> St.);</t>
    </r>
    <r>
      <rPr>
        <sz val="10"/>
        <color rgb="FFFF0000"/>
        <rFont val="Book Antiqua"/>
        <family val="1"/>
      </rPr>
      <t xml:space="preserve"> 50% Rabatt!</t>
    </r>
  </si>
  <si>
    <r>
      <t xml:space="preserve">Bereits erhältliches Produkt (max. </t>
    </r>
    <r>
      <rPr>
        <sz val="10"/>
        <color rgb="FFFF0000"/>
        <rFont val="Book Antiqua"/>
        <family val="1"/>
      </rPr>
      <t>20</t>
    </r>
    <r>
      <rPr>
        <sz val="10"/>
        <color theme="1"/>
        <rFont val="Book Antiqua"/>
        <family val="1"/>
      </rPr>
      <t xml:space="preserve"> St.);</t>
    </r>
    <r>
      <rPr>
        <sz val="10"/>
        <color rgb="FFFF0000"/>
        <rFont val="Book Antiqua"/>
        <family val="1"/>
      </rPr>
      <t xml:space="preserve"> 33% Rabatt!</t>
    </r>
  </si>
  <si>
    <r>
      <t xml:space="preserve">Bereits erhältliches Produkt (max. </t>
    </r>
    <r>
      <rPr>
        <sz val="10"/>
        <color rgb="FFFF0000"/>
        <rFont val="Book Antiqua"/>
        <family val="1"/>
      </rPr>
      <t>20</t>
    </r>
    <r>
      <rPr>
        <sz val="10"/>
        <color theme="1"/>
        <rFont val="Book Antiqua"/>
        <family val="1"/>
      </rPr>
      <t xml:space="preserve"> St.);</t>
    </r>
    <r>
      <rPr>
        <sz val="10"/>
        <color rgb="FFFF0000"/>
        <rFont val="Book Antiqua"/>
        <family val="1"/>
      </rPr>
      <t xml:space="preserve"> 31% Rabatt!</t>
    </r>
  </si>
  <si>
    <r>
      <t xml:space="preserve">Bereits erhältliches Produkt (max. </t>
    </r>
    <r>
      <rPr>
        <sz val="10"/>
        <color rgb="FFFF0000"/>
        <rFont val="Book Antiqua"/>
        <family val="1"/>
      </rPr>
      <t>3</t>
    </r>
    <r>
      <rPr>
        <sz val="10"/>
        <color theme="1"/>
        <rFont val="Book Antiqua"/>
        <family val="1"/>
      </rPr>
      <t xml:space="preserve"> St.);</t>
    </r>
    <r>
      <rPr>
        <sz val="10"/>
        <color rgb="FFFF0000"/>
        <rFont val="Book Antiqua"/>
        <family val="1"/>
      </rPr>
      <t xml:space="preserve"> 50% Rabatt!</t>
    </r>
  </si>
  <si>
    <r>
      <t xml:space="preserve">Bereits erhältliches Produkt (max. </t>
    </r>
    <r>
      <rPr>
        <sz val="10"/>
        <color rgb="FFFF0000"/>
        <rFont val="Book Antiqua"/>
        <family val="1"/>
      </rPr>
      <t>10</t>
    </r>
    <r>
      <rPr>
        <sz val="10"/>
        <color theme="1"/>
        <rFont val="Book Antiqua"/>
        <family val="1"/>
      </rPr>
      <t xml:space="preserve"> St.);</t>
    </r>
    <r>
      <rPr>
        <sz val="10"/>
        <color rgb="FFFF0000"/>
        <rFont val="Book Antiqua"/>
        <family val="1"/>
      </rPr>
      <t xml:space="preserve"> 29% Rabatt!</t>
    </r>
  </si>
  <si>
    <r>
      <t xml:space="preserve">Bereits erhältliches Produkt (max. </t>
    </r>
    <r>
      <rPr>
        <sz val="10"/>
        <color rgb="FFFF0000"/>
        <rFont val="Book Antiqua"/>
        <family val="1"/>
      </rPr>
      <t>10</t>
    </r>
    <r>
      <rPr>
        <sz val="10"/>
        <color theme="1"/>
        <rFont val="Book Antiqua"/>
        <family val="1"/>
      </rPr>
      <t xml:space="preserve"> St.);</t>
    </r>
    <r>
      <rPr>
        <sz val="10"/>
        <color rgb="FFFF0000"/>
        <rFont val="Book Antiqua"/>
        <family val="1"/>
      </rPr>
      <t xml:space="preserve"> 37% Rabatt!</t>
    </r>
  </si>
  <si>
    <r>
      <t xml:space="preserve">Bereits erhältliches Produkt (max. </t>
    </r>
    <r>
      <rPr>
        <sz val="10"/>
        <color rgb="FFFF0000"/>
        <rFont val="Book Antiqua"/>
        <family val="1"/>
      </rPr>
      <t>10</t>
    </r>
    <r>
      <rPr>
        <sz val="10"/>
        <color theme="1"/>
        <rFont val="Book Antiqua"/>
        <family val="1"/>
      </rPr>
      <t xml:space="preserve"> St.);</t>
    </r>
    <r>
      <rPr>
        <sz val="10"/>
        <color rgb="FFFF0000"/>
        <rFont val="Book Antiqua"/>
        <family val="1"/>
      </rPr>
      <t xml:space="preserve"> 25% Rabatt!</t>
    </r>
  </si>
  <si>
    <t>REGIONALBÄNDE</t>
  </si>
  <si>
    <t>INGAME-BÄNDE</t>
  </si>
  <si>
    <t>QUELLENBÄNDE</t>
  </si>
  <si>
    <t>ZUBEHÖR: WÜRFEL, SCHICKSALSPUNKTE, ACRYLMARKER</t>
  </si>
  <si>
    <t>40 JAHRE DSA</t>
  </si>
  <si>
    <t>SPIELKARTENSETS</t>
  </si>
  <si>
    <t>DSA5-MYTHOS</t>
  </si>
  <si>
    <t>THE DARK EYE (ENGLISCH)</t>
  </si>
  <si>
    <t>LIMITIERTE SAMMLER-AUSGABE</t>
  </si>
  <si>
    <r>
      <t xml:space="preserve">XXX </t>
    </r>
    <r>
      <rPr>
        <b/>
        <sz val="10"/>
        <color rgb="FF00B050"/>
        <rFont val="Book Antiqua"/>
        <family val="1"/>
      </rPr>
      <t>(exklusiv im Crowdfunding!)</t>
    </r>
  </si>
  <si>
    <t>XXX</t>
  </si>
  <si>
    <t>ABENTEUER</t>
  </si>
  <si>
    <t>Kunstleder-Hardcover, B5</t>
  </si>
  <si>
    <t>Kunststoff &amp; Regelheft</t>
  </si>
  <si>
    <t>Sonnen-küste</t>
  </si>
  <si>
    <t>Winter-wacht</t>
  </si>
  <si>
    <t>DSK Schleich-ender Verfall</t>
  </si>
  <si>
    <t>Ära des Goldenen Kaisers</t>
  </si>
  <si>
    <t>Gunst der Göttin</t>
  </si>
  <si>
    <t>n.a.</t>
  </si>
  <si>
    <t>Status</t>
  </si>
  <si>
    <t>Akt. HR</t>
  </si>
  <si>
    <t>DSK - Ewige Suche</t>
  </si>
  <si>
    <t>Der Wolfsfrost</t>
  </si>
  <si>
    <t>WF (€)</t>
  </si>
  <si>
    <t>WF(Backer)</t>
  </si>
  <si>
    <t>Echsen-sümpfe</t>
  </si>
  <si>
    <t>MP DSK ES</t>
  </si>
  <si>
    <t>MP ES</t>
  </si>
  <si>
    <t>nicht berücksichtigt</t>
  </si>
  <si>
    <t>St.abw. 1-&gt;4</t>
  </si>
  <si>
    <t>Unverfrorene Schnäppchen: REGELWERKE</t>
  </si>
  <si>
    <t>Crawler: 17 Uhr!</t>
  </si>
  <si>
    <t>https://gamefound.com/de/projects/ulisses-spiele/aventuria</t>
  </si>
  <si>
    <t>Upgrade - Alternate Artwork</t>
  </si>
  <si>
    <t>Upgrade - Deluxe Dice for Curse of the Desert</t>
  </si>
  <si>
    <t>Upgrade - Alternate Artwork II</t>
  </si>
  <si>
    <t>(Solo)</t>
  </si>
  <si>
    <t>Endurium</t>
  </si>
  <si>
    <t>Titanium</t>
  </si>
  <si>
    <t>Eternium - All-In</t>
  </si>
  <si>
    <t>Einzelkauf</t>
  </si>
  <si>
    <t>Starttag</t>
  </si>
  <si>
    <t>Aktuelles Datum</t>
  </si>
  <si>
    <t>Wolfsfrost</t>
  </si>
  <si>
    <t>AVENTURIA
Mythen &amp; Legenden</t>
  </si>
  <si>
    <t>AVENTURIA
Nedime &amp; Borbarad</t>
  </si>
  <si>
    <t>/</t>
  </si>
  <si>
    <t>?</t>
  </si>
  <si>
    <t>MP WF</t>
  </si>
  <si>
    <t>190+90</t>
  </si>
  <si>
    <t>Bisher sind keine digitalen Produkte bekannt</t>
  </si>
  <si>
    <t>+?</t>
  </si>
  <si>
    <t>+6</t>
  </si>
  <si>
    <t>X</t>
  </si>
  <si>
    <t>Aventuria - Kelche der Macht</t>
  </si>
  <si>
    <t>AKM (€)</t>
  </si>
  <si>
    <t>AKM(Backer)</t>
  </si>
  <si>
    <t>AKM (€/B)</t>
  </si>
  <si>
    <t>WF (€/B)</t>
  </si>
  <si>
    <t>AKT. CF - FLIESST NOCH NICHT MIT EIN!</t>
  </si>
  <si>
    <t>Normierte Beträge/Zahlen - BERECHNUNG FÜR 1. PROGNOSE</t>
  </si>
  <si>
    <t>AVENTURIA
Stories &amp; Legends</t>
  </si>
  <si>
    <t>https://hinter-dem-schwarzen-auge.de/aventuria-guide/</t>
  </si>
  <si>
    <t>Guide:</t>
  </si>
  <si>
    <t>Linktree:</t>
  </si>
  <si>
    <t>The Dice Tower</t>
  </si>
  <si>
    <t>Aventuria: Chalices of Power - DT Preview with Mark Streed</t>
  </si>
  <si>
    <t>Video</t>
  </si>
  <si>
    <t>Link</t>
  </si>
  <si>
    <t>https://www.youtube.com/watch?v=P_ePnhBsz0M</t>
  </si>
  <si>
    <t>Man vs Meeple</t>
  </si>
  <si>
    <t>Aventuria: TCG Mechanics Meets Tabletop Roleplaying</t>
  </si>
  <si>
    <t>BoardGameCo</t>
  </si>
  <si>
    <t>Aventuria: The Adventure Board Gameplay - Chalices of Power and Curse of the Desert</t>
  </si>
  <si>
    <t>Aventuria: The Adventure Board Preview - Chalices of Power and Curse of the Desert</t>
  </si>
  <si>
    <t>dani_standring</t>
  </si>
  <si>
    <t>Instagram-Reel Aventuria: The Adventure Board Preview</t>
  </si>
  <si>
    <t>Hinter dem Schwarzen Auge</t>
  </si>
  <si>
    <t>AVENTURIA: The adventure board game - What exactly is it?</t>
  </si>
  <si>
    <t>https://www.youtube.com/watch?v=cMxyL-sW43M</t>
  </si>
  <si>
    <t>https://www.youtube.com/watch?v=hzQWsTTEhKQ</t>
  </si>
  <si>
    <t>https://youtu.be/89WLFkLrbp4</t>
  </si>
  <si>
    <t>Missing a good link/video? Write me an email!</t>
  </si>
  <si>
    <t>I Heart Board Games</t>
  </si>
  <si>
    <t>Aventuria (Saving Silvana #1), 2p playthrough | #1</t>
  </si>
  <si>
    <t>Tabletop Bellhop</t>
  </si>
  <si>
    <t>Aventuria Adventure Card Game Review, a great cooperative, non-collectible fantasy card game.</t>
  </si>
  <si>
    <t>Solo Gaming Spotlight</t>
  </si>
  <si>
    <t>Aventuria: Saving Silvana – Solo playthrough with the Mage!</t>
  </si>
  <si>
    <t>Learn to Play Games</t>
  </si>
  <si>
    <t>Learn to Play Presents: Aventuria Play Through</t>
  </si>
  <si>
    <t>The Friendly Boardgamer</t>
  </si>
  <si>
    <t>Aventuria - Solo Playthrough</t>
  </si>
  <si>
    <t>Rob's Gaming Table</t>
  </si>
  <si>
    <t>Aventuria: Adventure Card Game Saving Silvana Playthrough</t>
  </si>
  <si>
    <t>Aventuria Card Game Nedime, the Caliph's Daughter Solo Playthrough</t>
  </si>
  <si>
    <t>UlissesSpiele</t>
  </si>
  <si>
    <t>Aventuria: Chalices of Power - Q&amp;A English</t>
  </si>
  <si>
    <t>Brettspielblog – Die besten Brettspiele im Test</t>
  </si>
  <si>
    <t>Vorschau: Aventuria 2.0 - Alle wichtigen Infos zum neuen Spielsystem</t>
  </si>
  <si>
    <t>Brettballett</t>
  </si>
  <si>
    <t>AVENTURIA 2 im Kurz-PREVIEW</t>
  </si>
  <si>
    <t>Genus Solo – Brettspiele</t>
  </si>
  <si>
    <t>Kelche der Macht - Prototype-Preview des Aventuria-Abenteuers – deutsch</t>
  </si>
  <si>
    <t>ENG</t>
  </si>
  <si>
    <t>Brettspielblog - Die besten Brettspiele im Test</t>
  </si>
  <si>
    <t>Aventuria: Kelche der Macht - Abenteuer 2: Der Schwarze Turm - Akt I - Solo Let's Play (Prototyp)</t>
  </si>
  <si>
    <t>AVENTURIA: Das Abenteuer-Brettspiel - Was ist das eigentlich genau?</t>
  </si>
  <si>
    <t>!AVENTURIA 1.5: Silvanas Befreiung Director's Cut - α-Kampagne - Teil 1 (Let's Play) VC#048 (+ Playlist)</t>
  </si>
  <si>
    <t>Ulisses VoD</t>
  </si>
  <si>
    <t>!Aventuria - Der Streuner soll sterben, Teil 1 (+ Teile 2 &amp; 3)</t>
  </si>
  <si>
    <t>Aventuria: Mythische Geschichten - Kampf um Ilsur - Live Let's Play mit Flo &amp; Ben (+Regelerklärung)</t>
  </si>
  <si>
    <t>Aventuria - Unter dem Nordlicht - Live Let's Play mit Flo &amp; Ben</t>
  </si>
  <si>
    <t>Let's Play Aventuria - Nedime, die Tochter des Kalifen</t>
  </si>
  <si>
    <t>Let's Play Aventuria: Nedime - Die Tochter des Kalifen - Teil 1 (alter Multiplayermodus)</t>
  </si>
  <si>
    <t>Let's Play Aventuria: Nedime - Die Tochter des Kalifen - Teil 2 (alter Multiplayermodus)</t>
  </si>
  <si>
    <t>Aventuria: Borbarads Fluch | mit Philipp und Chris, äh Markus</t>
  </si>
  <si>
    <t>Aventuria: Kelche der Macht - Q&amp;A Deutsch</t>
  </si>
  <si>
    <t>SNEAK PEEK - Der AVENTURIA 2.0 "Kelche der Macht"-Prototyp!</t>
  </si>
  <si>
    <t>Alle AVENTURIA-NEWS von der RATCON 2024 (DSA-Nachrichten Spezial) #076</t>
  </si>
  <si>
    <t>Aventuria 2.0 Panel | RatCon 2024</t>
  </si>
  <si>
    <t>AVENTURIA 2.0 - Neues CROWDFUNDING (DE/ENG), optimierte REGELN, neues KAMPAGNEN-Spielkonzept (DN074)</t>
  </si>
  <si>
    <t>Aventuria 2.0 Ankündigungs-Stream | mit Markus und Philipp</t>
  </si>
  <si>
    <t>Language</t>
  </si>
  <si>
    <t>https://www.youtube.com/watch?v=fRJq3eKuF-Y</t>
  </si>
  <si>
    <t>https://www.youtube.com/watch?v=ZJN7iqWz_LI</t>
  </si>
  <si>
    <t>https://www.youtube.com/watch?v=TsQK81K0Zic</t>
  </si>
  <si>
    <t>https://www.youtube.com/watch?v=xWOyeE-Gnt0</t>
  </si>
  <si>
    <t>https://www.youtube.com/watch?v=lBern3H90RQ</t>
  </si>
  <si>
    <t>https://www.youtube.com/live/CpMyqUa7xMU?si=cU8wMFhsbGYiMobu&amp;t=540</t>
  </si>
  <si>
    <t>https://www.youtube.com/live/S2FlpM6oMKw?si=oF8oQ06isVx5FBBE&amp;t=543</t>
  </si>
  <si>
    <t>https://www.youtube.com/watch?v=fF5dx-gDgBI</t>
  </si>
  <si>
    <t>https://www.youtube.com/watch?v=7nyT5HG9Zlo</t>
  </si>
  <si>
    <t>https://www.youtube.com/watch?v=z-LRoLiXtIE</t>
  </si>
  <si>
    <t>https://www.youtube.com/watch?v=sldHXTCXjD0</t>
  </si>
  <si>
    <t>https://www.youtube.com/watch?v=sBrYaOCPiGo</t>
  </si>
  <si>
    <t>https://youtu.be/9gaFztrqM5o</t>
  </si>
  <si>
    <t>https://www.youtube.com/watch?v=KAHb0ysKygk&amp;list=PLX1qrLtBfgEMv_zvWylunGlvbgYbXGoAN</t>
  </si>
  <si>
    <t>https://www.youtube.com/watch?v=4xaL336sXDA</t>
  </si>
  <si>
    <t>https://www.youtube.com/live/DWI8qKMUOLU?si=LcQ3t9qtY0gnjJsc&amp;t=99</t>
  </si>
  <si>
    <t>https://www.youtube.com/live/vGqiiWIyp6Q?si=IzhKWiXRSo3p9wdr&amp;t=59</t>
  </si>
  <si>
    <t>https://www.youtube.com/watch?v=-zb5gpkSO6Q</t>
  </si>
  <si>
    <t>https://www.youtube.com/watch?v=p8l-zn_2Bmw</t>
  </si>
  <si>
    <t>https://www.youtube.com/watch?v=sqey6NhVtCM</t>
  </si>
  <si>
    <t>https://www.youtube.com/watch?v=myLWx5LJQ14</t>
  </si>
  <si>
    <t>https://www.youtube.com/watch?v=BUy0fI9NJWI</t>
  </si>
  <si>
    <t>https://www.youtube.com/watch?v=Z4csjf8sMhw</t>
  </si>
  <si>
    <t>https://www.youtube.com/watch?v=b-ASzJ66Fek</t>
  </si>
  <si>
    <t>https://www.youtube.com/watch?v=aIMK0v57ycQ</t>
  </si>
  <si>
    <t>https://www.youtube.com/watch?v=1ZuRGGbdsf4&amp;t=4138s</t>
  </si>
  <si>
    <t>Contents</t>
  </si>
  <si>
    <t>https://www.youtube.com/watch?v=huXZdLkJl_s</t>
  </si>
  <si>
    <t>https://www.youtube.com/watch?v=PKbU0pDfr6s</t>
  </si>
  <si>
    <t>Was ist Aventuria?</t>
  </si>
  <si>
    <t>Q&amp;A 2.0</t>
  </si>
  <si>
    <t>Unboxing Prototyp 2.0</t>
  </si>
  <si>
    <t>Vorschau 2.0</t>
  </si>
  <si>
    <t>Überblick Kelche der Macht &amp; Crowdfunding</t>
  </si>
  <si>
    <t>Gruppen-Let's Play 1.5</t>
  </si>
  <si>
    <t>Solo-Let's Play 2.0</t>
  </si>
  <si>
    <t>Solo-Let's Play 1.5</t>
  </si>
  <si>
    <t>Silvanas Befreiung (siehe Kelche der Macht)</t>
  </si>
  <si>
    <t>Kampf um Ilsur (siehe Kelche der Macht)</t>
  </si>
  <si>
    <t>Nedime, die Tochter des Kalifen (siehe Fluch der Wüste)</t>
  </si>
  <si>
    <t>Borbarads Fluch (siehe Fluch der Wüste)</t>
  </si>
  <si>
    <t>Offizielles Q&amp;A</t>
  </si>
  <si>
    <t>Unboxing 2.0</t>
  </si>
  <si>
    <t>Der Schwarze Turm (Kelche der Macht-Prototyp)</t>
  </si>
  <si>
    <t>News 2.0</t>
  </si>
  <si>
    <t>Erste offizielle Ankündigung 2.0</t>
  </si>
  <si>
    <t>Zusammenfassung erste offizielle Ankündigung 2.0</t>
  </si>
  <si>
    <t>Preview 2.0</t>
  </si>
  <si>
    <t>Overview &amp; Explanation</t>
  </si>
  <si>
    <t>Saving Silvana (Chalices of Power prototype)</t>
  </si>
  <si>
    <t>Funny overview &amp; Explanation</t>
  </si>
  <si>
    <t>What is Aventuria?</t>
  </si>
  <si>
    <t>Overview 1.0</t>
  </si>
  <si>
    <t>Overview 2.0</t>
  </si>
  <si>
    <t>Überblick 2.0</t>
  </si>
  <si>
    <t>Topic/Version</t>
  </si>
  <si>
    <t>Saving Silvana (see Chalices of Power)</t>
  </si>
  <si>
    <t>Nedime, the Caliph's daughter (see Curse of the Desert)</t>
  </si>
  <si>
    <t>Official Q&amp;A</t>
  </si>
  <si>
    <t>ENGLISH</t>
  </si>
  <si>
    <t>Der Streuner soll sterben (nicht Teil des Crowdfundings!)</t>
  </si>
  <si>
    <t>Unter dem Nordlicht (nicht Teil des Crowdfundings!)</t>
  </si>
  <si>
    <t>Nedime, die Tochter des Kalifen Teil 1 (siehe Fluch der Wüste)</t>
  </si>
  <si>
    <t>Nedime, die Tochter des Kalifen Teil 2 (siehe Fluch der Wüste)</t>
  </si>
  <si>
    <t>Zweites Panel zu 2.0</t>
  </si>
  <si>
    <t>Zusammenfassung zweites zu Panel 2.0</t>
  </si>
  <si>
    <t>https://www.youtube.com/shorts/solv7915Q7Y</t>
  </si>
  <si>
    <t>Playthrough 2.0</t>
  </si>
  <si>
    <t>Unsere AVENTURIA-α-Kampagne</t>
  </si>
  <si>
    <t>Unsere AVENTURIA-β-Kampagne</t>
  </si>
  <si>
    <t>https://www.youtube.com/watch?v=K4zIbZoSCl8&amp;list=PLX1qrLtBfgEO6rf60Y_0yfKzaFptEKP5d</t>
  </si>
  <si>
    <t>Duration</t>
  </si>
  <si>
    <t xml:space="preserve">© 2025 by Ulisses Spiele GmbH               </t>
  </si>
  <si>
    <t>Vorschau/Q&amp;A 2.0</t>
  </si>
  <si>
    <t>https://www.twitch.tv/videos/2366004593?t=00h06m49s</t>
  </si>
  <si>
    <t>Beta-Regeln 2.0</t>
  </si>
  <si>
    <t>https://ulisses-spiele.de/wp-content/uploads/2025/01/Aventuria2-KelchederMacht-Regelheft-Ansichtsexemplar.pdf</t>
  </si>
  <si>
    <t>Beta rules 2.0</t>
  </si>
  <si>
    <t>Current status of the 2.0 rulebook</t>
  </si>
  <si>
    <t>Aktueller Stand des 2.0-Regelbuchs</t>
  </si>
  <si>
    <t>Ulisses Spiele</t>
  </si>
  <si>
    <t>(YouTube) Channel</t>
  </si>
  <si>
    <t>https://ulisses-spiele.de/wp-content/uploads/2025/01/Aventuria2-ChalicesofPower-Rulebook-ComplimentaryCopy.pdf</t>
  </si>
  <si>
    <t>Crowdfunding-Launch-Stream &amp; kurze Vorstellung des Spiels</t>
  </si>
  <si>
    <t>20 pages</t>
  </si>
  <si>
    <t>Worst Case</t>
  </si>
  <si>
    <t>Best Case</t>
  </si>
  <si>
    <t>€ Worst Case</t>
  </si>
  <si>
    <t>€ Best Case</t>
  </si>
  <si>
    <t>Das sind die digitalen Bestandteile des jeweiligen Rewards(!) wert</t>
  </si>
  <si>
    <t>Das sind die physischen &amp; digitalen Bestandteile des jeweiligen Rewards(!) wert</t>
  </si>
  <si>
    <t>Add-On</t>
  </si>
  <si>
    <t>Add-On; limitiert auf 8 Stück; ausverkauft!</t>
  </si>
  <si>
    <t>Vergleichstabelle Inhalte Aventuria 2.0 vs. 1.0/1.3/"1.5"</t>
  </si>
  <si>
    <t>https://hinter-dem-schwarzen-auge.de/wp-content/uploads/Aventuria-Publikationen-1.0-2.0.pdf</t>
  </si>
  <si>
    <t>https://hinter-dem-schwarzen-auge.de/wp-content/uploads/Aventuria-sets-1.0-2.0.pdf</t>
  </si>
  <si>
    <t>Content comparison of Aventuria 2.0 vs. 1.0/1.3/"1.5"</t>
  </si>
  <si>
    <t>Kibakadabra</t>
  </si>
  <si>
    <t>Tsulu</t>
  </si>
  <si>
    <t>Elfische Kundschafterin (Yoleyana Ahornlied/Jandriel Kupfermond + 2 Alt.)</t>
  </si>
  <si>
    <t>Vorschau Schelmin im Ulisses-Blog</t>
  </si>
  <si>
    <t>Vorschau Korgeweihte im Ulisses-Blog</t>
  </si>
  <si>
    <t>https://ulisses-spiele.de/aventuria-mumien-mausmads-mantikore/</t>
  </si>
  <si>
    <t>2. Vorschau Elementarmagier im Ulisses-Blog</t>
  </si>
  <si>
    <t>1. Vorschau Elementarmagier im Ulisses-Blog</t>
  </si>
  <si>
    <t>https://ulisses-spiele.de/aventuria-elementares/</t>
  </si>
  <si>
    <t>https://ulisses-spiele.de/aventuria-elementare-elemente/</t>
  </si>
  <si>
    <t>https://ulisses-spiele.de/aventuria-schelmentreiben/</t>
  </si>
  <si>
    <t>Tag 1-10</t>
  </si>
  <si>
    <t>Tag 11-21</t>
  </si>
  <si>
    <t>Erste Hälfte</t>
  </si>
  <si>
    <t>Zweite Hälfte</t>
  </si>
  <si>
    <t>&gt;825</t>
  </si>
  <si>
    <t>55+</t>
  </si>
  <si>
    <t>Tulamidische Magierin (Selestia saba Okarim/Karmal Eternius + 2 Alternat.)</t>
  </si>
  <si>
    <t>Halbelfischer Streuner (Miraculo Marvelli/Tsaiana die Spinne + 2 Alternat.)</t>
  </si>
  <si>
    <t>Zwergenschmied (Lavalox Silberschmied/Iridya Funkenschlag + 2 Alternat.)</t>
  </si>
  <si>
    <t>Perainegeweihter (Brutack Parinor/Peraike Alrikshuber + 2 Alternativen)</t>
  </si>
  <si>
    <t>Thorwalsche Kriegerin (Kjaska Sternensegler/Fortran Algolson + 2 Alternat.)</t>
  </si>
  <si>
    <t>ohne Ära</t>
  </si>
  <si>
    <t>Steiler Start</t>
  </si>
  <si>
    <t>First English version</t>
  </si>
  <si>
    <t>Date</t>
  </si>
  <si>
    <t>Changes</t>
  </si>
  <si>
    <t>Aventuria - Publication overview (v1.0 vs. 2.0)         by          Hinter dem Schwarzen Auge (Behind the Dark Eye)</t>
  </si>
  <si>
    <t>Which elements (rules, adventures, heroes) can I find where and in which edition and version - in which form and box?</t>
  </si>
  <si>
    <t>Content</t>
  </si>
  <si>
    <t>Acts</t>
  </si>
  <si>
    <t>Aventuria first edition ("1.0")</t>
  </si>
  <si>
    <t>Aventuria version "1.0"-"1.2"</t>
  </si>
  <si>
    <t>Aventuria version "1.3"</t>
  </si>
  <si>
    <t>Stories &amp; Legends (quasi Aventuria version "1.5")</t>
  </si>
  <si>
    <t>Aventuria second edition ("2.0")</t>
  </si>
  <si>
    <t>RULES</t>
  </si>
  <si>
    <t>Duel rules</t>
  </si>
  <si>
    <t>as a base (basic box 1.0-1.2)</t>
  </si>
  <si>
    <t>as a base (basic box 1.3; own booklet)</t>
  </si>
  <si>
    <t>dropped</t>
  </si>
  <si>
    <t>Tournament rules (for duels at Aventuria tournaments)</t>
  </si>
  <si>
    <t>Special rules (Arsenal of Heroes)</t>
  </si>
  <si>
    <t>Adventure rules</t>
  </si>
  <si>
    <t>as an attachment (basic box 1.0-1.2)</t>
  </si>
  <si>
    <t>as an attachment (basic box 1.3; own booklet)</t>
  </si>
  <si>
    <t>Story rules</t>
  </si>
  <si>
    <t>not available</t>
  </si>
  <si>
    <t>Special rules (Mythical stories)</t>
  </si>
  <si>
    <t>Legends rules</t>
  </si>
  <si>
    <t>Special rules (Path of Legends)</t>
  </si>
  <si>
    <t>Special rules (pirate treasure, swarm, dungeon, solo rules etc.)</t>
  </si>
  <si>
    <t>Special rules (depending on box)</t>
  </si>
  <si>
    <t>ADVENTURES</t>
  </si>
  <si>
    <t>Tutorial adventures</t>
  </si>
  <si>
    <t>Master Tailor's Poltergeists</t>
  </si>
  <si>
    <t>Story mode (Chalices of power campaign)</t>
  </si>
  <si>
    <t>Reworked story mode (Chalices of power campaign)</t>
  </si>
  <si>
    <t>Short adventures</t>
  </si>
  <si>
    <t>Saving Silvana</t>
  </si>
  <si>
    <t>Normal mode (basic box 1.0-1.2)</t>
  </si>
  <si>
    <t>Normal mode (basic box 1.3)</t>
  </si>
  <si>
    <t>Story mode (basic box 1.3 + Stories &amp; Legends Bonus Adventure PDF)</t>
  </si>
  <si>
    <t>The Non-gambling kind</t>
  </si>
  <si>
    <t>Head Money</t>
  </si>
  <si>
    <t>Normal mode (Forest of No Return)</t>
  </si>
  <si>
    <t>Selemian Delusions</t>
  </si>
  <si>
    <t>Normal mode (Ship of Lost Souls)</t>
  </si>
  <si>
    <t>Rietholtz’s Treasure</t>
  </si>
  <si>
    <t>Witches’ Dance</t>
  </si>
  <si>
    <t>Normal mode (Heroes' Struggle)</t>
  </si>
  <si>
    <t>A Goblin more or less</t>
  </si>
  <si>
    <t>The Skinned Snake</t>
  </si>
  <si>
    <t>The Thorwal Drum</t>
  </si>
  <si>
    <t>Emperor of Thieves</t>
  </si>
  <si>
    <t>Thieves in Khezzara</t>
  </si>
  <si>
    <t>Normal mode (Servant of the Nameless One Hero Set)</t>
  </si>
  <si>
    <t>Commando Greifax</t>
  </si>
  <si>
    <t>Normal mode (Magistra of Alchemy Hero Set)</t>
  </si>
  <si>
    <t>The Orgy of Thorns</t>
  </si>
  <si>
    <t>Normal mode (Veil Dancer Hero Set)</t>
  </si>
  <si>
    <t>Pearl Robber</t>
  </si>
  <si>
    <t>Normal mode (Treasure Hunter Hero Set)</t>
  </si>
  <si>
    <t>Battle for Ilsur</t>
  </si>
  <si>
    <t>Story mode (Mythical stories)</t>
  </si>
  <si>
    <t>Treasure hunt</t>
  </si>
  <si>
    <t>Story mode (Master of mischief Hero set)</t>
  </si>
  <si>
    <t>Story mode (Summoner of the elements Hero set)</t>
  </si>
  <si>
    <t>dropped, but adaptable from 1.X</t>
  </si>
  <si>
    <t>Reworked story mode (Daughter of the manticore Hero set)</t>
  </si>
  <si>
    <t>Part of the standard basic rules - in every campaign box</t>
  </si>
  <si>
    <t>Part of the standard basic rules (without interludes) - in every campaign box</t>
  </si>
  <si>
    <t>Partly as standard, otherwise per campaign box</t>
  </si>
  <si>
    <t>GER</t>
  </si>
  <si>
    <t>Note: The current crowdfunding is Aventuria 2.0 (or v2) - as Aventuria 1.5 (or v1.5) I refer to the previous edition with all expansions (see the German videos)</t>
  </si>
  <si>
    <t>GERMAN</t>
  </si>
  <si>
    <t>Unfortunately, there don't seem to be any playthroughs that already use the adventure expansions of the story mode from Mythical stories or hero developments of the legend mode from Path of Legends and thus come close to the scope of the game</t>
  </si>
  <si>
    <t xml:space="preserve"> from Aventuria “Chalices of Power” (= Aventuria v2.0). But at least the basic principles can be gleaned from the v1.0 videos. </t>
  </si>
  <si>
    <t>You might also want to take a look at the German v2.0 and v1.5 videos and links below, even if you don't understand German. You can at least see some of the material and the automatic translation may give you a little insight into the new scope 😊</t>
  </si>
  <si>
    <t xml:space="preserve"> v1.5 is close to v2.0, but not completely identical! v1.0 (or v1) is the old version which misses a lot of features of v1.5/v2.0</t>
  </si>
  <si>
    <t>Group playthrough 1.0</t>
  </si>
  <si>
    <t>Solo playthrough 1.0</t>
  </si>
  <si>
    <r>
      <t xml:space="preserve">The “Aventuria: The Adventure Board Game - Chalices of Power and Curse of the Desert” crowdfunding guide       by       </t>
    </r>
    <r>
      <rPr>
        <b/>
        <i/>
        <sz val="18"/>
        <color theme="0"/>
        <rFont val="Book Antiqua"/>
        <family val="1"/>
      </rPr>
      <t>Hinter dem Schwarzen Auge (Behind the Dark Eye)</t>
    </r>
  </si>
  <si>
    <t>Please put "x" here for your desired products</t>
  </si>
  <si>
    <t>Tax rate of your country</t>
  </si>
  <si>
    <t>Retail purchase, after the crowd-funding</t>
  </si>
  <si>
    <t>No package (single purchase)</t>
  </si>
  <si>
    <t>Chalices of Power</t>
  </si>
  <si>
    <t>(Campaign)</t>
  </si>
  <si>
    <t>(all without add-ons)</t>
  </si>
  <si>
    <t>Desired package</t>
  </si>
  <si>
    <t>cards</t>
  </si>
  <si>
    <t>heroes</t>
  </si>
  <si>
    <t>adven-tures</t>
  </si>
  <si>
    <t>acts</t>
  </si>
  <si>
    <t>Format/material</t>
  </si>
  <si>
    <t>Price
net as
add-on</t>
  </si>
  <si>
    <t>Gross price as
add-on</t>
  </si>
  <si>
    <r>
      <rPr>
        <b/>
        <sz val="10"/>
        <color rgb="FFFF0000"/>
        <rFont val="Book Antiqua"/>
        <family val="1"/>
      </rPr>
      <t xml:space="preserve">Estimated </t>
    </r>
    <r>
      <rPr>
        <b/>
        <sz val="10"/>
        <rFont val="Book Antiqua"/>
        <family val="1"/>
      </rPr>
      <t>RRP price (gross) in stores</t>
    </r>
  </si>
  <si>
    <t>Notes</t>
  </si>
  <si>
    <t>You can access the crowdfunding here (or by clicking on the image):</t>
  </si>
  <si>
    <t>You can support us here:</t>
  </si>
  <si>
    <t>Stretchgoals</t>
  </si>
  <si>
    <t>Forecast target achievement</t>
  </si>
  <si>
    <t>Forecast</t>
  </si>
  <si>
    <t>Step</t>
  </si>
  <si>
    <t>Goal</t>
  </si>
  <si>
    <t>No.</t>
  </si>
  <si>
    <t>Achievede Ziele</t>
  </si>
  <si>
    <t>Upgrade - Campaign Reward</t>
  </si>
  <si>
    <t>More Cards - Relationship Cards</t>
  </si>
  <si>
    <t>Upgrade - Enhanced Hero Boards</t>
  </si>
  <si>
    <t>Chalices of Power - Progression Tracker</t>
  </si>
  <si>
    <t>Upgrade - Sturdy Game Boards</t>
  </si>
  <si>
    <t>More Cards - Flashing Laser Cannons</t>
  </si>
  <si>
    <t>Upgrade - Double sized leader cards</t>
  </si>
  <si>
    <t>More Cards - New Factions 3</t>
  </si>
  <si>
    <t>More Cards - Crystals of Power</t>
  </si>
  <si>
    <t>Upgrade - Deluxe Starting Player Marker</t>
  </si>
  <si>
    <t>More Cards - Scion of the Manticore</t>
  </si>
  <si>
    <t>More Cards - New Factions 2</t>
  </si>
  <si>
    <t>Upgrade - Wooden Token</t>
  </si>
  <si>
    <t>Upgrade - Deluxe Dice for Chalices of Power</t>
  </si>
  <si>
    <t>Illustrated Wooden Inserts</t>
  </si>
  <si>
    <t>More Cards - New Faction</t>
  </si>
  <si>
    <t>Upgrade - Deluxe Inlays</t>
  </si>
  <si>
    <t>More Cards - Special Circumstances</t>
  </si>
  <si>
    <t>More Cards: Special Fate Cards</t>
  </si>
  <si>
    <t>Funded</t>
  </si>
  <si>
    <r>
      <t xml:space="preserve">Select your </t>
    </r>
    <r>
      <rPr>
        <b/>
        <sz val="15"/>
        <color rgb="FFC00000"/>
        <rFont val="Book Antiqua"/>
        <family val="1"/>
      </rPr>
      <t>desired products</t>
    </r>
    <r>
      <rPr>
        <b/>
        <sz val="15"/>
        <color theme="1"/>
        <rFont val="Book Antiqua"/>
        <family val="1"/>
      </rPr>
      <t xml:space="preserve"> in the "</t>
    </r>
    <r>
      <rPr>
        <b/>
        <u/>
        <sz val="15"/>
        <color theme="1"/>
        <rFont val="Book Antiqua"/>
        <family val="1"/>
      </rPr>
      <t>Shopping guide</t>
    </r>
    <r>
      <rPr>
        <b/>
        <sz val="15"/>
        <color theme="1"/>
        <rFont val="Book Antiqua"/>
        <family val="1"/>
      </rPr>
      <t xml:space="preserve">" tab </t>
    </r>
    <r>
      <rPr>
        <b/>
        <sz val="15"/>
        <color rgb="FFC00000"/>
        <rFont val="Book Antiqua"/>
        <family val="1"/>
      </rPr>
      <t>(put an "x" in the first column)</t>
    </r>
    <r>
      <rPr>
        <b/>
        <sz val="15"/>
        <color theme="1"/>
        <rFont val="Book Antiqua"/>
        <family val="1"/>
      </rPr>
      <t xml:space="preserve"> and see which package or combination suits you best!</t>
    </r>
  </si>
  <si>
    <t>The products marked in green are included in the corresponding package.</t>
  </si>
  <si>
    <t>Buy after CF</t>
  </si>
  <si>
    <r>
      <t xml:space="preserve">Instructions
for the
shopping guide
</t>
    </r>
    <r>
      <rPr>
        <b/>
        <sz val="11"/>
        <rFont val="Book Antiqua"/>
        <family val="1"/>
      </rPr>
      <t>(next tab)</t>
    </r>
  </si>
  <si>
    <r>
      <t>The products marked in orange must be added to the corresponding package as an "</t>
    </r>
    <r>
      <rPr>
        <b/>
        <u/>
        <sz val="15"/>
        <color theme="1"/>
        <rFont val="Book Antiqua"/>
        <family val="1"/>
      </rPr>
      <t>Add-on</t>
    </r>
    <r>
      <rPr>
        <b/>
        <sz val="15"/>
        <color theme="1"/>
        <rFont val="Book Antiqua"/>
        <family val="1"/>
      </rPr>
      <t xml:space="preserve">" in the crowdfunding
</t>
    </r>
    <r>
      <rPr>
        <b/>
        <sz val="15"/>
        <color rgb="FF00B050"/>
        <rFont val="Book Antiqua"/>
        <family val="1"/>
      </rPr>
      <t xml:space="preserve">OR
</t>
    </r>
    <r>
      <rPr>
        <b/>
        <sz val="15"/>
        <color theme="1"/>
        <rFont val="Book Antiqua"/>
        <family val="1"/>
      </rPr>
      <t>this digital content is already included in the physical product ("</t>
    </r>
    <r>
      <rPr>
        <b/>
        <u/>
        <sz val="15"/>
        <color theme="1"/>
        <rFont val="Book Antiqua"/>
        <family val="1"/>
      </rPr>
      <t>Included</t>
    </r>
    <r>
      <rPr>
        <b/>
        <sz val="15"/>
        <color theme="1"/>
        <rFont val="Book Antiqua"/>
        <family val="1"/>
      </rPr>
      <t xml:space="preserve">")
</t>
    </r>
    <r>
      <rPr>
        <b/>
        <sz val="15"/>
        <color rgb="FF00B050"/>
        <rFont val="Book Antiqua"/>
        <family val="1"/>
      </rPr>
      <t xml:space="preserve">OR
</t>
    </r>
    <r>
      <rPr>
        <b/>
        <sz val="15"/>
        <color theme="1"/>
        <rFont val="Book Antiqua"/>
        <family val="1"/>
      </rPr>
      <t>you have to buy them at retail after the crowdfunding ("</t>
    </r>
    <r>
      <rPr>
        <b/>
        <u/>
        <sz val="15"/>
        <color theme="1"/>
        <rFont val="Book Antiqua"/>
        <family val="1"/>
      </rPr>
      <t>Buy after CF</t>
    </r>
    <r>
      <rPr>
        <b/>
        <sz val="15"/>
        <color theme="1"/>
        <rFont val="Book Antiqua"/>
        <family val="1"/>
      </rPr>
      <t>")</t>
    </r>
  </si>
  <si>
    <t>Forecast (may or may not fit ;) )</t>
  </si>
  <si>
    <t>Current forecast</t>
  </si>
  <si>
    <t>1st estimate</t>
  </si>
  <si>
    <t>Previous crowdfundings - The Dark Eye</t>
  </si>
  <si>
    <t>Previous crowdfund. - Branch lines</t>
  </si>
  <si>
    <t>Backers</t>
  </si>
  <si>
    <t>Backers Worst Case</t>
  </si>
  <si>
    <t>Backers Best Case</t>
  </si>
  <si>
    <t>Backers min.</t>
  </si>
  <si>
    <t>Backers max.</t>
  </si>
  <si>
    <t>Status actual / Forecast</t>
  </si>
  <si>
    <t>Day</t>
  </si>
  <si>
    <t>Large, extra-high cardboard box</t>
  </si>
  <si>
    <t>Box contents</t>
  </si>
  <si>
    <t>see above</t>
  </si>
  <si>
    <t>Part of the box - Not available as a single product!</t>
  </si>
  <si>
    <t>Expansion of the box contents</t>
  </si>
  <si>
    <t>Heroes included:</t>
  </si>
  <si>
    <t>Adventures included:</t>
  </si>
  <si>
    <t>Bonus content:</t>
  </si>
  <si>
    <r>
      <t>Chalices of Power</t>
    </r>
    <r>
      <rPr>
        <b/>
        <sz val="8"/>
        <color theme="1"/>
        <rFont val="Book Antiqua"/>
        <family val="1"/>
      </rPr>
      <t xml:space="preserve"> (multiplayer campaign - stand alone)</t>
    </r>
  </si>
  <si>
    <r>
      <t xml:space="preserve">- Deluxe inlays </t>
    </r>
    <r>
      <rPr>
        <b/>
        <i/>
        <sz val="10"/>
        <color theme="1"/>
        <rFont val="Book Antiqua"/>
        <family val="1"/>
      </rPr>
      <t>(goal 4)</t>
    </r>
  </si>
  <si>
    <r>
      <t xml:space="preserve">- Sturdy game boards </t>
    </r>
    <r>
      <rPr>
        <b/>
        <i/>
        <sz val="10"/>
        <color theme="1"/>
        <rFont val="Book Antiqua"/>
        <family val="1"/>
      </rPr>
      <t>(goal 19)</t>
    </r>
  </si>
  <si>
    <r>
      <t>- Deluxe starting player marker</t>
    </r>
    <r>
      <rPr>
        <b/>
        <i/>
        <sz val="10"/>
        <color theme="1"/>
        <rFont val="Book Antiqua"/>
        <family val="1"/>
      </rPr>
      <t xml:space="preserve"> (goal 14)</t>
    </r>
  </si>
  <si>
    <r>
      <t>- Wooden tokens</t>
    </r>
    <r>
      <rPr>
        <b/>
        <i/>
        <sz val="10"/>
        <color theme="1"/>
        <rFont val="Book Antiqua"/>
        <family val="1"/>
      </rPr>
      <t xml:space="preserve"> (goal 9)</t>
    </r>
  </si>
  <si>
    <r>
      <t>- Deluxe dice</t>
    </r>
    <r>
      <rPr>
        <b/>
        <i/>
        <sz val="10"/>
        <color theme="1"/>
        <rFont val="Book Antiqua"/>
        <family val="1"/>
      </rPr>
      <t xml:space="preserve"> (goal 8)</t>
    </r>
  </si>
  <si>
    <r>
      <t xml:space="preserve">- Additional cards: Special fate cards </t>
    </r>
    <r>
      <rPr>
        <b/>
        <i/>
        <sz val="10"/>
        <color theme="1"/>
        <rFont val="Book Antiqua"/>
        <family val="1"/>
      </rPr>
      <t>(goal 2)</t>
    </r>
  </si>
  <si>
    <r>
      <t xml:space="preserve">- Additional cards: Special circumstances </t>
    </r>
    <r>
      <rPr>
        <b/>
        <i/>
        <sz val="10"/>
        <color theme="1"/>
        <rFont val="Book Antiqua"/>
        <family val="1"/>
      </rPr>
      <t>(goal 3)</t>
    </r>
  </si>
  <si>
    <r>
      <t xml:space="preserve">- Additional cards: Relationships </t>
    </r>
    <r>
      <rPr>
        <b/>
        <i/>
        <sz val="10"/>
        <color theme="1"/>
        <rFont val="Book Antiqua"/>
        <family val="1"/>
      </rPr>
      <t>(goal 22)</t>
    </r>
  </si>
  <si>
    <r>
      <t>- New henchmen: The Followers of Borbarad</t>
    </r>
    <r>
      <rPr>
        <b/>
        <i/>
        <sz val="10"/>
        <color theme="1"/>
        <rFont val="Book Antiqua"/>
        <family val="1"/>
      </rPr>
      <t xml:space="preserve"> (goal 6)</t>
    </r>
  </si>
  <si>
    <r>
      <t>- New henchmen: Chimeras</t>
    </r>
    <r>
      <rPr>
        <b/>
        <i/>
        <sz val="10"/>
        <color theme="1"/>
        <rFont val="Book Antiqua"/>
        <family val="1"/>
      </rPr>
      <t xml:space="preserve"> (goal 12)</t>
    </r>
  </si>
  <si>
    <r>
      <t>- New henchmen: Animals (Sea, Underground)</t>
    </r>
    <r>
      <rPr>
        <b/>
        <i/>
        <sz val="10"/>
        <color theme="1"/>
        <rFont val="Book Antiqua"/>
        <family val="1"/>
      </rPr>
      <t xml:space="preserve"> (goal 16)</t>
    </r>
  </si>
  <si>
    <t>* Blessed One of Phex (male/female)</t>
  </si>
  <si>
    <t>Large cardboard box (square)</t>
  </si>
  <si>
    <t>Small cardboard box (landscape)</t>
  </si>
  <si>
    <t>Small card box</t>
  </si>
  <si>
    <t>Pre-crowdfunding reward</t>
  </si>
  <si>
    <t>Collection of stretchgoals</t>
  </si>
  <si>
    <t>Contents of the crowdfunding pack</t>
  </si>
  <si>
    <r>
      <t>- Deluxe dice</t>
    </r>
    <r>
      <rPr>
        <b/>
        <i/>
        <sz val="10"/>
        <color theme="1"/>
        <rFont val="Book Antiqua"/>
        <family val="1"/>
      </rPr>
      <t xml:space="preserve"> (goal 10)</t>
    </r>
  </si>
  <si>
    <t>* Blessed One of Kor (male/female)</t>
  </si>
  <si>
    <t>* The Non-gambling kind</t>
  </si>
  <si>
    <r>
      <t xml:space="preserve">Curse of the desert </t>
    </r>
    <r>
      <rPr>
        <b/>
        <sz val="8"/>
        <color theme="1"/>
        <rFont val="Book Antiqua"/>
        <family val="1"/>
      </rPr>
      <t>(solo player campaign - stand alone)</t>
    </r>
  </si>
  <si>
    <r>
      <t>Scion of the Manticore</t>
    </r>
    <r>
      <rPr>
        <b/>
        <sz val="8"/>
        <color theme="1"/>
        <rFont val="Book Antiqua"/>
        <family val="1"/>
      </rPr>
      <t xml:space="preserve"> (hero set with sidequest)</t>
    </r>
  </si>
  <si>
    <r>
      <t>Champion of mischief</t>
    </r>
    <r>
      <rPr>
        <b/>
        <sz val="8"/>
        <color theme="1"/>
        <rFont val="Book Antiqua"/>
        <family val="1"/>
      </rPr>
      <t xml:space="preserve"> (hero set with sidequest)</t>
    </r>
  </si>
  <si>
    <r>
      <t>Summoner of the Elements</t>
    </r>
    <r>
      <rPr>
        <b/>
        <sz val="8"/>
        <color theme="1"/>
        <rFont val="Book Antiqua"/>
        <family val="1"/>
      </rPr>
      <t xml:space="preserve"> (hero set with sidequest)</t>
    </r>
  </si>
  <si>
    <r>
      <t>- Additional cards: Glacier worm</t>
    </r>
    <r>
      <rPr>
        <b/>
        <i/>
        <sz val="10"/>
        <color theme="1"/>
        <rFont val="Book Antiqua"/>
        <family val="1"/>
      </rPr>
      <t xml:space="preserve"> (goal 13)</t>
    </r>
  </si>
  <si>
    <r>
      <t>- Additional cards: Laser cannons</t>
    </r>
    <r>
      <rPr>
        <b/>
        <i/>
        <sz val="10"/>
        <color theme="1"/>
        <rFont val="Book Antiqua"/>
        <family val="1"/>
      </rPr>
      <t xml:space="preserve"> (goal 18)</t>
    </r>
  </si>
  <si>
    <t>* Lost in Ras Tabor</t>
  </si>
  <si>
    <r>
      <t>- Additional cards: Crystals of power</t>
    </r>
    <r>
      <rPr>
        <b/>
        <i/>
        <sz val="10"/>
        <color theme="1"/>
        <rFont val="Book Antiqua"/>
        <family val="1"/>
      </rPr>
      <t xml:space="preserve"> (goal 15)</t>
    </r>
  </si>
  <si>
    <t>Wicked’s Watch</t>
  </si>
  <si>
    <t>Lost in Ras Tabor</t>
  </si>
  <si>
    <t>* Wicked’s Watch</t>
  </si>
  <si>
    <t>* Rascal (male/female)</t>
  </si>
  <si>
    <t>* Council Mage of Draconia (male/female)</t>
  </si>
  <si>
    <r>
      <t>Tsulu</t>
    </r>
    <r>
      <rPr>
        <b/>
        <sz val="8"/>
        <color theme="1"/>
        <rFont val="Book Antiqua"/>
        <family val="1"/>
      </rPr>
      <t xml:space="preserve"> (team challenge)</t>
    </r>
  </si>
  <si>
    <r>
      <t>Island of the Mummy Lords</t>
    </r>
    <r>
      <rPr>
        <b/>
        <sz val="8"/>
        <color theme="1"/>
        <rFont val="Book Antiqua"/>
        <family val="1"/>
      </rPr>
      <t xml:space="preserve"> (team challenge)</t>
    </r>
  </si>
  <si>
    <r>
      <t xml:space="preserve">- Chalices of Power - Progress Tracker (Map) </t>
    </r>
    <r>
      <rPr>
        <b/>
        <i/>
        <sz val="10"/>
        <color theme="1"/>
        <rFont val="Book Antiqua"/>
        <family val="1"/>
      </rPr>
      <t>(goal 20)</t>
    </r>
  </si>
  <si>
    <r>
      <t>- Alternative artworks mage, warrior, elf</t>
    </r>
    <r>
      <rPr>
        <b/>
        <i/>
        <sz val="10"/>
        <color theme="1"/>
        <rFont val="Book Antiqua"/>
        <family val="1"/>
      </rPr>
      <t>(goal 5)</t>
    </r>
  </si>
  <si>
    <r>
      <t>- Alternative artworks: Blessed One, dwarf, roque</t>
    </r>
    <r>
      <rPr>
        <b/>
        <i/>
        <sz val="10"/>
        <color theme="1"/>
        <rFont val="Book Antiqua"/>
        <family val="1"/>
      </rPr>
      <t xml:space="preserve"> (goal 11)</t>
    </r>
  </si>
  <si>
    <r>
      <t xml:space="preserve">- Larger leader cards (for both campaigns) </t>
    </r>
    <r>
      <rPr>
        <b/>
        <i/>
        <sz val="10"/>
        <color theme="1"/>
        <rFont val="Book Antiqua"/>
        <family val="1"/>
      </rPr>
      <t>(goal 17)</t>
    </r>
  </si>
  <si>
    <t>Aventuria - Playmat “Chalices of Power“</t>
  </si>
  <si>
    <t>Aventuria - Playmat "Hero board"</t>
  </si>
  <si>
    <t>Aventuria - Playmat bundle "Hero board" (6 pieces)</t>
  </si>
  <si>
    <t>Printed wooden insert (e-raptor)</t>
  </si>
  <si>
    <t>Part of the pack - Not available as a single product!</t>
  </si>
  <si>
    <t>This is what the physical items of the respective rewards(!) are worth.</t>
  </si>
  <si>
    <t>Physical items</t>
  </si>
  <si>
    <r>
      <rPr>
        <b/>
        <u/>
        <sz val="14"/>
        <rFont val="Book Antiqua"/>
        <family val="1"/>
      </rPr>
      <t>Physica</t>
    </r>
    <r>
      <rPr>
        <b/>
        <sz val="14"/>
        <rFont val="Book Antiqua"/>
        <family val="1"/>
      </rPr>
      <t>l items of the crowdfunding</t>
    </r>
  </si>
  <si>
    <t>Your costs</t>
  </si>
  <si>
    <t>in Euro zone 1)</t>
  </si>
  <si>
    <r>
      <t xml:space="preserve">What you pay in total for </t>
    </r>
    <r>
      <rPr>
        <b/>
        <sz val="10"/>
        <color rgb="FFFF0000"/>
        <rFont val="Book Antiqua"/>
        <family val="1"/>
      </rPr>
      <t>your desired package</t>
    </r>
    <r>
      <rPr>
        <b/>
        <sz val="10"/>
        <color theme="1"/>
        <rFont val="Book Antiqua"/>
        <family val="1"/>
      </rPr>
      <t xml:space="preserve"> including the add-ons</t>
    </r>
  </si>
  <si>
    <t>Retail purchase, after the crowdfunding</t>
  </si>
  <si>
    <t>Curse of the Desert</t>
  </si>
  <si>
    <r>
      <t>This is what you save (</t>
    </r>
    <r>
      <rPr>
        <b/>
        <sz val="20"/>
        <color rgb="FF00B050"/>
        <rFont val="Book Antiqua"/>
        <family val="1"/>
      </rPr>
      <t>green amount</t>
    </r>
    <r>
      <rPr>
        <b/>
        <sz val="20"/>
        <color theme="1"/>
        <rFont val="Book Antiqua"/>
        <family val="1"/>
      </rPr>
      <t>)
or you pay more (</t>
    </r>
    <r>
      <rPr>
        <b/>
        <sz val="20"/>
        <color rgb="FFC00000"/>
        <rFont val="Book Antiqua"/>
        <family val="1"/>
      </rPr>
      <t>red amount</t>
    </r>
    <r>
      <rPr>
        <b/>
        <sz val="20"/>
        <color theme="1"/>
        <rFont val="Book Antiqua"/>
        <family val="1"/>
      </rPr>
      <t>),
if you choose the following reward instead…</t>
    </r>
  </si>
  <si>
    <t>Your savings</t>
  </si>
  <si>
    <t>Your additional items</t>
  </si>
  <si>
    <t>Your total discount</t>
  </si>
  <si>
    <r>
      <t xml:space="preserve">This is what </t>
    </r>
    <r>
      <rPr>
        <b/>
        <i/>
        <sz val="10"/>
        <color rgb="FFC00000"/>
        <rFont val="Book Antiqua"/>
        <family val="1"/>
      </rPr>
      <t>your desired package</t>
    </r>
    <r>
      <rPr>
        <b/>
        <i/>
        <sz val="10"/>
        <color theme="1"/>
        <rFont val="Book Antiqua"/>
        <family val="1"/>
      </rPr>
      <t xml:space="preserve"> is expected to cost in retail (after the crowdfunding) </t>
    </r>
  </si>
  <si>
    <r>
      <t xml:space="preserve">As a reminder: This is what you pay in total for </t>
    </r>
    <r>
      <rPr>
        <b/>
        <i/>
        <sz val="10"/>
        <color rgb="FFC00000"/>
        <rFont val="Book Antiqua"/>
        <family val="1"/>
      </rPr>
      <t xml:space="preserve">your desired package </t>
    </r>
    <r>
      <rPr>
        <b/>
        <i/>
        <sz val="10"/>
        <color theme="1"/>
        <rFont val="Book Antiqua"/>
        <family val="1"/>
      </rPr>
      <t>including the add-ons</t>
    </r>
  </si>
  <si>
    <r>
      <t xml:space="preserve">This discount is granted by </t>
    </r>
    <r>
      <rPr>
        <b/>
        <i/>
        <sz val="10"/>
        <color rgb="FFC00000"/>
        <rFont val="Book Antiqua"/>
        <family val="1"/>
      </rPr>
      <t xml:space="preserve">your desired package </t>
    </r>
    <r>
      <rPr>
        <b/>
        <i/>
        <sz val="10"/>
        <color theme="1"/>
        <rFont val="Book Antiqua"/>
        <family val="1"/>
      </rPr>
      <t xml:space="preserve">compared to the purchase in retail (after the crowdfunding) </t>
    </r>
  </si>
  <si>
    <r>
      <t xml:space="preserve">The additional items that you receive with </t>
    </r>
    <r>
      <rPr>
        <b/>
        <i/>
        <sz val="10"/>
        <color rgb="FF0070C0"/>
        <rFont val="Book Antiqua"/>
        <family val="1"/>
      </rPr>
      <t xml:space="preserve">your combination </t>
    </r>
    <r>
      <rPr>
        <b/>
        <i/>
        <sz val="10"/>
        <color theme="1"/>
        <rFont val="Book Antiqua"/>
        <family val="1"/>
      </rPr>
      <t xml:space="preserve">that are not part of </t>
    </r>
    <r>
      <rPr>
        <b/>
        <i/>
        <sz val="10"/>
        <color rgb="FFC00000"/>
        <rFont val="Book Antiqua"/>
        <family val="1"/>
      </rPr>
      <t>your desired package</t>
    </r>
    <r>
      <rPr>
        <b/>
        <i/>
        <sz val="10"/>
        <color theme="1"/>
        <rFont val="Book Antiqua"/>
        <family val="1"/>
      </rPr>
      <t xml:space="preserve"> have the following value</t>
    </r>
  </si>
  <si>
    <r>
      <t xml:space="preserve">The total cost of </t>
    </r>
    <r>
      <rPr>
        <b/>
        <i/>
        <sz val="10"/>
        <color rgb="FFC00000"/>
        <rFont val="Book Antiqua"/>
        <family val="1"/>
      </rPr>
      <t>your desired package including aadditional items</t>
    </r>
    <r>
      <rPr>
        <b/>
        <i/>
        <sz val="10"/>
        <color theme="1"/>
        <rFont val="Book Antiqua"/>
        <family val="1"/>
      </rPr>
      <t xml:space="preserve"> in retail (after the crowdfunding) (estimated)</t>
    </r>
  </si>
  <si>
    <r>
      <t xml:space="preserve">This total discount is granted by </t>
    </r>
    <r>
      <rPr>
        <b/>
        <i/>
        <sz val="10"/>
        <color rgb="FFC00000"/>
        <rFont val="Book Antiqua"/>
        <family val="1"/>
      </rPr>
      <t xml:space="preserve">your desired package including additional items </t>
    </r>
    <r>
      <rPr>
        <b/>
        <i/>
        <sz val="10"/>
        <color theme="1"/>
        <rFont val="Book Antiqua"/>
        <family val="1"/>
      </rPr>
      <t>compared to the purchase (after the CF) in total</t>
    </r>
  </si>
  <si>
    <t>(Long) adventures</t>
  </si>
  <si>
    <t>The Legacy of Wildenstein</t>
  </si>
  <si>
    <t>Story mode (basic box 1.3 + Mythical stories)</t>
  </si>
  <si>
    <t>Forest of No Return</t>
  </si>
  <si>
    <t>Story mode (Forest of No Retur + Mythical stories)</t>
  </si>
  <si>
    <t>Ship of Lost Souls</t>
  </si>
  <si>
    <t>Story mode (Ship of Lost Souls + Mythical stories)</t>
  </si>
  <si>
    <t>Inn of the Black Boar (incl. Return to the Inn of the Black Boar)</t>
  </si>
  <si>
    <t>Dungeon mode (Inn of the Black Boar)</t>
  </si>
  <si>
    <t>Under the Northern Lights</t>
  </si>
  <si>
    <t>The Roque shall die</t>
  </si>
  <si>
    <t>Chalices of power campaign</t>
  </si>
  <si>
    <t>Curse of the desert campaign</t>
  </si>
  <si>
    <t>Tears of Fire</t>
  </si>
  <si>
    <t>Normal mode (Tears of Fire)</t>
  </si>
  <si>
    <t>Dragon eyes</t>
  </si>
  <si>
    <t>Story mode (Tears of Fire + Mythical stories)</t>
  </si>
  <si>
    <t>Ship of Stone</t>
  </si>
  <si>
    <t>Normal mode (Ship of Stone)</t>
  </si>
  <si>
    <t>Into the Shadow forest</t>
  </si>
  <si>
    <t>The Black Tower</t>
  </si>
  <si>
    <t>The seven magical chalices</t>
  </si>
  <si>
    <t>The Orkland Trilogy</t>
  </si>
  <si>
    <t>"The Orkland Campaign" (only hinted at so far)</t>
  </si>
  <si>
    <t>Solo mode (Nedime - The Caliph's Daughter)</t>
  </si>
  <si>
    <t>Curse of Borbarad</t>
  </si>
  <si>
    <t>Solo mode (Curse of Borbarad)</t>
  </si>
  <si>
    <t>Expert adventure</t>
  </si>
  <si>
    <t>Campaign adventures (from 2.0)</t>
  </si>
  <si>
    <t>Solo adventures</t>
  </si>
  <si>
    <t>Team challenges</t>
  </si>
  <si>
    <t>The Rainbow Waterfall</t>
  </si>
  <si>
    <t>Team challenge (The Rainbow Waterfall)</t>
  </si>
  <si>
    <t>The island of the Mummy Lords</t>
  </si>
  <si>
    <t>Team challenge (The island of the Mummy Lords)</t>
  </si>
  <si>
    <t>Team challenge (Tsulu)</t>
  </si>
  <si>
    <t>HEROES</t>
  </si>
  <si>
    <t>Basic heroes</t>
  </si>
  <si>
    <t>Standard deck (basic box 1.0-1.2)</t>
  </si>
  <si>
    <t>Standard deck (basic box 1.3)</t>
  </si>
  <si>
    <t>Extended deck (basic box 1.3 + Path of Legends)</t>
  </si>
  <si>
    <t>Tulamydian mage (Mirhiban Al'Orhima/Thallian ?)</t>
  </si>
  <si>
    <t>Blessed One of Peraine (Hilbert of Auen/Traute ?)</t>
  </si>
  <si>
    <t>Blessed One of Peraine (Brutack Parinor/Peraike Alrikshuber)</t>
  </si>
  <si>
    <t>Expansion heroes</t>
  </si>
  <si>
    <t>Catwitch (Rovena from the Overwals)</t>
  </si>
  <si>
    <t>Standard deck (Heroes' Struggle)</t>
  </si>
  <si>
    <t>Extended deck (Heroes' Struggle + Path of Legends)</t>
  </si>
  <si>
    <t>3-headed Giant Wyvern</t>
  </si>
  <si>
    <t>Special deck (Tears of Fire)</t>
  </si>
  <si>
    <t>Amazon Warrior (Palinai Erlendur of Kurkum)</t>
  </si>
  <si>
    <t>Standard deck (Inn of the Black Boar)</t>
  </si>
  <si>
    <t>Extended deck (Inn of the Black Boar + Path of Legends)</t>
  </si>
  <si>
    <t>Maraskan Buskur (Nicole Sororis/Rondrajin ?)</t>
  </si>
  <si>
    <t>Tobrian Mercenary (Heigan Malleaux/Hektabe ?)</t>
  </si>
  <si>
    <t>Grolm Merchant (Neerax Dal)</t>
  </si>
  <si>
    <t>Consecrated One of the Nameless (Zardok of Maternpfuhl/Astralia ?)</t>
  </si>
  <si>
    <t>Standard deck (Servant of the Nameless One Hero Set)</t>
  </si>
  <si>
    <t>Extended deck (Servant of the Nameless One Hero Set + Path of Legends)</t>
  </si>
  <si>
    <t>Mengbillan magician (Niam Hassanesz/Laborix ?)</t>
  </si>
  <si>
    <t>Standard deck (Magistra of Alchemy Hero Set)</t>
  </si>
  <si>
    <t>Extended deck (Magistra of Alchemy Hero Set + Path of Legends)</t>
  </si>
  <si>
    <t>Novadian Sharisad (Karima al'Jamila)</t>
  </si>
  <si>
    <t>Standard deck (Veil Dancer Hero Set)</t>
  </si>
  <si>
    <t>Extended deck (Veil Dancer Hero Set + Path of Legends)</t>
  </si>
  <si>
    <t>Festum's explorer (Meridiana Bornski/Pelara Kroftoff)</t>
  </si>
  <si>
    <t>Standard deck (Treasure Hunter Hero Set)</t>
  </si>
  <si>
    <t>Extended deck (Treasure Hunter Hero Set + Path of Legends)</t>
  </si>
  <si>
    <t>Al'Anfanian Blessed One of Boron (Zephira Golgarez/Boroth Moltez)</t>
  </si>
  <si>
    <t>Extended deck (Al'Anfanian Blessed One of Boron Hero set)</t>
  </si>
  <si>
    <t>Garethian Double Mercenary (Geron Bladebreaker/Karissia ?)</t>
  </si>
  <si>
    <t>Extended deck (Garethian Double Mercenary Hero set)</t>
  </si>
  <si>
    <t>Aventurian Adventurer (Alrik Evermore)</t>
  </si>
  <si>
    <t>Without deck, only hero/talent card (Alrik promo set)</t>
  </si>
  <si>
    <t>Without deck, only hero/talent card (Alrik Evermore promo set)</t>
  </si>
  <si>
    <t>Blessed One of Phex (?/?)</t>
  </si>
  <si>
    <t>Council Mage from Draconia (Kilgor Hazenthag/Beliseth sal Sadia)</t>
  </si>
  <si>
    <t>Scion of the Manticore hero set</t>
  </si>
  <si>
    <t>Champion of mischief hero set</t>
  </si>
  <si>
    <t>Summoner of the Elements hero set</t>
  </si>
  <si>
    <t>* Potiontester's drinking horn (tutorial)
* Saving Silvana
* The Black Tower
* The Legacy of Wildenstein
* Battle for Ilsur
* The Treasure Hunt
* The Forest of No Return
* Rietholtz's Treasure
* The Ship of Lost Souls
* The seven magical chalices
* Into the Shadow Forest (final)</t>
  </si>
  <si>
    <t>Potiontester's Drinking Horn</t>
  </si>
  <si>
    <t>Tulamydian mage Selestia saba Okarim/Karmal Eternius)</t>
  </si>
  <si>
    <t>Dwarf Blacksmith (Arbosh son of Angrax/Hukla daughter of Hogna)</t>
  </si>
  <si>
    <t>Dwarf Blacksmith (Lavalox Silversmith/Iridya Emberstrike)</t>
  </si>
  <si>
    <t>Elf scout (Layariel Treetopglint/Inaniel ?)</t>
  </si>
  <si>
    <t>Elf scout (Yoleyana Maplesong/Jandriel Coppermoon)</t>
  </si>
  <si>
    <t>Half Elf Rogue (Carolan Calavanti/Rathelia Ricottini)</t>
  </si>
  <si>
    <t>Half Elf Rogue (Miraculo Marvelli/Tsaiana the Spider)</t>
  </si>
  <si>
    <t>Thorwalian Warrior (Tjalva Garheltdottir/Thurbold Paskalson)</t>
  </si>
  <si>
    <t>Thorwalian Warrior (Kjaska Starsailer/Fortran Algolson)</t>
  </si>
  <si>
    <t>* Tulamydian mage (male/female)
* Dwarf Blacksmith (male/female)
* Thorwalian Warrior (male/female)
* Blessed One of Peraine (male/female)
* Half Elf Rogue (male/female)
* Elf scout (male/female)</t>
  </si>
  <si>
    <t>Blessed One of Kor (Korianna al'Zuul/Victor Ariman Vaulrus)</t>
  </si>
  <si>
    <t>Grangorian Rascal (Xeledonia Sparkysparks/Stanky Laughingbags)</t>
  </si>
  <si>
    <t>Nedime, the Caliph's Daughter</t>
  </si>
  <si>
    <t>* Nedime, the Caliph's Daughter
* Curse of Borbarad</t>
  </si>
  <si>
    <t>Contents by edition</t>
  </si>
  <si>
    <t>Aventuria v2.0</t>
  </si>
  <si>
    <t>Aventuria "v1.5"</t>
  </si>
  <si>
    <t xml:space="preserve">© 2016-2023 by Ulisses Spiele GmbH               </t>
  </si>
  <si>
    <t>None</t>
  </si>
  <si>
    <t>(without shipping</t>
  </si>
  <si>
    <t>- free shipping</t>
  </si>
  <si>
    <t>All information without guarantee! 
Foreign retail prices might be higher (and so might be your discount)!</t>
  </si>
  <si>
    <t>All information without guarantee!</t>
  </si>
  <si>
    <r>
      <t xml:space="preserve">- Enhanced Hero boards </t>
    </r>
    <r>
      <rPr>
        <b/>
        <i/>
        <sz val="10"/>
        <color theme="1"/>
        <rFont val="Book Antiqua"/>
        <family val="1"/>
      </rPr>
      <t>(goal 21)</t>
    </r>
  </si>
  <si>
    <t>Example: Saving Silvana in 1st edition, in version “1.5” can be found as a Story mode in the basic box 1.3 combined with the bonus adventure PDF</t>
  </si>
  <si>
    <t>Rule</t>
  </si>
  <si>
    <t>as a base (basic box 1.0-1.3 + Arsenal of Heroes)</t>
  </si>
  <si>
    <t>DUEL RULES</t>
  </si>
  <si>
    <t>BASIC RULES</t>
  </si>
  <si>
    <t>Free deck construction</t>
  </si>
  <si>
    <t>Tests and Rolls</t>
  </si>
  <si>
    <t>No explicit separation on the rule side</t>
  </si>
  <si>
    <t>Possible within the framework of the rules</t>
  </si>
  <si>
    <t>Decisions</t>
  </si>
  <si>
    <t>Group equipment</t>
  </si>
  <si>
    <t>Disadvantage cards</t>
  </si>
  <si>
    <t>Relic cards</t>
  </si>
  <si>
    <t>Resource cards</t>
  </si>
  <si>
    <t>Only from "Mythical stories" onwards, not included before</t>
  </si>
  <si>
    <t>Only from "Mythical stories" onwards, not included before - Draw and discard 1 to 3 cards</t>
  </si>
  <si>
    <t>An integral part of the rules</t>
  </si>
  <si>
    <t>An integral part of the rules - only re-roll, no more automatic successes!</t>
  </si>
  <si>
    <t>Group tests</t>
  </si>
  <si>
    <t>Only from "Mythical Stories"/"Path of Legends" onwards, previously not included</t>
  </si>
  <si>
    <t>Only from "Mythical Stories"/"Path of Legends" onwards under this term</t>
  </si>
  <si>
    <t>ADVENTURE RULES</t>
  </si>
  <si>
    <t>COMBAT RULES</t>
  </si>
  <si>
    <t>Indication of the times at which cards have an effect during the attack</t>
  </si>
  <si>
    <t>Brief Respite - Train</t>
  </si>
  <si>
    <t>Brief Respite - Practice</t>
  </si>
  <si>
    <t>Brief Respite - Prepare</t>
  </si>
  <si>
    <t>Brief Respite - Praying to the gods</t>
  </si>
  <si>
    <t>Structure/Organization</t>
  </si>
  <si>
    <t>Double-sided adventure cards</t>
  </si>
  <si>
    <t>Use of the special ability</t>
  </si>
  <si>
    <t>Free actions</t>
  </si>
  <si>
    <t>Critical successes/failures</t>
  </si>
  <si>
    <t>Defeat</t>
  </si>
  <si>
    <t>Red, unique action cards</t>
  </si>
  <si>
    <t>Swarms</t>
  </si>
  <si>
    <t>Events occurring over time with henchmen</t>
  </si>
  <si>
    <t>No standardized information</t>
  </si>
  <si>
    <t>Standard since 1.3</t>
  </si>
  <si>
    <t>Cost 4 EP, selection of a specific card as an additional starting hand card</t>
  </si>
  <si>
    <t>Cost 2 EP</t>
  </si>
  <si>
    <t>Duel rules and adventure rules build on each other (2 booklets)</t>
  </si>
  <si>
    <t>Own card type</t>
  </si>
  <si>
    <t>Only from "Path of Legends" onwards, previously not included</t>
  </si>
  <si>
    <t>Draw a card on a 1 (critical success), discard a card on a 20 (critical failure)</t>
  </si>
  <si>
    <t>If you lose, the adventure is lost and must be repeated</t>
  </si>
  <si>
    <t>Swarm rules were always on the henchman card</t>
  </si>
  <si>
    <t>Easy, Normal, Hard, Legendary (with effect on LP loss of leaders)</t>
  </si>
  <si>
    <t>All three terms in use</t>
  </si>
  <si>
    <t>Occasionally there were</t>
  </si>
  <si>
    <t>Standardized information on the cards</t>
  </si>
  <si>
    <t>Now costs 2 EP, only one plus token (= random additional card in hand)</t>
  </si>
  <si>
    <t>Now costs 3 EP</t>
  </si>
  <si>
    <t>No more duel rules, therefore no more 2 rulebooks, everything in 1 booklet</t>
  </si>
  <si>
    <t>Double-sided cards now have an A-side and a B-side and start on the A-side</t>
  </si>
  <si>
    <t>There are no more free actions, the effect results from the card text</t>
  </si>
  <si>
    <t>Critical successes/failures no longer lead to special effects (if then only according to the card effect)</t>
  </si>
  <si>
    <t>The campaign continues even in defeat</t>
  </si>
  <si>
    <t>There are no more red cards, the effect results from the card text</t>
  </si>
  <si>
    <t>An integral part of the rules, therefore no longer mentioned on the swarm cards</t>
  </si>
  <si>
    <t>Normal, Hard (without effect on LP loss of the leaders)</t>
  </si>
  <si>
    <t>CHARACTER DEVELOPMENT RULES</t>
  </si>
  <si>
    <t>Special circumstances</t>
  </si>
  <si>
    <t>Relationships</t>
  </si>
  <si>
    <t>The treasure pile</t>
  </si>
  <si>
    <t>Hero Title</t>
  </si>
  <si>
    <t>Card limits (1.0) / Restrictions (2.0)</t>
  </si>
  <si>
    <t>Consequence cards</t>
  </si>
  <si>
    <t>Interludes</t>
  </si>
  <si>
    <t>OTHER RULES</t>
  </si>
  <si>
    <t>Use of life point cards</t>
  </si>
  <si>
    <t>Fate cards</t>
  </si>
  <si>
    <t>Fate points</t>
  </si>
  <si>
    <t>Note: Not listed here are changes to card content, e.g. action cards (elimination of duel texts, adjustments/rebalancing, changes to the minion category, the new danger value symbol, etc.).</t>
  </si>
  <si>
    <t>Missing a changed rule? Write me an email!</t>
  </si>
  <si>
    <t>Reformed with "Path of Legends"</t>
  </si>
  <si>
    <t>Only from "Path of Legends" onwards, before buying individual talent points</t>
  </si>
  <si>
    <t>not included</t>
  </si>
  <si>
    <t>'not included</t>
  </si>
  <si>
    <t>Only from "Path of Legends" onwards, previously not included - Collection of rewards earned</t>
  </si>
  <si>
    <t>Only from "Path of Legends" onwards removable in the interlude (with matching event)</t>
  </si>
  <si>
    <t>The cards were only available from version 1.3</t>
  </si>
  <si>
    <t>Fate points cannot be used to repeat dodges</t>
  </si>
  <si>
    <t>Optional component of the rules</t>
  </si>
  <si>
    <t>Only the number of companions is specified, otherwise only categories, but no longer a maximum number</t>
  </si>
  <si>
    <t>dropped, at least for Chalices of Power</t>
  </si>
  <si>
    <t>All disadvantages can be bought away for 1 AP</t>
  </si>
  <si>
    <t>dropped, instead reward cards matching the campaign</t>
  </si>
  <si>
    <t>With 2.0 there are again life point wheels (double-digit)</t>
  </si>
  <si>
    <t>An integral part of the rules, draw pile of all 12 cards, use also in combat</t>
  </si>
  <si>
    <r>
      <t xml:space="preserve">Fate points can </t>
    </r>
    <r>
      <rPr>
        <b/>
        <sz val="12"/>
        <rFont val="Book Antiqua"/>
        <family val="1"/>
      </rPr>
      <t>also</t>
    </r>
    <r>
      <rPr>
        <sz val="12"/>
        <rFont val="Book Antiqua"/>
        <family val="1"/>
      </rPr>
      <t xml:space="preserve"> be used to repeat dodges</t>
    </r>
  </si>
  <si>
    <t>Difficulty Level</t>
  </si>
  <si>
    <t>Sacrifice Equipment</t>
  </si>
  <si>
    <t>Flip Card Symbol</t>
  </si>
  <si>
    <t>Plus and Minus Tokens</t>
  </si>
  <si>
    <t>Return Card Symbol</t>
  </si>
  <si>
    <t>Hit points/damage /life point loss</t>
  </si>
  <si>
    <t>"Hit points" is omitted, weapons cause damage, after reduction you get life point loss</t>
  </si>
  <si>
    <t>Spending Adventure Points - Acquire Reward cards</t>
  </si>
  <si>
    <t>Spending Adventure Points - Upgrade cards</t>
  </si>
  <si>
    <t>Challenge Cards</t>
  </si>
  <si>
    <t>An integral part of the rules, the Challenge Cards are predetermined in the campaign</t>
  </si>
  <si>
    <t>Remove Disadvantages/scars (1.0) / Recovery (2.0)</t>
  </si>
  <si>
    <t>Special skills(?)</t>
  </si>
  <si>
    <t>Companions</t>
  </si>
  <si>
    <t>Clear separation of the Test from the Roll according to the rules (e.g. repeat dodge test, see below)</t>
  </si>
  <si>
    <t>The card is rotated when the special ability is used</t>
  </si>
  <si>
    <t>A marker on the card indicates that the special ability has not yet been used</t>
  </si>
  <si>
    <t>In 1.0 without clear labeling of what is front and back</t>
  </si>
  <si>
    <t>Certain specifications as to how many cards of which category may be in the deck</t>
  </si>
  <si>
    <r>
      <t>Major rule changes from 1.0 to 2.0 (</t>
    </r>
    <r>
      <rPr>
        <b/>
        <u/>
        <sz val="16"/>
        <color theme="0"/>
        <rFont val="Book Antiqua"/>
        <family val="1"/>
      </rPr>
      <t>not a complete list</t>
    </r>
    <r>
      <rPr>
        <b/>
        <sz val="16"/>
        <color theme="0"/>
        <rFont val="Book Antiqua"/>
        <family val="1"/>
      </rPr>
      <t xml:space="preserve">)       </t>
    </r>
    <r>
      <rPr>
        <b/>
        <i/>
        <sz val="16"/>
        <color theme="0"/>
        <rFont val="Book Antiqua"/>
        <family val="1"/>
      </rPr>
      <t>by          Hinter dem Schwarzen Auge</t>
    </r>
  </si>
  <si>
    <t>Extended narrative</t>
  </si>
  <si>
    <t>An integral part of the adventures</t>
  </si>
  <si>
    <t>(translation maybe not 100% correct! - translated with help of deepl.com)</t>
  </si>
  <si>
    <t>Upgrade - Wooden Token 2</t>
  </si>
  <si>
    <t>More Cards - Special Circumstances 2</t>
  </si>
  <si>
    <r>
      <t xml:space="preserve">- Campaign reward </t>
    </r>
    <r>
      <rPr>
        <b/>
        <i/>
        <sz val="10"/>
        <color theme="1"/>
        <rFont val="Book Antiqua"/>
        <family val="1"/>
      </rPr>
      <t>(goal 23)</t>
    </r>
  </si>
  <si>
    <t>Additional Adventure - Enter the Demon</t>
  </si>
  <si>
    <t>Aventuria goes VTT: Foundry modules!</t>
  </si>
  <si>
    <t>Additional Hero - Renegade Flagellant</t>
  </si>
  <si>
    <r>
      <t>- Wooden tokens</t>
    </r>
    <r>
      <rPr>
        <b/>
        <i/>
        <sz val="10"/>
        <color theme="1"/>
        <rFont val="Book Antiqua"/>
        <family val="1"/>
      </rPr>
      <t xml:space="preserve"> (goal 24)</t>
    </r>
  </si>
  <si>
    <r>
      <t xml:space="preserve">- Additional cards: Special circumstances 2 </t>
    </r>
    <r>
      <rPr>
        <b/>
        <i/>
        <sz val="10"/>
        <color theme="1"/>
        <rFont val="Book Antiqua"/>
        <family val="1"/>
      </rPr>
      <t>(goal 25)</t>
    </r>
  </si>
  <si>
    <t>+18</t>
  </si>
  <si>
    <t>+12+</t>
  </si>
  <si>
    <t>Aventuria tutorial (Print &amp; Play)</t>
  </si>
  <si>
    <t>Aventuria-Tutorial (Print &amp; Play)</t>
  </si>
  <si>
    <t>https://ulisses-spiele.de/wp-content/uploads/2025/02/Aventuria2-Einsteigerabenteuer%2BKarten-PrintandPlay-A4.pdf</t>
  </si>
  <si>
    <t>Fantalk mit Christian Lonsing und dem Grolm</t>
  </si>
  <si>
    <t>https://www.youtube.com/watch?v=wIf0L7to5Vw</t>
  </si>
  <si>
    <t>2. Offizielles Q&amp;A</t>
  </si>
  <si>
    <t>https://www.twitch.tv/videos/2381034784?t=00h08m50s</t>
  </si>
  <si>
    <t>https://ulisses-spiele.de/wp-content/uploads/2025/02/Aventuria2-TutorialAdventure+Cards-PrintandPlay-LetterFormat.pdf</t>
  </si>
  <si>
    <t>18 pages</t>
  </si>
  <si>
    <t>Update of data, tutorial link added, videos added, field "Value of crowdfunding package" made editable!</t>
  </si>
  <si>
    <t>Update of data, added new strechgoals</t>
  </si>
  <si>
    <t>Update of data</t>
  </si>
  <si>
    <t>Update of data, rule comparison 1.0 to 2.0 integrated</t>
  </si>
  <si>
    <t>See rulebook</t>
  </si>
  <si>
    <t>See adventures on the crowdfunding page</t>
  </si>
  <si>
    <r>
      <rPr>
        <b/>
        <sz val="19"/>
        <color rgb="FFFF0000"/>
        <rFont val="Book Antiqua"/>
        <family val="1"/>
      </rPr>
      <t>The Dark Eye (TDE), A Furry Tale &amp; AVENTURIA</t>
    </r>
    <r>
      <rPr>
        <b/>
        <sz val="19"/>
        <color theme="1"/>
        <rFont val="Book Antiqua"/>
        <family val="1"/>
      </rPr>
      <t xml:space="preserve">
</t>
    </r>
    <r>
      <rPr>
        <b/>
        <sz val="19"/>
        <color rgb="FF00B050"/>
        <rFont val="Book Antiqua"/>
        <family val="1"/>
      </rPr>
      <t>News, fan talks, DSACast, Actual Plays and much more</t>
    </r>
    <r>
      <rPr>
        <b/>
        <sz val="19"/>
        <color theme="1"/>
        <rFont val="Book Antiqua"/>
        <family val="1"/>
      </rPr>
      <t xml:space="preserve">
</t>
    </r>
    <r>
      <rPr>
        <b/>
        <sz val="19"/>
        <color rgb="FF0070C0"/>
        <rFont val="Book Antiqua"/>
        <family val="1"/>
      </rPr>
      <t>on Twitch, YouTube, Discord, Blog, Instagram, Facebook etc.
(</t>
    </r>
    <r>
      <rPr>
        <b/>
        <i/>
        <sz val="19"/>
        <color rgb="FF0070C0"/>
        <rFont val="Book Antiqua"/>
        <family val="1"/>
      </rPr>
      <t>mainly in  German)</t>
    </r>
  </si>
  <si>
    <t xml:space="preserve">   Note: The red lines in the diagrams and the red boxes in the list on the right mark the previous records of all Ulisses crowdfundings.</t>
  </si>
  <si>
    <r>
      <t xml:space="preserve">- Adventure "Enter the demon" </t>
    </r>
    <r>
      <rPr>
        <b/>
        <i/>
        <sz val="10"/>
        <color theme="1"/>
        <rFont val="Book Antiqua"/>
        <family val="1"/>
      </rPr>
      <t>(goal 26)</t>
    </r>
  </si>
  <si>
    <t>Ulisses-exclusive - does not enter free trade</t>
  </si>
  <si>
    <r>
      <t>Two exclusive bonus cards (</t>
    </r>
    <r>
      <rPr>
        <b/>
        <u/>
        <sz val="10"/>
        <color theme="1"/>
        <rFont val="Book Antiqua"/>
        <family val="1"/>
      </rPr>
      <t>free for followers</t>
    </r>
    <r>
      <rPr>
        <b/>
        <sz val="10"/>
        <color theme="1"/>
        <rFont val="Book Antiqua"/>
        <family val="1"/>
      </rPr>
      <t xml:space="preserve">) </t>
    </r>
    <r>
      <rPr>
        <b/>
        <sz val="10"/>
        <color rgb="FF00B050"/>
        <rFont val="Book Antiqua"/>
        <family val="1"/>
      </rPr>
      <t>(Ulisses-exclusive)</t>
    </r>
  </si>
  <si>
    <r>
      <rPr>
        <b/>
        <i/>
        <sz val="10"/>
        <color theme="1"/>
        <rFont val="Book Antiqua"/>
        <family val="1"/>
      </rPr>
      <t xml:space="preserve">or: </t>
    </r>
    <r>
      <rPr>
        <b/>
        <sz val="10"/>
        <color theme="1"/>
        <rFont val="Book Antiqua"/>
        <family val="1"/>
      </rPr>
      <t>Two exclusive bonus cards (after CF launch)</t>
    </r>
    <r>
      <rPr>
        <b/>
        <sz val="10"/>
        <color rgb="FF00B050"/>
        <rFont val="Book Antiqua"/>
        <family val="1"/>
      </rPr>
      <t xml:space="preserve"> (Ulisses-exclusive)</t>
    </r>
  </si>
  <si>
    <r>
      <t>Wooden insert - Chalices of Power</t>
    </r>
    <r>
      <rPr>
        <b/>
        <sz val="10"/>
        <color rgb="FF00B050"/>
        <rFont val="Book Antiqua"/>
        <family val="1"/>
      </rPr>
      <t xml:space="preserve"> (Ulisses-exclusive) </t>
    </r>
    <r>
      <rPr>
        <b/>
        <i/>
        <sz val="10"/>
        <color theme="1"/>
        <rFont val="Book Antiqua"/>
        <family val="1"/>
      </rPr>
      <t>(goal 7)</t>
    </r>
  </si>
  <si>
    <r>
      <t>Wooden insert - Curse of the Desert</t>
    </r>
    <r>
      <rPr>
        <b/>
        <sz val="10"/>
        <color rgb="FF00B050"/>
        <rFont val="Book Antiqua"/>
        <family val="1"/>
      </rPr>
      <t xml:space="preserve"> (Ulisses-exclusive) </t>
    </r>
    <r>
      <rPr>
        <b/>
        <i/>
        <sz val="10"/>
        <color theme="1"/>
        <rFont val="Book Antiqua"/>
        <family val="1"/>
      </rPr>
      <t>(goal 7)</t>
    </r>
  </si>
  <si>
    <t>Aventuria - Playmat "Curse of the Desert" (reversible mat)</t>
  </si>
  <si>
    <t>24 videos</t>
  </si>
  <si>
    <t>20 videos</t>
  </si>
  <si>
    <t>Neoprene playmat (56x56 cm / 22"x22")</t>
  </si>
  <si>
    <t>Neoprene playmat (21x37 cm/8"x14,5")</t>
  </si>
  <si>
    <t>6x Neoprene playmat (21x37 cm/8"x14,5")</t>
  </si>
  <si>
    <t>Update of data, goal 27 reached, correction of the dimensions of the player mats (hero boards)</t>
  </si>
  <si>
    <t>Weakening of healing effects</t>
  </si>
  <si>
    <t>Slightly stronger effects</t>
  </si>
  <si>
    <t>Slightly weaker effects</t>
  </si>
  <si>
    <t>Solo mode (Curse of the desert campaign) - better multiplayer rules</t>
  </si>
  <si>
    <r>
      <t>- 30% discount on Aventuria Foundry VTT modules</t>
    </r>
    <r>
      <rPr>
        <b/>
        <i/>
        <sz val="10"/>
        <color theme="1"/>
        <rFont val="Book Antiqua"/>
        <family val="1"/>
      </rPr>
      <t xml:space="preserve"> (goal 27)</t>
    </r>
  </si>
  <si>
    <t>Update of data, goal 28 reached</t>
  </si>
  <si>
    <r>
      <t>- Hero: Renegade banisher</t>
    </r>
    <r>
      <rPr>
        <b/>
        <i/>
        <sz val="10"/>
        <color theme="1"/>
        <rFont val="Book Antiqua"/>
        <family val="1"/>
      </rPr>
      <t xml:space="preserve"> (goal 28)</t>
    </r>
  </si>
  <si>
    <t>All goals achieved!!!</t>
  </si>
  <si>
    <t>18:00</t>
  </si>
  <si>
    <t>LP</t>
  </si>
  <si>
    <r>
      <t>Crowdfunding pack 1  - Bonus cards</t>
    </r>
    <r>
      <rPr>
        <b/>
        <sz val="10"/>
        <color rgb="FF00B050"/>
        <rFont val="Book Antiqua"/>
        <family val="1"/>
      </rPr>
      <t xml:space="preserve"> (Ulisses-exclusive)</t>
    </r>
  </si>
  <si>
    <r>
      <t>Crowdfunding pack 2 - Adventure &amp; hero</t>
    </r>
    <r>
      <rPr>
        <b/>
        <sz val="10"/>
        <color rgb="FF00B050"/>
        <rFont val="Book Antiqua"/>
        <family val="1"/>
      </rPr>
      <t xml:space="preserve"> (Ulisses-exclusive)</t>
    </r>
  </si>
  <si>
    <t>Contents of the crowdfunding pack 1</t>
  </si>
  <si>
    <t>Contents of the crowdfunding pack 2</t>
  </si>
  <si>
    <t>48+</t>
  </si>
  <si>
    <t>Discount code</t>
  </si>
  <si>
    <t>Final crowdfunding result (WOW! :D ), graphs expanded to include late pledge, crowdfunding package split and correct calculation for adventures/banisher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</si>
</sst>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 &quot;€&quot;"/>
    <numFmt numFmtId="165" formatCode="#,##0.00\ &quot;€&quot;"/>
    <numFmt numFmtId="166" formatCode="[$£-809]#,##0"/>
    <numFmt numFmtId="167" formatCode="0.0%"/>
    <numFmt numFmtId="168" formatCode="dddd"/>
    <numFmt numFmtId="169" formatCode="h:mm;@"/>
    <numFmt numFmtId="170" formatCode="[h]:mm"/>
    <numFmt numFmtId="171" formatCode="0&quot;. Tag&quot;"/>
    <numFmt numFmtId="172" formatCode="dd/mm/yy"/>
    <numFmt numFmtId="173" formatCode="dd/mm/yy\,\ hh:mm"/>
    <numFmt numFmtId="174" formatCode="&quot;/&quot;"/>
    <numFmt numFmtId="175" formatCode="&quot;ca. &quot;#,##0"/>
    <numFmt numFmtId="176" formatCode="yyyy\-mm\-dd;@"/>
  </numFmts>
  <fonts count="141" x14ac:knownFonts="1">
    <font>
      <sz val="11"/>
      <color theme="1"/>
      <name val="Calibri"/>
      <family val="2"/>
      <scheme val="minor"/>
    </font>
    <font>
      <b/>
      <sz val="11"/>
      <color theme="1"/>
      <name val="Calibri"/>
      <family val="2"/>
      <scheme val="minor"/>
    </font>
    <font>
      <b/>
      <sz val="11"/>
      <color rgb="FFFF0000"/>
      <name val="Calibri"/>
      <family val="2"/>
      <scheme val="minor"/>
    </font>
    <font>
      <b/>
      <sz val="11"/>
      <name val="Calibri"/>
      <family val="2"/>
      <scheme val="minor"/>
    </font>
    <font>
      <sz val="11"/>
      <name val="Calibri"/>
      <family val="2"/>
      <scheme val="minor"/>
    </font>
    <font>
      <sz val="8"/>
      <name val="Calibri"/>
      <family val="2"/>
      <scheme val="minor"/>
    </font>
    <font>
      <i/>
      <sz val="11"/>
      <color theme="1"/>
      <name val="Calibri"/>
      <family val="2"/>
      <scheme val="minor"/>
    </font>
    <font>
      <b/>
      <sz val="11"/>
      <color rgb="FFFF0000"/>
      <name val="Book Antiqua"/>
      <family val="1"/>
    </font>
    <font>
      <b/>
      <i/>
      <sz val="10"/>
      <color rgb="FFFF0000"/>
      <name val="Book Antiqua"/>
      <family val="1"/>
    </font>
    <font>
      <i/>
      <sz val="10"/>
      <color theme="1"/>
      <name val="Book Antiqua"/>
      <family val="1"/>
    </font>
    <font>
      <b/>
      <i/>
      <sz val="10"/>
      <name val="Book Antiqua"/>
      <family val="1"/>
    </font>
    <font>
      <b/>
      <i/>
      <sz val="10"/>
      <color theme="1"/>
      <name val="Book Antiqua"/>
      <family val="1"/>
    </font>
    <font>
      <b/>
      <i/>
      <sz val="10"/>
      <color rgb="FF0070C0"/>
      <name val="Book Antiqua"/>
      <family val="1"/>
    </font>
    <font>
      <sz val="10"/>
      <color rgb="FFFF0000"/>
      <name val="Book Antiqua"/>
      <family val="1"/>
    </font>
    <font>
      <u/>
      <sz val="11"/>
      <color theme="10"/>
      <name val="Calibri"/>
      <family val="2"/>
      <scheme val="minor"/>
    </font>
    <font>
      <sz val="10"/>
      <color theme="1"/>
      <name val="Book Antiqua"/>
      <family val="1"/>
    </font>
    <font>
      <b/>
      <sz val="10"/>
      <color rgb="FFFF0000"/>
      <name val="Book Antiqua"/>
      <family val="1"/>
    </font>
    <font>
      <b/>
      <sz val="12"/>
      <color theme="1"/>
      <name val="Book Antiqua"/>
      <family val="1"/>
    </font>
    <font>
      <sz val="9"/>
      <color indexed="81"/>
      <name val="Segoe UI"/>
      <family val="2"/>
    </font>
    <font>
      <b/>
      <sz val="9"/>
      <color indexed="81"/>
      <name val="Segoe UI"/>
      <family val="2"/>
    </font>
    <font>
      <i/>
      <sz val="11"/>
      <name val="Calibri"/>
      <family val="2"/>
      <scheme val="minor"/>
    </font>
    <font>
      <b/>
      <sz val="10"/>
      <name val="Book Antiqua"/>
      <family val="1"/>
    </font>
    <font>
      <b/>
      <sz val="12"/>
      <color rgb="FFFF0000"/>
      <name val="Book Antiqua"/>
      <family val="1"/>
    </font>
    <font>
      <b/>
      <sz val="10"/>
      <color rgb="FF00B050"/>
      <name val="Book Antiqua"/>
      <family val="1"/>
    </font>
    <font>
      <b/>
      <sz val="10"/>
      <color theme="1"/>
      <name val="Book Antiqua"/>
      <family val="1"/>
    </font>
    <font>
      <b/>
      <sz val="10"/>
      <color rgb="FFC00000"/>
      <name val="Book Antiqua"/>
      <family val="1"/>
    </font>
    <font>
      <sz val="10"/>
      <color rgb="FF00B050"/>
      <name val="Book Antiqua"/>
      <family val="1"/>
    </font>
    <font>
      <sz val="10"/>
      <name val="Book Antiqua"/>
      <family val="1"/>
    </font>
    <font>
      <strike/>
      <sz val="10"/>
      <color theme="1"/>
      <name val="Book Antiqua"/>
      <family val="1"/>
    </font>
    <font>
      <i/>
      <sz val="10"/>
      <color rgb="FF00B050"/>
      <name val="Book Antiqua"/>
      <family val="1"/>
    </font>
    <font>
      <i/>
      <sz val="10"/>
      <name val="Book Antiqua"/>
      <family val="1"/>
    </font>
    <font>
      <sz val="14"/>
      <color theme="1"/>
      <name val="Wingdings"/>
      <charset val="2"/>
    </font>
    <font>
      <sz val="13"/>
      <color rgb="FFFF0000"/>
      <name val="Book Antiqua"/>
      <family val="1"/>
    </font>
    <font>
      <i/>
      <sz val="13"/>
      <color rgb="FFFF0000"/>
      <name val="Book Antiqua"/>
      <family val="1"/>
    </font>
    <font>
      <sz val="8"/>
      <color theme="1"/>
      <name val="Book Antiqua"/>
      <family val="1"/>
    </font>
    <font>
      <b/>
      <sz val="10"/>
      <color rgb="FF7030A0"/>
      <name val="Book Antiqua"/>
      <family val="1"/>
    </font>
    <font>
      <b/>
      <sz val="9"/>
      <color rgb="FF00B050"/>
      <name val="Book Antiqua"/>
      <family val="1"/>
    </font>
    <font>
      <b/>
      <sz val="9"/>
      <name val="Book Antiqua"/>
      <family val="1"/>
    </font>
    <font>
      <b/>
      <sz val="14"/>
      <color rgb="FFFF0000"/>
      <name val="Book Antiqua"/>
      <family val="1"/>
    </font>
    <font>
      <b/>
      <sz val="10"/>
      <color theme="5"/>
      <name val="Book Antiqua"/>
      <family val="1"/>
    </font>
    <font>
      <b/>
      <sz val="14"/>
      <color theme="1"/>
      <name val="Book Antiqua"/>
      <family val="1"/>
    </font>
    <font>
      <b/>
      <u/>
      <sz val="14"/>
      <color theme="1"/>
      <name val="Book Antiqua"/>
      <family val="1"/>
    </font>
    <font>
      <b/>
      <sz val="10"/>
      <color rgb="FFFD23ED"/>
      <name val="Book Antiqua"/>
      <family val="1"/>
    </font>
    <font>
      <b/>
      <u/>
      <sz val="14"/>
      <color theme="10"/>
      <name val="Book Antiqua"/>
      <family val="1"/>
    </font>
    <font>
      <b/>
      <sz val="20"/>
      <color theme="1"/>
      <name val="Book Antiqua"/>
      <family val="1"/>
    </font>
    <font>
      <b/>
      <sz val="10"/>
      <color rgb="FF00B0F0"/>
      <name val="Book Antiqua"/>
      <family val="1"/>
    </font>
    <font>
      <b/>
      <sz val="11"/>
      <color theme="0"/>
      <name val="Calibri"/>
      <family val="2"/>
      <scheme val="minor"/>
    </font>
    <font>
      <b/>
      <sz val="10"/>
      <color theme="5" tint="-0.499984740745262"/>
      <name val="Book Antiqua"/>
      <family val="1"/>
    </font>
    <font>
      <b/>
      <sz val="10"/>
      <color theme="9" tint="-0.249977111117893"/>
      <name val="Book Antiqua"/>
      <family val="1"/>
    </font>
    <font>
      <i/>
      <sz val="11"/>
      <color theme="0"/>
      <name val="Calibri"/>
      <family val="2"/>
      <scheme val="minor"/>
    </font>
    <font>
      <b/>
      <sz val="30"/>
      <color rgb="FFFF0000"/>
      <name val="Book Antiqua"/>
      <family val="1"/>
    </font>
    <font>
      <b/>
      <sz val="14"/>
      <name val="Book Antiqua"/>
      <family val="1"/>
    </font>
    <font>
      <b/>
      <sz val="16"/>
      <name val="Book Antiqua"/>
      <family val="1"/>
    </font>
    <font>
      <sz val="14"/>
      <color theme="1"/>
      <name val="Book Antiqua"/>
      <family val="1"/>
    </font>
    <font>
      <b/>
      <i/>
      <sz val="10"/>
      <color rgb="FF00B050"/>
      <name val="Book Antiqua"/>
      <family val="1"/>
    </font>
    <font>
      <b/>
      <sz val="19"/>
      <color theme="1"/>
      <name val="Book Antiqua"/>
      <family val="1"/>
    </font>
    <font>
      <b/>
      <sz val="19"/>
      <color rgb="FFFF0000"/>
      <name val="Book Antiqua"/>
      <family val="1"/>
    </font>
    <font>
      <b/>
      <sz val="19"/>
      <color rgb="FF00B050"/>
      <name val="Book Antiqua"/>
      <family val="1"/>
    </font>
    <font>
      <b/>
      <sz val="19"/>
      <color rgb="FF0070C0"/>
      <name val="Book Antiqua"/>
      <family val="1"/>
    </font>
    <font>
      <b/>
      <sz val="25"/>
      <color rgb="FFFF0000"/>
      <name val="Book Antiqua"/>
      <family val="1"/>
    </font>
    <font>
      <b/>
      <sz val="12"/>
      <name val="Book Antiqua"/>
      <family val="1"/>
    </font>
    <font>
      <b/>
      <sz val="10"/>
      <color theme="7" tint="-0.249977111117893"/>
      <name val="Book Antiqua"/>
      <family val="1"/>
    </font>
    <font>
      <b/>
      <sz val="10"/>
      <color rgb="FF0070C0"/>
      <name val="Book Antiqua"/>
      <family val="1"/>
    </font>
    <font>
      <b/>
      <u/>
      <sz val="14"/>
      <name val="Book Antiqua"/>
      <family val="1"/>
    </font>
    <font>
      <b/>
      <sz val="8"/>
      <name val="Book Antiqua"/>
      <family val="1"/>
    </font>
    <font>
      <b/>
      <sz val="12"/>
      <color rgb="FFC00000"/>
      <name val="Book Antiqua"/>
      <family val="1"/>
    </font>
    <font>
      <b/>
      <sz val="10"/>
      <color rgb="FFC4BF00"/>
      <name val="Book Antiqua"/>
      <family val="1"/>
    </font>
    <font>
      <sz val="11"/>
      <color theme="0"/>
      <name val="Calibri"/>
      <family val="2"/>
      <scheme val="minor"/>
    </font>
    <font>
      <b/>
      <i/>
      <sz val="11"/>
      <color theme="0"/>
      <name val="Calibri"/>
      <family val="2"/>
      <scheme val="minor"/>
    </font>
    <font>
      <sz val="10"/>
      <color rgb="FFC00000"/>
      <name val="Book Antiqua"/>
      <family val="1"/>
    </font>
    <font>
      <i/>
      <sz val="10"/>
      <color rgb="FFC00000"/>
      <name val="Book Antiqua"/>
      <family val="1"/>
    </font>
    <font>
      <b/>
      <i/>
      <sz val="10"/>
      <color rgb="FFC00000"/>
      <name val="Book Antiqua"/>
      <family val="1"/>
    </font>
    <font>
      <b/>
      <sz val="8"/>
      <color theme="0"/>
      <name val="Book Antiqua"/>
      <family val="1"/>
    </font>
    <font>
      <b/>
      <sz val="8"/>
      <color rgb="FF00B050"/>
      <name val="Book Antiqua"/>
      <family val="1"/>
    </font>
    <font>
      <b/>
      <sz val="14"/>
      <color rgb="FF00B050"/>
      <name val="Wingdings"/>
      <charset val="2"/>
    </font>
    <font>
      <b/>
      <sz val="10"/>
      <color rgb="FF89E3B8"/>
      <name val="Book Antiqua"/>
      <family val="1"/>
    </font>
    <font>
      <b/>
      <i/>
      <sz val="11"/>
      <color theme="1"/>
      <name val="Calibri"/>
      <family val="2"/>
      <scheme val="minor"/>
    </font>
    <font>
      <b/>
      <sz val="10"/>
      <color rgb="FFCC3399"/>
      <name val="Book Antiqua"/>
      <family val="1"/>
    </font>
    <font>
      <b/>
      <sz val="10"/>
      <color theme="2" tint="-0.499984740745262"/>
      <name val="Book Antiqua"/>
      <family val="1"/>
    </font>
    <font>
      <b/>
      <i/>
      <sz val="11"/>
      <color rgb="FFFF0000"/>
      <name val="Calibri"/>
      <family val="2"/>
      <scheme val="minor"/>
    </font>
    <font>
      <strike/>
      <sz val="10"/>
      <color rgb="FF00B050"/>
      <name val="Book Antiqua"/>
      <family val="1"/>
    </font>
    <font>
      <b/>
      <i/>
      <sz val="11"/>
      <color rgb="FF0070C0"/>
      <name val="Calibri"/>
      <family val="2"/>
      <scheme val="minor"/>
    </font>
    <font>
      <b/>
      <sz val="11"/>
      <color rgb="FF0070C0"/>
      <name val="Calibri"/>
      <family val="2"/>
      <scheme val="minor"/>
    </font>
    <font>
      <b/>
      <sz val="10"/>
      <color theme="9" tint="-0.499984740745262"/>
      <name val="Book Antiqua"/>
      <family val="1"/>
    </font>
    <font>
      <i/>
      <sz val="10"/>
      <color rgb="FFFF0000"/>
      <name val="Book Antiqua"/>
      <family val="1"/>
    </font>
    <font>
      <i/>
      <sz val="14"/>
      <color theme="1"/>
      <name val="Wingdings"/>
      <charset val="2"/>
    </font>
    <font>
      <b/>
      <sz val="16"/>
      <color theme="1"/>
      <name val="Book Antiqua"/>
      <family val="1"/>
    </font>
    <font>
      <b/>
      <sz val="15"/>
      <color theme="1"/>
      <name val="Book Antiqua"/>
      <family val="1"/>
    </font>
    <font>
      <b/>
      <u/>
      <sz val="15"/>
      <color theme="1"/>
      <name val="Book Antiqua"/>
      <family val="1"/>
    </font>
    <font>
      <b/>
      <sz val="15"/>
      <color rgb="FF00B050"/>
      <name val="Book Antiqua"/>
      <family val="1"/>
    </font>
    <font>
      <b/>
      <sz val="15"/>
      <color rgb="FFC00000"/>
      <name val="Book Antiqua"/>
      <family val="1"/>
    </font>
    <font>
      <b/>
      <sz val="11"/>
      <color rgb="FF00B050"/>
      <name val="Book Antiqua"/>
      <family val="1"/>
    </font>
    <font>
      <b/>
      <sz val="11"/>
      <color theme="7" tint="-0.249977111117893"/>
      <name val="Book Antiqua"/>
      <family val="1"/>
    </font>
    <font>
      <b/>
      <i/>
      <sz val="14"/>
      <color theme="1"/>
      <name val="Book Antiqua"/>
      <family val="1"/>
    </font>
    <font>
      <b/>
      <i/>
      <sz val="12"/>
      <name val="Book Antiqua"/>
      <family val="1"/>
    </font>
    <font>
      <b/>
      <i/>
      <sz val="14"/>
      <name val="Book Antiqua"/>
      <family val="1"/>
    </font>
    <font>
      <b/>
      <i/>
      <sz val="8"/>
      <color theme="0"/>
      <name val="Book Antiqua"/>
      <family val="1"/>
    </font>
    <font>
      <b/>
      <i/>
      <sz val="8"/>
      <name val="Book Antiqua"/>
      <family val="1"/>
    </font>
    <font>
      <b/>
      <sz val="14"/>
      <color theme="1"/>
      <name val="Wingdings"/>
      <charset val="2"/>
    </font>
    <font>
      <u/>
      <sz val="12"/>
      <color theme="10"/>
      <name val="Book Antiqua"/>
      <family val="1"/>
    </font>
    <font>
      <b/>
      <sz val="8"/>
      <color theme="1"/>
      <name val="Book Antiqua"/>
      <family val="1"/>
    </font>
    <font>
      <b/>
      <sz val="11"/>
      <color theme="1"/>
      <name val="Book Antiqua"/>
      <family val="1"/>
    </font>
    <font>
      <sz val="11"/>
      <color theme="1"/>
      <name val="Book Antiqua"/>
      <family val="1"/>
    </font>
    <font>
      <b/>
      <sz val="11"/>
      <name val="Book Antiqua"/>
      <family val="1"/>
    </font>
    <font>
      <b/>
      <u/>
      <sz val="11"/>
      <color theme="10"/>
      <name val="Book Antiqua"/>
      <family val="1"/>
    </font>
    <font>
      <sz val="9"/>
      <color theme="1"/>
      <name val="Book Antiqua"/>
      <family val="1"/>
    </font>
    <font>
      <i/>
      <sz val="9"/>
      <color theme="1"/>
      <name val="Book Antiqua"/>
      <family val="1"/>
    </font>
    <font>
      <b/>
      <sz val="18"/>
      <color theme="0"/>
      <name val="Book Antiqua"/>
      <family val="1"/>
    </font>
    <font>
      <b/>
      <i/>
      <sz val="18"/>
      <color theme="0"/>
      <name val="Book Antiqua"/>
      <family val="1"/>
    </font>
    <font>
      <b/>
      <sz val="10"/>
      <color theme="4"/>
      <name val="Book Antiqua"/>
      <family val="1"/>
    </font>
    <font>
      <b/>
      <u/>
      <sz val="12"/>
      <color theme="10"/>
      <name val="Book Antiqua"/>
      <family val="1"/>
    </font>
    <font>
      <u/>
      <sz val="11"/>
      <color theme="10"/>
      <name val="Book Antiqua"/>
      <family val="1"/>
    </font>
    <font>
      <b/>
      <sz val="13"/>
      <color rgb="FFFF0000"/>
      <name val="Book Antiqua"/>
      <family val="1"/>
    </font>
    <font>
      <b/>
      <strike/>
      <sz val="10"/>
      <color theme="1"/>
      <name val="Book Antiqua"/>
      <family val="1"/>
    </font>
    <font>
      <b/>
      <sz val="20"/>
      <color rgb="FFFF0000"/>
      <name val="Book Antiqua"/>
      <family val="1"/>
    </font>
    <font>
      <b/>
      <i/>
      <sz val="9"/>
      <name val="Book Antiqua"/>
      <family val="1"/>
    </font>
    <font>
      <i/>
      <sz val="9"/>
      <color rgb="FFC00000"/>
      <name val="Book Antiqua"/>
      <family val="1"/>
    </font>
    <font>
      <sz val="9"/>
      <color theme="1"/>
      <name val="Wingdings"/>
      <charset val="2"/>
    </font>
    <font>
      <sz val="11"/>
      <color rgb="FFFF0000"/>
      <name val="Calibri"/>
      <family val="2"/>
      <scheme val="minor"/>
    </font>
    <font>
      <b/>
      <sz val="8"/>
      <color theme="8" tint="0.59999389629810485"/>
      <name val="Book Antiqua"/>
      <family val="1"/>
    </font>
    <font>
      <b/>
      <sz val="8"/>
      <color theme="9" tint="0.79998168889431442"/>
      <name val="Book Antiqua"/>
      <family val="1"/>
    </font>
    <font>
      <b/>
      <i/>
      <sz val="10"/>
      <color theme="0"/>
      <name val="Book Antiqua"/>
      <family val="1"/>
    </font>
    <font>
      <b/>
      <sz val="10"/>
      <color theme="0"/>
      <name val="Book Antiqua"/>
      <family val="1"/>
    </font>
    <font>
      <b/>
      <u/>
      <sz val="10"/>
      <color theme="1"/>
      <name val="Book Antiqua"/>
      <family val="1"/>
    </font>
    <font>
      <b/>
      <sz val="16"/>
      <color theme="0"/>
      <name val="Book Antiqua"/>
      <family val="1"/>
    </font>
    <font>
      <b/>
      <sz val="10"/>
      <color rgb="FF002060"/>
      <name val="Book Antiqua"/>
      <family val="1"/>
    </font>
    <font>
      <b/>
      <u/>
      <sz val="13"/>
      <color theme="10"/>
      <name val="Book Antiqua"/>
      <family val="1"/>
    </font>
    <font>
      <i/>
      <sz val="10"/>
      <color rgb="FF0070C0"/>
      <name val="Book Antiqua"/>
      <family val="1"/>
    </font>
    <font>
      <b/>
      <sz val="20"/>
      <color rgb="FF00B050"/>
      <name val="Book Antiqua"/>
      <family val="1"/>
    </font>
    <font>
      <b/>
      <sz val="20"/>
      <color rgb="FFC00000"/>
      <name val="Book Antiqua"/>
      <family val="1"/>
    </font>
    <font>
      <b/>
      <sz val="14"/>
      <color theme="8" tint="0.59999389629810485"/>
      <name val="Wingdings"/>
      <charset val="2"/>
    </font>
    <font>
      <b/>
      <i/>
      <sz val="16"/>
      <color theme="0"/>
      <name val="Book Antiqua"/>
      <family val="1"/>
    </font>
    <font>
      <sz val="16"/>
      <color theme="1"/>
      <name val="Book Antiqua"/>
      <family val="1"/>
    </font>
    <font>
      <sz val="12"/>
      <color theme="1"/>
      <name val="Book Antiqua"/>
      <family val="1"/>
    </font>
    <font>
      <b/>
      <sz val="12"/>
      <color theme="0"/>
      <name val="Book Antiqua"/>
      <family val="1"/>
    </font>
    <font>
      <i/>
      <sz val="12"/>
      <color rgb="FFFF0000"/>
      <name val="Book Antiqua"/>
      <family val="1"/>
    </font>
    <font>
      <sz val="12"/>
      <name val="Book Antiqua"/>
      <family val="1"/>
    </font>
    <font>
      <sz val="12"/>
      <color rgb="FFFF0000"/>
      <name val="Book Antiqua"/>
      <family val="1"/>
    </font>
    <font>
      <b/>
      <u/>
      <sz val="16"/>
      <color theme="0"/>
      <name val="Book Antiqua"/>
      <family val="1"/>
    </font>
    <font>
      <b/>
      <i/>
      <sz val="12"/>
      <color rgb="FFC00000"/>
      <name val="Book Antiqua"/>
      <family val="1"/>
    </font>
    <font>
      <b/>
      <i/>
      <sz val="19"/>
      <color rgb="FF0070C0"/>
      <name val="Book Antiqua"/>
      <family val="1"/>
    </font>
  </fonts>
  <fills count="30">
    <fill>
      <patternFill patternType="none"/>
    </fill>
    <fill>
      <patternFill patternType="gray125"/>
    </fill>
    <fill>
      <patternFill patternType="solid">
        <fgColor rgb="FF92D05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3"/>
        <bgColor indexed="64"/>
      </patternFill>
    </fill>
    <fill>
      <patternFill patternType="solid">
        <fgColor theme="9"/>
        <bgColor indexed="64"/>
      </patternFill>
    </fill>
    <fill>
      <patternFill patternType="solid">
        <fgColor rgb="FFFF0000"/>
        <bgColor indexed="64"/>
      </patternFill>
    </fill>
    <fill>
      <patternFill patternType="solid">
        <fgColor theme="7"/>
        <bgColor indexed="64"/>
      </patternFill>
    </fill>
    <fill>
      <patternFill patternType="solid">
        <fgColor theme="4"/>
        <bgColor indexed="64"/>
      </patternFill>
    </fill>
    <fill>
      <patternFill patternType="solid">
        <fgColor theme="7" tint="0.3999755851924192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00B050"/>
        <bgColor indexed="64"/>
      </patternFill>
    </fill>
    <fill>
      <patternFill patternType="solid">
        <fgColor theme="5" tint="0.79998168889431442"/>
        <bgColor indexed="64"/>
      </patternFill>
    </fill>
    <fill>
      <patternFill patternType="solid">
        <fgColor rgb="FF00B050"/>
        <bgColor theme="4" tint="0.79998168889431442"/>
      </patternFill>
    </fill>
    <fill>
      <patternFill patternType="solid">
        <fgColor theme="5" tint="0.79998168889431442"/>
        <bgColor theme="4" tint="0.79998168889431442"/>
      </patternFill>
    </fill>
    <fill>
      <patternFill patternType="solid">
        <fgColor rgb="FFC00000"/>
        <bgColor indexed="64"/>
      </patternFill>
    </fill>
    <fill>
      <patternFill patternType="solid">
        <fgColor rgb="FF7030A0"/>
        <bgColor theme="4"/>
      </patternFill>
    </fill>
    <fill>
      <patternFill patternType="solid">
        <fgColor theme="8" tint="-0.249977111117893"/>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5"/>
        <bgColor indexed="64"/>
      </patternFill>
    </fill>
  </fills>
  <borders count="87">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rgb="FFFF0000"/>
      </left>
      <right style="medium">
        <color rgb="FFFF0000"/>
      </right>
      <top style="medium">
        <color rgb="FFFF0000"/>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rgb="FFFF0000"/>
      </left>
      <right style="medium">
        <color rgb="FFFF0000"/>
      </right>
      <top style="thin">
        <color indexed="64"/>
      </top>
      <bottom style="thin">
        <color indexed="64"/>
      </bottom>
      <diagonal/>
    </border>
    <border diagonalUp="1" diagonalDown="1">
      <left style="medium">
        <color rgb="FFFF0000"/>
      </left>
      <right style="medium">
        <color rgb="FFFF0000"/>
      </right>
      <top style="thin">
        <color indexed="64"/>
      </top>
      <bottom style="thin">
        <color indexed="64"/>
      </bottom>
      <diagonal style="medium">
        <color rgb="FFFF0000"/>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thin">
        <color indexed="64"/>
      </right>
      <top/>
      <bottom/>
      <diagonal/>
    </border>
    <border>
      <left/>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FF0000"/>
      </left>
      <right style="medium">
        <color rgb="FFFF0000"/>
      </right>
      <top style="thin">
        <color indexed="64"/>
      </top>
      <bottom style="medium">
        <color rgb="FFFF0000"/>
      </bottom>
      <diagonal/>
    </border>
    <border>
      <left style="medium">
        <color indexed="64"/>
      </left>
      <right style="thin">
        <color indexed="64"/>
      </right>
      <top style="medium">
        <color rgb="FFFF0000"/>
      </top>
      <bottom style="medium">
        <color indexed="64"/>
      </bottom>
      <diagonal/>
    </border>
    <border>
      <left style="medium">
        <color rgb="FFFF0000"/>
      </left>
      <right/>
      <top style="medium">
        <color rgb="FFFF0000"/>
      </top>
      <bottom/>
      <diagonal/>
    </border>
    <border>
      <left/>
      <right style="medium">
        <color rgb="FFFF0000"/>
      </right>
      <top style="medium">
        <color rgb="FFFF0000"/>
      </top>
      <bottom/>
      <diagonal/>
    </border>
    <border>
      <left style="thin">
        <color indexed="64"/>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style="thin">
        <color auto="1"/>
      </left>
      <right/>
      <top/>
      <bottom style="thin">
        <color auto="1"/>
      </bottom>
      <diagonal/>
    </border>
    <border>
      <left style="thin">
        <color theme="4" tint="0.39997558519241921"/>
      </left>
      <right/>
      <top style="thin">
        <color theme="4" tint="0.39997558519241921"/>
      </top>
      <bottom style="thin">
        <color theme="4" tint="0.39997558519241921"/>
      </bottom>
      <diagonal/>
    </border>
    <border>
      <left style="medium">
        <color auto="1"/>
      </left>
      <right/>
      <top style="thin">
        <color theme="4" tint="0.39997558519241921"/>
      </top>
      <bottom style="thin">
        <color theme="4" tint="0.39997558519241921"/>
      </bottom>
      <diagonal/>
    </border>
    <border>
      <left/>
      <right style="medium">
        <color auto="1"/>
      </right>
      <top style="thin">
        <color theme="4" tint="0.39997558519241921"/>
      </top>
      <bottom style="thin">
        <color theme="4" tint="0.39997558519241921"/>
      </bottom>
      <diagonal/>
    </border>
    <border>
      <left/>
      <right/>
      <top style="thin">
        <color theme="4" tint="0.39997558519241921"/>
      </top>
      <bottom/>
      <diagonal/>
    </border>
    <border>
      <left/>
      <right/>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medium">
        <color rgb="FFFF0000"/>
      </top>
      <bottom/>
      <diagonal/>
    </border>
    <border>
      <left/>
      <right style="medium">
        <color rgb="FFFF0000"/>
      </right>
      <top/>
      <bottom/>
      <diagonal/>
    </border>
    <border>
      <left/>
      <right/>
      <top/>
      <bottom style="medium">
        <color rgb="FFFF0000"/>
      </bottom>
      <diagonal/>
    </border>
    <border>
      <left/>
      <right style="medium">
        <color rgb="FFFF0000"/>
      </right>
      <top/>
      <bottom style="medium">
        <color rgb="FFFF0000"/>
      </bottom>
      <diagonal/>
    </border>
    <border>
      <left style="mediumDashed">
        <color auto="1"/>
      </left>
      <right style="mediumDashed">
        <color auto="1"/>
      </right>
      <top style="mediumDashed">
        <color auto="1"/>
      </top>
      <bottom style="mediumDashed">
        <color auto="1"/>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medium">
        <color rgb="FFFF0000"/>
      </left>
      <right/>
      <top/>
      <bottom/>
      <diagonal/>
    </border>
    <border>
      <left style="thin">
        <color indexed="64"/>
      </left>
      <right style="thin">
        <color indexed="64"/>
      </right>
      <top/>
      <bottom/>
      <diagonal/>
    </border>
    <border>
      <left style="medium">
        <color rgb="FFFF0000"/>
      </left>
      <right style="medium">
        <color rgb="FFFF0000"/>
      </right>
      <top/>
      <bottom style="thin">
        <color indexed="64"/>
      </bottom>
      <diagonal/>
    </border>
    <border>
      <left style="medium">
        <color indexed="64"/>
      </left>
      <right style="medium">
        <color indexed="64"/>
      </right>
      <top/>
      <bottom style="thin">
        <color indexed="64"/>
      </bottom>
      <diagonal/>
    </border>
    <border>
      <left style="medium">
        <color rgb="FFFF0000"/>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diagonal/>
    </border>
    <border>
      <left/>
      <right style="medium">
        <color indexed="64"/>
      </right>
      <top style="thin">
        <color indexed="64"/>
      </top>
      <bottom style="thin">
        <color indexed="64"/>
      </bottom>
      <diagonal/>
    </border>
    <border>
      <left style="medium">
        <color rgb="FF00B050"/>
      </left>
      <right style="medium">
        <color rgb="FF00B050"/>
      </right>
      <top style="medium">
        <color rgb="FF00B050"/>
      </top>
      <bottom style="medium">
        <color rgb="FF00B050"/>
      </bottom>
      <diagonal/>
    </border>
    <border>
      <left/>
      <right style="medium">
        <color indexed="64"/>
      </right>
      <top style="thin">
        <color indexed="64"/>
      </top>
      <bottom style="medium">
        <color indexed="64"/>
      </bottom>
      <diagonal/>
    </border>
    <border>
      <left style="medium">
        <color rgb="FFFF0000"/>
      </left>
      <right/>
      <top/>
      <bottom style="medium">
        <color rgb="FFFF0000"/>
      </bottom>
      <diagonal/>
    </border>
    <border>
      <left style="medium">
        <color indexed="64"/>
      </left>
      <right/>
      <top style="thin">
        <color indexed="64"/>
      </top>
      <bottom style="thin">
        <color indexed="64"/>
      </bottom>
      <diagonal/>
    </border>
  </borders>
  <cellStyleXfs count="3">
    <xf numFmtId="0" fontId="0" fillId="0" borderId="0"/>
    <xf numFmtId="0" fontId="14" fillId="0" borderId="0" applyNumberFormat="0" applyFill="0" applyBorder="0" applyAlignment="0" applyProtection="0"/>
    <xf numFmtId="0" fontId="99" fillId="0" borderId="0" applyNumberFormat="0" applyFill="0" applyBorder="0" applyAlignment="0" applyProtection="0"/>
  </cellStyleXfs>
  <cellXfs count="1098">
    <xf numFmtId="0" fontId="0" fillId="0" borderId="0" xfId="0"/>
    <xf numFmtId="0" fontId="10" fillId="3" borderId="0" xfId="0" applyFont="1" applyFill="1"/>
    <xf numFmtId="0" fontId="15" fillId="3" borderId="0" xfId="0" applyFont="1" applyFill="1"/>
    <xf numFmtId="3" fontId="1" fillId="0" borderId="0" xfId="0" applyNumberFormat="1" applyFont="1"/>
    <xf numFmtId="2" fontId="1" fillId="0" borderId="0" xfId="0" applyNumberFormat="1" applyFont="1"/>
    <xf numFmtId="0" fontId="6" fillId="0" borderId="0" xfId="0" applyFont="1"/>
    <xf numFmtId="3" fontId="0" fillId="0" borderId="0" xfId="0" applyNumberFormat="1"/>
    <xf numFmtId="2" fontId="6" fillId="0" borderId="0" xfId="0" applyNumberFormat="1" applyFont="1"/>
    <xf numFmtId="3" fontId="3" fillId="0" borderId="0" xfId="0" applyNumberFormat="1" applyFont="1"/>
    <xf numFmtId="0" fontId="4" fillId="0" borderId="0" xfId="0" applyFont="1"/>
    <xf numFmtId="2" fontId="3" fillId="0" borderId="0" xfId="0" applyNumberFormat="1" applyFont="1"/>
    <xf numFmtId="2" fontId="20" fillId="0" borderId="0" xfId="0" applyNumberFormat="1" applyFont="1"/>
    <xf numFmtId="0" fontId="1" fillId="0" borderId="0" xfId="0" applyFont="1"/>
    <xf numFmtId="0" fontId="20" fillId="0" borderId="0" xfId="0" applyFont="1"/>
    <xf numFmtId="2" fontId="4" fillId="0" borderId="0" xfId="0" applyNumberFormat="1" applyFont="1"/>
    <xf numFmtId="2" fontId="1" fillId="0" borderId="33" xfId="0" applyNumberFormat="1" applyFont="1" applyBorder="1"/>
    <xf numFmtId="2" fontId="1" fillId="0" borderId="35" xfId="0" applyNumberFormat="1" applyFont="1" applyBorder="1"/>
    <xf numFmtId="2" fontId="6" fillId="0" borderId="36" xfId="0" applyNumberFormat="1" applyFont="1" applyBorder="1"/>
    <xf numFmtId="2" fontId="6" fillId="0" borderId="38" xfId="0" applyNumberFormat="1" applyFont="1" applyBorder="1"/>
    <xf numFmtId="2" fontId="1" fillId="0" borderId="38" xfId="0" applyNumberFormat="1" applyFont="1" applyBorder="1"/>
    <xf numFmtId="4" fontId="1" fillId="0" borderId="0" xfId="0" applyNumberFormat="1" applyFont="1"/>
    <xf numFmtId="4" fontId="0" fillId="0" borderId="0" xfId="0" applyNumberFormat="1"/>
    <xf numFmtId="1" fontId="1" fillId="0" borderId="0" xfId="0" applyNumberFormat="1" applyFont="1"/>
    <xf numFmtId="0" fontId="15" fillId="6" borderId="0" xfId="0" applyFont="1" applyFill="1"/>
    <xf numFmtId="0" fontId="9" fillId="6" borderId="0" xfId="0" applyFont="1" applyFill="1"/>
    <xf numFmtId="2" fontId="20" fillId="0" borderId="34" xfId="0" applyNumberFormat="1" applyFont="1" applyBorder="1"/>
    <xf numFmtId="2" fontId="3" fillId="0" borderId="38" xfId="0" applyNumberFormat="1" applyFont="1" applyBorder="1"/>
    <xf numFmtId="2" fontId="20" fillId="0" borderId="38" xfId="0" applyNumberFormat="1" applyFont="1" applyBorder="1"/>
    <xf numFmtId="0" fontId="13" fillId="6" borderId="0" xfId="0" applyFont="1" applyFill="1"/>
    <xf numFmtId="0" fontId="24" fillId="6" borderId="0" xfId="0" applyFont="1" applyFill="1" applyAlignment="1">
      <alignment horizontal="center" vertical="center"/>
    </xf>
    <xf numFmtId="3" fontId="23" fillId="6" borderId="27" xfId="0" applyNumberFormat="1" applyFont="1" applyFill="1" applyBorder="1" applyAlignment="1">
      <alignment horizontal="center" vertical="center"/>
    </xf>
    <xf numFmtId="3" fontId="26" fillId="6" borderId="5" xfId="0" applyNumberFormat="1" applyFont="1" applyFill="1" applyBorder="1" applyAlignment="1">
      <alignment vertical="center"/>
    </xf>
    <xf numFmtId="3" fontId="23" fillId="6" borderId="11" xfId="0" applyNumberFormat="1" applyFont="1" applyFill="1" applyBorder="1" applyAlignment="1">
      <alignment horizontal="center" vertical="center"/>
    </xf>
    <xf numFmtId="0" fontId="15" fillId="6" borderId="0" xfId="0" applyFont="1" applyFill="1" applyAlignment="1">
      <alignment horizontal="center"/>
    </xf>
    <xf numFmtId="2" fontId="23" fillId="6" borderId="0" xfId="0" applyNumberFormat="1" applyFont="1" applyFill="1" applyAlignment="1">
      <alignment horizontal="center" vertical="center"/>
    </xf>
    <xf numFmtId="3" fontId="15" fillId="6" borderId="0" xfId="0" applyNumberFormat="1" applyFont="1" applyFill="1"/>
    <xf numFmtId="0" fontId="15" fillId="3" borderId="0" xfId="0" applyFont="1" applyFill="1" applyAlignment="1">
      <alignment vertical="center"/>
    </xf>
    <xf numFmtId="0" fontId="15" fillId="3" borderId="0" xfId="0" applyFont="1" applyFill="1" applyAlignment="1">
      <alignment horizontal="center" vertical="center"/>
    </xf>
    <xf numFmtId="3" fontId="24" fillId="6" borderId="0" xfId="0" applyNumberFormat="1" applyFont="1" applyFill="1" applyAlignment="1">
      <alignment horizontal="center" vertical="center"/>
    </xf>
    <xf numFmtId="0" fontId="15" fillId="0" borderId="0" xfId="0" applyFont="1" applyAlignment="1">
      <alignment vertical="center"/>
    </xf>
    <xf numFmtId="0" fontId="23" fillId="6" borderId="0" xfId="0" applyFont="1" applyFill="1" applyAlignment="1">
      <alignment horizontal="right" vertical="center"/>
    </xf>
    <xf numFmtId="3" fontId="13" fillId="6" borderId="0" xfId="0" applyNumberFormat="1" applyFont="1" applyFill="1" applyAlignment="1">
      <alignment horizontal="center" vertical="center"/>
    </xf>
    <xf numFmtId="0" fontId="26" fillId="6" borderId="0" xfId="0" applyFont="1" applyFill="1" applyAlignment="1">
      <alignment vertical="center"/>
    </xf>
    <xf numFmtId="0" fontId="15" fillId="0" borderId="5" xfId="0" applyFont="1" applyBorder="1" applyAlignment="1">
      <alignment horizontal="left" vertical="center"/>
    </xf>
    <xf numFmtId="0" fontId="28" fillId="0" borderId="0" xfId="0" applyFont="1" applyAlignment="1">
      <alignment vertical="center"/>
    </xf>
    <xf numFmtId="165" fontId="15" fillId="0" borderId="7" xfId="0" quotePrefix="1" applyNumberFormat="1" applyFont="1" applyBorder="1" applyAlignment="1">
      <alignment horizontal="right" vertical="center"/>
    </xf>
    <xf numFmtId="165" fontId="15" fillId="0" borderId="7" xfId="0" quotePrefix="1" applyNumberFormat="1" applyFont="1" applyBorder="1" applyAlignment="1">
      <alignment horizontal="left" vertical="center"/>
    </xf>
    <xf numFmtId="0" fontId="15" fillId="0" borderId="0" xfId="0" applyFont="1"/>
    <xf numFmtId="0" fontId="13" fillId="6" borderId="0" xfId="0" applyFont="1" applyFill="1" applyAlignment="1">
      <alignment vertical="center"/>
    </xf>
    <xf numFmtId="0" fontId="9" fillId="0" borderId="0" xfId="0" applyFont="1"/>
    <xf numFmtId="0" fontId="21" fillId="6" borderId="5" xfId="0" applyFont="1" applyFill="1" applyBorder="1" applyAlignment="1">
      <alignment horizontal="center"/>
    </xf>
    <xf numFmtId="0" fontId="10" fillId="6" borderId="5" xfId="0" applyFont="1" applyFill="1" applyBorder="1" applyAlignment="1">
      <alignment horizontal="center"/>
    </xf>
    <xf numFmtId="0" fontId="16" fillId="6" borderId="5" xfId="0" applyFont="1" applyFill="1" applyBorder="1" applyAlignment="1">
      <alignment horizontal="center"/>
    </xf>
    <xf numFmtId="0" fontId="21" fillId="3" borderId="0" xfId="0" applyFont="1" applyFill="1" applyAlignment="1">
      <alignment horizontal="center"/>
    </xf>
    <xf numFmtId="0" fontId="21" fillId="6" borderId="0" xfId="0" applyFont="1" applyFill="1" applyAlignment="1">
      <alignment horizontal="center"/>
    </xf>
    <xf numFmtId="20" fontId="26" fillId="6" borderId="0" xfId="0" applyNumberFormat="1" applyFont="1" applyFill="1" applyAlignment="1">
      <alignment horizontal="center" vertical="center"/>
    </xf>
    <xf numFmtId="169" fontId="26" fillId="6" borderId="0" xfId="0" applyNumberFormat="1" applyFont="1" applyFill="1" applyAlignment="1">
      <alignment vertical="center"/>
    </xf>
    <xf numFmtId="170" fontId="26" fillId="6" borderId="0" xfId="0" applyNumberFormat="1" applyFont="1" applyFill="1" applyAlignment="1">
      <alignment vertical="center"/>
    </xf>
    <xf numFmtId="164" fontId="26" fillId="6" borderId="5" xfId="0" applyNumberFormat="1" applyFont="1" applyFill="1" applyBorder="1" applyAlignment="1">
      <alignment vertical="center"/>
    </xf>
    <xf numFmtId="1" fontId="26" fillId="6" borderId="5" xfId="0" applyNumberFormat="1" applyFont="1" applyFill="1" applyBorder="1" applyAlignment="1">
      <alignment vertical="center"/>
    </xf>
    <xf numFmtId="164" fontId="26" fillId="6" borderId="0" xfId="0" applyNumberFormat="1" applyFont="1" applyFill="1" applyAlignment="1">
      <alignment vertical="center"/>
    </xf>
    <xf numFmtId="165" fontId="29" fillId="6" borderId="0" xfId="0" applyNumberFormat="1" applyFont="1" applyFill="1" applyAlignment="1">
      <alignment vertical="center"/>
    </xf>
    <xf numFmtId="165" fontId="26" fillId="6" borderId="0" xfId="0" applyNumberFormat="1" applyFont="1" applyFill="1" applyAlignment="1">
      <alignment vertical="center"/>
    </xf>
    <xf numFmtId="164" fontId="13" fillId="6" borderId="0" xfId="0" applyNumberFormat="1" applyFont="1" applyFill="1" applyAlignment="1">
      <alignment vertical="center"/>
    </xf>
    <xf numFmtId="0" fontId="26" fillId="3" borderId="0" xfId="0" applyFont="1" applyFill="1"/>
    <xf numFmtId="164" fontId="23" fillId="6" borderId="5" xfId="0" applyNumberFormat="1" applyFont="1" applyFill="1" applyBorder="1" applyAlignment="1">
      <alignment vertical="center"/>
    </xf>
    <xf numFmtId="3" fontId="23" fillId="6" borderId="5" xfId="0" applyNumberFormat="1" applyFont="1" applyFill="1" applyBorder="1" applyAlignment="1">
      <alignment vertical="center"/>
    </xf>
    <xf numFmtId="3" fontId="26" fillId="6" borderId="0" xfId="0" applyNumberFormat="1" applyFont="1" applyFill="1" applyAlignment="1">
      <alignment vertical="center"/>
    </xf>
    <xf numFmtId="0" fontId="26" fillId="6" borderId="0" xfId="0" applyFont="1" applyFill="1" applyAlignment="1">
      <alignment horizontal="center" vertical="center"/>
    </xf>
    <xf numFmtId="0" fontId="21" fillId="6" borderId="0" xfId="0" applyFont="1" applyFill="1" applyAlignment="1">
      <alignment horizontal="right" vertical="center"/>
    </xf>
    <xf numFmtId="0" fontId="27" fillId="6" borderId="0" xfId="0" applyFont="1" applyFill="1" applyAlignment="1">
      <alignment horizontal="center" vertical="center"/>
    </xf>
    <xf numFmtId="168" fontId="27" fillId="6" borderId="0" xfId="0" applyNumberFormat="1" applyFont="1" applyFill="1" applyAlignment="1">
      <alignment vertical="center"/>
    </xf>
    <xf numFmtId="172" fontId="27" fillId="6" borderId="0" xfId="0" applyNumberFormat="1" applyFont="1" applyFill="1" applyAlignment="1">
      <alignment horizontal="center" vertical="center"/>
    </xf>
    <xf numFmtId="20" fontId="27" fillId="6" borderId="0" xfId="0" applyNumberFormat="1" applyFont="1" applyFill="1" applyAlignment="1">
      <alignment horizontal="center" vertical="center"/>
    </xf>
    <xf numFmtId="169" fontId="27" fillId="6" borderId="0" xfId="0" applyNumberFormat="1" applyFont="1" applyFill="1" applyAlignment="1">
      <alignment vertical="center"/>
    </xf>
    <xf numFmtId="170" fontId="27" fillId="6" borderId="0" xfId="0" applyNumberFormat="1" applyFont="1" applyFill="1" applyAlignment="1">
      <alignment vertical="center"/>
    </xf>
    <xf numFmtId="165" fontId="30" fillId="6" borderId="0" xfId="0" applyNumberFormat="1" applyFont="1" applyFill="1" applyAlignment="1">
      <alignment vertical="center"/>
    </xf>
    <xf numFmtId="165" fontId="27" fillId="6" borderId="0" xfId="0" applyNumberFormat="1" applyFont="1" applyFill="1" applyAlignment="1">
      <alignment vertical="center"/>
    </xf>
    <xf numFmtId="164" fontId="27" fillId="6" borderId="0" xfId="0" applyNumberFormat="1" applyFont="1" applyFill="1" applyAlignment="1">
      <alignment vertical="center"/>
    </xf>
    <xf numFmtId="3" fontId="27" fillId="6" borderId="0" xfId="0" applyNumberFormat="1" applyFont="1" applyFill="1" applyAlignment="1">
      <alignment vertical="center"/>
    </xf>
    <xf numFmtId="0" fontId="27" fillId="3" borderId="0" xfId="0" applyFont="1" applyFill="1"/>
    <xf numFmtId="0" fontId="27" fillId="6" borderId="0" xfId="0" applyFont="1" applyFill="1"/>
    <xf numFmtId="0" fontId="21" fillId="6" borderId="0" xfId="0" applyFont="1" applyFill="1" applyAlignment="1">
      <alignment horizontal="center" vertical="center"/>
    </xf>
    <xf numFmtId="164" fontId="21" fillId="6" borderId="0" xfId="0" applyNumberFormat="1" applyFont="1" applyFill="1" applyAlignment="1">
      <alignment vertical="center"/>
    </xf>
    <xf numFmtId="3" fontId="21" fillId="6" borderId="0" xfId="0" applyNumberFormat="1" applyFont="1" applyFill="1" applyAlignment="1">
      <alignment horizontal="center" vertical="center"/>
    </xf>
    <xf numFmtId="3" fontId="21" fillId="6" borderId="0" xfId="0" applyNumberFormat="1" applyFont="1" applyFill="1" applyAlignment="1">
      <alignment vertical="center"/>
    </xf>
    <xf numFmtId="3" fontId="13" fillId="0" borderId="0" xfId="0" applyNumberFormat="1" applyFont="1" applyAlignment="1">
      <alignment horizontal="center"/>
    </xf>
    <xf numFmtId="0" fontId="15" fillId="0" borderId="0" xfId="0" applyFont="1" applyAlignment="1">
      <alignment horizontal="center"/>
    </xf>
    <xf numFmtId="165" fontId="16" fillId="0" borderId="0" xfId="0" applyNumberFormat="1" applyFont="1" applyAlignment="1">
      <alignment horizontal="right"/>
    </xf>
    <xf numFmtId="165" fontId="15" fillId="0" borderId="0" xfId="0" applyNumberFormat="1" applyFont="1" applyAlignment="1">
      <alignment horizontal="right"/>
    </xf>
    <xf numFmtId="0" fontId="15" fillId="4" borderId="0" xfId="0" applyFont="1" applyFill="1"/>
    <xf numFmtId="165" fontId="15" fillId="6" borderId="0" xfId="0" applyNumberFormat="1" applyFont="1" applyFill="1"/>
    <xf numFmtId="165" fontId="13" fillId="6" borderId="0" xfId="0" applyNumberFormat="1" applyFont="1" applyFill="1"/>
    <xf numFmtId="0" fontId="31" fillId="0" borderId="4" xfId="0" applyFont="1" applyBorder="1" applyAlignment="1">
      <alignment horizontal="center" vertical="center"/>
    </xf>
    <xf numFmtId="0" fontId="32" fillId="0" borderId="8" xfId="0" applyFont="1" applyBorder="1" applyAlignment="1">
      <alignment horizontal="center" vertical="center"/>
    </xf>
    <xf numFmtId="0" fontId="33" fillId="0" borderId="9" xfId="0" applyFont="1" applyBorder="1" applyAlignment="1">
      <alignment horizontal="center" vertical="center"/>
    </xf>
    <xf numFmtId="0" fontId="15" fillId="9" borderId="0" xfId="0" applyFont="1" applyFill="1"/>
    <xf numFmtId="0" fontId="15" fillId="9" borderId="0" xfId="0" applyFont="1" applyFill="1" applyAlignment="1">
      <alignment vertical="center"/>
    </xf>
    <xf numFmtId="0" fontId="15" fillId="9" borderId="0" xfId="0" applyFont="1" applyFill="1" applyAlignment="1">
      <alignment horizontal="center" vertical="center"/>
    </xf>
    <xf numFmtId="0" fontId="28" fillId="9" borderId="0" xfId="0" applyFont="1" applyFill="1" applyAlignment="1">
      <alignment vertical="center"/>
    </xf>
    <xf numFmtId="0" fontId="9" fillId="9" borderId="0" xfId="0" applyFont="1" applyFill="1"/>
    <xf numFmtId="0" fontId="10" fillId="9" borderId="0" xfId="0" applyFont="1" applyFill="1"/>
    <xf numFmtId="3" fontId="13" fillId="9" borderId="0" xfId="0" applyNumberFormat="1" applyFont="1" applyFill="1" applyAlignment="1">
      <alignment horizontal="center"/>
    </xf>
    <xf numFmtId="3" fontId="21" fillId="9" borderId="0" xfId="0" applyNumberFormat="1" applyFont="1" applyFill="1" applyAlignment="1">
      <alignment horizontal="center"/>
    </xf>
    <xf numFmtId="14" fontId="26" fillId="9" borderId="0" xfId="0" applyNumberFormat="1" applyFont="1" applyFill="1" applyAlignment="1">
      <alignment horizontal="center"/>
    </xf>
    <xf numFmtId="14" fontId="27" fillId="9" borderId="0" xfId="0" applyNumberFormat="1" applyFont="1" applyFill="1" applyAlignment="1">
      <alignment horizontal="center"/>
    </xf>
    <xf numFmtId="0" fontId="27" fillId="9" borderId="0" xfId="0" applyFont="1" applyFill="1"/>
    <xf numFmtId="4" fontId="16" fillId="9" borderId="0" xfId="0" applyNumberFormat="1" applyFont="1" applyFill="1" applyAlignment="1">
      <alignment horizontal="center" vertical="center"/>
    </xf>
    <xf numFmtId="0" fontId="23" fillId="9" borderId="0" xfId="0" applyFont="1" applyFill="1" applyAlignment="1">
      <alignment horizontal="center"/>
    </xf>
    <xf numFmtId="165" fontId="16" fillId="9" borderId="0" xfId="0" applyNumberFormat="1" applyFont="1" applyFill="1" applyAlignment="1">
      <alignment horizontal="right"/>
    </xf>
    <xf numFmtId="165" fontId="15" fillId="9" borderId="0" xfId="0" applyNumberFormat="1" applyFont="1" applyFill="1" applyAlignment="1">
      <alignment horizontal="right"/>
    </xf>
    <xf numFmtId="0" fontId="21" fillId="9" borderId="0" xfId="0" applyFont="1" applyFill="1" applyAlignment="1">
      <alignment horizontal="center"/>
    </xf>
    <xf numFmtId="0" fontId="26" fillId="9" borderId="0" xfId="0" applyFont="1" applyFill="1"/>
    <xf numFmtId="0" fontId="15" fillId="9" borderId="0" xfId="0" applyFont="1" applyFill="1" applyAlignment="1">
      <alignment horizontal="center"/>
    </xf>
    <xf numFmtId="164" fontId="15" fillId="9" borderId="0" xfId="0" applyNumberFormat="1" applyFont="1" applyFill="1" applyAlignment="1">
      <alignment horizontal="center"/>
    </xf>
    <xf numFmtId="165" fontId="15" fillId="9" borderId="0" xfId="0" applyNumberFormat="1" applyFont="1" applyFill="1" applyAlignment="1">
      <alignment horizontal="left"/>
    </xf>
    <xf numFmtId="3" fontId="16" fillId="9" borderId="0" xfId="0" applyNumberFormat="1" applyFont="1" applyFill="1" applyAlignment="1">
      <alignment horizontal="center" vertical="center"/>
    </xf>
    <xf numFmtId="164" fontId="24" fillId="9" borderId="0" xfId="0" applyNumberFormat="1" applyFont="1" applyFill="1" applyAlignment="1">
      <alignment vertical="center"/>
    </xf>
    <xf numFmtId="164" fontId="15" fillId="9" borderId="0" xfId="0" applyNumberFormat="1" applyFont="1" applyFill="1" applyAlignment="1">
      <alignment horizontal="center" vertical="center"/>
    </xf>
    <xf numFmtId="165" fontId="16" fillId="9" borderId="0" xfId="0" applyNumberFormat="1" applyFont="1" applyFill="1" applyAlignment="1">
      <alignment horizontal="right" vertical="center"/>
    </xf>
    <xf numFmtId="165" fontId="24" fillId="9" borderId="0" xfId="0" applyNumberFormat="1" applyFont="1" applyFill="1" applyAlignment="1">
      <alignment horizontal="right" vertical="center"/>
    </xf>
    <xf numFmtId="165" fontId="8" fillId="9" borderId="0" xfId="0" applyNumberFormat="1" applyFont="1" applyFill="1" applyAlignment="1">
      <alignment horizontal="right"/>
    </xf>
    <xf numFmtId="165" fontId="15" fillId="9" borderId="0" xfId="0" applyNumberFormat="1" applyFont="1" applyFill="1"/>
    <xf numFmtId="166" fontId="15" fillId="9" borderId="0" xfId="0" applyNumberFormat="1" applyFont="1" applyFill="1"/>
    <xf numFmtId="3" fontId="13" fillId="9" borderId="0" xfId="0" applyNumberFormat="1" applyFont="1" applyFill="1" applyAlignment="1">
      <alignment horizontal="left"/>
    </xf>
    <xf numFmtId="164" fontId="16" fillId="9" borderId="0" xfId="0" applyNumberFormat="1" applyFont="1" applyFill="1" applyAlignment="1">
      <alignment horizontal="right"/>
    </xf>
    <xf numFmtId="3" fontId="27" fillId="9" borderId="0" xfId="0" applyNumberFormat="1" applyFont="1" applyFill="1" applyAlignment="1">
      <alignment horizontal="center"/>
    </xf>
    <xf numFmtId="3" fontId="13" fillId="9" borderId="1" xfId="0" applyNumberFormat="1" applyFont="1" applyFill="1" applyBorder="1" applyAlignment="1">
      <alignment horizontal="center"/>
    </xf>
    <xf numFmtId="165" fontId="24" fillId="10" borderId="7" xfId="0" applyNumberFormat="1" applyFont="1" applyFill="1" applyBorder="1" applyAlignment="1">
      <alignment horizontal="center" vertical="center" wrapText="1"/>
    </xf>
    <xf numFmtId="173" fontId="36" fillId="9" borderId="0" xfId="0" applyNumberFormat="1" applyFont="1" applyFill="1" applyAlignment="1">
      <alignment horizontal="left"/>
    </xf>
    <xf numFmtId="173" fontId="37" fillId="9" borderId="0" xfId="0" applyNumberFormat="1" applyFont="1" applyFill="1" applyAlignment="1">
      <alignment horizontal="left"/>
    </xf>
    <xf numFmtId="3" fontId="38" fillId="6" borderId="0" xfId="0" applyNumberFormat="1" applyFont="1" applyFill="1" applyAlignment="1">
      <alignment horizontal="center" vertical="center"/>
    </xf>
    <xf numFmtId="164" fontId="24" fillId="10" borderId="4" xfId="0" applyNumberFormat="1" applyFont="1" applyFill="1" applyBorder="1" applyAlignment="1">
      <alignment horizontal="center" vertical="center" wrapText="1"/>
    </xf>
    <xf numFmtId="164" fontId="24" fillId="10" borderId="5" xfId="0" applyNumberFormat="1" applyFont="1" applyFill="1" applyBorder="1" applyAlignment="1">
      <alignment horizontal="center" vertical="center" wrapText="1"/>
    </xf>
    <xf numFmtId="164" fontId="24" fillId="10" borderId="6" xfId="0" applyNumberFormat="1" applyFont="1" applyFill="1" applyBorder="1" applyAlignment="1">
      <alignment horizontal="center" vertical="center" wrapText="1"/>
    </xf>
    <xf numFmtId="164" fontId="15" fillId="6" borderId="0" xfId="0" applyNumberFormat="1" applyFont="1" applyFill="1"/>
    <xf numFmtId="3" fontId="23" fillId="9" borderId="0" xfId="0" applyNumberFormat="1" applyFont="1" applyFill="1" applyAlignment="1">
      <alignment horizontal="right"/>
    </xf>
    <xf numFmtId="9" fontId="9" fillId="10" borderId="10" xfId="0" applyNumberFormat="1" applyFont="1" applyFill="1" applyBorder="1" applyAlignment="1">
      <alignment horizontal="center" vertical="center"/>
    </xf>
    <xf numFmtId="164" fontId="9" fillId="10" borderId="5" xfId="0" applyNumberFormat="1" applyFont="1" applyFill="1" applyBorder="1" applyAlignment="1">
      <alignment horizontal="center" vertical="center"/>
    </xf>
    <xf numFmtId="0" fontId="40" fillId="10" borderId="4" xfId="0" applyFont="1" applyFill="1" applyBorder="1" applyAlignment="1">
      <alignment horizontal="center" vertical="center"/>
    </xf>
    <xf numFmtId="0" fontId="40" fillId="10" borderId="5" xfId="0" applyFont="1" applyFill="1" applyBorder="1" applyAlignment="1">
      <alignment horizontal="center" vertical="center"/>
    </xf>
    <xf numFmtId="165" fontId="40" fillId="10" borderId="7" xfId="0" applyNumberFormat="1" applyFont="1" applyFill="1" applyBorder="1" applyAlignment="1">
      <alignment horizontal="center" vertical="center" wrapText="1"/>
    </xf>
    <xf numFmtId="3" fontId="10" fillId="11" borderId="19" xfId="0" applyNumberFormat="1" applyFont="1" applyFill="1" applyBorder="1" applyAlignment="1">
      <alignment horizontal="center" vertical="center"/>
    </xf>
    <xf numFmtId="164" fontId="11" fillId="11" borderId="26" xfId="0" applyNumberFormat="1" applyFont="1" applyFill="1" applyBorder="1" applyAlignment="1">
      <alignment horizontal="center" vertical="center"/>
    </xf>
    <xf numFmtId="164" fontId="11" fillId="11" borderId="39" xfId="0" applyNumberFormat="1" applyFont="1" applyFill="1" applyBorder="1" applyAlignment="1">
      <alignment horizontal="center" vertical="center"/>
    </xf>
    <xf numFmtId="165" fontId="11" fillId="11" borderId="1" xfId="0" applyNumberFormat="1" applyFont="1" applyFill="1" applyBorder="1" applyAlignment="1">
      <alignment horizontal="right" vertical="center"/>
    </xf>
    <xf numFmtId="3" fontId="21" fillId="10" borderId="45" xfId="0" applyNumberFormat="1" applyFont="1" applyFill="1" applyBorder="1" applyAlignment="1">
      <alignment horizontal="center" vertical="center"/>
    </xf>
    <xf numFmtId="0" fontId="32" fillId="7" borderId="8" xfId="0" applyFont="1" applyFill="1" applyBorder="1" applyAlignment="1">
      <alignment horizontal="center" vertical="center"/>
    </xf>
    <xf numFmtId="0" fontId="15" fillId="7" borderId="4" xfId="0" applyFont="1" applyFill="1" applyBorder="1" applyAlignment="1">
      <alignment vertical="center"/>
    </xf>
    <xf numFmtId="0" fontId="15" fillId="7" borderId="5" xfId="0" applyFont="1" applyFill="1" applyBorder="1" applyAlignment="1">
      <alignment horizontal="left" vertical="center"/>
    </xf>
    <xf numFmtId="165" fontId="15" fillId="7" borderId="7" xfId="0" quotePrefix="1" applyNumberFormat="1" applyFont="1" applyFill="1" applyBorder="1" applyAlignment="1">
      <alignment horizontal="right" vertical="center"/>
    </xf>
    <xf numFmtId="165" fontId="15" fillId="7" borderId="7" xfId="0" quotePrefix="1" applyNumberFormat="1" applyFont="1" applyFill="1" applyBorder="1" applyAlignment="1">
      <alignment horizontal="left" vertical="center"/>
    </xf>
    <xf numFmtId="3" fontId="1" fillId="2" borderId="0" xfId="0" applyNumberFormat="1" applyFont="1" applyFill="1"/>
    <xf numFmtId="3" fontId="21" fillId="6" borderId="0" xfId="0" applyNumberFormat="1" applyFont="1" applyFill="1"/>
    <xf numFmtId="3" fontId="16" fillId="9" borderId="0" xfId="0" applyNumberFormat="1" applyFont="1" applyFill="1" applyAlignment="1">
      <alignment horizontal="right"/>
    </xf>
    <xf numFmtId="164" fontId="24" fillId="9" borderId="5" xfId="0" applyNumberFormat="1" applyFont="1" applyFill="1" applyBorder="1" applyAlignment="1">
      <alignment horizontal="left" vertical="center"/>
    </xf>
    <xf numFmtId="164" fontId="24" fillId="9" borderId="10" xfId="0" applyNumberFormat="1" applyFont="1" applyFill="1" applyBorder="1" applyAlignment="1">
      <alignment horizontal="left" vertical="center"/>
    </xf>
    <xf numFmtId="164" fontId="13" fillId="6" borderId="0" xfId="0" applyNumberFormat="1" applyFont="1" applyFill="1" applyAlignment="1">
      <alignment horizontal="center" vertical="center"/>
    </xf>
    <xf numFmtId="164" fontId="16" fillId="6" borderId="5" xfId="0" applyNumberFormat="1" applyFont="1" applyFill="1" applyBorder="1" applyAlignment="1">
      <alignment horizontal="center"/>
    </xf>
    <xf numFmtId="164" fontId="23" fillId="6" borderId="5" xfId="0" applyNumberFormat="1" applyFont="1" applyFill="1" applyBorder="1" applyAlignment="1">
      <alignment horizontal="center"/>
    </xf>
    <xf numFmtId="0" fontId="15" fillId="0" borderId="4" xfId="0" applyFont="1" applyBorder="1" applyAlignment="1">
      <alignment vertical="center" wrapText="1"/>
    </xf>
    <xf numFmtId="0" fontId="15" fillId="0" borderId="4" xfId="0" applyFont="1" applyBorder="1" applyAlignment="1">
      <alignment horizontal="center" vertical="center"/>
    </xf>
    <xf numFmtId="0" fontId="15" fillId="7" borderId="4" xfId="0" applyFont="1" applyFill="1" applyBorder="1" applyAlignment="1">
      <alignment horizontal="center" vertical="center"/>
    </xf>
    <xf numFmtId="164" fontId="24" fillId="9" borderId="0" xfId="0" applyNumberFormat="1" applyFont="1" applyFill="1" applyAlignment="1">
      <alignment horizontal="center" vertical="center"/>
    </xf>
    <xf numFmtId="0" fontId="26" fillId="9" borderId="0" xfId="0" applyFont="1" applyFill="1" applyAlignment="1">
      <alignment horizontal="center"/>
    </xf>
    <xf numFmtId="0" fontId="27" fillId="9" borderId="0" xfId="0" applyFont="1" applyFill="1" applyAlignment="1">
      <alignment horizontal="center"/>
    </xf>
    <xf numFmtId="0" fontId="15" fillId="7" borderId="4" xfId="0" quotePrefix="1" applyFont="1" applyFill="1" applyBorder="1" applyAlignment="1">
      <alignment horizontal="center" vertical="center"/>
    </xf>
    <xf numFmtId="164" fontId="9" fillId="11" borderId="10" xfId="0" applyNumberFormat="1" applyFont="1" applyFill="1" applyBorder="1" applyAlignment="1">
      <alignment horizontal="center" vertical="center"/>
    </xf>
    <xf numFmtId="164" fontId="9" fillId="11" borderId="5" xfId="0" applyNumberFormat="1" applyFont="1" applyFill="1" applyBorder="1" applyAlignment="1">
      <alignment horizontal="center" vertical="center"/>
    </xf>
    <xf numFmtId="9" fontId="9" fillId="11" borderId="10" xfId="0" applyNumberFormat="1" applyFont="1" applyFill="1" applyBorder="1" applyAlignment="1">
      <alignment horizontal="center" vertical="center"/>
    </xf>
    <xf numFmtId="3" fontId="45" fillId="9" borderId="0" xfId="0" applyNumberFormat="1" applyFont="1" applyFill="1" applyAlignment="1">
      <alignment horizontal="right"/>
    </xf>
    <xf numFmtId="0" fontId="0" fillId="0" borderId="0" xfId="0" applyAlignment="1">
      <alignment horizontal="right"/>
    </xf>
    <xf numFmtId="0" fontId="1" fillId="0" borderId="0" xfId="0" applyFont="1" applyAlignment="1">
      <alignment horizontal="right"/>
    </xf>
    <xf numFmtId="3" fontId="16" fillId="6" borderId="5" xfId="0" applyNumberFormat="1" applyFont="1" applyFill="1" applyBorder="1" applyAlignment="1">
      <alignment horizontal="center"/>
    </xf>
    <xf numFmtId="3" fontId="23" fillId="6" borderId="5" xfId="0" applyNumberFormat="1" applyFont="1" applyFill="1" applyBorder="1" applyAlignment="1">
      <alignment horizontal="center"/>
    </xf>
    <xf numFmtId="3" fontId="47" fillId="9" borderId="0" xfId="0" applyNumberFormat="1" applyFont="1" applyFill="1" applyAlignment="1">
      <alignment horizontal="right"/>
    </xf>
    <xf numFmtId="2" fontId="46" fillId="12" borderId="33" xfId="0" applyNumberFormat="1" applyFont="1" applyFill="1" applyBorder="1"/>
    <xf numFmtId="2" fontId="49" fillId="12" borderId="0" xfId="0" applyNumberFormat="1" applyFont="1" applyFill="1"/>
    <xf numFmtId="2" fontId="46" fillId="13" borderId="0" xfId="0" applyNumberFormat="1" applyFont="1" applyFill="1"/>
    <xf numFmtId="2" fontId="49" fillId="13" borderId="0" xfId="0" applyNumberFormat="1" applyFont="1" applyFill="1"/>
    <xf numFmtId="2" fontId="46" fillId="14" borderId="0" xfId="0" applyNumberFormat="1" applyFont="1" applyFill="1"/>
    <xf numFmtId="2" fontId="49" fillId="14" borderId="0" xfId="0" applyNumberFormat="1" applyFont="1" applyFill="1"/>
    <xf numFmtId="2" fontId="1" fillId="15" borderId="0" xfId="0" applyNumberFormat="1" applyFont="1" applyFill="1"/>
    <xf numFmtId="2" fontId="6" fillId="15" borderId="34" xfId="0" applyNumberFormat="1" applyFont="1" applyFill="1" applyBorder="1"/>
    <xf numFmtId="165" fontId="15" fillId="7" borderId="11" xfId="0" quotePrefix="1" applyNumberFormat="1" applyFont="1" applyFill="1" applyBorder="1" applyAlignment="1">
      <alignment horizontal="left" vertical="center"/>
    </xf>
    <xf numFmtId="0" fontId="32" fillId="7" borderId="50" xfId="0" applyFont="1" applyFill="1" applyBorder="1" applyAlignment="1">
      <alignment horizontal="center" vertical="center"/>
    </xf>
    <xf numFmtId="3" fontId="10" fillId="11" borderId="51" xfId="0" applyNumberFormat="1" applyFont="1" applyFill="1" applyBorder="1" applyAlignment="1">
      <alignment horizontal="center" vertical="center"/>
    </xf>
    <xf numFmtId="3" fontId="48" fillId="9" borderId="0" xfId="0" applyNumberFormat="1" applyFont="1" applyFill="1" applyAlignment="1">
      <alignment horizontal="right"/>
    </xf>
    <xf numFmtId="0" fontId="15" fillId="9" borderId="52" xfId="0" applyFont="1" applyFill="1" applyBorder="1"/>
    <xf numFmtId="0" fontId="10" fillId="9" borderId="31" xfId="0" applyFont="1" applyFill="1" applyBorder="1"/>
    <xf numFmtId="0" fontId="24" fillId="9" borderId="0" xfId="0" applyFont="1" applyFill="1" applyAlignment="1">
      <alignment wrapText="1"/>
    </xf>
    <xf numFmtId="0" fontId="24" fillId="9" borderId="0" xfId="0" applyFont="1" applyFill="1" applyAlignment="1">
      <alignment horizontal="center" wrapText="1"/>
    </xf>
    <xf numFmtId="0" fontId="24" fillId="9" borderId="0" xfId="0" applyFont="1" applyFill="1" applyAlignment="1">
      <alignment horizontal="center"/>
    </xf>
    <xf numFmtId="0" fontId="24" fillId="9" borderId="0" xfId="0" applyFont="1" applyFill="1"/>
    <xf numFmtId="4" fontId="52" fillId="9" borderId="37" xfId="0" applyNumberFormat="1" applyFont="1" applyFill="1" applyBorder="1" applyAlignment="1">
      <alignment vertical="center" wrapText="1"/>
    </xf>
    <xf numFmtId="0" fontId="53" fillId="9" borderId="0" xfId="0" applyFont="1" applyFill="1" applyAlignment="1">
      <alignment horizontal="center"/>
    </xf>
    <xf numFmtId="0" fontId="40" fillId="9" borderId="0" xfId="0" applyFont="1" applyFill="1" applyAlignment="1">
      <alignment horizontal="center" vertical="center" wrapText="1"/>
    </xf>
    <xf numFmtId="4" fontId="51" fillId="9" borderId="0" xfId="0" applyNumberFormat="1" applyFont="1" applyFill="1" applyAlignment="1">
      <alignment horizontal="center" vertical="center" wrapText="1"/>
    </xf>
    <xf numFmtId="171" fontId="23" fillId="6" borderId="27" xfId="0" applyNumberFormat="1" applyFont="1" applyFill="1" applyBorder="1" applyAlignment="1">
      <alignment horizontal="center" vertical="center"/>
    </xf>
    <xf numFmtId="3" fontId="23" fillId="6" borderId="7" xfId="0" applyNumberFormat="1" applyFont="1" applyFill="1" applyBorder="1" applyAlignment="1">
      <alignment horizontal="center" vertical="center"/>
    </xf>
    <xf numFmtId="0" fontId="24" fillId="6" borderId="0" xfId="0" applyFont="1" applyFill="1" applyAlignment="1">
      <alignment horizontal="left"/>
    </xf>
    <xf numFmtId="0" fontId="24" fillId="6" borderId="0" xfId="0" applyFont="1" applyFill="1" applyAlignment="1">
      <alignment horizontal="left" vertical="center"/>
    </xf>
    <xf numFmtId="0" fontId="10" fillId="6" borderId="0" xfId="0" applyFont="1" applyFill="1" applyAlignment="1">
      <alignment horizontal="left"/>
    </xf>
    <xf numFmtId="0" fontId="16" fillId="6" borderId="0" xfId="0" applyFont="1" applyFill="1" applyAlignment="1">
      <alignment horizontal="left"/>
    </xf>
    <xf numFmtId="0" fontId="15" fillId="6" borderId="0" xfId="0" applyFont="1" applyFill="1" applyAlignment="1">
      <alignment horizontal="left"/>
    </xf>
    <xf numFmtId="164" fontId="54" fillId="6" borderId="5" xfId="0" applyNumberFormat="1" applyFont="1" applyFill="1" applyBorder="1" applyAlignment="1">
      <alignment vertical="center"/>
    </xf>
    <xf numFmtId="3" fontId="54" fillId="6" borderId="5" xfId="0" applyNumberFormat="1" applyFont="1" applyFill="1" applyBorder="1" applyAlignment="1">
      <alignment vertical="center"/>
    </xf>
    <xf numFmtId="0" fontId="21" fillId="9" borderId="0" xfId="0" applyFont="1" applyFill="1" applyAlignment="1">
      <alignment horizontal="center" vertical="center"/>
    </xf>
    <xf numFmtId="0" fontId="24" fillId="9" borderId="46" xfId="0" applyFont="1" applyFill="1" applyBorder="1" applyAlignment="1">
      <alignment wrapText="1"/>
    </xf>
    <xf numFmtId="3" fontId="16" fillId="6" borderId="0" xfId="0" applyNumberFormat="1" applyFont="1" applyFill="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left" vertical="center"/>
    </xf>
    <xf numFmtId="165" fontId="9" fillId="0" borderId="7" xfId="0" quotePrefix="1" applyNumberFormat="1" applyFont="1" applyBorder="1" applyAlignment="1">
      <alignment horizontal="right" vertical="center"/>
    </xf>
    <xf numFmtId="165" fontId="9" fillId="0" borderId="7" xfId="0" quotePrefix="1" applyNumberFormat="1" applyFont="1" applyBorder="1" applyAlignment="1">
      <alignment horizontal="left" vertical="center"/>
    </xf>
    <xf numFmtId="0" fontId="16" fillId="9" borderId="0" xfId="0" applyFont="1" applyFill="1" applyAlignment="1">
      <alignment horizontal="center"/>
    </xf>
    <xf numFmtId="0" fontId="23" fillId="9" borderId="41" xfId="0" applyFont="1" applyFill="1" applyBorder="1" applyAlignment="1">
      <alignment horizontal="center"/>
    </xf>
    <xf numFmtId="0" fontId="16" fillId="9" borderId="0" xfId="0" applyFont="1" applyFill="1" applyAlignment="1">
      <alignment horizontal="center" vertical="center" wrapText="1"/>
    </xf>
    <xf numFmtId="0" fontId="23" fillId="9" borderId="41" xfId="0" applyFont="1" applyFill="1" applyBorder="1" applyAlignment="1">
      <alignment horizontal="center" vertical="center" wrapText="1"/>
    </xf>
    <xf numFmtId="164" fontId="23" fillId="9" borderId="54" xfId="0" applyNumberFormat="1" applyFont="1" applyFill="1" applyBorder="1" applyAlignment="1">
      <alignment horizontal="right"/>
    </xf>
    <xf numFmtId="164" fontId="26" fillId="9" borderId="0" xfId="0" applyNumberFormat="1" applyFont="1" applyFill="1"/>
    <xf numFmtId="164" fontId="26" fillId="9" borderId="41" xfId="0" applyNumberFormat="1" applyFont="1" applyFill="1" applyBorder="1"/>
    <xf numFmtId="164" fontId="23" fillId="9" borderId="41" xfId="0" applyNumberFormat="1" applyFont="1" applyFill="1" applyBorder="1" applyAlignment="1">
      <alignment horizontal="right"/>
    </xf>
    <xf numFmtId="164" fontId="42" fillId="9" borderId="54" xfId="0" applyNumberFormat="1" applyFont="1" applyFill="1" applyBorder="1" applyAlignment="1">
      <alignment horizontal="right"/>
    </xf>
    <xf numFmtId="3" fontId="23" fillId="9" borderId="54" xfId="0" applyNumberFormat="1" applyFont="1" applyFill="1" applyBorder="1" applyAlignment="1">
      <alignment horizontal="right"/>
    </xf>
    <xf numFmtId="0" fontId="26" fillId="9" borderId="41" xfId="0" applyFont="1" applyFill="1" applyBorder="1"/>
    <xf numFmtId="3" fontId="16" fillId="9" borderId="46" xfId="0" applyNumberFormat="1" applyFont="1" applyFill="1" applyBorder="1" applyAlignment="1">
      <alignment horizontal="right"/>
    </xf>
    <xf numFmtId="3" fontId="23" fillId="9" borderId="47" xfId="0" applyNumberFormat="1" applyFont="1" applyFill="1" applyBorder="1" applyAlignment="1">
      <alignment horizontal="right"/>
    </xf>
    <xf numFmtId="0" fontId="16" fillId="9" borderId="54" xfId="0" applyFont="1" applyFill="1" applyBorder="1" applyAlignment="1">
      <alignment horizontal="center"/>
    </xf>
    <xf numFmtId="0" fontId="16" fillId="9" borderId="54" xfId="0" applyFont="1" applyFill="1" applyBorder="1" applyAlignment="1">
      <alignment horizontal="center" vertical="center" wrapText="1"/>
    </xf>
    <xf numFmtId="164" fontId="26" fillId="9" borderId="54" xfId="0" applyNumberFormat="1" applyFont="1" applyFill="1" applyBorder="1" applyAlignment="1">
      <alignment horizontal="right"/>
    </xf>
    <xf numFmtId="164" fontId="26" fillId="9" borderId="41" xfId="0" applyNumberFormat="1" applyFont="1" applyFill="1" applyBorder="1" applyAlignment="1">
      <alignment horizontal="right"/>
    </xf>
    <xf numFmtId="164" fontId="16" fillId="9" borderId="54" xfId="0" applyNumberFormat="1" applyFont="1" applyFill="1" applyBorder="1" applyAlignment="1">
      <alignment horizontal="right"/>
    </xf>
    <xf numFmtId="164" fontId="35" fillId="9" borderId="54" xfId="0" applyNumberFormat="1" applyFont="1" applyFill="1" applyBorder="1"/>
    <xf numFmtId="164" fontId="39" fillId="9" borderId="41" xfId="0" applyNumberFormat="1" applyFont="1" applyFill="1" applyBorder="1"/>
    <xf numFmtId="3" fontId="23" fillId="9" borderId="41" xfId="0" applyNumberFormat="1" applyFont="1" applyFill="1" applyBorder="1" applyAlignment="1">
      <alignment horizontal="right"/>
    </xf>
    <xf numFmtId="3" fontId="16" fillId="9" borderId="61" xfId="0" applyNumberFormat="1" applyFont="1" applyFill="1" applyBorder="1" applyAlignment="1">
      <alignment horizontal="right"/>
    </xf>
    <xf numFmtId="164" fontId="47" fillId="9" borderId="54" xfId="0" applyNumberFormat="1" applyFont="1" applyFill="1" applyBorder="1"/>
    <xf numFmtId="165" fontId="15" fillId="0" borderId="7" xfId="0" applyNumberFormat="1" applyFont="1" applyBorder="1" applyAlignment="1">
      <alignment horizontal="left" vertical="center"/>
    </xf>
    <xf numFmtId="3" fontId="47" fillId="6" borderId="0" xfId="0" applyNumberFormat="1" applyFont="1" applyFill="1" applyAlignment="1">
      <alignment horizontal="right"/>
    </xf>
    <xf numFmtId="165" fontId="16" fillId="6" borderId="0" xfId="0" applyNumberFormat="1" applyFont="1" applyFill="1" applyAlignment="1">
      <alignment horizontal="right"/>
    </xf>
    <xf numFmtId="0" fontId="15" fillId="9" borderId="4" xfId="0" applyFont="1" applyFill="1" applyBorder="1" applyAlignment="1">
      <alignment vertical="center"/>
    </xf>
    <xf numFmtId="164" fontId="48" fillId="9" borderId="0" xfId="0" applyNumberFormat="1" applyFont="1" applyFill="1"/>
    <xf numFmtId="0" fontId="35" fillId="9" borderId="54" xfId="0" applyFont="1" applyFill="1" applyBorder="1" applyAlignment="1">
      <alignment horizontal="center" vertical="center"/>
    </xf>
    <xf numFmtId="164" fontId="35" fillId="9" borderId="54" xfId="0" applyNumberFormat="1" applyFont="1" applyFill="1" applyBorder="1" applyAlignment="1">
      <alignment horizontal="right" vertical="center"/>
    </xf>
    <xf numFmtId="3" fontId="35" fillId="9" borderId="61" xfId="0" applyNumberFormat="1" applyFont="1" applyFill="1" applyBorder="1" applyAlignment="1">
      <alignment horizontal="right" vertical="center"/>
    </xf>
    <xf numFmtId="0" fontId="21" fillId="10" borderId="3" xfId="0" applyFont="1" applyFill="1" applyBorder="1" applyAlignment="1">
      <alignment horizontal="center" vertical="center" wrapText="1"/>
    </xf>
    <xf numFmtId="0" fontId="51" fillId="10" borderId="4" xfId="0" applyFont="1" applyFill="1" applyBorder="1" applyAlignment="1">
      <alignment horizontal="center" vertical="center"/>
    </xf>
    <xf numFmtId="0" fontId="51" fillId="10" borderId="5" xfId="0" applyFont="1" applyFill="1" applyBorder="1" applyAlignment="1">
      <alignment horizontal="center" vertical="center"/>
    </xf>
    <xf numFmtId="164" fontId="51" fillId="10" borderId="4" xfId="0" applyNumberFormat="1" applyFont="1" applyFill="1" applyBorder="1" applyAlignment="1">
      <alignment horizontal="center" vertical="center"/>
    </xf>
    <xf numFmtId="164" fontId="51" fillId="10" borderId="5" xfId="0" applyNumberFormat="1" applyFont="1" applyFill="1" applyBorder="1" applyAlignment="1">
      <alignment horizontal="center" vertical="center"/>
    </xf>
    <xf numFmtId="164" fontId="51" fillId="10" borderId="6" xfId="0" applyNumberFormat="1" applyFont="1" applyFill="1" applyBorder="1" applyAlignment="1">
      <alignment horizontal="center" vertical="center"/>
    </xf>
    <xf numFmtId="3" fontId="66" fillId="9" borderId="46" xfId="0" applyNumberFormat="1" applyFont="1" applyFill="1" applyBorder="1" applyAlignment="1">
      <alignment horizontal="right" vertical="center"/>
    </xf>
    <xf numFmtId="0" fontId="46" fillId="18" borderId="62" xfId="0" applyFont="1" applyFill="1" applyBorder="1"/>
    <xf numFmtId="0" fontId="0" fillId="0" borderId="0" xfId="0" applyAlignment="1">
      <alignment horizontal="center"/>
    </xf>
    <xf numFmtId="2" fontId="49" fillId="12" borderId="0" xfId="0" applyNumberFormat="1" applyFont="1" applyFill="1" applyAlignment="1">
      <alignment horizontal="center"/>
    </xf>
    <xf numFmtId="2" fontId="46" fillId="12" borderId="0" xfId="0" applyNumberFormat="1" applyFont="1" applyFill="1" applyAlignment="1">
      <alignment horizontal="center"/>
    </xf>
    <xf numFmtId="2" fontId="46" fillId="13" borderId="0" xfId="0" applyNumberFormat="1" applyFont="1" applyFill="1" applyAlignment="1">
      <alignment horizontal="center"/>
    </xf>
    <xf numFmtId="2" fontId="46" fillId="14" borderId="0" xfId="0" applyNumberFormat="1" applyFont="1" applyFill="1" applyAlignment="1">
      <alignment horizontal="center"/>
    </xf>
    <xf numFmtId="2" fontId="49" fillId="14" borderId="0" xfId="0" applyNumberFormat="1" applyFont="1" applyFill="1" applyAlignment="1">
      <alignment horizontal="center"/>
    </xf>
    <xf numFmtId="2" fontId="1" fillId="15" borderId="0" xfId="0" applyNumberFormat="1" applyFont="1" applyFill="1" applyAlignment="1">
      <alignment horizontal="center"/>
    </xf>
    <xf numFmtId="2" fontId="6" fillId="15" borderId="34" xfId="0" applyNumberFormat="1" applyFont="1" applyFill="1" applyBorder="1" applyAlignment="1">
      <alignment horizontal="center"/>
    </xf>
    <xf numFmtId="2" fontId="49" fillId="12" borderId="34" xfId="0" applyNumberFormat="1" applyFont="1" applyFill="1" applyBorder="1" applyAlignment="1">
      <alignment horizontal="center"/>
    </xf>
    <xf numFmtId="2" fontId="49" fillId="13" borderId="34" xfId="0" applyNumberFormat="1" applyFont="1" applyFill="1" applyBorder="1" applyAlignment="1">
      <alignment horizontal="center"/>
    </xf>
    <xf numFmtId="2" fontId="46" fillId="16" borderId="0" xfId="0" applyNumberFormat="1" applyFont="1" applyFill="1" applyAlignment="1">
      <alignment horizontal="center"/>
    </xf>
    <xf numFmtId="2" fontId="49" fillId="16" borderId="34" xfId="0" applyNumberFormat="1" applyFont="1" applyFill="1" applyBorder="1" applyAlignment="1">
      <alignment horizontal="center"/>
    </xf>
    <xf numFmtId="2" fontId="1" fillId="0" borderId="0" xfId="0" applyNumberFormat="1" applyFont="1" applyAlignment="1">
      <alignment horizontal="center"/>
    </xf>
    <xf numFmtId="2" fontId="6" fillId="0" borderId="0" xfId="0" applyNumberFormat="1" applyFont="1" applyAlignment="1">
      <alignment horizontal="center"/>
    </xf>
    <xf numFmtId="2" fontId="3" fillId="0" borderId="0" xfId="0" applyNumberFormat="1" applyFont="1" applyAlignment="1">
      <alignment horizontal="center"/>
    </xf>
    <xf numFmtId="2" fontId="20" fillId="0" borderId="0" xfId="0" applyNumberFormat="1" applyFont="1" applyAlignment="1">
      <alignment horizontal="center"/>
    </xf>
    <xf numFmtId="2" fontId="46" fillId="13" borderId="5" xfId="0" applyNumberFormat="1" applyFont="1" applyFill="1" applyBorder="1" applyAlignment="1">
      <alignment horizontal="center"/>
    </xf>
    <xf numFmtId="2" fontId="67" fillId="13" borderId="5" xfId="0" applyNumberFormat="1" applyFont="1" applyFill="1" applyBorder="1" applyAlignment="1">
      <alignment horizontal="center"/>
    </xf>
    <xf numFmtId="2" fontId="0" fillId="0" borderId="0" xfId="0" applyNumberFormat="1"/>
    <xf numFmtId="2" fontId="46" fillId="13" borderId="2" xfId="0" applyNumberFormat="1" applyFont="1" applyFill="1" applyBorder="1" applyAlignment="1">
      <alignment horizontal="center"/>
    </xf>
    <xf numFmtId="2" fontId="67" fillId="13" borderId="2" xfId="0" applyNumberFormat="1" applyFont="1" applyFill="1" applyBorder="1" applyAlignment="1">
      <alignment horizontal="center"/>
    </xf>
    <xf numFmtId="0" fontId="1" fillId="0" borderId="0" xfId="0" applyFont="1" applyAlignment="1">
      <alignment horizontal="left"/>
    </xf>
    <xf numFmtId="164" fontId="24" fillId="9" borderId="24" xfId="0" applyNumberFormat="1" applyFont="1" applyFill="1" applyBorder="1" applyAlignment="1">
      <alignment vertical="center"/>
    </xf>
    <xf numFmtId="164" fontId="24" fillId="9" borderId="24" xfId="0" applyNumberFormat="1" applyFont="1" applyFill="1" applyBorder="1" applyAlignment="1">
      <alignment horizontal="center" vertical="center"/>
    </xf>
    <xf numFmtId="164" fontId="15" fillId="9" borderId="24" xfId="0" applyNumberFormat="1" applyFont="1" applyFill="1" applyBorder="1" applyAlignment="1">
      <alignment horizontal="center" vertical="center"/>
    </xf>
    <xf numFmtId="165" fontId="69" fillId="0" borderId="7" xfId="0" quotePrefix="1" applyNumberFormat="1" applyFont="1" applyBorder="1" applyAlignment="1">
      <alignment horizontal="right" vertical="center"/>
    </xf>
    <xf numFmtId="165" fontId="70" fillId="0" borderId="7" xfId="0" quotePrefix="1" applyNumberFormat="1" applyFont="1" applyBorder="1" applyAlignment="1">
      <alignment horizontal="right" vertical="center"/>
    </xf>
    <xf numFmtId="165" fontId="69" fillId="7" borderId="7" xfId="0" quotePrefix="1" applyNumberFormat="1" applyFont="1" applyFill="1" applyBorder="1" applyAlignment="1">
      <alignment horizontal="right" vertical="center"/>
    </xf>
    <xf numFmtId="165" fontId="71" fillId="11" borderId="25" xfId="0" applyNumberFormat="1" applyFont="1" applyFill="1" applyBorder="1" applyAlignment="1">
      <alignment horizontal="right" vertical="center"/>
    </xf>
    <xf numFmtId="165" fontId="25" fillId="10" borderId="7" xfId="0" applyNumberFormat="1" applyFont="1" applyFill="1" applyBorder="1" applyAlignment="1">
      <alignment horizontal="center" vertical="center" wrapText="1"/>
    </xf>
    <xf numFmtId="0" fontId="72" fillId="0" borderId="5" xfId="0" applyFont="1" applyBorder="1" applyAlignment="1">
      <alignment horizontal="center" vertical="center"/>
    </xf>
    <xf numFmtId="0" fontId="64" fillId="0" borderId="5" xfId="0" applyFont="1" applyBorder="1" applyAlignment="1">
      <alignment horizontal="center" vertical="center"/>
    </xf>
    <xf numFmtId="0" fontId="72" fillId="7" borderId="5" xfId="0" applyFont="1" applyFill="1" applyBorder="1" applyAlignment="1">
      <alignment horizontal="center" vertical="center"/>
    </xf>
    <xf numFmtId="3" fontId="21" fillId="6" borderId="23" xfId="0" applyNumberFormat="1" applyFont="1" applyFill="1" applyBorder="1" applyAlignment="1">
      <alignment vertical="center"/>
    </xf>
    <xf numFmtId="167" fontId="1" fillId="19" borderId="42" xfId="0" applyNumberFormat="1" applyFont="1" applyFill="1" applyBorder="1"/>
    <xf numFmtId="167" fontId="1" fillId="0" borderId="42" xfId="0" applyNumberFormat="1" applyFont="1" applyBorder="1"/>
    <xf numFmtId="167" fontId="3" fillId="0" borderId="42" xfId="0" applyNumberFormat="1" applyFont="1" applyBorder="1"/>
    <xf numFmtId="167" fontId="3" fillId="19" borderId="42" xfId="0" applyNumberFormat="1" applyFont="1" applyFill="1" applyBorder="1"/>
    <xf numFmtId="2" fontId="46" fillId="12" borderId="63" xfId="0" applyNumberFormat="1" applyFont="1" applyFill="1" applyBorder="1"/>
    <xf numFmtId="2" fontId="68" fillId="12" borderId="42" xfId="0" applyNumberFormat="1" applyFont="1" applyFill="1" applyBorder="1"/>
    <xf numFmtId="3" fontId="46" fillId="18" borderId="42" xfId="0" applyNumberFormat="1" applyFont="1" applyFill="1" applyBorder="1"/>
    <xf numFmtId="2" fontId="46" fillId="14" borderId="42" xfId="0" applyNumberFormat="1" applyFont="1" applyFill="1" applyBorder="1"/>
    <xf numFmtId="2" fontId="68" fillId="14" borderId="42" xfId="0" applyNumberFormat="1" applyFont="1" applyFill="1" applyBorder="1"/>
    <xf numFmtId="2" fontId="46" fillId="13" borderId="42" xfId="0" applyNumberFormat="1" applyFont="1" applyFill="1" applyBorder="1"/>
    <xf numFmtId="2" fontId="68" fillId="13" borderId="42" xfId="0" applyNumberFormat="1" applyFont="1" applyFill="1" applyBorder="1"/>
    <xf numFmtId="2" fontId="46" fillId="15" borderId="42" xfId="0" applyNumberFormat="1" applyFont="1" applyFill="1" applyBorder="1"/>
    <xf numFmtId="2" fontId="68" fillId="15" borderId="64" xfId="0" applyNumberFormat="1" applyFont="1" applyFill="1" applyBorder="1"/>
    <xf numFmtId="2" fontId="68" fillId="15" borderId="42" xfId="0" applyNumberFormat="1" applyFont="1" applyFill="1" applyBorder="1"/>
    <xf numFmtId="0" fontId="46" fillId="18" borderId="42" xfId="0" applyFont="1" applyFill="1" applyBorder="1"/>
    <xf numFmtId="0" fontId="1" fillId="0" borderId="62" xfId="0" applyFont="1" applyBorder="1"/>
    <xf numFmtId="0" fontId="1" fillId="19" borderId="62" xfId="0" applyFont="1" applyFill="1" applyBorder="1"/>
    <xf numFmtId="0" fontId="21" fillId="6" borderId="2" xfId="0" applyFont="1" applyFill="1" applyBorder="1" applyAlignment="1">
      <alignment horizontal="center"/>
    </xf>
    <xf numFmtId="168" fontId="26" fillId="6" borderId="23" xfId="0" applyNumberFormat="1" applyFont="1" applyFill="1" applyBorder="1" applyAlignment="1">
      <alignment horizontal="right" vertical="center"/>
    </xf>
    <xf numFmtId="172" fontId="26" fillId="6" borderId="25" xfId="0" applyNumberFormat="1" applyFont="1" applyFill="1" applyBorder="1" applyAlignment="1">
      <alignment horizontal="center" vertical="center"/>
    </xf>
    <xf numFmtId="168" fontId="27" fillId="6" borderId="23" xfId="0" applyNumberFormat="1" applyFont="1" applyFill="1" applyBorder="1" applyAlignment="1">
      <alignment vertical="center"/>
    </xf>
    <xf numFmtId="172" fontId="27" fillId="6" borderId="25" xfId="0" applyNumberFormat="1" applyFont="1" applyFill="1" applyBorder="1" applyAlignment="1">
      <alignment horizontal="center" vertical="center"/>
    </xf>
    <xf numFmtId="164" fontId="27" fillId="6" borderId="1" xfId="0" applyNumberFormat="1" applyFont="1" applyFill="1" applyBorder="1" applyAlignment="1">
      <alignment vertical="center"/>
    </xf>
    <xf numFmtId="164" fontId="16" fillId="6" borderId="24" xfId="0" applyNumberFormat="1" applyFont="1" applyFill="1" applyBorder="1" applyAlignment="1">
      <alignment vertical="center"/>
    </xf>
    <xf numFmtId="0" fontId="16" fillId="6" borderId="24" xfId="0" applyFont="1" applyFill="1" applyBorder="1" applyAlignment="1">
      <alignment vertical="center"/>
    </xf>
    <xf numFmtId="3" fontId="16" fillId="6" borderId="24" xfId="0" applyNumberFormat="1" applyFont="1" applyFill="1" applyBorder="1" applyAlignment="1">
      <alignment vertical="center"/>
    </xf>
    <xf numFmtId="164" fontId="23" fillId="6" borderId="24" xfId="0" applyNumberFormat="1" applyFont="1" applyFill="1" applyBorder="1" applyAlignment="1">
      <alignment vertical="center"/>
    </xf>
    <xf numFmtId="0" fontId="21" fillId="9" borderId="41" xfId="0" applyFont="1" applyFill="1" applyBorder="1" applyAlignment="1">
      <alignment horizontal="center"/>
    </xf>
    <xf numFmtId="164" fontId="47" fillId="9" borderId="41" xfId="0" applyNumberFormat="1" applyFont="1" applyFill="1" applyBorder="1"/>
    <xf numFmtId="0" fontId="61" fillId="9" borderId="41" xfId="0" applyFont="1" applyFill="1" applyBorder="1" applyAlignment="1">
      <alignment horizontal="center" vertical="center"/>
    </xf>
    <xf numFmtId="164" fontId="61" fillId="9" borderId="41" xfId="0" applyNumberFormat="1" applyFont="1" applyFill="1" applyBorder="1" applyAlignment="1">
      <alignment horizontal="right" vertical="center"/>
    </xf>
    <xf numFmtId="3" fontId="61" fillId="9" borderId="47" xfId="0" applyNumberFormat="1" applyFont="1" applyFill="1" applyBorder="1" applyAlignment="1">
      <alignment horizontal="right" vertical="center"/>
    </xf>
    <xf numFmtId="0" fontId="75" fillId="9" borderId="54" xfId="0" applyFont="1" applyFill="1" applyBorder="1" applyAlignment="1">
      <alignment horizontal="center"/>
    </xf>
    <xf numFmtId="0" fontId="75" fillId="9" borderId="54" xfId="0" applyFont="1" applyFill="1" applyBorder="1" applyAlignment="1">
      <alignment horizontal="center" vertical="center" wrapText="1"/>
    </xf>
    <xf numFmtId="0" fontId="47" fillId="9" borderId="54" xfId="0" applyFont="1" applyFill="1" applyBorder="1" applyAlignment="1">
      <alignment horizontal="center"/>
    </xf>
    <xf numFmtId="0" fontId="47" fillId="9" borderId="54" xfId="0" applyFont="1" applyFill="1" applyBorder="1" applyAlignment="1">
      <alignment horizontal="center" vertical="center" wrapText="1"/>
    </xf>
    <xf numFmtId="164" fontId="21" fillId="9" borderId="0" xfId="0" applyNumberFormat="1" applyFont="1" applyFill="1"/>
    <xf numFmtId="3" fontId="47" fillId="9" borderId="61" xfId="0" applyNumberFormat="1" applyFont="1" applyFill="1" applyBorder="1" applyAlignment="1">
      <alignment horizontal="right"/>
    </xf>
    <xf numFmtId="3" fontId="48" fillId="9" borderId="46" xfId="0" applyNumberFormat="1" applyFont="1" applyFill="1" applyBorder="1" applyAlignment="1">
      <alignment horizontal="right"/>
    </xf>
    <xf numFmtId="3" fontId="21" fillId="9" borderId="46" xfId="0" applyNumberFormat="1" applyFont="1" applyFill="1" applyBorder="1" applyAlignment="1">
      <alignment horizontal="right"/>
    </xf>
    <xf numFmtId="0" fontId="77" fillId="9" borderId="54" xfId="0" applyFont="1" applyFill="1" applyBorder="1" applyAlignment="1">
      <alignment horizontal="center"/>
    </xf>
    <xf numFmtId="0" fontId="77" fillId="9" borderId="54" xfId="0" applyFont="1" applyFill="1" applyBorder="1" applyAlignment="1">
      <alignment horizontal="center" vertical="center" wrapText="1"/>
    </xf>
    <xf numFmtId="164" fontId="77" fillId="9" borderId="54" xfId="0" applyNumberFormat="1" applyFont="1" applyFill="1" applyBorder="1"/>
    <xf numFmtId="3" fontId="77" fillId="9" borderId="61" xfId="0" applyNumberFormat="1" applyFont="1" applyFill="1" applyBorder="1" applyAlignment="1">
      <alignment horizontal="right"/>
    </xf>
    <xf numFmtId="167" fontId="1" fillId="19" borderId="65" xfId="0" applyNumberFormat="1" applyFont="1" applyFill="1" applyBorder="1"/>
    <xf numFmtId="167" fontId="1" fillId="19" borderId="66" xfId="0" applyNumberFormat="1" applyFont="1" applyFill="1" applyBorder="1"/>
    <xf numFmtId="167" fontId="1" fillId="0" borderId="1" xfId="0" applyNumberFormat="1" applyFont="1" applyBorder="1"/>
    <xf numFmtId="167" fontId="1" fillId="0" borderId="65" xfId="0" applyNumberFormat="1" applyFont="1" applyBorder="1"/>
    <xf numFmtId="167" fontId="1" fillId="0" borderId="66" xfId="0" applyNumberFormat="1" applyFont="1" applyBorder="1"/>
    <xf numFmtId="167" fontId="1" fillId="19" borderId="1" xfId="0" applyNumberFormat="1" applyFont="1" applyFill="1" applyBorder="1"/>
    <xf numFmtId="167" fontId="3" fillId="0" borderId="66" xfId="0" applyNumberFormat="1" applyFont="1" applyBorder="1"/>
    <xf numFmtId="167" fontId="3" fillId="19" borderId="66" xfId="0" applyNumberFormat="1" applyFont="1" applyFill="1" applyBorder="1"/>
    <xf numFmtId="167" fontId="3" fillId="0" borderId="1" xfId="0" applyNumberFormat="1" applyFont="1" applyBorder="1"/>
    <xf numFmtId="167" fontId="3" fillId="0" borderId="65" xfId="0" applyNumberFormat="1" applyFont="1" applyBorder="1"/>
    <xf numFmtId="167" fontId="3" fillId="19" borderId="1" xfId="0" applyNumberFormat="1" applyFont="1" applyFill="1" applyBorder="1"/>
    <xf numFmtId="167" fontId="3" fillId="19" borderId="65" xfId="0" applyNumberFormat="1" applyFont="1" applyFill="1" applyBorder="1"/>
    <xf numFmtId="167" fontId="76" fillId="0" borderId="0" xfId="0" applyNumberFormat="1" applyFont="1"/>
    <xf numFmtId="167" fontId="76" fillId="0" borderId="1" xfId="0" applyNumberFormat="1" applyFont="1" applyBorder="1"/>
    <xf numFmtId="167" fontId="76" fillId="0" borderId="42" xfId="0" applyNumberFormat="1" applyFont="1" applyBorder="1"/>
    <xf numFmtId="167" fontId="76" fillId="0" borderId="65" xfId="0" applyNumberFormat="1" applyFont="1" applyBorder="1"/>
    <xf numFmtId="167" fontId="76" fillId="19" borderId="42" xfId="0" applyNumberFormat="1" applyFont="1" applyFill="1" applyBorder="1"/>
    <xf numFmtId="0" fontId="1" fillId="0" borderId="0" xfId="0" applyFont="1" applyAlignment="1">
      <alignment horizontal="center"/>
    </xf>
    <xf numFmtId="0" fontId="48" fillId="9" borderId="0" xfId="0" applyFont="1" applyFill="1" applyAlignment="1">
      <alignment horizontal="center"/>
    </xf>
    <xf numFmtId="0" fontId="48" fillId="9" borderId="0" xfId="0" applyFont="1" applyFill="1" applyAlignment="1">
      <alignment horizontal="center" vertical="center" wrapText="1"/>
    </xf>
    <xf numFmtId="0" fontId="78" fillId="9" borderId="41" xfId="0" applyFont="1" applyFill="1" applyBorder="1" applyAlignment="1">
      <alignment horizontal="center" vertical="center" wrapText="1"/>
    </xf>
    <xf numFmtId="164" fontId="78" fillId="9" borderId="41" xfId="0" applyNumberFormat="1" applyFont="1" applyFill="1" applyBorder="1"/>
    <xf numFmtId="164" fontId="48" fillId="9" borderId="54" xfId="0" applyNumberFormat="1" applyFont="1" applyFill="1" applyBorder="1"/>
    <xf numFmtId="3" fontId="78" fillId="9" borderId="47" xfId="0" applyNumberFormat="1" applyFont="1" applyFill="1" applyBorder="1" applyAlignment="1">
      <alignment horizontal="right"/>
    </xf>
    <xf numFmtId="3" fontId="23" fillId="6" borderId="24" xfId="0" applyNumberFormat="1" applyFont="1" applyFill="1" applyBorder="1" applyAlignment="1">
      <alignment vertical="center"/>
    </xf>
    <xf numFmtId="0" fontId="13" fillId="6" borderId="25" xfId="0" applyFont="1" applyFill="1" applyBorder="1" applyAlignment="1">
      <alignment vertical="center"/>
    </xf>
    <xf numFmtId="0" fontId="2" fillId="0" borderId="0" xfId="0" applyFont="1"/>
    <xf numFmtId="0" fontId="2" fillId="0" borderId="0" xfId="0" applyFont="1" applyAlignment="1">
      <alignment horizontal="left"/>
    </xf>
    <xf numFmtId="164" fontId="1" fillId="0" borderId="62" xfId="0" applyNumberFormat="1" applyFont="1" applyBorder="1"/>
    <xf numFmtId="164" fontId="1" fillId="19" borderId="62" xfId="0" applyNumberFormat="1" applyFont="1" applyFill="1" applyBorder="1"/>
    <xf numFmtId="164" fontId="3" fillId="19" borderId="62" xfId="0" applyNumberFormat="1" applyFont="1" applyFill="1" applyBorder="1"/>
    <xf numFmtId="3" fontId="1" fillId="0" borderId="62" xfId="0" applyNumberFormat="1" applyFont="1" applyBorder="1"/>
    <xf numFmtId="3" fontId="1" fillId="19" borderId="62" xfId="0" applyNumberFormat="1" applyFont="1" applyFill="1" applyBorder="1"/>
    <xf numFmtId="3" fontId="3" fillId="19" borderId="62" xfId="0" applyNumberFormat="1" applyFont="1" applyFill="1" applyBorder="1"/>
    <xf numFmtId="0" fontId="79" fillId="0" borderId="0" xfId="0" applyFont="1"/>
    <xf numFmtId="0" fontId="1" fillId="20" borderId="62" xfId="0" applyFont="1" applyFill="1" applyBorder="1"/>
    <xf numFmtId="0" fontId="0" fillId="20" borderId="0" xfId="0" applyFill="1"/>
    <xf numFmtId="167" fontId="1" fillId="0" borderId="0" xfId="0" applyNumberFormat="1" applyFont="1"/>
    <xf numFmtId="4" fontId="49" fillId="12" borderId="0" xfId="0" applyNumberFormat="1" applyFont="1" applyFill="1"/>
    <xf numFmtId="4" fontId="68" fillId="12" borderId="42" xfId="0" applyNumberFormat="1" applyFont="1" applyFill="1" applyBorder="1"/>
    <xf numFmtId="4" fontId="1" fillId="0" borderId="42" xfId="0" applyNumberFormat="1" applyFont="1" applyBorder="1"/>
    <xf numFmtId="4" fontId="1" fillId="19" borderId="42" xfId="0" applyNumberFormat="1" applyFont="1" applyFill="1" applyBorder="1"/>
    <xf numFmtId="4" fontId="1" fillId="19" borderId="65" xfId="0" applyNumberFormat="1" applyFont="1" applyFill="1" applyBorder="1"/>
    <xf numFmtId="4" fontId="1" fillId="19" borderId="66" xfId="0" applyNumberFormat="1" applyFont="1" applyFill="1" applyBorder="1"/>
    <xf numFmtId="4" fontId="3" fillId="0" borderId="0" xfId="0" applyNumberFormat="1" applyFont="1"/>
    <xf numFmtId="4" fontId="3" fillId="19" borderId="66" xfId="0" applyNumberFormat="1" applyFont="1" applyFill="1" applyBorder="1"/>
    <xf numFmtId="4" fontId="3" fillId="0" borderId="42" xfId="0" applyNumberFormat="1" applyFont="1" applyBorder="1"/>
    <xf numFmtId="4" fontId="3" fillId="19" borderId="42" xfId="0" applyNumberFormat="1" applyFont="1" applyFill="1" applyBorder="1"/>
    <xf numFmtId="4" fontId="1" fillId="0" borderId="62" xfId="0" applyNumberFormat="1" applyFont="1" applyBorder="1"/>
    <xf numFmtId="4" fontId="1" fillId="19" borderId="62" xfId="0" applyNumberFormat="1" applyFont="1" applyFill="1" applyBorder="1"/>
    <xf numFmtId="4" fontId="3" fillId="19" borderId="62" xfId="0" applyNumberFormat="1" applyFont="1" applyFill="1" applyBorder="1"/>
    <xf numFmtId="4" fontId="1" fillId="14" borderId="0" xfId="0" applyNumberFormat="1" applyFont="1" applyFill="1" applyAlignment="1">
      <alignment horizontal="center"/>
    </xf>
    <xf numFmtId="167" fontId="1" fillId="19" borderId="0" xfId="0" applyNumberFormat="1" applyFont="1" applyFill="1"/>
    <xf numFmtId="2" fontId="6" fillId="15" borderId="0" xfId="0" applyNumberFormat="1" applyFont="1" applyFill="1"/>
    <xf numFmtId="0" fontId="1" fillId="20" borderId="0" xfId="0" applyFont="1" applyFill="1" applyAlignment="1">
      <alignment horizontal="center"/>
    </xf>
    <xf numFmtId="0" fontId="2" fillId="0" borderId="0" xfId="0" applyFont="1" applyAlignment="1">
      <alignment horizontal="center"/>
    </xf>
    <xf numFmtId="167" fontId="76" fillId="19" borderId="0" xfId="0" applyNumberFormat="1" applyFont="1" applyFill="1"/>
    <xf numFmtId="165" fontId="1" fillId="0" borderId="62" xfId="0" applyNumberFormat="1" applyFont="1" applyBorder="1"/>
    <xf numFmtId="165" fontId="1" fillId="19" borderId="62" xfId="0" applyNumberFormat="1" applyFont="1" applyFill="1" applyBorder="1"/>
    <xf numFmtId="165" fontId="3" fillId="19" borderId="62" xfId="0" applyNumberFormat="1" applyFont="1" applyFill="1" applyBorder="1"/>
    <xf numFmtId="4" fontId="1" fillId="0" borderId="1" xfId="0" applyNumberFormat="1" applyFont="1" applyBorder="1"/>
    <xf numFmtId="0" fontId="1" fillId="20" borderId="0" xfId="0" applyFont="1" applyFill="1"/>
    <xf numFmtId="3" fontId="75" fillId="9" borderId="46" xfId="0" applyNumberFormat="1" applyFont="1" applyFill="1" applyBorder="1" applyAlignment="1">
      <alignment horizontal="right" vertical="center"/>
    </xf>
    <xf numFmtId="0" fontId="2" fillId="0" borderId="42" xfId="0" applyFont="1" applyBorder="1" applyAlignment="1">
      <alignment horizontal="center"/>
    </xf>
    <xf numFmtId="0" fontId="26" fillId="9" borderId="4" xfId="0" quotePrefix="1" applyFont="1" applyFill="1" applyBorder="1" applyAlignment="1">
      <alignment horizontal="center" vertical="center"/>
    </xf>
    <xf numFmtId="0" fontId="26" fillId="9" borderId="5" xfId="0" applyFont="1" applyFill="1" applyBorder="1" applyAlignment="1">
      <alignment horizontal="left" vertical="center"/>
    </xf>
    <xf numFmtId="0" fontId="72" fillId="9" borderId="5" xfId="0" applyFont="1" applyFill="1" applyBorder="1" applyAlignment="1">
      <alignment horizontal="center" vertical="center"/>
    </xf>
    <xf numFmtId="0" fontId="73" fillId="9" borderId="5" xfId="0" applyFont="1" applyFill="1" applyBorder="1" applyAlignment="1">
      <alignment horizontal="center" vertical="center"/>
    </xf>
    <xf numFmtId="0" fontId="74" fillId="9" borderId="4" xfId="0" applyFont="1" applyFill="1" applyBorder="1" applyAlignment="1">
      <alignment horizontal="center" vertical="center"/>
    </xf>
    <xf numFmtId="165" fontId="69" fillId="9" borderId="7" xfId="0" quotePrefix="1" applyNumberFormat="1" applyFont="1" applyFill="1" applyBorder="1" applyAlignment="1">
      <alignment horizontal="right" vertical="center"/>
    </xf>
    <xf numFmtId="165" fontId="26" fillId="9" borderId="7" xfId="0" applyNumberFormat="1" applyFont="1" applyFill="1" applyBorder="1" applyAlignment="1">
      <alignment horizontal="left" vertical="center"/>
    </xf>
    <xf numFmtId="0" fontId="32" fillId="9" borderId="8" xfId="0" applyFont="1" applyFill="1" applyBorder="1" applyAlignment="1">
      <alignment horizontal="center" vertical="center"/>
    </xf>
    <xf numFmtId="165" fontId="80" fillId="9" borderId="7" xfId="0" quotePrefix="1" applyNumberFormat="1" applyFont="1" applyFill="1" applyBorder="1" applyAlignment="1">
      <alignment horizontal="right" vertical="center"/>
    </xf>
    <xf numFmtId="0" fontId="9" fillId="3" borderId="0" xfId="0" applyFont="1" applyFill="1"/>
    <xf numFmtId="9" fontId="9" fillId="3" borderId="0" xfId="0" applyNumberFormat="1" applyFont="1" applyFill="1"/>
    <xf numFmtId="164" fontId="23" fillId="9" borderId="0" xfId="0" applyNumberFormat="1" applyFont="1" applyFill="1" applyAlignment="1">
      <alignment horizontal="right"/>
    </xf>
    <xf numFmtId="4" fontId="68" fillId="14" borderId="42" xfId="0" applyNumberFormat="1" applyFont="1" applyFill="1" applyBorder="1"/>
    <xf numFmtId="0" fontId="1" fillId="20" borderId="0" xfId="0" applyFont="1" applyFill="1" applyAlignment="1">
      <alignment horizontal="right"/>
    </xf>
    <xf numFmtId="0" fontId="1" fillId="22" borderId="62" xfId="0" applyFont="1" applyFill="1" applyBorder="1"/>
    <xf numFmtId="3" fontId="1" fillId="21" borderId="0" xfId="0" applyNumberFormat="1" applyFont="1" applyFill="1"/>
    <xf numFmtId="167" fontId="6" fillId="0" borderId="0" xfId="0" applyNumberFormat="1" applyFont="1"/>
    <xf numFmtId="167" fontId="20" fillId="0" borderId="0" xfId="0" applyNumberFormat="1" applyFont="1"/>
    <xf numFmtId="167" fontId="6" fillId="0" borderId="0" xfId="0" applyNumberFormat="1" applyFont="1" applyAlignment="1">
      <alignment horizontal="right"/>
    </xf>
    <xf numFmtId="164" fontId="1" fillId="21" borderId="62" xfId="0" applyNumberFormat="1" applyFont="1" applyFill="1" applyBorder="1"/>
    <xf numFmtId="3" fontId="1" fillId="21" borderId="62" xfId="0" applyNumberFormat="1" applyFont="1" applyFill="1" applyBorder="1"/>
    <xf numFmtId="167" fontId="76" fillId="0" borderId="0" xfId="0" quotePrefix="1" applyNumberFormat="1" applyFont="1" applyAlignment="1">
      <alignment horizontal="center"/>
    </xf>
    <xf numFmtId="167" fontId="76" fillId="0" borderId="72" xfId="0" applyNumberFormat="1" applyFont="1" applyBorder="1"/>
    <xf numFmtId="167" fontId="81" fillId="0" borderId="0" xfId="0" applyNumberFormat="1" applyFont="1" applyAlignment="1">
      <alignment horizontal="center"/>
    </xf>
    <xf numFmtId="0" fontId="82" fillId="0" borderId="0" xfId="0" applyFont="1"/>
    <xf numFmtId="2" fontId="0" fillId="0" borderId="0" xfId="0" applyNumberFormat="1" applyAlignment="1">
      <alignment horizontal="right"/>
    </xf>
    <xf numFmtId="0" fontId="0" fillId="0" borderId="0" xfId="0" applyAlignment="1">
      <alignment horizontal="left"/>
    </xf>
    <xf numFmtId="4" fontId="6" fillId="0" borderId="0" xfId="0" applyNumberFormat="1" applyFont="1"/>
    <xf numFmtId="0" fontId="6" fillId="0" borderId="0" xfId="0" applyFont="1" applyAlignment="1">
      <alignment horizontal="right"/>
    </xf>
    <xf numFmtId="2" fontId="68" fillId="13" borderId="67" xfId="0" applyNumberFormat="1" applyFont="1" applyFill="1" applyBorder="1"/>
    <xf numFmtId="167" fontId="1" fillId="23" borderId="1" xfId="0" applyNumberFormat="1" applyFont="1" applyFill="1" applyBorder="1"/>
    <xf numFmtId="167" fontId="1" fillId="21" borderId="42" xfId="0" applyNumberFormat="1" applyFont="1" applyFill="1" applyBorder="1"/>
    <xf numFmtId="167" fontId="1" fillId="23" borderId="42" xfId="0" applyNumberFormat="1" applyFont="1" applyFill="1" applyBorder="1"/>
    <xf numFmtId="167" fontId="1" fillId="21" borderId="65" xfId="0" applyNumberFormat="1" applyFont="1" applyFill="1" applyBorder="1"/>
    <xf numFmtId="4" fontId="1" fillId="21" borderId="62" xfId="0" applyNumberFormat="1" applyFont="1" applyFill="1" applyBorder="1"/>
    <xf numFmtId="4" fontId="1" fillId="21" borderId="0" xfId="0" applyNumberFormat="1" applyFont="1" applyFill="1"/>
    <xf numFmtId="164" fontId="23" fillId="9" borderId="54" xfId="0" applyNumberFormat="1" applyFont="1" applyFill="1" applyBorder="1"/>
    <xf numFmtId="164" fontId="23" fillId="9" borderId="0" xfId="0" applyNumberFormat="1" applyFont="1" applyFill="1"/>
    <xf numFmtId="164" fontId="23" fillId="9" borderId="41" xfId="0" applyNumberFormat="1" applyFont="1" applyFill="1" applyBorder="1"/>
    <xf numFmtId="164" fontId="26" fillId="9" borderId="54" xfId="0" applyNumberFormat="1" applyFont="1" applyFill="1" applyBorder="1"/>
    <xf numFmtId="168" fontId="26" fillId="6" borderId="0" xfId="0" applyNumberFormat="1" applyFont="1" applyFill="1" applyAlignment="1">
      <alignment horizontal="right" vertical="center"/>
    </xf>
    <xf numFmtId="172" fontId="26" fillId="6" borderId="0" xfId="0" applyNumberFormat="1" applyFont="1" applyFill="1" applyAlignment="1">
      <alignment horizontal="center" vertical="center"/>
    </xf>
    <xf numFmtId="1" fontId="23" fillId="6" borderId="6" xfId="0" applyNumberFormat="1" applyFont="1" applyFill="1" applyBorder="1" applyAlignment="1">
      <alignment vertical="center"/>
    </xf>
    <xf numFmtId="164" fontId="26" fillId="6" borderId="1" xfId="0" applyNumberFormat="1" applyFont="1" applyFill="1" applyBorder="1" applyAlignment="1">
      <alignment vertical="center"/>
    </xf>
    <xf numFmtId="0" fontId="26" fillId="9" borderId="0" xfId="0" applyFont="1" applyFill="1" applyAlignment="1">
      <alignment vertical="center"/>
    </xf>
    <xf numFmtId="0" fontId="26" fillId="6" borderId="0" xfId="0" applyFont="1" applyFill="1"/>
    <xf numFmtId="0" fontId="26" fillId="6" borderId="0" xfId="0" applyFont="1" applyFill="1" applyAlignment="1">
      <alignment horizontal="center"/>
    </xf>
    <xf numFmtId="3" fontId="26" fillId="6" borderId="0" xfId="0" applyNumberFormat="1" applyFont="1" applyFill="1" applyAlignment="1">
      <alignment horizontal="center" vertical="center"/>
    </xf>
    <xf numFmtId="0" fontId="26" fillId="0" borderId="0" xfId="0" applyFont="1" applyAlignment="1">
      <alignment vertical="center"/>
    </xf>
    <xf numFmtId="0" fontId="21" fillId="9" borderId="0" xfId="0" applyFont="1" applyFill="1" applyAlignment="1">
      <alignment horizontal="center" vertical="center" wrapText="1"/>
    </xf>
    <xf numFmtId="164" fontId="47" fillId="9" borderId="0" xfId="0" applyNumberFormat="1" applyFont="1" applyFill="1"/>
    <xf numFmtId="164" fontId="83" fillId="9" borderId="41" xfId="0" applyNumberFormat="1" applyFont="1" applyFill="1" applyBorder="1" applyAlignment="1">
      <alignment horizontal="right"/>
    </xf>
    <xf numFmtId="0" fontId="83" fillId="9" borderId="41" xfId="0" applyFont="1" applyFill="1" applyBorder="1" applyAlignment="1">
      <alignment horizontal="center" vertical="center" wrapText="1"/>
    </xf>
    <xf numFmtId="3" fontId="83" fillId="9" borderId="47" xfId="0" applyNumberFormat="1" applyFont="1" applyFill="1" applyBorder="1" applyAlignment="1">
      <alignment horizontal="right"/>
    </xf>
    <xf numFmtId="3" fontId="26" fillId="9" borderId="0" xfId="0" applyNumberFormat="1" applyFont="1" applyFill="1" applyAlignment="1">
      <alignment horizontal="center"/>
    </xf>
    <xf numFmtId="164" fontId="23" fillId="6" borderId="0" xfId="0" applyNumberFormat="1" applyFont="1" applyFill="1" applyAlignment="1">
      <alignment vertical="center"/>
    </xf>
    <xf numFmtId="3" fontId="23" fillId="6" borderId="0" xfId="0" applyNumberFormat="1" applyFont="1" applyFill="1" applyAlignment="1">
      <alignment vertical="center"/>
    </xf>
    <xf numFmtId="0" fontId="28" fillId="7" borderId="4" xfId="0" applyFont="1" applyFill="1" applyBorder="1" applyAlignment="1">
      <alignment vertical="center"/>
    </xf>
    <xf numFmtId="0" fontId="27" fillId="7" borderId="4" xfId="0" applyFont="1" applyFill="1" applyBorder="1" applyAlignment="1">
      <alignment vertical="center"/>
    </xf>
    <xf numFmtId="0" fontId="32" fillId="7" borderId="9" xfId="0" applyFont="1" applyFill="1" applyBorder="1" applyAlignment="1">
      <alignment horizontal="center" vertical="center"/>
    </xf>
    <xf numFmtId="0" fontId="24" fillId="7" borderId="4" xfId="0" applyFont="1" applyFill="1" applyBorder="1" applyAlignment="1">
      <alignment vertical="center"/>
    </xf>
    <xf numFmtId="165" fontId="13" fillId="7" borderId="7" xfId="0" quotePrefix="1" applyNumberFormat="1" applyFont="1" applyFill="1" applyBorder="1" applyAlignment="1">
      <alignment horizontal="left" vertical="center"/>
    </xf>
    <xf numFmtId="165" fontId="9" fillId="9" borderId="0" xfId="0" applyNumberFormat="1" applyFont="1" applyFill="1"/>
    <xf numFmtId="0" fontId="31" fillId="3" borderId="0" xfId="0" applyFont="1" applyFill="1" applyAlignment="1">
      <alignment horizontal="center" vertical="center"/>
    </xf>
    <xf numFmtId="3" fontId="13" fillId="9" borderId="0" xfId="0" applyNumberFormat="1" applyFont="1" applyFill="1" applyAlignment="1">
      <alignment horizontal="center" vertical="center"/>
    </xf>
    <xf numFmtId="0" fontId="24" fillId="9" borderId="0" xfId="0" applyFont="1" applyFill="1" applyAlignment="1">
      <alignment horizontal="left" vertical="center"/>
    </xf>
    <xf numFmtId="0" fontId="15" fillId="9" borderId="0" xfId="0" applyFont="1" applyFill="1" applyAlignment="1">
      <alignment horizontal="left"/>
    </xf>
    <xf numFmtId="3" fontId="26" fillId="9" borderId="0" xfId="0" applyNumberFormat="1" applyFont="1" applyFill="1" applyAlignment="1">
      <alignment horizontal="center" vertical="center"/>
    </xf>
    <xf numFmtId="0" fontId="42" fillId="9" borderId="41" xfId="0" applyFont="1" applyFill="1" applyBorder="1" applyAlignment="1">
      <alignment horizontal="center" vertical="center"/>
    </xf>
    <xf numFmtId="164" fontId="42" fillId="9" borderId="41" xfId="0" applyNumberFormat="1" applyFont="1" applyFill="1" applyBorder="1" applyAlignment="1">
      <alignment horizontal="right" vertical="center"/>
    </xf>
    <xf numFmtId="3" fontId="42" fillId="9" borderId="47" xfId="0" applyNumberFormat="1" applyFont="1" applyFill="1" applyBorder="1" applyAlignment="1">
      <alignment horizontal="right" vertical="center"/>
    </xf>
    <xf numFmtId="0" fontId="35" fillId="9" borderId="54" xfId="0" applyFont="1" applyFill="1" applyBorder="1" applyAlignment="1">
      <alignment horizontal="center" vertical="center" wrapText="1"/>
    </xf>
    <xf numFmtId="0" fontId="61" fillId="9" borderId="41" xfId="0" applyFont="1" applyFill="1" applyBorder="1" applyAlignment="1">
      <alignment horizontal="center" vertical="center" wrapText="1"/>
    </xf>
    <xf numFmtId="0" fontId="42" fillId="9" borderId="41" xfId="0" applyFont="1" applyFill="1" applyBorder="1" applyAlignment="1">
      <alignment horizontal="center" vertical="center" wrapText="1"/>
    </xf>
    <xf numFmtId="0" fontId="62" fillId="9" borderId="41" xfId="0" applyFont="1" applyFill="1" applyBorder="1" applyAlignment="1">
      <alignment horizontal="center" vertical="center"/>
    </xf>
    <xf numFmtId="0" fontId="62" fillId="9" borderId="41" xfId="0" applyFont="1" applyFill="1" applyBorder="1" applyAlignment="1">
      <alignment horizontal="center" vertical="center" wrapText="1"/>
    </xf>
    <xf numFmtId="3" fontId="62" fillId="9" borderId="47" xfId="0" applyNumberFormat="1" applyFont="1" applyFill="1" applyBorder="1" applyAlignment="1">
      <alignment horizontal="right" vertical="center"/>
    </xf>
    <xf numFmtId="0" fontId="60" fillId="6" borderId="0" xfId="0" applyFont="1" applyFill="1"/>
    <xf numFmtId="0" fontId="21" fillId="6" borderId="0" xfId="0" applyFont="1" applyFill="1" applyAlignment="1">
      <alignment horizontal="center" vertical="center" wrapText="1"/>
    </xf>
    <xf numFmtId="164" fontId="26" fillId="6" borderId="0" xfId="0" applyNumberFormat="1" applyFont="1" applyFill="1" applyAlignment="1">
      <alignment horizontal="right"/>
    </xf>
    <xf numFmtId="164" fontId="26" fillId="6" borderId="0" xfId="0" applyNumberFormat="1" applyFont="1" applyFill="1"/>
    <xf numFmtId="164" fontId="21" fillId="6" borderId="0" xfId="0" applyNumberFormat="1" applyFont="1" applyFill="1"/>
    <xf numFmtId="164" fontId="47" fillId="6" borderId="0" xfId="0" applyNumberFormat="1" applyFont="1" applyFill="1"/>
    <xf numFmtId="3" fontId="23" fillId="6" borderId="0" xfId="0" applyNumberFormat="1" applyFont="1" applyFill="1" applyAlignment="1">
      <alignment horizontal="right"/>
    </xf>
    <xf numFmtId="3" fontId="21" fillId="6" borderId="0" xfId="0" applyNumberFormat="1" applyFont="1" applyFill="1" applyAlignment="1">
      <alignment horizontal="right"/>
    </xf>
    <xf numFmtId="164" fontId="23" fillId="21" borderId="41" xfId="0" applyNumberFormat="1" applyFont="1" applyFill="1" applyBorder="1" applyAlignment="1">
      <alignment horizontal="right"/>
    </xf>
    <xf numFmtId="3" fontId="23" fillId="21" borderId="41" xfId="0" applyNumberFormat="1" applyFont="1" applyFill="1" applyBorder="1" applyAlignment="1">
      <alignment horizontal="right"/>
    </xf>
    <xf numFmtId="0" fontId="21" fillId="4" borderId="5" xfId="0" applyFont="1" applyFill="1" applyBorder="1" applyAlignment="1">
      <alignment horizontal="right" vertical="center"/>
    </xf>
    <xf numFmtId="9" fontId="11" fillId="4" borderId="5" xfId="0" applyNumberFormat="1" applyFont="1" applyFill="1" applyBorder="1" applyAlignment="1">
      <alignment horizontal="center" vertical="center"/>
    </xf>
    <xf numFmtId="9" fontId="11" fillId="4" borderId="28" xfId="0" applyNumberFormat="1" applyFont="1" applyFill="1" applyBorder="1" applyAlignment="1">
      <alignment horizontal="center" vertical="center"/>
    </xf>
    <xf numFmtId="0" fontId="60" fillId="4" borderId="73" xfId="0" applyFont="1" applyFill="1" applyBorder="1" applyAlignment="1">
      <alignment horizontal="center" vertical="center" wrapText="1"/>
    </xf>
    <xf numFmtId="3" fontId="11" fillId="4" borderId="13" xfId="0" applyNumberFormat="1" applyFont="1" applyFill="1" applyBorder="1" applyAlignment="1">
      <alignment horizontal="center" vertical="center"/>
    </xf>
    <xf numFmtId="0" fontId="21" fillId="4" borderId="13" xfId="0" applyFont="1" applyFill="1" applyBorder="1" applyAlignment="1">
      <alignment horizontal="right" vertical="center"/>
    </xf>
    <xf numFmtId="0" fontId="1" fillId="20" borderId="62" xfId="0" applyFont="1" applyFill="1" applyBorder="1" applyAlignment="1">
      <alignment horizontal="right"/>
    </xf>
    <xf numFmtId="2" fontId="0" fillId="0" borderId="23" xfId="0" applyNumberFormat="1" applyBorder="1" applyAlignment="1">
      <alignment horizontal="right"/>
    </xf>
    <xf numFmtId="2" fontId="0" fillId="0" borderId="24" xfId="0" applyNumberFormat="1" applyBorder="1" applyAlignment="1">
      <alignment horizontal="right"/>
    </xf>
    <xf numFmtId="2" fontId="0" fillId="0" borderId="25" xfId="0" applyNumberFormat="1" applyBorder="1" applyAlignment="1">
      <alignment horizontal="right"/>
    </xf>
    <xf numFmtId="2" fontId="4" fillId="0" borderId="23" xfId="0" applyNumberFormat="1" applyFont="1" applyBorder="1"/>
    <xf numFmtId="2" fontId="4" fillId="0" borderId="24" xfId="0" applyNumberFormat="1" applyFont="1" applyBorder="1"/>
    <xf numFmtId="2" fontId="0" fillId="0" borderId="24" xfId="0" applyNumberFormat="1" applyBorder="1"/>
    <xf numFmtId="2" fontId="0" fillId="0" borderId="25" xfId="0" applyNumberFormat="1" applyBorder="1"/>
    <xf numFmtId="0" fontId="30" fillId="9" borderId="0" xfId="0" applyFont="1" applyFill="1"/>
    <xf numFmtId="0" fontId="30" fillId="3" borderId="0" xfId="0" applyFont="1" applyFill="1"/>
    <xf numFmtId="164" fontId="9" fillId="10" borderId="26" xfId="0" applyNumberFormat="1" applyFont="1" applyFill="1" applyBorder="1" applyAlignment="1">
      <alignment horizontal="center" vertical="center"/>
    </xf>
    <xf numFmtId="0" fontId="85" fillId="3" borderId="0" xfId="0" applyFont="1" applyFill="1" applyAlignment="1">
      <alignment horizontal="center" vertical="center"/>
    </xf>
    <xf numFmtId="164" fontId="40" fillId="10" borderId="26" xfId="0" applyNumberFormat="1" applyFont="1" applyFill="1" applyBorder="1" applyAlignment="1">
      <alignment horizontal="center" vertical="center"/>
    </xf>
    <xf numFmtId="164" fontId="40" fillId="10" borderId="39" xfId="0" applyNumberFormat="1" applyFont="1" applyFill="1" applyBorder="1" applyAlignment="1">
      <alignment horizontal="center" vertical="center"/>
    </xf>
    <xf numFmtId="1" fontId="23" fillId="6" borderId="5" xfId="0" applyNumberFormat="1" applyFont="1" applyFill="1" applyBorder="1" applyAlignment="1">
      <alignment vertical="center"/>
    </xf>
    <xf numFmtId="3" fontId="26" fillId="9" borderId="0" xfId="0" applyNumberFormat="1" applyFont="1" applyFill="1"/>
    <xf numFmtId="3" fontId="26" fillId="9" borderId="41" xfId="0" applyNumberFormat="1" applyFont="1" applyFill="1" applyBorder="1"/>
    <xf numFmtId="3" fontId="26" fillId="9" borderId="54" xfId="0" applyNumberFormat="1" applyFont="1" applyFill="1" applyBorder="1" applyAlignment="1">
      <alignment horizontal="right"/>
    </xf>
    <xf numFmtId="3" fontId="26" fillId="9" borderId="41" xfId="0" applyNumberFormat="1" applyFont="1" applyFill="1" applyBorder="1" applyAlignment="1">
      <alignment horizontal="right"/>
    </xf>
    <xf numFmtId="164" fontId="21" fillId="6" borderId="0" xfId="0" quotePrefix="1" applyNumberFormat="1" applyFont="1" applyFill="1" applyAlignment="1">
      <alignment horizontal="center" vertical="center"/>
    </xf>
    <xf numFmtId="0" fontId="17" fillId="17" borderId="23" xfId="0" applyFont="1" applyFill="1" applyBorder="1" applyAlignment="1">
      <alignment horizontal="center" vertical="center" wrapText="1"/>
    </xf>
    <xf numFmtId="0" fontId="17" fillId="17" borderId="24" xfId="0" applyFont="1" applyFill="1" applyBorder="1" applyAlignment="1">
      <alignment horizontal="center" vertical="center" wrapText="1"/>
    </xf>
    <xf numFmtId="0" fontId="17" fillId="17" borderId="24" xfId="0" applyFont="1" applyFill="1" applyBorder="1" applyAlignment="1">
      <alignment vertical="center" wrapText="1"/>
    </xf>
    <xf numFmtId="0" fontId="7" fillId="17" borderId="24" xfId="0" applyFont="1" applyFill="1" applyBorder="1" applyAlignment="1">
      <alignment vertical="center" wrapText="1"/>
    </xf>
    <xf numFmtId="0" fontId="91" fillId="17" borderId="25" xfId="0" applyFont="1" applyFill="1" applyBorder="1" applyAlignment="1">
      <alignment vertical="center" wrapText="1"/>
    </xf>
    <xf numFmtId="0" fontId="92" fillId="17" borderId="24" xfId="0" applyFont="1" applyFill="1" applyBorder="1" applyAlignment="1">
      <alignment vertical="center" wrapText="1"/>
    </xf>
    <xf numFmtId="3" fontId="23" fillId="3" borderId="1" xfId="0" applyNumberFormat="1" applyFont="1" applyFill="1" applyBorder="1" applyAlignment="1">
      <alignment horizontal="center" vertical="center"/>
    </xf>
    <xf numFmtId="0" fontId="12" fillId="4" borderId="43" xfId="0" applyFont="1" applyFill="1" applyBorder="1" applyAlignment="1">
      <alignment horizontal="center" vertical="top" wrapText="1"/>
    </xf>
    <xf numFmtId="0" fontId="15" fillId="0" borderId="4" xfId="0" applyFont="1" applyBorder="1" applyAlignment="1">
      <alignment vertical="center"/>
    </xf>
    <xf numFmtId="0" fontId="60" fillId="4" borderId="75" xfId="0" applyFont="1" applyFill="1" applyBorder="1" applyAlignment="1">
      <alignment horizontal="center" vertical="center" wrapText="1"/>
    </xf>
    <xf numFmtId="0" fontId="12" fillId="4" borderId="61" xfId="0" applyFont="1" applyFill="1" applyBorder="1" applyAlignment="1">
      <alignment horizontal="center" vertical="top" wrapText="1"/>
    </xf>
    <xf numFmtId="3" fontId="11" fillId="4" borderId="17" xfId="0" applyNumberFormat="1" applyFont="1" applyFill="1" applyBorder="1" applyAlignment="1">
      <alignment horizontal="center" vertical="center"/>
    </xf>
    <xf numFmtId="165" fontId="10" fillId="10" borderId="7" xfId="0" applyNumberFormat="1" applyFont="1" applyFill="1" applyBorder="1" applyAlignment="1">
      <alignment horizontal="center" vertical="center" wrapText="1"/>
    </xf>
    <xf numFmtId="165" fontId="71" fillId="10" borderId="7" xfId="0" applyNumberFormat="1" applyFont="1" applyFill="1" applyBorder="1" applyAlignment="1">
      <alignment horizontal="center" vertical="center" wrapText="1"/>
    </xf>
    <xf numFmtId="165" fontId="70" fillId="9" borderId="7" xfId="0" quotePrefix="1" applyNumberFormat="1" applyFont="1" applyFill="1" applyBorder="1" applyAlignment="1">
      <alignment horizontal="right" vertical="center"/>
    </xf>
    <xf numFmtId="165" fontId="8" fillId="9" borderId="0" xfId="0" applyNumberFormat="1" applyFont="1" applyFill="1" applyAlignment="1">
      <alignment horizontal="right" vertical="center"/>
    </xf>
    <xf numFmtId="0" fontId="9" fillId="9" borderId="0" xfId="0" applyFont="1" applyFill="1" applyAlignment="1">
      <alignment horizontal="center"/>
    </xf>
    <xf numFmtId="165" fontId="70" fillId="7" borderId="7" xfId="0" quotePrefix="1" applyNumberFormat="1" applyFont="1" applyFill="1" applyBorder="1" applyAlignment="1">
      <alignment horizontal="right" vertical="center"/>
    </xf>
    <xf numFmtId="165" fontId="8" fillId="0" borderId="0" xfId="0" applyNumberFormat="1" applyFont="1" applyAlignment="1">
      <alignment horizontal="right"/>
    </xf>
    <xf numFmtId="3" fontId="83" fillId="9" borderId="46" xfId="0" applyNumberFormat="1" applyFont="1" applyFill="1" applyBorder="1" applyAlignment="1">
      <alignment horizontal="right" vertical="center"/>
    </xf>
    <xf numFmtId="0" fontId="9" fillId="0" borderId="4" xfId="0" quotePrefix="1" applyFont="1" applyBorder="1" applyAlignment="1">
      <alignment vertical="center"/>
    </xf>
    <xf numFmtId="164" fontId="9" fillId="9" borderId="0" xfId="0" applyNumberFormat="1" applyFont="1" applyFill="1" applyAlignment="1">
      <alignment horizontal="center"/>
    </xf>
    <xf numFmtId="0" fontId="94" fillId="4" borderId="73" xfId="0" applyFont="1" applyFill="1" applyBorder="1" applyAlignment="1">
      <alignment horizontal="center" vertical="center" wrapText="1"/>
    </xf>
    <xf numFmtId="164" fontId="95" fillId="10" borderId="4" xfId="0" quotePrefix="1" applyNumberFormat="1" applyFont="1" applyFill="1" applyBorder="1" applyAlignment="1">
      <alignment horizontal="center" vertical="center"/>
    </xf>
    <xf numFmtId="0" fontId="96" fillId="0" borderId="5" xfId="0" applyFont="1" applyBorder="1" applyAlignment="1">
      <alignment horizontal="center" vertical="center"/>
    </xf>
    <xf numFmtId="0" fontId="97" fillId="0" borderId="5" xfId="0" applyFont="1" applyBorder="1" applyAlignment="1">
      <alignment horizontal="center" vertical="center"/>
    </xf>
    <xf numFmtId="0" fontId="96" fillId="7" borderId="5" xfId="0" applyFont="1" applyFill="1" applyBorder="1" applyAlignment="1">
      <alignment horizontal="center" vertical="center"/>
    </xf>
    <xf numFmtId="164" fontId="11" fillId="10" borderId="4" xfId="0" applyNumberFormat="1" applyFont="1" applyFill="1" applyBorder="1" applyAlignment="1">
      <alignment horizontal="center" vertical="center" wrapText="1"/>
    </xf>
    <xf numFmtId="0" fontId="97" fillId="9" borderId="5" xfId="0" applyFont="1" applyFill="1" applyBorder="1" applyAlignment="1">
      <alignment horizontal="center" vertical="center"/>
    </xf>
    <xf numFmtId="0" fontId="96" fillId="9" borderId="5" xfId="0" applyFont="1" applyFill="1" applyBorder="1" applyAlignment="1">
      <alignment horizontal="center" vertical="center"/>
    </xf>
    <xf numFmtId="164" fontId="9" fillId="9" borderId="0" xfId="0" applyNumberFormat="1" applyFont="1" applyFill="1" applyAlignment="1">
      <alignment horizontal="center" vertical="center"/>
    </xf>
    <xf numFmtId="164" fontId="93" fillId="10" borderId="26" xfId="0" applyNumberFormat="1" applyFont="1" applyFill="1" applyBorder="1" applyAlignment="1">
      <alignment horizontal="center" vertical="center"/>
    </xf>
    <xf numFmtId="164" fontId="9" fillId="9" borderId="24" xfId="0" applyNumberFormat="1" applyFont="1" applyFill="1" applyBorder="1" applyAlignment="1">
      <alignment horizontal="center" vertical="center"/>
    </xf>
    <xf numFmtId="0" fontId="9" fillId="0" borderId="0" xfId="0" applyFont="1" applyAlignment="1">
      <alignment horizontal="center"/>
    </xf>
    <xf numFmtId="164" fontId="21" fillId="6" borderId="37" xfId="0" quotePrefix="1" applyNumberFormat="1" applyFont="1" applyFill="1" applyBorder="1" applyAlignment="1">
      <alignment horizontal="center" vertical="center"/>
    </xf>
    <xf numFmtId="164" fontId="9" fillId="11" borderId="13" xfId="0" applyNumberFormat="1" applyFont="1" applyFill="1" applyBorder="1" applyAlignment="1">
      <alignment horizontal="center" vertical="center"/>
    </xf>
    <xf numFmtId="0" fontId="72" fillId="3" borderId="5" xfId="0" applyFont="1" applyFill="1" applyBorder="1" applyAlignment="1">
      <alignment horizontal="center" vertical="center"/>
    </xf>
    <xf numFmtId="0" fontId="16" fillId="6" borderId="0" xfId="0" applyFont="1" applyFill="1"/>
    <xf numFmtId="0" fontId="23" fillId="6" borderId="0" xfId="0" applyFont="1" applyFill="1" applyAlignment="1">
      <alignment horizontal="center" vertical="center"/>
    </xf>
    <xf numFmtId="0" fontId="66" fillId="9" borderId="0" xfId="0" applyFont="1" applyFill="1" applyAlignment="1">
      <alignment horizontal="center" vertical="center"/>
    </xf>
    <xf numFmtId="0" fontId="45" fillId="9" borderId="0" xfId="0" applyFont="1" applyFill="1" applyAlignment="1">
      <alignment horizontal="center" vertical="center"/>
    </xf>
    <xf numFmtId="0" fontId="83" fillId="9" borderId="0" xfId="0" applyFont="1" applyFill="1" applyAlignment="1">
      <alignment horizontal="center" vertical="center"/>
    </xf>
    <xf numFmtId="0" fontId="62" fillId="9" borderId="0" xfId="0" applyFont="1" applyFill="1" applyAlignment="1">
      <alignment horizontal="center" vertical="center"/>
    </xf>
    <xf numFmtId="0" fontId="39" fillId="9" borderId="77" xfId="0" applyFont="1" applyFill="1" applyBorder="1" applyAlignment="1">
      <alignment horizontal="center" vertical="center"/>
    </xf>
    <xf numFmtId="0" fontId="66" fillId="9" borderId="0" xfId="0" applyFont="1" applyFill="1" applyAlignment="1">
      <alignment horizontal="center" vertical="center" wrapText="1"/>
    </xf>
    <xf numFmtId="0" fontId="45" fillId="9" borderId="0" xfId="0" applyFont="1" applyFill="1" applyAlignment="1">
      <alignment horizontal="center" vertical="center" wrapText="1"/>
    </xf>
    <xf numFmtId="0" fontId="83" fillId="9" borderId="0" xfId="0" applyFont="1" applyFill="1" applyAlignment="1">
      <alignment horizontal="center" vertical="center" wrapText="1"/>
    </xf>
    <xf numFmtId="0" fontId="62" fillId="9" borderId="0" xfId="0" applyFont="1" applyFill="1" applyAlignment="1">
      <alignment horizontal="center" vertical="center" wrapText="1"/>
    </xf>
    <xf numFmtId="0" fontId="39" fillId="9" borderId="77" xfId="0" applyFont="1" applyFill="1" applyBorder="1" applyAlignment="1">
      <alignment horizontal="center" vertical="center" wrapText="1"/>
    </xf>
    <xf numFmtId="164" fontId="26" fillId="9" borderId="0" xfId="0" applyNumberFormat="1" applyFont="1" applyFill="1" applyAlignment="1">
      <alignment horizontal="right"/>
    </xf>
    <xf numFmtId="164" fontId="26" fillId="9" borderId="77" xfId="0" applyNumberFormat="1" applyFont="1" applyFill="1" applyBorder="1" applyAlignment="1">
      <alignment horizontal="right"/>
    </xf>
    <xf numFmtId="164" fontId="26" fillId="9" borderId="77" xfId="0" applyNumberFormat="1" applyFont="1" applyFill="1" applyBorder="1"/>
    <xf numFmtId="164" fontId="66" fillId="9" borderId="0" xfId="0" applyNumberFormat="1" applyFont="1" applyFill="1" applyAlignment="1">
      <alignment horizontal="right" vertical="center"/>
    </xf>
    <xf numFmtId="164" fontId="45" fillId="9" borderId="0" xfId="0" applyNumberFormat="1" applyFont="1" applyFill="1" applyAlignment="1">
      <alignment horizontal="right" vertical="center"/>
    </xf>
    <xf numFmtId="164" fontId="83" fillId="9" borderId="0" xfId="0" applyNumberFormat="1" applyFont="1" applyFill="1" applyAlignment="1">
      <alignment horizontal="right" vertical="center"/>
    </xf>
    <xf numFmtId="164" fontId="39" fillId="9" borderId="77" xfId="0" applyNumberFormat="1" applyFont="1" applyFill="1" applyBorder="1" applyAlignment="1">
      <alignment horizontal="right" vertical="center"/>
    </xf>
    <xf numFmtId="0" fontId="75" fillId="9" borderId="0" xfId="0" applyFont="1" applyFill="1" applyAlignment="1">
      <alignment horizontal="center"/>
    </xf>
    <xf numFmtId="0" fontId="75" fillId="9" borderId="0" xfId="0" applyFont="1" applyFill="1" applyAlignment="1">
      <alignment horizontal="center" vertical="center" wrapText="1"/>
    </xf>
    <xf numFmtId="3" fontId="26" fillId="9" borderId="0" xfId="0" applyNumberFormat="1" applyFont="1" applyFill="1" applyAlignment="1">
      <alignment horizontal="right"/>
    </xf>
    <xf numFmtId="3" fontId="26" fillId="9" borderId="77" xfId="0" applyNumberFormat="1" applyFont="1" applyFill="1" applyBorder="1" applyAlignment="1">
      <alignment horizontal="right"/>
    </xf>
    <xf numFmtId="3" fontId="39" fillId="9" borderId="43" xfId="0" applyNumberFormat="1" applyFont="1" applyFill="1" applyBorder="1" applyAlignment="1">
      <alignment horizontal="right" vertical="center"/>
    </xf>
    <xf numFmtId="164" fontId="44" fillId="9" borderId="0" xfId="0" applyNumberFormat="1" applyFont="1" applyFill="1" applyAlignment="1">
      <alignment horizontal="left" vertical="center" wrapText="1"/>
    </xf>
    <xf numFmtId="164" fontId="44" fillId="9" borderId="38" xfId="0" applyNumberFormat="1" applyFont="1" applyFill="1" applyBorder="1" applyAlignment="1">
      <alignment horizontal="left" vertical="center" wrapText="1"/>
    </xf>
    <xf numFmtId="0" fontId="43" fillId="9" borderId="0" xfId="1" applyFont="1" applyFill="1" applyAlignment="1">
      <alignment horizontal="center"/>
    </xf>
    <xf numFmtId="0" fontId="23" fillId="9" borderId="31" xfId="0" applyFont="1" applyFill="1" applyBorder="1" applyAlignment="1">
      <alignment vertical="center"/>
    </xf>
    <xf numFmtId="0" fontId="23" fillId="9" borderId="37" xfId="0" applyFont="1" applyFill="1" applyBorder="1" applyAlignment="1">
      <alignment horizontal="center" vertical="center"/>
    </xf>
    <xf numFmtId="0" fontId="23" fillId="9" borderId="37" xfId="0" applyFont="1" applyFill="1" applyBorder="1" applyAlignment="1">
      <alignment vertical="center"/>
    </xf>
    <xf numFmtId="0" fontId="24" fillId="9" borderId="37" xfId="0" applyFont="1" applyFill="1" applyBorder="1" applyAlignment="1">
      <alignment vertical="center"/>
    </xf>
    <xf numFmtId="164" fontId="23" fillId="9" borderId="37" xfId="0" applyNumberFormat="1" applyFont="1" applyFill="1" applyBorder="1" applyAlignment="1">
      <alignment horizontal="right" vertical="center"/>
    </xf>
    <xf numFmtId="0" fontId="23" fillId="9" borderId="0" xfId="0" applyFont="1" applyFill="1" applyAlignment="1">
      <alignment horizontal="left" vertical="center"/>
    </xf>
    <xf numFmtId="0" fontId="23" fillId="9" borderId="34" xfId="0" applyFont="1" applyFill="1" applyBorder="1" applyAlignment="1">
      <alignment horizontal="left" vertical="center"/>
    </xf>
    <xf numFmtId="0" fontId="23" fillId="9" borderId="33" xfId="0" applyFont="1" applyFill="1" applyBorder="1" applyAlignment="1">
      <alignment vertical="center"/>
    </xf>
    <xf numFmtId="0" fontId="23" fillId="9" borderId="0" xfId="0" applyFont="1" applyFill="1" applyAlignment="1">
      <alignment horizontal="center" vertical="center"/>
    </xf>
    <xf numFmtId="0" fontId="23" fillId="9" borderId="0" xfId="0" applyFont="1" applyFill="1" applyAlignment="1">
      <alignment vertical="center"/>
    </xf>
    <xf numFmtId="0" fontId="24" fillId="9" borderId="0" xfId="0" applyFont="1" applyFill="1" applyAlignment="1">
      <alignment vertical="center"/>
    </xf>
    <xf numFmtId="164" fontId="23" fillId="9" borderId="0" xfId="0" applyNumberFormat="1" applyFont="1" applyFill="1" applyAlignment="1">
      <alignment horizontal="right" vertical="center"/>
    </xf>
    <xf numFmtId="0" fontId="24" fillId="9" borderId="35" xfId="0" applyFont="1" applyFill="1" applyBorder="1" applyAlignment="1">
      <alignment vertical="center"/>
    </xf>
    <xf numFmtId="0" fontId="21" fillId="9" borderId="38" xfId="0" applyFont="1" applyFill="1" applyBorder="1" applyAlignment="1">
      <alignment horizontal="center" vertical="center"/>
    </xf>
    <xf numFmtId="0" fontId="21" fillId="9" borderId="38" xfId="0" applyFont="1" applyFill="1" applyBorder="1" applyAlignment="1">
      <alignment vertical="center"/>
    </xf>
    <xf numFmtId="164" fontId="21" fillId="9" borderId="38" xfId="0" applyNumberFormat="1" applyFont="1" applyFill="1" applyBorder="1" applyAlignment="1">
      <alignment horizontal="right" vertical="center"/>
    </xf>
    <xf numFmtId="0" fontId="16" fillId="9" borderId="38" xfId="0" applyFont="1" applyFill="1" applyBorder="1" applyAlignment="1">
      <alignment horizontal="left" vertical="center"/>
    </xf>
    <xf numFmtId="0" fontId="16" fillId="9" borderId="36" xfId="0" applyFont="1" applyFill="1" applyBorder="1" applyAlignment="1">
      <alignment horizontal="left" vertical="center"/>
    </xf>
    <xf numFmtId="175" fontId="11" fillId="4" borderId="13" xfId="0" applyNumberFormat="1" applyFont="1" applyFill="1" applyBorder="1" applyAlignment="1">
      <alignment horizontal="center" vertical="center"/>
    </xf>
    <xf numFmtId="3" fontId="23" fillId="6" borderId="55" xfId="0" applyNumberFormat="1" applyFont="1" applyFill="1" applyBorder="1" applyAlignment="1">
      <alignment horizontal="center" vertical="center"/>
    </xf>
    <xf numFmtId="3" fontId="23" fillId="3" borderId="1" xfId="0" quotePrefix="1" applyNumberFormat="1" applyFont="1" applyFill="1" applyBorder="1" applyAlignment="1">
      <alignment horizontal="center" vertical="center"/>
    </xf>
    <xf numFmtId="0" fontId="78" fillId="9" borderId="0" xfId="0" applyFont="1" applyFill="1" applyAlignment="1">
      <alignment horizontal="center" vertical="center" wrapText="1"/>
    </xf>
    <xf numFmtId="164" fontId="78" fillId="9" borderId="0" xfId="0" applyNumberFormat="1" applyFont="1" applyFill="1"/>
    <xf numFmtId="0" fontId="78" fillId="9" borderId="60" xfId="0" applyFont="1" applyFill="1" applyBorder="1" applyAlignment="1">
      <alignment horizontal="center"/>
    </xf>
    <xf numFmtId="0" fontId="78" fillId="9" borderId="58" xfId="0" applyFont="1" applyFill="1" applyBorder="1" applyAlignment="1">
      <alignment horizontal="center"/>
    </xf>
    <xf numFmtId="0" fontId="102" fillId="3" borderId="0" xfId="0" applyFont="1" applyFill="1"/>
    <xf numFmtId="0" fontId="102" fillId="0" borderId="0" xfId="0" applyFont="1" applyAlignment="1">
      <alignment vertical="center"/>
    </xf>
    <xf numFmtId="0" fontId="102" fillId="0" borderId="0" xfId="0" applyFont="1"/>
    <xf numFmtId="0" fontId="21" fillId="10" borderId="4" xfId="0" applyFont="1" applyFill="1" applyBorder="1" applyAlignment="1">
      <alignment horizontal="center" vertical="center" wrapText="1"/>
    </xf>
    <xf numFmtId="165" fontId="23" fillId="3" borderId="7" xfId="0" applyNumberFormat="1" applyFont="1" applyFill="1" applyBorder="1" applyAlignment="1">
      <alignment horizontal="left" vertical="center"/>
    </xf>
    <xf numFmtId="3" fontId="8" fillId="9" borderId="0" xfId="0" applyNumberFormat="1" applyFont="1" applyFill="1" applyAlignment="1">
      <alignment horizontal="center" vertical="center"/>
    </xf>
    <xf numFmtId="9" fontId="15" fillId="3" borderId="0" xfId="0" applyNumberFormat="1" applyFont="1" applyFill="1"/>
    <xf numFmtId="0" fontId="11" fillId="0" borderId="4" xfId="0" quotePrefix="1" applyFont="1" applyBorder="1" applyAlignment="1">
      <alignment horizontal="center" vertical="center"/>
    </xf>
    <xf numFmtId="168" fontId="26" fillId="6" borderId="0" xfId="0" applyNumberFormat="1" applyFont="1" applyFill="1" applyAlignment="1">
      <alignment vertical="center"/>
    </xf>
    <xf numFmtId="3" fontId="1" fillId="0" borderId="0" xfId="0" applyNumberFormat="1" applyFont="1" applyAlignment="1">
      <alignment horizontal="center"/>
    </xf>
    <xf numFmtId="2" fontId="46" fillId="12" borderId="0" xfId="0" applyNumberFormat="1" applyFont="1" applyFill="1"/>
    <xf numFmtId="3" fontId="2" fillId="0" borderId="0" xfId="0" applyNumberFormat="1" applyFont="1"/>
    <xf numFmtId="0" fontId="77" fillId="9" borderId="59" xfId="0" applyFont="1" applyFill="1" applyBorder="1" applyAlignment="1">
      <alignment horizontal="center" vertical="center" wrapText="1"/>
    </xf>
    <xf numFmtId="0" fontId="78" fillId="9" borderId="60" xfId="0" applyFont="1" applyFill="1" applyBorder="1" applyAlignment="1">
      <alignment horizontal="center" vertical="center" wrapText="1"/>
    </xf>
    <xf numFmtId="0" fontId="78" fillId="9" borderId="58" xfId="0" applyFont="1" applyFill="1" applyBorder="1" applyAlignment="1">
      <alignment horizontal="center" vertical="center" wrapText="1"/>
    </xf>
    <xf numFmtId="3" fontId="78" fillId="9" borderId="46" xfId="0" applyNumberFormat="1" applyFont="1" applyFill="1" applyBorder="1" applyAlignment="1">
      <alignment horizontal="right"/>
    </xf>
    <xf numFmtId="0" fontId="109" fillId="9" borderId="0" xfId="0" applyFont="1" applyFill="1" applyAlignment="1">
      <alignment horizontal="center" vertical="center"/>
    </xf>
    <xf numFmtId="0" fontId="109" fillId="9" borderId="0" xfId="0" applyFont="1" applyFill="1" applyAlignment="1">
      <alignment horizontal="center" vertical="center" wrapText="1"/>
    </xf>
    <xf numFmtId="164" fontId="109" fillId="9" borderId="0" xfId="0" applyNumberFormat="1" applyFont="1" applyFill="1" applyAlignment="1">
      <alignment horizontal="right" vertical="center"/>
    </xf>
    <xf numFmtId="3" fontId="109" fillId="9" borderId="46" xfId="0" applyNumberFormat="1" applyFont="1" applyFill="1" applyBorder="1" applyAlignment="1">
      <alignment horizontal="right" vertical="center"/>
    </xf>
    <xf numFmtId="14" fontId="21" fillId="6" borderId="1" xfId="0" applyNumberFormat="1" applyFont="1" applyFill="1" applyBorder="1" applyAlignment="1">
      <alignment horizontal="center" vertical="center"/>
    </xf>
    <xf numFmtId="0" fontId="9" fillId="0" borderId="5" xfId="0" applyFont="1" applyBorder="1" applyAlignment="1">
      <alignment horizontal="center" vertical="center"/>
    </xf>
    <xf numFmtId="3" fontId="23" fillId="6" borderId="0" xfId="0" applyNumberFormat="1" applyFont="1" applyFill="1"/>
    <xf numFmtId="0" fontId="110" fillId="9" borderId="0" xfId="1" applyFont="1" applyFill="1" applyAlignment="1">
      <alignment horizontal="left"/>
    </xf>
    <xf numFmtId="0" fontId="7" fillId="0" borderId="0" xfId="0" applyFont="1"/>
    <xf numFmtId="46" fontId="102" fillId="0" borderId="0" xfId="0" applyNumberFormat="1" applyFont="1"/>
    <xf numFmtId="0" fontId="101" fillId="0" borderId="0" xfId="0" applyFont="1"/>
    <xf numFmtId="0" fontId="111" fillId="0" borderId="0" xfId="1" applyFont="1"/>
    <xf numFmtId="0" fontId="102" fillId="21" borderId="0" xfId="0" applyFont="1" applyFill="1"/>
    <xf numFmtId="46" fontId="102" fillId="0" borderId="0" xfId="0" applyNumberFormat="1" applyFont="1" applyAlignment="1">
      <alignment horizontal="right"/>
    </xf>
    <xf numFmtId="0" fontId="104" fillId="4" borderId="0" xfId="1" applyFont="1" applyFill="1"/>
    <xf numFmtId="0" fontId="101" fillId="4" borderId="0" xfId="0" applyFont="1" applyFill="1"/>
    <xf numFmtId="0" fontId="104" fillId="4" borderId="0" xfId="1" applyFont="1" applyFill="1" applyAlignment="1">
      <alignment vertical="center"/>
    </xf>
    <xf numFmtId="46" fontId="101" fillId="4" borderId="0" xfId="0" applyNumberFormat="1" applyFont="1" applyFill="1"/>
    <xf numFmtId="46" fontId="15" fillId="0" borderId="0" xfId="0" applyNumberFormat="1" applyFont="1"/>
    <xf numFmtId="0" fontId="98" fillId="3" borderId="0" xfId="0" applyFont="1" applyFill="1" applyAlignment="1">
      <alignment horizontal="center" vertical="center"/>
    </xf>
    <xf numFmtId="9" fontId="24" fillId="3" borderId="0" xfId="0" applyNumberFormat="1" applyFont="1" applyFill="1"/>
    <xf numFmtId="0" fontId="11" fillId="9" borderId="0" xfId="0" applyFont="1" applyFill="1"/>
    <xf numFmtId="0" fontId="24" fillId="0" borderId="0" xfId="0" applyFont="1"/>
    <xf numFmtId="0" fontId="112" fillId="3" borderId="8" xfId="0" applyFont="1" applyFill="1" applyBorder="1" applyAlignment="1">
      <alignment horizontal="center" vertical="center"/>
    </xf>
    <xf numFmtId="0" fontId="24" fillId="3" borderId="4" xfId="0" applyFont="1" applyFill="1" applyBorder="1" applyAlignment="1">
      <alignment vertical="center" wrapText="1"/>
    </xf>
    <xf numFmtId="0" fontId="24" fillId="3" borderId="4" xfId="0" applyFont="1" applyFill="1" applyBorder="1" applyAlignment="1">
      <alignment horizontal="center" vertical="center"/>
    </xf>
    <xf numFmtId="0" fontId="24" fillId="3" borderId="5" xfId="0" applyFont="1" applyFill="1" applyBorder="1" applyAlignment="1">
      <alignment horizontal="left" vertical="center"/>
    </xf>
    <xf numFmtId="0" fontId="98" fillId="3" borderId="4" xfId="0" applyFont="1" applyFill="1" applyBorder="1" applyAlignment="1">
      <alignment horizontal="center" vertical="center"/>
    </xf>
    <xf numFmtId="165" fontId="71" fillId="3" borderId="7" xfId="0" quotePrefix="1" applyNumberFormat="1" applyFont="1" applyFill="1" applyBorder="1" applyAlignment="1">
      <alignment horizontal="right" vertical="center"/>
    </xf>
    <xf numFmtId="165" fontId="25" fillId="3" borderId="7" xfId="0" quotePrefix="1" applyNumberFormat="1" applyFont="1" applyFill="1" applyBorder="1" applyAlignment="1">
      <alignment horizontal="right" vertical="center"/>
    </xf>
    <xf numFmtId="165" fontId="113" fillId="3" borderId="7" xfId="0" quotePrefix="1" applyNumberFormat="1" applyFont="1" applyFill="1" applyBorder="1" applyAlignment="1">
      <alignment horizontal="right" vertical="center"/>
    </xf>
    <xf numFmtId="0" fontId="112" fillId="3" borderId="50" xfId="0" applyFont="1" applyFill="1" applyBorder="1" applyAlignment="1">
      <alignment horizontal="center" vertical="center"/>
    </xf>
    <xf numFmtId="0" fontId="106" fillId="9" borderId="0" xfId="0" applyFont="1" applyFill="1"/>
    <xf numFmtId="0" fontId="106" fillId="0" borderId="4" xfId="0" applyFont="1" applyBorder="1" applyAlignment="1">
      <alignment horizontal="center" vertical="center"/>
    </xf>
    <xf numFmtId="0" fontId="106" fillId="0" borderId="5" xfId="0" applyFont="1" applyBorder="1" applyAlignment="1">
      <alignment horizontal="left" vertical="center"/>
    </xf>
    <xf numFmtId="0" fontId="115" fillId="0" borderId="5" xfId="0" applyFont="1" applyBorder="1" applyAlignment="1">
      <alignment horizontal="center" vertical="center"/>
    </xf>
    <xf numFmtId="0" fontId="37" fillId="0" borderId="5" xfId="0" applyFont="1" applyBorder="1" applyAlignment="1">
      <alignment horizontal="center" vertical="center"/>
    </xf>
    <xf numFmtId="165" fontId="116" fillId="0" borderId="7" xfId="0" quotePrefix="1" applyNumberFormat="1" applyFont="1" applyBorder="1" applyAlignment="1">
      <alignment horizontal="right" vertical="center"/>
    </xf>
    <xf numFmtId="165" fontId="106" fillId="0" borderId="7" xfId="0" quotePrefix="1" applyNumberFormat="1" applyFont="1" applyBorder="1" applyAlignment="1">
      <alignment horizontal="right" vertical="center"/>
    </xf>
    <xf numFmtId="165" fontId="106" fillId="0" borderId="7" xfId="0" quotePrefix="1" applyNumberFormat="1" applyFont="1" applyBorder="1" applyAlignment="1">
      <alignment horizontal="left" vertical="center"/>
    </xf>
    <xf numFmtId="0" fontId="117" fillId="3" borderId="0" xfId="0" applyFont="1" applyFill="1" applyAlignment="1">
      <alignment horizontal="center" vertical="center"/>
    </xf>
    <xf numFmtId="9" fontId="105" fillId="3" borderId="0" xfId="0" applyNumberFormat="1" applyFont="1" applyFill="1"/>
    <xf numFmtId="165" fontId="106" fillId="9" borderId="0" xfId="0" applyNumberFormat="1" applyFont="1" applyFill="1"/>
    <xf numFmtId="0" fontId="115" fillId="9" borderId="0" xfId="0" applyFont="1" applyFill="1"/>
    <xf numFmtId="0" fontId="106" fillId="0" borderId="0" xfId="0" applyFont="1"/>
    <xf numFmtId="168" fontId="26" fillId="6" borderId="23" xfId="0" applyNumberFormat="1" applyFont="1" applyFill="1" applyBorder="1" applyAlignment="1">
      <alignment vertical="center"/>
    </xf>
    <xf numFmtId="164" fontId="118" fillId="0" borderId="0" xfId="0" applyNumberFormat="1" applyFont="1"/>
    <xf numFmtId="3" fontId="118" fillId="0" borderId="0" xfId="0" applyNumberFormat="1" applyFont="1"/>
    <xf numFmtId="0" fontId="118" fillId="0" borderId="0" xfId="0" applyFont="1"/>
    <xf numFmtId="0" fontId="112" fillId="3" borderId="3" xfId="0" applyFont="1" applyFill="1" applyBorder="1" applyAlignment="1">
      <alignment horizontal="center" vertical="center"/>
    </xf>
    <xf numFmtId="0" fontId="114" fillId="10" borderId="81" xfId="0" applyFont="1" applyFill="1" applyBorder="1" applyAlignment="1">
      <alignment horizontal="center" vertical="center" wrapText="1"/>
    </xf>
    <xf numFmtId="0" fontId="106" fillId="0" borderId="5" xfId="0" quotePrefix="1" applyFont="1" applyBorder="1" applyAlignment="1">
      <alignment vertical="center" wrapText="1"/>
    </xf>
    <xf numFmtId="0" fontId="9" fillId="0" borderId="5" xfId="0" quotePrefix="1" applyFont="1" applyBorder="1" applyAlignment="1">
      <alignment vertical="center"/>
    </xf>
    <xf numFmtId="0" fontId="112" fillId="11" borderId="80" xfId="0" applyFont="1" applyFill="1" applyBorder="1" applyAlignment="1">
      <alignment horizontal="center" vertical="center"/>
    </xf>
    <xf numFmtId="0" fontId="24" fillId="11" borderId="4" xfId="0" applyFont="1" applyFill="1" applyBorder="1" applyAlignment="1">
      <alignment vertical="center" wrapText="1"/>
    </xf>
    <xf numFmtId="0" fontId="24" fillId="11" borderId="4" xfId="0" applyFont="1" applyFill="1" applyBorder="1" applyAlignment="1">
      <alignment horizontal="center" vertical="center"/>
    </xf>
    <xf numFmtId="0" fontId="24" fillId="11" borderId="5" xfId="0" applyFont="1" applyFill="1" applyBorder="1" applyAlignment="1">
      <alignment horizontal="left" vertical="center"/>
    </xf>
    <xf numFmtId="0" fontId="72" fillId="11" borderId="5" xfId="0" applyFont="1" applyFill="1" applyBorder="1" applyAlignment="1">
      <alignment horizontal="center" vertical="center"/>
    </xf>
    <xf numFmtId="0" fontId="98" fillId="11" borderId="4" xfId="0" applyFont="1" applyFill="1" applyBorder="1" applyAlignment="1">
      <alignment horizontal="center" vertical="center"/>
    </xf>
    <xf numFmtId="165" fontId="71" fillId="11" borderId="7" xfId="0" quotePrefix="1" applyNumberFormat="1" applyFont="1" applyFill="1" applyBorder="1" applyAlignment="1">
      <alignment horizontal="right" vertical="center"/>
    </xf>
    <xf numFmtId="165" fontId="25" fillId="11" borderId="7" xfId="0" quotePrefix="1" applyNumberFormat="1" applyFont="1" applyFill="1" applyBorder="1" applyAlignment="1">
      <alignment horizontal="right" vertical="center"/>
    </xf>
    <xf numFmtId="165" fontId="24" fillId="11" borderId="7" xfId="0" quotePrefix="1" applyNumberFormat="1" applyFont="1" applyFill="1" applyBorder="1" applyAlignment="1">
      <alignment horizontal="right" vertical="center"/>
    </xf>
    <xf numFmtId="165" fontId="24" fillId="11" borderId="7" xfId="0" applyNumberFormat="1" applyFont="1" applyFill="1" applyBorder="1" applyAlignment="1">
      <alignment horizontal="left" vertical="center"/>
    </xf>
    <xf numFmtId="0" fontId="24" fillId="11" borderId="4" xfId="0" applyFont="1" applyFill="1" applyBorder="1" applyAlignment="1">
      <alignment vertical="center"/>
    </xf>
    <xf numFmtId="165" fontId="16" fillId="11" borderId="7" xfId="0" applyNumberFormat="1" applyFont="1" applyFill="1" applyBorder="1" applyAlignment="1">
      <alignment horizontal="left" vertical="center"/>
    </xf>
    <xf numFmtId="0" fontId="112" fillId="11" borderId="3" xfId="0" applyFont="1" applyFill="1" applyBorder="1" applyAlignment="1">
      <alignment horizontal="center" vertical="center"/>
    </xf>
    <xf numFmtId="0" fontId="11" fillId="11" borderId="4" xfId="0" applyFont="1" applyFill="1" applyBorder="1" applyAlignment="1">
      <alignment horizontal="center" vertical="center"/>
    </xf>
    <xf numFmtId="0" fontId="112" fillId="11" borderId="8" xfId="0" applyFont="1" applyFill="1" applyBorder="1" applyAlignment="1">
      <alignment horizontal="center" vertical="center"/>
    </xf>
    <xf numFmtId="0" fontId="119" fillId="11" borderId="5" xfId="0" applyFont="1" applyFill="1" applyBorder="1" applyAlignment="1">
      <alignment horizontal="center" vertical="center"/>
    </xf>
    <xf numFmtId="0" fontId="120" fillId="3" borderId="5" xfId="0" applyFont="1" applyFill="1" applyBorder="1" applyAlignment="1">
      <alignment horizontal="center" vertical="center"/>
    </xf>
    <xf numFmtId="3" fontId="121" fillId="26" borderId="19" xfId="0" applyNumberFormat="1" applyFont="1" applyFill="1" applyBorder="1" applyAlignment="1">
      <alignment horizontal="center" vertical="center"/>
    </xf>
    <xf numFmtId="164" fontId="121" fillId="26" borderId="48" xfId="0" applyNumberFormat="1" applyFont="1" applyFill="1" applyBorder="1" applyAlignment="1">
      <alignment vertical="center"/>
    </xf>
    <xf numFmtId="0" fontId="122" fillId="26" borderId="26" xfId="0" applyFont="1" applyFill="1" applyBorder="1" applyAlignment="1">
      <alignment horizontal="center" vertical="center"/>
    </xf>
    <xf numFmtId="164" fontId="121" fillId="26" borderId="26" xfId="0" applyNumberFormat="1" applyFont="1" applyFill="1" applyBorder="1" applyAlignment="1">
      <alignment vertical="center"/>
    </xf>
    <xf numFmtId="164" fontId="121" fillId="26" borderId="26" xfId="0" applyNumberFormat="1" applyFont="1" applyFill="1" applyBorder="1" applyAlignment="1">
      <alignment horizontal="center" vertical="center"/>
    </xf>
    <xf numFmtId="164" fontId="121" fillId="26" borderId="39" xfId="0" applyNumberFormat="1" applyFont="1" applyFill="1" applyBorder="1" applyAlignment="1">
      <alignment horizontal="center" vertical="center"/>
    </xf>
    <xf numFmtId="165" fontId="121" fillId="26" borderId="25" xfId="0" applyNumberFormat="1" applyFont="1" applyFill="1" applyBorder="1" applyAlignment="1">
      <alignment horizontal="right" vertical="center"/>
    </xf>
    <xf numFmtId="165" fontId="121" fillId="26" borderId="1" xfId="0" applyNumberFormat="1" applyFont="1" applyFill="1" applyBorder="1" applyAlignment="1">
      <alignment horizontal="right" vertical="center"/>
    </xf>
    <xf numFmtId="0" fontId="1" fillId="27" borderId="0" xfId="0" applyFont="1" applyFill="1"/>
    <xf numFmtId="0" fontId="1" fillId="27" borderId="62" xfId="0" applyFont="1" applyFill="1" applyBorder="1"/>
    <xf numFmtId="0" fontId="1" fillId="27" borderId="0" xfId="0" applyFont="1" applyFill="1" applyAlignment="1">
      <alignment horizontal="right"/>
    </xf>
    <xf numFmtId="0" fontId="102" fillId="0" borderId="0" xfId="0" applyFont="1" applyAlignment="1">
      <alignment horizontal="right"/>
    </xf>
    <xf numFmtId="0" fontId="101" fillId="4" borderId="0" xfId="0" applyFont="1" applyFill="1" applyAlignment="1">
      <alignment horizontal="right"/>
    </xf>
    <xf numFmtId="0" fontId="15" fillId="0" borderId="0" xfId="0" applyFont="1" applyAlignment="1">
      <alignment horizontal="right"/>
    </xf>
    <xf numFmtId="46" fontId="101" fillId="0" borderId="0" xfId="0" applyNumberFormat="1" applyFont="1" applyAlignment="1">
      <alignment horizontal="left"/>
    </xf>
    <xf numFmtId="165" fontId="24" fillId="9" borderId="0" xfId="0" applyNumberFormat="1" applyFont="1" applyFill="1"/>
    <xf numFmtId="0" fontId="9" fillId="0" borderId="4" xfId="0" quotePrefix="1" applyFont="1" applyBorder="1" applyAlignment="1">
      <alignment horizontal="center" vertical="center"/>
    </xf>
    <xf numFmtId="165" fontId="21" fillId="10" borderId="7" xfId="0" applyNumberFormat="1" applyFont="1" applyFill="1" applyBorder="1" applyAlignment="1">
      <alignment horizontal="center" vertical="center" wrapText="1"/>
    </xf>
    <xf numFmtId="0" fontId="9" fillId="9" borderId="0" xfId="0" applyFont="1" applyFill="1" applyAlignment="1">
      <alignment horizontal="right" vertical="top"/>
    </xf>
    <xf numFmtId="14" fontId="23" fillId="6" borderId="7" xfId="0" quotePrefix="1" applyNumberFormat="1" applyFont="1" applyFill="1" applyBorder="1" applyAlignment="1">
      <alignment horizontal="center" vertical="center"/>
    </xf>
    <xf numFmtId="0" fontId="66" fillId="9" borderId="54" xfId="0" applyFont="1" applyFill="1" applyBorder="1" applyAlignment="1">
      <alignment horizontal="center"/>
    </xf>
    <xf numFmtId="0" fontId="66" fillId="9" borderId="54" xfId="0" applyFont="1" applyFill="1" applyBorder="1" applyAlignment="1">
      <alignment horizontal="center" vertical="center" wrapText="1"/>
    </xf>
    <xf numFmtId="164" fontId="66" fillId="9" borderId="54" xfId="0" applyNumberFormat="1" applyFont="1" applyFill="1" applyBorder="1" applyAlignment="1">
      <alignment horizontal="right"/>
    </xf>
    <xf numFmtId="3" fontId="66" fillId="9" borderId="61" xfId="0" applyNumberFormat="1" applyFont="1" applyFill="1" applyBorder="1" applyAlignment="1">
      <alignment horizontal="right"/>
    </xf>
    <xf numFmtId="164" fontId="75" fillId="9" borderId="0" xfId="0" applyNumberFormat="1" applyFont="1" applyFill="1" applyAlignment="1">
      <alignment horizontal="right"/>
    </xf>
    <xf numFmtId="164" fontId="62" fillId="9" borderId="83" xfId="0" applyNumberFormat="1" applyFont="1" applyFill="1" applyBorder="1" applyAlignment="1">
      <alignment horizontal="right" vertical="center"/>
    </xf>
    <xf numFmtId="14" fontId="102" fillId="0" borderId="0" xfId="0" applyNumberFormat="1" applyFont="1" applyAlignment="1">
      <alignment horizontal="center" vertical="top"/>
    </xf>
    <xf numFmtId="0" fontId="102" fillId="0" borderId="0" xfId="0" applyFont="1" applyAlignment="1">
      <alignment wrapText="1"/>
    </xf>
    <xf numFmtId="0" fontId="125" fillId="0" borderId="0" xfId="0" applyFont="1"/>
    <xf numFmtId="0" fontId="24" fillId="10" borderId="5" xfId="0" applyFont="1" applyFill="1" applyBorder="1"/>
    <xf numFmtId="0" fontId="24" fillId="10" borderId="5" xfId="0" applyFont="1" applyFill="1" applyBorder="1" applyAlignment="1">
      <alignment horizontal="center"/>
    </xf>
    <xf numFmtId="16" fontId="24" fillId="10" borderId="5" xfId="0" quotePrefix="1" applyNumberFormat="1" applyFont="1" applyFill="1" applyBorder="1"/>
    <xf numFmtId="0" fontId="24" fillId="10" borderId="28" xfId="0" applyFont="1" applyFill="1" applyBorder="1"/>
    <xf numFmtId="0" fontId="24" fillId="10" borderId="82" xfId="0" applyFont="1" applyFill="1" applyBorder="1"/>
    <xf numFmtId="0" fontId="15" fillId="0" borderId="5" xfId="0" applyFont="1" applyBorder="1"/>
    <xf numFmtId="0" fontId="15" fillId="0" borderId="5" xfId="0" quotePrefix="1" applyFont="1" applyBorder="1" applyAlignment="1">
      <alignment horizontal="center"/>
    </xf>
    <xf numFmtId="0" fontId="15" fillId="0" borderId="28" xfId="0" applyFont="1" applyBorder="1"/>
    <xf numFmtId="0" fontId="84" fillId="0" borderId="82" xfId="0" quotePrefix="1" applyFont="1" applyBorder="1"/>
    <xf numFmtId="0" fontId="15" fillId="0" borderId="82" xfId="0" applyFont="1" applyBorder="1"/>
    <xf numFmtId="0" fontId="84" fillId="0" borderId="5" xfId="0" quotePrefix="1" applyFont="1" applyBorder="1"/>
    <xf numFmtId="0" fontId="15" fillId="0" borderId="5" xfId="0" applyFont="1" applyBorder="1" applyAlignment="1">
      <alignment horizontal="center"/>
    </xf>
    <xf numFmtId="0" fontId="15" fillId="10" borderId="5" xfId="0" applyFont="1" applyFill="1" applyBorder="1"/>
    <xf numFmtId="0" fontId="15" fillId="10" borderId="28" xfId="0" applyFont="1" applyFill="1" applyBorder="1"/>
    <xf numFmtId="0" fontId="15" fillId="10" borderId="82" xfId="0" applyFont="1" applyFill="1" applyBorder="1"/>
    <xf numFmtId="0" fontId="24" fillId="9" borderId="5" xfId="0" applyFont="1" applyFill="1" applyBorder="1"/>
    <xf numFmtId="0" fontId="24" fillId="9" borderId="5" xfId="0" applyFont="1" applyFill="1" applyBorder="1" applyAlignment="1">
      <alignment horizontal="center"/>
    </xf>
    <xf numFmtId="0" fontId="15" fillId="9" borderId="5" xfId="0" applyFont="1" applyFill="1" applyBorder="1"/>
    <xf numFmtId="0" fontId="15" fillId="9" borderId="28" xfId="0" applyFont="1" applyFill="1" applyBorder="1"/>
    <xf numFmtId="0" fontId="15" fillId="9" borderId="82" xfId="0" applyFont="1" applyFill="1" applyBorder="1"/>
    <xf numFmtId="0" fontId="84" fillId="0" borderId="28" xfId="0" quotePrefix="1" applyFont="1" applyBorder="1"/>
    <xf numFmtId="0" fontId="15" fillId="3" borderId="5" xfId="0" applyFont="1" applyFill="1" applyBorder="1"/>
    <xf numFmtId="0" fontId="15" fillId="3" borderId="5" xfId="0" applyFont="1" applyFill="1" applyBorder="1" applyAlignment="1">
      <alignment horizontal="center"/>
    </xf>
    <xf numFmtId="0" fontId="84" fillId="3" borderId="5" xfId="0" quotePrefix="1" applyFont="1" applyFill="1" applyBorder="1"/>
    <xf numFmtId="0" fontId="84" fillId="3" borderId="28" xfId="0" quotePrefix="1" applyFont="1" applyFill="1" applyBorder="1"/>
    <xf numFmtId="0" fontId="15" fillId="3" borderId="82" xfId="0" applyFont="1" applyFill="1" applyBorder="1"/>
    <xf numFmtId="0" fontId="15" fillId="3" borderId="28" xfId="0" applyFont="1" applyFill="1" applyBorder="1"/>
    <xf numFmtId="0" fontId="15" fillId="21" borderId="5" xfId="0" applyFont="1" applyFill="1" applyBorder="1"/>
    <xf numFmtId="0" fontId="15" fillId="21" borderId="5" xfId="0" applyFont="1" applyFill="1" applyBorder="1" applyAlignment="1">
      <alignment horizontal="center"/>
    </xf>
    <xf numFmtId="0" fontId="15" fillId="21" borderId="28" xfId="0" applyFont="1" applyFill="1" applyBorder="1"/>
    <xf numFmtId="0" fontId="27" fillId="21" borderId="82" xfId="0" applyFont="1" applyFill="1" applyBorder="1"/>
    <xf numFmtId="0" fontId="84" fillId="0" borderId="82" xfId="0" applyFont="1" applyBorder="1"/>
    <xf numFmtId="0" fontId="84" fillId="21" borderId="5" xfId="0" quotePrefix="1" applyFont="1" applyFill="1" applyBorder="1"/>
    <xf numFmtId="0" fontId="84" fillId="21" borderId="28" xfId="0" quotePrefix="1" applyFont="1" applyFill="1" applyBorder="1"/>
    <xf numFmtId="0" fontId="15" fillId="21" borderId="82" xfId="0" applyFont="1" applyFill="1" applyBorder="1"/>
    <xf numFmtId="0" fontId="15" fillId="3" borderId="6" xfId="0" applyFont="1" applyFill="1" applyBorder="1"/>
    <xf numFmtId="0" fontId="15" fillId="3" borderId="6" xfId="0" applyFont="1" applyFill="1" applyBorder="1" applyAlignment="1">
      <alignment horizontal="center"/>
    </xf>
    <xf numFmtId="0" fontId="9" fillId="0" borderId="5" xfId="0" applyFont="1" applyBorder="1"/>
    <xf numFmtId="0" fontId="9" fillId="0" borderId="5" xfId="0" applyFont="1" applyBorder="1" applyAlignment="1">
      <alignment horizontal="center"/>
    </xf>
    <xf numFmtId="0" fontId="127" fillId="0" borderId="82" xfId="0" applyFont="1" applyBorder="1"/>
    <xf numFmtId="0" fontId="15" fillId="7" borderId="5" xfId="0" applyFont="1" applyFill="1" applyBorder="1"/>
    <xf numFmtId="0" fontId="15" fillId="7" borderId="5" xfId="0" applyFont="1" applyFill="1" applyBorder="1" applyAlignment="1">
      <alignment horizontal="center"/>
    </xf>
    <xf numFmtId="0" fontId="84" fillId="7" borderId="5" xfId="0" quotePrefix="1" applyFont="1" applyFill="1" applyBorder="1"/>
    <xf numFmtId="0" fontId="15" fillId="7" borderId="28" xfId="0" applyFont="1" applyFill="1" applyBorder="1"/>
    <xf numFmtId="0" fontId="15" fillId="7" borderId="82" xfId="0" applyFont="1" applyFill="1" applyBorder="1"/>
    <xf numFmtId="0" fontId="15" fillId="28" borderId="5" xfId="0" applyFont="1" applyFill="1" applyBorder="1"/>
    <xf numFmtId="0" fontId="15" fillId="28" borderId="5" xfId="0" applyFont="1" applyFill="1" applyBorder="1" applyAlignment="1">
      <alignment horizontal="center"/>
    </xf>
    <xf numFmtId="0" fontId="84" fillId="28" borderId="5" xfId="0" quotePrefix="1" applyFont="1" applyFill="1" applyBorder="1"/>
    <xf numFmtId="0" fontId="84" fillId="28" borderId="28" xfId="0" quotePrefix="1" applyFont="1" applyFill="1" applyBorder="1"/>
    <xf numFmtId="0" fontId="15" fillId="28" borderId="82" xfId="0" applyFont="1" applyFill="1" applyBorder="1"/>
    <xf numFmtId="0" fontId="15" fillId="3" borderId="5" xfId="0" quotePrefix="1" applyFont="1" applyFill="1" applyBorder="1" applyAlignment="1">
      <alignment horizontal="center"/>
    </xf>
    <xf numFmtId="0" fontId="84" fillId="7" borderId="28" xfId="0" quotePrefix="1" applyFont="1" applyFill="1" applyBorder="1"/>
    <xf numFmtId="0" fontId="27" fillId="21" borderId="7" xfId="0" applyFont="1" applyFill="1" applyBorder="1"/>
    <xf numFmtId="0" fontId="15" fillId="21" borderId="10" xfId="0" applyFont="1" applyFill="1" applyBorder="1"/>
    <xf numFmtId="0" fontId="15" fillId="21" borderId="10" xfId="0" applyFont="1" applyFill="1" applyBorder="1" applyAlignment="1">
      <alignment horizontal="center"/>
    </xf>
    <xf numFmtId="0" fontId="84" fillId="21" borderId="10" xfId="0" quotePrefix="1" applyFont="1" applyFill="1" applyBorder="1"/>
    <xf numFmtId="0" fontId="84" fillId="21" borderId="15" xfId="0" quotePrefix="1" applyFont="1" applyFill="1" applyBorder="1"/>
    <xf numFmtId="0" fontId="27" fillId="21" borderId="11" xfId="0" applyFont="1" applyFill="1" applyBorder="1"/>
    <xf numFmtId="0" fontId="17" fillId="0" borderId="0" xfId="0" applyFont="1"/>
    <xf numFmtId="0" fontId="15" fillId="0" borderId="14" xfId="0" applyFont="1" applyBorder="1"/>
    <xf numFmtId="0" fontId="15" fillId="0" borderId="14" xfId="0" applyFont="1" applyBorder="1" applyAlignment="1">
      <alignment horizontal="center"/>
    </xf>
    <xf numFmtId="0" fontId="15" fillId="0" borderId="46" xfId="0" applyFont="1" applyBorder="1"/>
    <xf numFmtId="0" fontId="24" fillId="10" borderId="43" xfId="0" applyFont="1" applyFill="1" applyBorder="1" applyAlignment="1">
      <alignment horizontal="center"/>
    </xf>
    <xf numFmtId="0" fontId="15" fillId="0" borderId="10" xfId="0" applyFont="1" applyBorder="1"/>
    <xf numFmtId="0" fontId="15" fillId="0" borderId="10" xfId="0" applyFont="1" applyBorder="1" applyAlignment="1">
      <alignment horizontal="center"/>
    </xf>
    <xf numFmtId="0" fontId="15" fillId="0" borderId="46" xfId="0" applyFont="1" applyBorder="1" applyAlignment="1">
      <alignment horizontal="center"/>
    </xf>
    <xf numFmtId="0" fontId="15" fillId="0" borderId="10" xfId="0" quotePrefix="1" applyFont="1" applyBorder="1" applyAlignment="1">
      <alignment horizontal="center"/>
    </xf>
    <xf numFmtId="0" fontId="24" fillId="10" borderId="40" xfId="0" applyFont="1" applyFill="1" applyBorder="1"/>
    <xf numFmtId="0" fontId="15" fillId="0" borderId="84" xfId="0" applyFont="1" applyBorder="1"/>
    <xf numFmtId="0" fontId="15" fillId="3" borderId="10" xfId="0" applyFont="1" applyFill="1" applyBorder="1"/>
    <xf numFmtId="0" fontId="15" fillId="3" borderId="10" xfId="0" quotePrefix="1" applyFont="1" applyFill="1" applyBorder="1" applyAlignment="1">
      <alignment horizontal="center"/>
    </xf>
    <xf numFmtId="0" fontId="15" fillId="3" borderId="15" xfId="0" applyFont="1" applyFill="1" applyBorder="1"/>
    <xf numFmtId="0" fontId="15" fillId="3" borderId="84" xfId="0" applyFont="1" applyFill="1" applyBorder="1"/>
    <xf numFmtId="0" fontId="15" fillId="28" borderId="10" xfId="0" applyFont="1" applyFill="1" applyBorder="1"/>
    <xf numFmtId="0" fontId="15" fillId="28" borderId="10" xfId="0" applyFont="1" applyFill="1" applyBorder="1" applyAlignment="1">
      <alignment horizontal="center"/>
    </xf>
    <xf numFmtId="0" fontId="84" fillId="28" borderId="10" xfId="0" quotePrefix="1" applyFont="1" applyFill="1" applyBorder="1"/>
    <xf numFmtId="0" fontId="84" fillId="28" borderId="15" xfId="0" quotePrefix="1" applyFont="1" applyFill="1" applyBorder="1"/>
    <xf numFmtId="0" fontId="15" fillId="28" borderId="84" xfId="0" applyFont="1" applyFill="1" applyBorder="1"/>
    <xf numFmtId="0" fontId="124" fillId="29" borderId="5" xfId="0" applyFont="1" applyFill="1" applyBorder="1" applyAlignment="1">
      <alignment horizontal="center"/>
    </xf>
    <xf numFmtId="16" fontId="124" fillId="29" borderId="5" xfId="0" quotePrefix="1" applyNumberFormat="1" applyFont="1" applyFill="1" applyBorder="1" applyAlignment="1">
      <alignment horizontal="center"/>
    </xf>
    <xf numFmtId="0" fontId="124" fillId="29" borderId="28" xfId="0" applyFont="1" applyFill="1" applyBorder="1" applyAlignment="1">
      <alignment horizontal="center"/>
    </xf>
    <xf numFmtId="0" fontId="40" fillId="9" borderId="0" xfId="0" applyFont="1" applyFill="1" applyAlignment="1">
      <alignment horizontal="center"/>
    </xf>
    <xf numFmtId="0" fontId="112" fillId="11" borderId="50" xfId="0" applyFont="1" applyFill="1" applyBorder="1" applyAlignment="1">
      <alignment horizontal="center" vertical="center"/>
    </xf>
    <xf numFmtId="165" fontId="16" fillId="11" borderId="11" xfId="0" applyNumberFormat="1" applyFont="1" applyFill="1" applyBorder="1" applyAlignment="1">
      <alignment horizontal="left" vertical="center"/>
    </xf>
    <xf numFmtId="0" fontId="112" fillId="0" borderId="78" xfId="0" applyFont="1" applyBorder="1" applyAlignment="1">
      <alignment horizontal="center" vertical="center"/>
    </xf>
    <xf numFmtId="165" fontId="13" fillId="0" borderId="79" xfId="0" applyNumberFormat="1" applyFont="1" applyBorder="1" applyAlignment="1">
      <alignment horizontal="left" vertical="center"/>
    </xf>
    <xf numFmtId="0" fontId="112" fillId="0" borderId="8" xfId="0" applyFont="1" applyBorder="1" applyAlignment="1">
      <alignment horizontal="center" vertical="center"/>
    </xf>
    <xf numFmtId="0" fontId="112" fillId="7" borderId="9" xfId="0" applyFont="1" applyFill="1" applyBorder="1" applyAlignment="1">
      <alignment horizontal="center" vertical="center"/>
    </xf>
    <xf numFmtId="0" fontId="112" fillId="7" borderId="8" xfId="0" applyFont="1" applyFill="1" applyBorder="1" applyAlignment="1">
      <alignment horizontal="center" vertical="center"/>
    </xf>
    <xf numFmtId="0" fontId="112" fillId="7" borderId="50" xfId="0" applyFont="1" applyFill="1" applyBorder="1" applyAlignment="1">
      <alignment horizontal="center" vertical="center"/>
    </xf>
    <xf numFmtId="0" fontId="15" fillId="0" borderId="15" xfId="0" applyFont="1" applyBorder="1"/>
    <xf numFmtId="0" fontId="24" fillId="9" borderId="33" xfId="0" applyFont="1" applyFill="1" applyBorder="1" applyAlignment="1">
      <alignment vertical="center"/>
    </xf>
    <xf numFmtId="0" fontId="21" fillId="9" borderId="0" xfId="0" applyFont="1" applyFill="1" applyAlignment="1">
      <alignment vertical="center"/>
    </xf>
    <xf numFmtId="164" fontId="21" fillId="9" borderId="0" xfId="0" applyNumberFormat="1" applyFont="1" applyFill="1" applyAlignment="1">
      <alignment horizontal="right" vertical="center"/>
    </xf>
    <xf numFmtId="0" fontId="16" fillId="9" borderId="0" xfId="0" applyFont="1" applyFill="1" applyAlignment="1">
      <alignment horizontal="left" vertical="center"/>
    </xf>
    <xf numFmtId="0" fontId="16" fillId="9" borderId="34" xfId="0" applyFont="1" applyFill="1" applyBorder="1" applyAlignment="1">
      <alignment horizontal="left" vertical="center"/>
    </xf>
    <xf numFmtId="3" fontId="8" fillId="9" borderId="0" xfId="0" quotePrefix="1" applyNumberFormat="1" applyFont="1" applyFill="1" applyAlignment="1">
      <alignment horizontal="center" vertical="center"/>
    </xf>
    <xf numFmtId="164" fontId="9" fillId="10" borderId="48" xfId="0" applyNumberFormat="1" applyFont="1" applyFill="1" applyBorder="1" applyAlignment="1">
      <alignment horizontal="center" vertical="center"/>
    </xf>
    <xf numFmtId="164" fontId="9" fillId="10" borderId="6" xfId="0" applyNumberFormat="1" applyFont="1" applyFill="1" applyBorder="1" applyAlignment="1">
      <alignment horizontal="center" vertical="center"/>
    </xf>
    <xf numFmtId="9" fontId="9" fillId="10" borderId="20" xfId="0" applyNumberFormat="1" applyFont="1" applyFill="1" applyBorder="1" applyAlignment="1">
      <alignment horizontal="center" vertical="center"/>
    </xf>
    <xf numFmtId="164" fontId="9" fillId="11" borderId="17" xfId="0" applyNumberFormat="1" applyFont="1" applyFill="1" applyBorder="1" applyAlignment="1">
      <alignment horizontal="center" vertical="center"/>
    </xf>
    <xf numFmtId="164" fontId="9" fillId="11" borderId="20" xfId="0" applyNumberFormat="1" applyFont="1" applyFill="1" applyBorder="1" applyAlignment="1">
      <alignment horizontal="center" vertical="center"/>
    </xf>
    <xf numFmtId="164" fontId="9" fillId="11" borderId="6" xfId="0" applyNumberFormat="1" applyFont="1" applyFill="1" applyBorder="1" applyAlignment="1">
      <alignment horizontal="center" vertical="center"/>
    </xf>
    <xf numFmtId="9" fontId="9" fillId="11" borderId="20" xfId="0" applyNumberFormat="1" applyFont="1" applyFill="1" applyBorder="1" applyAlignment="1">
      <alignment horizontal="center" vertical="center"/>
    </xf>
    <xf numFmtId="9" fontId="24" fillId="9" borderId="57" xfId="0" applyNumberFormat="1" applyFont="1" applyFill="1" applyBorder="1" applyAlignment="1">
      <alignment horizontal="center" vertical="center"/>
    </xf>
    <xf numFmtId="0" fontId="8" fillId="9" borderId="33" xfId="0" applyFont="1" applyFill="1" applyBorder="1" applyAlignment="1">
      <alignment vertical="center"/>
    </xf>
    <xf numFmtId="0" fontId="130" fillId="11" borderId="4" xfId="0" applyFont="1" applyFill="1" applyBorder="1" applyAlignment="1">
      <alignment horizontal="center" vertical="center"/>
    </xf>
    <xf numFmtId="165" fontId="27" fillId="8" borderId="0" xfId="0" applyNumberFormat="1" applyFont="1" applyFill="1" applyAlignment="1">
      <alignment vertical="center"/>
    </xf>
    <xf numFmtId="0" fontId="126" fillId="0" borderId="0" xfId="1" applyFont="1" applyFill="1" applyBorder="1" applyAlignment="1">
      <alignment vertical="center"/>
    </xf>
    <xf numFmtId="0" fontId="132" fillId="0" borderId="0" xfId="0" applyFont="1"/>
    <xf numFmtId="0" fontId="133" fillId="0" borderId="0" xfId="0" applyFont="1"/>
    <xf numFmtId="0" fontId="134" fillId="26" borderId="5" xfId="0" applyFont="1" applyFill="1" applyBorder="1" applyAlignment="1">
      <alignment horizontal="center" vertical="center"/>
    </xf>
    <xf numFmtId="0" fontId="134" fillId="29" borderId="6" xfId="0" applyFont="1" applyFill="1" applyBorder="1" applyAlignment="1">
      <alignment horizontal="center"/>
    </xf>
    <xf numFmtId="0" fontId="134" fillId="13" borderId="7" xfId="0" applyFont="1" applyFill="1" applyBorder="1" applyAlignment="1">
      <alignment horizontal="center" vertical="center"/>
    </xf>
    <xf numFmtId="0" fontId="17" fillId="10" borderId="5" xfId="0" applyFont="1" applyFill="1" applyBorder="1"/>
    <xf numFmtId="0" fontId="17" fillId="10" borderId="82" xfId="0" applyFont="1" applyFill="1" applyBorder="1"/>
    <xf numFmtId="0" fontId="133" fillId="0" borderId="5" xfId="0" applyFont="1" applyBorder="1"/>
    <xf numFmtId="0" fontId="135" fillId="0" borderId="82" xfId="0" quotePrefix="1" applyFont="1" applyBorder="1"/>
    <xf numFmtId="0" fontId="133" fillId="0" borderId="10" xfId="0" applyFont="1" applyBorder="1"/>
    <xf numFmtId="0" fontId="135" fillId="0" borderId="84" xfId="0" quotePrefix="1" applyFont="1" applyBorder="1"/>
    <xf numFmtId="0" fontId="133" fillId="0" borderId="46" xfId="0" applyFont="1" applyBorder="1"/>
    <xf numFmtId="0" fontId="133" fillId="10" borderId="5" xfId="0" applyFont="1" applyFill="1" applyBorder="1"/>
    <xf numFmtId="0" fontId="133" fillId="10" borderId="82" xfId="0" applyFont="1" applyFill="1" applyBorder="1"/>
    <xf numFmtId="0" fontId="136" fillId="0" borderId="84" xfId="0" applyFont="1" applyBorder="1"/>
    <xf numFmtId="0" fontId="136" fillId="0" borderId="82" xfId="0" applyFont="1" applyBorder="1"/>
    <xf numFmtId="0" fontId="135" fillId="0" borderId="82" xfId="0" applyFont="1" applyBorder="1"/>
    <xf numFmtId="0" fontId="133" fillId="0" borderId="5" xfId="0" applyFont="1" applyBorder="1" applyAlignment="1">
      <alignment wrapText="1"/>
    </xf>
    <xf numFmtId="0" fontId="135" fillId="0" borderId="5" xfId="0" quotePrefix="1" applyFont="1" applyBorder="1"/>
    <xf numFmtId="0" fontId="133" fillId="0" borderId="2" xfId="0" applyFont="1" applyBorder="1"/>
    <xf numFmtId="0" fontId="137" fillId="0" borderId="0" xfId="0" applyFont="1"/>
    <xf numFmtId="0" fontId="8" fillId="0" borderId="0" xfId="0" applyFont="1"/>
    <xf numFmtId="0" fontId="15" fillId="3" borderId="0" xfId="0" applyFont="1" applyFill="1" applyAlignment="1">
      <alignment horizontal="right"/>
    </xf>
    <xf numFmtId="0" fontId="15" fillId="3" borderId="0" xfId="0" applyFont="1" applyFill="1" applyAlignment="1">
      <alignment horizontal="right" vertical="center"/>
    </xf>
    <xf numFmtId="0" fontId="24" fillId="3" borderId="0" xfId="0" applyFont="1" applyFill="1" applyAlignment="1">
      <alignment horizontal="right"/>
    </xf>
    <xf numFmtId="0" fontId="105" fillId="3" borderId="0" xfId="0" applyFont="1" applyFill="1" applyAlignment="1">
      <alignment horizontal="right"/>
    </xf>
    <xf numFmtId="0" fontId="13" fillId="3" borderId="0" xfId="0" applyFont="1" applyFill="1" applyAlignment="1">
      <alignment horizontal="right"/>
    </xf>
    <xf numFmtId="0" fontId="9" fillId="3" borderId="0" xfId="0" applyFont="1" applyFill="1" applyAlignment="1">
      <alignment horizontal="right"/>
    </xf>
    <xf numFmtId="0" fontId="10" fillId="3" borderId="0" xfId="0" applyFont="1" applyFill="1" applyAlignment="1">
      <alignment horizontal="right"/>
    </xf>
    <xf numFmtId="0" fontId="14" fillId="0" borderId="0" xfId="1"/>
    <xf numFmtId="0" fontId="104" fillId="0" borderId="0" xfId="1" applyFont="1" applyFill="1" applyBorder="1" applyAlignment="1">
      <alignment horizontal="center" vertical="center"/>
    </xf>
    <xf numFmtId="0" fontId="104" fillId="0" borderId="46" xfId="1" applyFont="1" applyFill="1" applyBorder="1" applyAlignment="1">
      <alignment horizontal="center" vertical="center"/>
    </xf>
    <xf numFmtId="164" fontId="26" fillId="9" borderId="80" xfId="0" applyNumberFormat="1" applyFont="1" applyFill="1" applyBorder="1" applyAlignment="1">
      <alignment horizontal="right"/>
    </xf>
    <xf numFmtId="3" fontId="26" fillId="9" borderId="80" xfId="0" applyNumberFormat="1" applyFont="1" applyFill="1" applyBorder="1" applyAlignment="1">
      <alignment horizontal="right"/>
    </xf>
    <xf numFmtId="0" fontId="13" fillId="9" borderId="0" xfId="0" applyFont="1" applyFill="1"/>
    <xf numFmtId="0" fontId="9" fillId="0" borderId="5" xfId="0" quotePrefix="1" applyFont="1" applyBorder="1" applyAlignment="1">
      <alignment horizontal="center" vertical="center"/>
    </xf>
    <xf numFmtId="165" fontId="24" fillId="3" borderId="80" xfId="0" quotePrefix="1" applyNumberFormat="1" applyFont="1" applyFill="1" applyBorder="1" applyAlignment="1">
      <alignment horizontal="right" vertical="center"/>
    </xf>
    <xf numFmtId="165" fontId="23" fillId="3" borderId="86" xfId="0" applyNumberFormat="1" applyFont="1" applyFill="1" applyBorder="1" applyAlignment="1">
      <alignment horizontal="left" vertical="center"/>
    </xf>
    <xf numFmtId="176" fontId="102" fillId="0" borderId="0" xfId="0" applyNumberFormat="1" applyFont="1" applyAlignment="1">
      <alignment horizontal="center" vertical="top"/>
    </xf>
    <xf numFmtId="20" fontId="23" fillId="6" borderId="7" xfId="0" quotePrefix="1" applyNumberFormat="1" applyFont="1" applyFill="1" applyBorder="1" applyAlignment="1">
      <alignment horizontal="center" vertical="center"/>
    </xf>
    <xf numFmtId="165" fontId="26" fillId="8" borderId="0" xfId="0" applyNumberFormat="1" applyFont="1" applyFill="1" applyAlignment="1">
      <alignment vertical="center"/>
    </xf>
    <xf numFmtId="4" fontId="51" fillId="4" borderId="55" xfId="0" applyNumberFormat="1" applyFont="1" applyFill="1" applyBorder="1" applyAlignment="1">
      <alignment horizontal="center" vertical="center" wrapText="1"/>
    </xf>
    <xf numFmtId="4" fontId="51" fillId="4" borderId="56" xfId="0" applyNumberFormat="1" applyFont="1" applyFill="1" applyBorder="1" applyAlignment="1">
      <alignment horizontal="center" vertical="center" wrapText="1"/>
    </xf>
    <xf numFmtId="4" fontId="51" fillId="4" borderId="57" xfId="0" applyNumberFormat="1" applyFont="1" applyFill="1" applyBorder="1" applyAlignment="1">
      <alignment horizontal="center" vertical="center" wrapText="1"/>
    </xf>
    <xf numFmtId="0" fontId="24" fillId="6" borderId="6" xfId="0" applyFont="1" applyFill="1" applyBorder="1" applyAlignment="1">
      <alignment horizontal="center"/>
    </xf>
    <xf numFmtId="0" fontId="24" fillId="6" borderId="14" xfId="0" applyFont="1" applyFill="1" applyBorder="1" applyAlignment="1">
      <alignment horizontal="center"/>
    </xf>
    <xf numFmtId="0" fontId="24" fillId="6" borderId="4" xfId="0" applyFont="1" applyFill="1" applyBorder="1" applyAlignment="1">
      <alignment horizontal="center"/>
    </xf>
    <xf numFmtId="0" fontId="24" fillId="6" borderId="5" xfId="0" applyFont="1" applyFill="1" applyBorder="1" applyAlignment="1">
      <alignment horizontal="center"/>
    </xf>
    <xf numFmtId="0" fontId="16" fillId="6" borderId="5" xfId="0" applyFont="1" applyFill="1" applyBorder="1" applyAlignment="1">
      <alignment horizontal="center"/>
    </xf>
    <xf numFmtId="0" fontId="23" fillId="6" borderId="5" xfId="0" applyFont="1" applyFill="1" applyBorder="1" applyAlignment="1">
      <alignment horizontal="center"/>
    </xf>
    <xf numFmtId="0" fontId="139" fillId="4" borderId="35" xfId="0" applyFont="1" applyFill="1" applyBorder="1" applyAlignment="1">
      <alignment horizontal="center" vertical="center" wrapText="1"/>
    </xf>
    <xf numFmtId="0" fontId="139" fillId="4" borderId="38" xfId="0" applyFont="1" applyFill="1" applyBorder="1" applyAlignment="1">
      <alignment horizontal="center" vertical="center" wrapText="1"/>
    </xf>
    <xf numFmtId="0" fontId="139" fillId="4" borderId="36" xfId="0" applyFont="1" applyFill="1" applyBorder="1" applyAlignment="1">
      <alignment horizontal="center" vertical="center" wrapText="1"/>
    </xf>
    <xf numFmtId="0" fontId="107" fillId="24" borderId="23" xfId="0" applyFont="1" applyFill="1" applyBorder="1" applyAlignment="1">
      <alignment horizontal="center" vertical="center"/>
    </xf>
    <xf numFmtId="0" fontId="107" fillId="24" borderId="24" xfId="0" applyFont="1" applyFill="1" applyBorder="1" applyAlignment="1">
      <alignment horizontal="center" vertical="center"/>
    </xf>
    <xf numFmtId="0" fontId="107" fillId="24" borderId="25" xfId="0" applyFont="1" applyFill="1" applyBorder="1" applyAlignment="1">
      <alignment horizontal="center" vertical="center"/>
    </xf>
    <xf numFmtId="0" fontId="55" fillId="4" borderId="31" xfId="0" applyFont="1" applyFill="1" applyBorder="1" applyAlignment="1">
      <alignment horizontal="center" vertical="center" wrapText="1"/>
    </xf>
    <xf numFmtId="0" fontId="55" fillId="4" borderId="37" xfId="0" applyFont="1" applyFill="1" applyBorder="1" applyAlignment="1">
      <alignment horizontal="center" vertical="center" wrapText="1"/>
    </xf>
    <xf numFmtId="0" fontId="55" fillId="4" borderId="32" xfId="0" applyFont="1" applyFill="1" applyBorder="1" applyAlignment="1">
      <alignment horizontal="center" vertical="center" wrapText="1"/>
    </xf>
    <xf numFmtId="0" fontId="55" fillId="4" borderId="33" xfId="0" applyFont="1" applyFill="1" applyBorder="1" applyAlignment="1">
      <alignment horizontal="center" vertical="center" wrapText="1"/>
    </xf>
    <xf numFmtId="0" fontId="55" fillId="4" borderId="0" xfId="0" applyFont="1" applyFill="1" applyAlignment="1">
      <alignment horizontal="center" vertical="center" wrapText="1"/>
    </xf>
    <xf numFmtId="0" fontId="55" fillId="4" borderId="34" xfId="0" applyFont="1" applyFill="1" applyBorder="1" applyAlignment="1">
      <alignment horizontal="center" vertical="center" wrapText="1"/>
    </xf>
    <xf numFmtId="0" fontId="55" fillId="4" borderId="35" xfId="0" applyFont="1" applyFill="1" applyBorder="1" applyAlignment="1">
      <alignment horizontal="center" vertical="center" wrapText="1"/>
    </xf>
    <xf numFmtId="0" fontId="55" fillId="4" borderId="38" xfId="0" applyFont="1" applyFill="1" applyBorder="1" applyAlignment="1">
      <alignment horizontal="center" vertical="center" wrapText="1"/>
    </xf>
    <xf numFmtId="0" fontId="55" fillId="4" borderId="36" xfId="0" applyFont="1" applyFill="1" applyBorder="1" applyAlignment="1">
      <alignment horizontal="center" vertical="center" wrapText="1"/>
    </xf>
    <xf numFmtId="0" fontId="40" fillId="4" borderId="31" xfId="0" applyFont="1" applyFill="1" applyBorder="1" applyAlignment="1">
      <alignment horizontal="center"/>
    </xf>
    <xf numFmtId="0" fontId="40" fillId="4" borderId="37" xfId="0" applyFont="1" applyFill="1" applyBorder="1" applyAlignment="1">
      <alignment horizontal="center"/>
    </xf>
    <xf numFmtId="0" fontId="40" fillId="4" borderId="32" xfId="0" applyFont="1" applyFill="1" applyBorder="1" applyAlignment="1">
      <alignment horizontal="center"/>
    </xf>
    <xf numFmtId="0" fontId="43" fillId="4" borderId="35" xfId="1" applyFont="1" applyFill="1" applyBorder="1" applyAlignment="1">
      <alignment horizontal="center"/>
    </xf>
    <xf numFmtId="0" fontId="43" fillId="4" borderId="38" xfId="1" applyFont="1" applyFill="1" applyBorder="1" applyAlignment="1">
      <alignment horizontal="center"/>
    </xf>
    <xf numFmtId="0" fontId="43" fillId="4" borderId="36" xfId="1" applyFont="1" applyFill="1" applyBorder="1" applyAlignment="1">
      <alignment horizontal="center"/>
    </xf>
    <xf numFmtId="0" fontId="60" fillId="9" borderId="5" xfId="0" applyFont="1" applyFill="1" applyBorder="1" applyAlignment="1">
      <alignment horizontal="center"/>
    </xf>
    <xf numFmtId="0" fontId="86" fillId="17" borderId="23" xfId="0" applyFont="1" applyFill="1" applyBorder="1" applyAlignment="1">
      <alignment horizontal="center" wrapText="1"/>
    </xf>
    <xf numFmtId="0" fontId="86" fillId="17" borderId="24" xfId="0" applyFont="1" applyFill="1" applyBorder="1" applyAlignment="1">
      <alignment horizontal="center" wrapText="1"/>
    </xf>
    <xf numFmtId="0" fontId="17" fillId="17" borderId="24" xfId="0" applyFont="1" applyFill="1" applyBorder="1" applyAlignment="1">
      <alignment horizontal="center" vertical="center" wrapText="1"/>
    </xf>
    <xf numFmtId="0" fontId="17" fillId="17" borderId="25" xfId="0" applyFont="1" applyFill="1" applyBorder="1" applyAlignment="1">
      <alignment horizontal="center" vertical="center" wrapText="1"/>
    </xf>
    <xf numFmtId="0" fontId="40" fillId="9" borderId="0" xfId="0" applyFont="1" applyFill="1" applyAlignment="1">
      <alignment horizontal="center" vertical="center" wrapText="1"/>
    </xf>
    <xf numFmtId="0" fontId="87" fillId="5" borderId="31" xfId="0" applyFont="1" applyFill="1" applyBorder="1" applyAlignment="1">
      <alignment horizontal="left" vertical="center" wrapText="1"/>
    </xf>
    <xf numFmtId="0" fontId="87" fillId="5" borderId="37" xfId="0" applyFont="1" applyFill="1" applyBorder="1" applyAlignment="1">
      <alignment horizontal="left" vertical="center" wrapText="1"/>
    </xf>
    <xf numFmtId="0" fontId="87" fillId="5" borderId="32" xfId="0" applyFont="1" applyFill="1" applyBorder="1" applyAlignment="1">
      <alignment horizontal="left" vertical="center" wrapText="1"/>
    </xf>
    <xf numFmtId="0" fontId="87" fillId="5" borderId="33" xfId="0" applyFont="1" applyFill="1" applyBorder="1" applyAlignment="1">
      <alignment horizontal="left" vertical="center" wrapText="1"/>
    </xf>
    <xf numFmtId="0" fontId="87" fillId="5" borderId="0" xfId="0" applyFont="1" applyFill="1" applyAlignment="1">
      <alignment horizontal="left" vertical="center" wrapText="1"/>
    </xf>
    <xf numFmtId="0" fontId="87" fillId="5" borderId="34" xfId="0" applyFont="1" applyFill="1" applyBorder="1" applyAlignment="1">
      <alignment horizontal="left" vertical="center" wrapText="1"/>
    </xf>
    <xf numFmtId="0" fontId="87" fillId="5" borderId="35" xfId="0" applyFont="1" applyFill="1" applyBorder="1" applyAlignment="1">
      <alignment horizontal="left" vertical="center" wrapText="1"/>
    </xf>
    <xf numFmtId="0" fontId="87" fillId="5" borderId="38" xfId="0" applyFont="1" applyFill="1" applyBorder="1" applyAlignment="1">
      <alignment horizontal="left" vertical="center" wrapText="1"/>
    </xf>
    <xf numFmtId="0" fontId="87" fillId="5" borderId="36" xfId="0" applyFont="1" applyFill="1" applyBorder="1" applyAlignment="1">
      <alignment horizontal="left" vertical="center" wrapText="1"/>
    </xf>
    <xf numFmtId="0" fontId="87" fillId="2" borderId="31" xfId="0" applyFont="1" applyFill="1" applyBorder="1" applyAlignment="1">
      <alignment horizontal="left" vertical="center" wrapText="1"/>
    </xf>
    <xf numFmtId="0" fontId="87" fillId="2" borderId="37" xfId="0" applyFont="1" applyFill="1" applyBorder="1" applyAlignment="1">
      <alignment horizontal="left" vertical="center" wrapText="1"/>
    </xf>
    <xf numFmtId="0" fontId="87" fillId="2" borderId="32" xfId="0" applyFont="1" applyFill="1" applyBorder="1" applyAlignment="1">
      <alignment horizontal="left" vertical="center" wrapText="1"/>
    </xf>
    <xf numFmtId="0" fontId="87" fillId="2" borderId="33"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34" xfId="0" applyFont="1" applyFill="1" applyBorder="1" applyAlignment="1">
      <alignment horizontal="left" vertical="center" wrapText="1"/>
    </xf>
    <xf numFmtId="0" fontId="87" fillId="2" borderId="35" xfId="0" applyFont="1" applyFill="1" applyBorder="1" applyAlignment="1">
      <alignment horizontal="left" vertical="center" wrapText="1"/>
    </xf>
    <xf numFmtId="0" fontId="87" fillId="2" borderId="38" xfId="0" applyFont="1" applyFill="1" applyBorder="1" applyAlignment="1">
      <alignment horizontal="left" vertical="center" wrapText="1"/>
    </xf>
    <xf numFmtId="0" fontId="87" fillId="2" borderId="36" xfId="0" applyFont="1" applyFill="1" applyBorder="1" applyAlignment="1">
      <alignment horizontal="left" vertical="center" wrapText="1"/>
    </xf>
    <xf numFmtId="0" fontId="87" fillId="4" borderId="31" xfId="0" applyFont="1" applyFill="1" applyBorder="1" applyAlignment="1">
      <alignment horizontal="left" vertical="center" wrapText="1"/>
    </xf>
    <xf numFmtId="0" fontId="87" fillId="4" borderId="37" xfId="0" applyFont="1" applyFill="1" applyBorder="1" applyAlignment="1">
      <alignment horizontal="left" vertical="center" wrapText="1"/>
    </xf>
    <xf numFmtId="0" fontId="87" fillId="4" borderId="32" xfId="0" applyFont="1" applyFill="1" applyBorder="1" applyAlignment="1">
      <alignment horizontal="left" vertical="center" wrapText="1"/>
    </xf>
    <xf numFmtId="0" fontId="87" fillId="4" borderId="33" xfId="0" applyFont="1" applyFill="1" applyBorder="1" applyAlignment="1">
      <alignment horizontal="left" vertical="center" wrapText="1"/>
    </xf>
    <xf numFmtId="0" fontId="87" fillId="4" borderId="0" xfId="0" applyFont="1" applyFill="1" applyAlignment="1">
      <alignment horizontal="left" vertical="center" wrapText="1"/>
    </xf>
    <xf numFmtId="0" fontId="87" fillId="4" borderId="34" xfId="0" applyFont="1" applyFill="1" applyBorder="1" applyAlignment="1">
      <alignment horizontal="left" vertical="center" wrapText="1"/>
    </xf>
    <xf numFmtId="0" fontId="87" fillId="4" borderId="35" xfId="0" applyFont="1" applyFill="1" applyBorder="1" applyAlignment="1">
      <alignment horizontal="left" vertical="center" wrapText="1"/>
    </xf>
    <xf numFmtId="0" fontId="87" fillId="4" borderId="38" xfId="0" applyFont="1" applyFill="1" applyBorder="1" applyAlignment="1">
      <alignment horizontal="left" vertical="center" wrapText="1"/>
    </xf>
    <xf numFmtId="0" fontId="87" fillId="4" borderId="36" xfId="0" applyFont="1" applyFill="1" applyBorder="1" applyAlignment="1">
      <alignment horizontal="left" vertical="center" wrapText="1"/>
    </xf>
    <xf numFmtId="3" fontId="51" fillId="4" borderId="23" xfId="0" applyNumberFormat="1" applyFont="1" applyFill="1" applyBorder="1" applyAlignment="1">
      <alignment horizontal="center"/>
    </xf>
    <xf numFmtId="3" fontId="51" fillId="4" borderId="24" xfId="0" applyNumberFormat="1" applyFont="1" applyFill="1" applyBorder="1" applyAlignment="1">
      <alignment horizontal="center"/>
    </xf>
    <xf numFmtId="3" fontId="51" fillId="4" borderId="25" xfId="0" applyNumberFormat="1" applyFont="1" applyFill="1" applyBorder="1" applyAlignment="1">
      <alignment horizontal="center"/>
    </xf>
    <xf numFmtId="0" fontId="17" fillId="4" borderId="33"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34" xfId="0" applyFont="1" applyFill="1" applyBorder="1" applyAlignment="1">
      <alignment horizontal="center" vertical="center" wrapText="1"/>
    </xf>
    <xf numFmtId="0" fontId="65" fillId="4" borderId="33" xfId="0" applyFont="1" applyFill="1" applyBorder="1" applyAlignment="1">
      <alignment horizontal="center" vertical="center" wrapText="1"/>
    </xf>
    <xf numFmtId="0" fontId="65" fillId="4" borderId="0" xfId="0" applyFont="1" applyFill="1" applyAlignment="1">
      <alignment horizontal="center" vertical="center" wrapText="1"/>
    </xf>
    <xf numFmtId="0" fontId="65" fillId="4" borderId="34" xfId="0" applyFont="1" applyFill="1" applyBorder="1" applyAlignment="1">
      <alignment horizontal="center" vertical="center" wrapText="1"/>
    </xf>
    <xf numFmtId="0" fontId="17" fillId="9" borderId="59" xfId="0" applyFont="1" applyFill="1" applyBorder="1" applyAlignment="1">
      <alignment horizontal="center"/>
    </xf>
    <xf numFmtId="0" fontId="17" fillId="9" borderId="60" xfId="0" applyFont="1" applyFill="1" applyBorder="1" applyAlignment="1">
      <alignment horizontal="center"/>
    </xf>
    <xf numFmtId="0" fontId="17" fillId="9" borderId="58" xfId="0" applyFont="1" applyFill="1" applyBorder="1" applyAlignment="1">
      <alignment horizontal="center"/>
    </xf>
    <xf numFmtId="0" fontId="60" fillId="9" borderId="59" xfId="0" applyFont="1" applyFill="1" applyBorder="1" applyAlignment="1">
      <alignment horizontal="center"/>
    </xf>
    <xf numFmtId="0" fontId="60" fillId="9" borderId="58" xfId="0" applyFont="1" applyFill="1" applyBorder="1" applyAlignment="1">
      <alignment horizontal="center"/>
    </xf>
    <xf numFmtId="0" fontId="94" fillId="4" borderId="16" xfId="0" applyFont="1" applyFill="1" applyBorder="1" applyAlignment="1">
      <alignment horizontal="center" vertical="center" wrapText="1"/>
    </xf>
    <xf numFmtId="0" fontId="94" fillId="4" borderId="74" xfId="0" applyFont="1" applyFill="1" applyBorder="1" applyAlignment="1">
      <alignment horizontal="center" vertical="center" wrapText="1"/>
    </xf>
    <xf numFmtId="164" fontId="24" fillId="10" borderId="48" xfId="0" applyNumberFormat="1" applyFont="1" applyFill="1" applyBorder="1" applyAlignment="1">
      <alignment horizontal="left" vertical="center"/>
    </xf>
    <xf numFmtId="164" fontId="24" fillId="10" borderId="24" xfId="0" applyNumberFormat="1" applyFont="1" applyFill="1" applyBorder="1" applyAlignment="1">
      <alignment horizontal="left" vertical="center"/>
    </xf>
    <xf numFmtId="164" fontId="24" fillId="10" borderId="49" xfId="0" applyNumberFormat="1" applyFont="1" applyFill="1" applyBorder="1" applyAlignment="1">
      <alignment horizontal="left" vertical="center"/>
    </xf>
    <xf numFmtId="164" fontId="11" fillId="11" borderId="48" xfId="0" applyNumberFormat="1" applyFont="1" applyFill="1" applyBorder="1" applyAlignment="1">
      <alignment horizontal="left" vertical="center"/>
    </xf>
    <xf numFmtId="164" fontId="11" fillId="11" borderId="24" xfId="0" applyNumberFormat="1" applyFont="1" applyFill="1" applyBorder="1" applyAlignment="1">
      <alignment horizontal="left" vertical="center"/>
    </xf>
    <xf numFmtId="164" fontId="11" fillId="11" borderId="49" xfId="0" applyNumberFormat="1" applyFont="1" applyFill="1" applyBorder="1" applyAlignment="1">
      <alignment horizontal="left" vertical="center"/>
    </xf>
    <xf numFmtId="165" fontId="56" fillId="0" borderId="52" xfId="0" applyNumberFormat="1" applyFont="1" applyBorder="1" applyAlignment="1">
      <alignment horizontal="left" vertical="center" wrapText="1"/>
    </xf>
    <xf numFmtId="165" fontId="56" fillId="0" borderId="53" xfId="0" applyNumberFormat="1" applyFont="1" applyBorder="1" applyAlignment="1">
      <alignment horizontal="left" vertical="center" wrapText="1"/>
    </xf>
    <xf numFmtId="4" fontId="50" fillId="0" borderId="30" xfId="0" applyNumberFormat="1" applyFont="1" applyBorder="1" applyAlignment="1">
      <alignment horizontal="center" vertical="center"/>
    </xf>
    <xf numFmtId="4" fontId="50" fillId="0" borderId="29" xfId="0" applyNumberFormat="1" applyFont="1" applyBorder="1" applyAlignment="1">
      <alignment horizontal="center" vertical="center"/>
    </xf>
    <xf numFmtId="0" fontId="22" fillId="9" borderId="0" xfId="0" applyFont="1" applyFill="1" applyAlignment="1">
      <alignment horizontal="center" vertical="center" wrapText="1"/>
    </xf>
    <xf numFmtId="4" fontId="59" fillId="0" borderId="52" xfId="0" quotePrefix="1" applyNumberFormat="1" applyFont="1" applyBorder="1" applyAlignment="1">
      <alignment horizontal="center" vertical="center" wrapText="1"/>
    </xf>
    <xf numFmtId="4" fontId="59" fillId="0" borderId="68" xfId="0" quotePrefix="1" applyNumberFormat="1" applyFont="1" applyBorder="1" applyAlignment="1">
      <alignment horizontal="center" vertical="center" wrapText="1"/>
    </xf>
    <xf numFmtId="4" fontId="59" fillId="0" borderId="53" xfId="0" quotePrefix="1" applyNumberFormat="1" applyFont="1" applyBorder="1" applyAlignment="1">
      <alignment horizontal="center" vertical="center" wrapText="1"/>
    </xf>
    <xf numFmtId="4" fontId="59" fillId="0" borderId="76" xfId="0" quotePrefix="1" applyNumberFormat="1" applyFont="1" applyBorder="1" applyAlignment="1">
      <alignment horizontal="center" vertical="center" wrapText="1"/>
    </xf>
    <xf numFmtId="4" fontId="59" fillId="0" borderId="0" xfId="0" quotePrefix="1" applyNumberFormat="1" applyFont="1" applyAlignment="1">
      <alignment horizontal="center" vertical="center" wrapText="1"/>
    </xf>
    <xf numFmtId="4" fontId="59" fillId="0" borderId="69" xfId="0" quotePrefix="1" applyNumberFormat="1" applyFont="1" applyBorder="1" applyAlignment="1">
      <alignment horizontal="center" vertical="center" wrapText="1"/>
    </xf>
    <xf numFmtId="4" fontId="59" fillId="0" borderId="85" xfId="0" quotePrefix="1" applyNumberFormat="1" applyFont="1" applyBorder="1" applyAlignment="1">
      <alignment horizontal="center" vertical="center" wrapText="1"/>
    </xf>
    <xf numFmtId="4" fontId="59" fillId="0" borderId="70" xfId="0" quotePrefix="1" applyNumberFormat="1" applyFont="1" applyBorder="1" applyAlignment="1">
      <alignment horizontal="center" vertical="center" wrapText="1"/>
    </xf>
    <xf numFmtId="4" fontId="59" fillId="0" borderId="71" xfId="0" quotePrefix="1" applyNumberFormat="1" applyFont="1" applyBorder="1" applyAlignment="1">
      <alignment horizontal="center" vertical="center" wrapText="1"/>
    </xf>
    <xf numFmtId="164" fontId="44" fillId="9" borderId="31" xfId="0" applyNumberFormat="1" applyFont="1" applyFill="1" applyBorder="1" applyAlignment="1">
      <alignment horizontal="left" vertical="center" wrapText="1"/>
    </xf>
    <xf numFmtId="164" fontId="44" fillId="9" borderId="37" xfId="0" applyNumberFormat="1" applyFont="1" applyFill="1" applyBorder="1" applyAlignment="1">
      <alignment horizontal="left" vertical="center" wrapText="1"/>
    </xf>
    <xf numFmtId="164" fontId="44" fillId="9" borderId="33" xfId="0" applyNumberFormat="1" applyFont="1" applyFill="1" applyBorder="1" applyAlignment="1">
      <alignment horizontal="left" vertical="center" wrapText="1"/>
    </xf>
    <xf numFmtId="164" fontId="44" fillId="9" borderId="0" xfId="0" applyNumberFormat="1" applyFont="1" applyFill="1" applyAlignment="1">
      <alignment horizontal="left" vertical="center" wrapText="1"/>
    </xf>
    <xf numFmtId="164" fontId="44" fillId="9" borderId="35" xfId="0" applyNumberFormat="1" applyFont="1" applyFill="1" applyBorder="1" applyAlignment="1">
      <alignment horizontal="left" vertical="center" wrapText="1"/>
    </xf>
    <xf numFmtId="164" fontId="44" fillId="9" borderId="38" xfId="0" applyNumberFormat="1" applyFont="1" applyFill="1" applyBorder="1" applyAlignment="1">
      <alignment horizontal="left" vertical="center" wrapText="1"/>
    </xf>
    <xf numFmtId="3" fontId="10" fillId="10" borderId="16" xfId="0" applyNumberFormat="1" applyFont="1" applyFill="1" applyBorder="1" applyAlignment="1">
      <alignment horizontal="center" vertical="center"/>
    </xf>
    <xf numFmtId="3" fontId="10" fillId="10" borderId="22" xfId="0" applyNumberFormat="1" applyFont="1" applyFill="1" applyBorder="1" applyAlignment="1">
      <alignment horizontal="center" vertical="center"/>
    </xf>
    <xf numFmtId="3" fontId="10" fillId="10" borderId="19" xfId="0" applyNumberFormat="1" applyFont="1" applyFill="1" applyBorder="1" applyAlignment="1">
      <alignment horizontal="center" vertical="center"/>
    </xf>
    <xf numFmtId="3" fontId="10" fillId="11" borderId="16" xfId="0" applyNumberFormat="1" applyFont="1" applyFill="1" applyBorder="1" applyAlignment="1">
      <alignment horizontal="center" vertical="center" wrapText="1"/>
    </xf>
    <xf numFmtId="3" fontId="10" fillId="11" borderId="19" xfId="0" applyNumberFormat="1" applyFont="1" applyFill="1" applyBorder="1" applyAlignment="1">
      <alignment horizontal="center" vertical="center" wrapText="1"/>
    </xf>
    <xf numFmtId="164" fontId="11" fillId="10" borderId="17" xfId="0" applyNumberFormat="1" applyFont="1" applyFill="1" applyBorder="1" applyAlignment="1">
      <alignment horizontal="center" vertical="center"/>
    </xf>
    <xf numFmtId="164" fontId="11" fillId="10" borderId="12" xfId="0" applyNumberFormat="1" applyFont="1" applyFill="1" applyBorder="1" applyAlignment="1">
      <alignment horizontal="center" vertical="center"/>
    </xf>
    <xf numFmtId="164" fontId="11" fillId="10" borderId="17" xfId="0" applyNumberFormat="1" applyFont="1" applyFill="1" applyBorder="1" applyAlignment="1">
      <alignment horizontal="left" vertical="center"/>
    </xf>
    <xf numFmtId="164" fontId="11" fillId="10" borderId="12" xfId="0" applyNumberFormat="1" applyFont="1" applyFill="1" applyBorder="1" applyAlignment="1">
      <alignment horizontal="left" vertical="center"/>
    </xf>
    <xf numFmtId="164" fontId="11" fillId="10" borderId="18" xfId="0" applyNumberFormat="1" applyFont="1" applyFill="1" applyBorder="1" applyAlignment="1">
      <alignment horizontal="left" vertical="center"/>
    </xf>
    <xf numFmtId="164" fontId="11" fillId="11" borderId="20" xfId="0" applyNumberFormat="1" applyFont="1" applyFill="1" applyBorder="1" applyAlignment="1">
      <alignment horizontal="left" vertical="center"/>
    </xf>
    <xf numFmtId="164" fontId="11" fillId="11" borderId="44" xfId="0" applyNumberFormat="1" applyFont="1" applyFill="1" applyBorder="1" applyAlignment="1">
      <alignment horizontal="left" vertical="center"/>
    </xf>
    <xf numFmtId="164" fontId="11" fillId="11" borderId="21" xfId="0" applyNumberFormat="1" applyFont="1" applyFill="1" applyBorder="1" applyAlignment="1">
      <alignment horizontal="left" vertical="center"/>
    </xf>
    <xf numFmtId="164" fontId="11" fillId="11" borderId="17" xfId="0" applyNumberFormat="1" applyFont="1" applyFill="1" applyBorder="1" applyAlignment="1">
      <alignment horizontal="left" vertical="center"/>
    </xf>
    <xf numFmtId="164" fontId="11" fillId="11" borderId="12" xfId="0" applyNumberFormat="1" applyFont="1" applyFill="1" applyBorder="1" applyAlignment="1">
      <alignment horizontal="left" vertical="center"/>
    </xf>
    <xf numFmtId="164" fontId="11" fillId="11" borderId="18" xfId="0" applyNumberFormat="1" applyFont="1" applyFill="1" applyBorder="1" applyAlignment="1">
      <alignment horizontal="left" vertical="center"/>
    </xf>
    <xf numFmtId="164" fontId="11" fillId="10" borderId="6" xfId="0" applyNumberFormat="1" applyFont="1" applyFill="1" applyBorder="1" applyAlignment="1">
      <alignment horizontal="left" vertical="center"/>
    </xf>
    <xf numFmtId="164" fontId="11" fillId="10" borderId="14" xfId="0" applyNumberFormat="1" applyFont="1" applyFill="1" applyBorder="1" applyAlignment="1">
      <alignment horizontal="left" vertical="center"/>
    </xf>
    <xf numFmtId="164" fontId="11" fillId="10" borderId="4" xfId="0" applyNumberFormat="1" applyFont="1" applyFill="1" applyBorder="1" applyAlignment="1">
      <alignment horizontal="left" vertical="center"/>
    </xf>
    <xf numFmtId="164" fontId="11" fillId="10" borderId="20" xfId="0" applyNumberFormat="1" applyFont="1" applyFill="1" applyBorder="1" applyAlignment="1">
      <alignment horizontal="left" vertical="center"/>
    </xf>
    <xf numFmtId="164" fontId="11" fillId="10" borderId="44" xfId="0" applyNumberFormat="1" applyFont="1" applyFill="1" applyBorder="1" applyAlignment="1">
      <alignment horizontal="left" vertical="center"/>
    </xf>
    <xf numFmtId="164" fontId="11" fillId="10" borderId="21" xfId="0" applyNumberFormat="1" applyFont="1" applyFill="1" applyBorder="1" applyAlignment="1">
      <alignment horizontal="left" vertical="center"/>
    </xf>
    <xf numFmtId="164" fontId="11" fillId="10" borderId="48" xfId="0" applyNumberFormat="1" applyFont="1" applyFill="1" applyBorder="1" applyAlignment="1">
      <alignment horizontal="left" vertical="center"/>
    </xf>
    <xf numFmtId="164" fontId="11" fillId="10" borderId="24" xfId="0" applyNumberFormat="1" applyFont="1" applyFill="1" applyBorder="1" applyAlignment="1">
      <alignment horizontal="left" vertical="center"/>
    </xf>
    <xf numFmtId="164" fontId="11" fillId="10" borderId="49" xfId="0" applyNumberFormat="1" applyFont="1" applyFill="1" applyBorder="1" applyAlignment="1">
      <alignment horizontal="left" vertical="center"/>
    </xf>
    <xf numFmtId="0" fontId="124" fillId="24" borderId="23" xfId="0" applyFont="1" applyFill="1" applyBorder="1" applyAlignment="1">
      <alignment horizontal="center"/>
    </xf>
    <xf numFmtId="0" fontId="124" fillId="24" borderId="24" xfId="0" applyFont="1" applyFill="1" applyBorder="1" applyAlignment="1">
      <alignment horizontal="center"/>
    </xf>
    <xf numFmtId="0" fontId="124" fillId="24" borderId="25" xfId="0" applyFont="1" applyFill="1" applyBorder="1" applyAlignment="1">
      <alignment horizontal="center"/>
    </xf>
    <xf numFmtId="0" fontId="124" fillId="29" borderId="23" xfId="0" applyFont="1" applyFill="1" applyBorder="1" applyAlignment="1">
      <alignment horizontal="center"/>
    </xf>
    <xf numFmtId="0" fontId="124" fillId="29" borderId="24" xfId="0" applyFont="1" applyFill="1" applyBorder="1" applyAlignment="1">
      <alignment horizontal="center"/>
    </xf>
    <xf numFmtId="0" fontId="124" fillId="29" borderId="25" xfId="0" applyFont="1" applyFill="1" applyBorder="1" applyAlignment="1">
      <alignment horizontal="center"/>
    </xf>
    <xf numFmtId="0" fontId="124" fillId="13" borderId="23" xfId="0" applyFont="1" applyFill="1" applyBorder="1" applyAlignment="1">
      <alignment horizontal="center"/>
    </xf>
    <xf numFmtId="0" fontId="124" fillId="13" borderId="24" xfId="0" applyFont="1" applyFill="1" applyBorder="1" applyAlignment="1">
      <alignment horizontal="center"/>
    </xf>
    <xf numFmtId="0" fontId="124" fillId="13" borderId="25" xfId="0" applyFont="1" applyFill="1" applyBorder="1" applyAlignment="1">
      <alignment horizontal="center"/>
    </xf>
    <xf numFmtId="0" fontId="124" fillId="26" borderId="5" xfId="0" applyFont="1" applyFill="1" applyBorder="1" applyAlignment="1">
      <alignment horizontal="center" vertical="center"/>
    </xf>
    <xf numFmtId="0" fontId="124" fillId="29" borderId="6" xfId="0" applyFont="1" applyFill="1" applyBorder="1" applyAlignment="1">
      <alignment horizontal="center"/>
    </xf>
    <xf numFmtId="0" fontId="124" fillId="29" borderId="14" xfId="0" applyFont="1" applyFill="1" applyBorder="1" applyAlignment="1">
      <alignment horizontal="center"/>
    </xf>
    <xf numFmtId="0" fontId="124" fillId="29" borderId="82" xfId="0" applyFont="1" applyFill="1" applyBorder="1" applyAlignment="1">
      <alignment horizontal="center"/>
    </xf>
    <xf numFmtId="0" fontId="124" fillId="13" borderId="7" xfId="0" applyFont="1" applyFill="1" applyBorder="1" applyAlignment="1">
      <alignment horizontal="center" vertical="center"/>
    </xf>
    <xf numFmtId="0" fontId="16" fillId="0" borderId="0" xfId="0" applyFont="1" applyAlignment="1">
      <alignment horizontal="left" vertical="center"/>
    </xf>
    <xf numFmtId="3" fontId="46" fillId="25" borderId="0" xfId="0" applyNumberFormat="1" applyFont="1" applyFill="1" applyAlignment="1">
      <alignment horizontal="center"/>
    </xf>
    <xf numFmtId="2" fontId="2" fillId="0" borderId="0" xfId="0" applyNumberFormat="1" applyFont="1" applyAlignment="1">
      <alignment horizontal="center"/>
    </xf>
    <xf numFmtId="0" fontId="2" fillId="0" borderId="66" xfId="0" applyFont="1" applyBorder="1" applyAlignment="1">
      <alignment horizontal="center"/>
    </xf>
    <xf numFmtId="2" fontId="1" fillId="0" borderId="0" xfId="0" applyNumberFormat="1" applyFont="1" applyAlignment="1">
      <alignment horizontal="center"/>
    </xf>
    <xf numFmtId="2" fontId="1" fillId="15" borderId="31" xfId="0" applyNumberFormat="1" applyFont="1" applyFill="1" applyBorder="1" applyAlignment="1">
      <alignment horizontal="center"/>
    </xf>
    <xf numFmtId="2" fontId="1" fillId="15" borderId="32" xfId="0" applyNumberFormat="1" applyFont="1" applyFill="1" applyBorder="1" applyAlignment="1">
      <alignment horizontal="center"/>
    </xf>
    <xf numFmtId="2" fontId="1" fillId="15" borderId="33" xfId="0" applyNumberFormat="1" applyFont="1" applyFill="1" applyBorder="1" applyAlignment="1">
      <alignment horizontal="center"/>
    </xf>
    <xf numFmtId="2" fontId="1" fillId="15" borderId="34" xfId="0" applyNumberFormat="1" applyFont="1" applyFill="1" applyBorder="1" applyAlignment="1">
      <alignment horizontal="center"/>
    </xf>
    <xf numFmtId="2" fontId="46" fillId="16" borderId="31" xfId="0" applyNumberFormat="1" applyFont="1" applyFill="1" applyBorder="1" applyAlignment="1">
      <alignment horizontal="center"/>
    </xf>
    <xf numFmtId="2" fontId="46" fillId="16" borderId="32" xfId="0" applyNumberFormat="1" applyFont="1" applyFill="1" applyBorder="1" applyAlignment="1">
      <alignment horizontal="center"/>
    </xf>
    <xf numFmtId="2" fontId="46" fillId="13" borderId="31" xfId="0" applyNumberFormat="1" applyFont="1" applyFill="1" applyBorder="1" applyAlignment="1">
      <alignment horizontal="center"/>
    </xf>
    <xf numFmtId="2" fontId="46" fillId="13" borderId="32" xfId="0" applyNumberFormat="1" applyFont="1" applyFill="1" applyBorder="1" applyAlignment="1">
      <alignment horizontal="center"/>
    </xf>
    <xf numFmtId="2" fontId="46" fillId="12" borderId="31" xfId="0" applyNumberFormat="1" applyFont="1" applyFill="1" applyBorder="1" applyAlignment="1">
      <alignment horizontal="center"/>
    </xf>
    <xf numFmtId="2" fontId="46" fillId="12" borderId="37" xfId="0" applyNumberFormat="1" applyFont="1" applyFill="1" applyBorder="1" applyAlignment="1">
      <alignment horizontal="center"/>
    </xf>
    <xf numFmtId="2" fontId="46" fillId="14" borderId="37" xfId="0" applyNumberFormat="1" applyFont="1" applyFill="1" applyBorder="1" applyAlignment="1">
      <alignment horizontal="center"/>
    </xf>
    <xf numFmtId="2" fontId="1" fillId="15" borderId="37" xfId="0" applyNumberFormat="1" applyFont="1" applyFill="1" applyBorder="1" applyAlignment="1">
      <alignment horizontal="center"/>
    </xf>
    <xf numFmtId="2" fontId="2" fillId="0" borderId="38" xfId="0" applyNumberFormat="1" applyFont="1" applyBorder="1" applyAlignment="1">
      <alignment horizontal="center"/>
    </xf>
    <xf numFmtId="2" fontId="46" fillId="16" borderId="33" xfId="0" applyNumberFormat="1" applyFont="1" applyFill="1" applyBorder="1" applyAlignment="1">
      <alignment horizontal="center"/>
    </xf>
    <xf numFmtId="2" fontId="46" fillId="16" borderId="34" xfId="0" applyNumberFormat="1" applyFont="1" applyFill="1" applyBorder="1" applyAlignment="1">
      <alignment horizontal="center"/>
    </xf>
    <xf numFmtId="2" fontId="46" fillId="13" borderId="33" xfId="0" applyNumberFormat="1" applyFont="1" applyFill="1" applyBorder="1" applyAlignment="1">
      <alignment horizontal="center"/>
    </xf>
    <xf numFmtId="2" fontId="46" fillId="13" borderId="34" xfId="0" applyNumberFormat="1" applyFont="1" applyFill="1" applyBorder="1" applyAlignment="1">
      <alignment horizontal="center"/>
    </xf>
    <xf numFmtId="0" fontId="2" fillId="0" borderId="46" xfId="0" applyFont="1" applyBorder="1" applyAlignment="1">
      <alignment horizontal="center"/>
    </xf>
    <xf numFmtId="2" fontId="46" fillId="13" borderId="5" xfId="0" applyNumberFormat="1" applyFont="1" applyFill="1" applyBorder="1" applyAlignment="1">
      <alignment horizontal="center"/>
    </xf>
    <xf numFmtId="2" fontId="46" fillId="13" borderId="6" xfId="0" applyNumberFormat="1" applyFont="1" applyFill="1" applyBorder="1" applyAlignment="1">
      <alignment horizontal="center"/>
    </xf>
    <xf numFmtId="2" fontId="46" fillId="13" borderId="14" xfId="0" applyNumberFormat="1" applyFont="1" applyFill="1" applyBorder="1" applyAlignment="1">
      <alignment horizontal="center"/>
    </xf>
    <xf numFmtId="2" fontId="46" fillId="13" borderId="4" xfId="0" applyNumberFormat="1" applyFont="1" applyFill="1" applyBorder="1" applyAlignment="1">
      <alignment horizontal="center"/>
    </xf>
    <xf numFmtId="2" fontId="46" fillId="12" borderId="32" xfId="0" applyNumberFormat="1" applyFont="1" applyFill="1" applyBorder="1" applyAlignment="1">
      <alignment horizontal="center"/>
    </xf>
    <xf numFmtId="2" fontId="46" fillId="12" borderId="63" xfId="0" applyNumberFormat="1" applyFont="1" applyFill="1" applyBorder="1" applyAlignment="1">
      <alignment horizontal="center"/>
    </xf>
    <xf numFmtId="2" fontId="46" fillId="12" borderId="42" xfId="0" applyNumberFormat="1" applyFont="1" applyFill="1" applyBorder="1" applyAlignment="1">
      <alignment horizontal="center"/>
    </xf>
    <xf numFmtId="0" fontId="1" fillId="20" borderId="42" xfId="0" applyFont="1" applyFill="1" applyBorder="1" applyAlignment="1">
      <alignment horizontal="center"/>
    </xf>
    <xf numFmtId="0" fontId="1" fillId="20" borderId="67" xfId="0" applyFont="1" applyFill="1" applyBorder="1" applyAlignment="1">
      <alignment horizontal="center"/>
    </xf>
    <xf numFmtId="0" fontId="1" fillId="14" borderId="42" xfId="0" applyFont="1" applyFill="1" applyBorder="1" applyAlignment="1">
      <alignment horizontal="center"/>
    </xf>
    <xf numFmtId="0" fontId="1" fillId="14" borderId="67" xfId="0" applyFont="1" applyFill="1" applyBorder="1" applyAlignment="1">
      <alignment horizontal="center"/>
    </xf>
    <xf numFmtId="0" fontId="2" fillId="0" borderId="42" xfId="0" applyFont="1" applyBorder="1" applyAlignment="1">
      <alignment horizontal="center"/>
    </xf>
    <xf numFmtId="2" fontId="46" fillId="14" borderId="63" xfId="0" applyNumberFormat="1" applyFont="1" applyFill="1" applyBorder="1" applyAlignment="1">
      <alignment horizontal="center"/>
    </xf>
    <xf numFmtId="2" fontId="46" fillId="14" borderId="42" xfId="0" applyNumberFormat="1" applyFont="1" applyFill="1" applyBorder="1" applyAlignment="1">
      <alignment horizontal="center"/>
    </xf>
    <xf numFmtId="2" fontId="46" fillId="8" borderId="63" xfId="0" applyNumberFormat="1" applyFont="1" applyFill="1" applyBorder="1" applyAlignment="1">
      <alignment horizontal="center"/>
    </xf>
    <xf numFmtId="2" fontId="46" fillId="8" borderId="42" xfId="0" applyNumberFormat="1" applyFont="1" applyFill="1" applyBorder="1" applyAlignment="1">
      <alignment horizontal="center"/>
    </xf>
    <xf numFmtId="0" fontId="1" fillId="0" borderId="0" xfId="0" applyFont="1" applyAlignment="1">
      <alignment horizontal="center"/>
    </xf>
    <xf numFmtId="2" fontId="46" fillId="13" borderId="63" xfId="0" applyNumberFormat="1" applyFont="1" applyFill="1" applyBorder="1" applyAlignment="1">
      <alignment horizontal="center"/>
    </xf>
    <xf numFmtId="2" fontId="46" fillId="13" borderId="42" xfId="0" applyNumberFormat="1" applyFont="1" applyFill="1" applyBorder="1" applyAlignment="1">
      <alignment horizontal="center"/>
    </xf>
    <xf numFmtId="0" fontId="1" fillId="0" borderId="42" xfId="0" applyFont="1" applyBorder="1" applyAlignment="1">
      <alignment horizontal="center"/>
    </xf>
    <xf numFmtId="0" fontId="1" fillId="0" borderId="67" xfId="0" applyFont="1" applyBorder="1" applyAlignment="1">
      <alignment horizontal="center"/>
    </xf>
    <xf numFmtId="2" fontId="46" fillId="16" borderId="63" xfId="0" applyNumberFormat="1" applyFont="1" applyFill="1" applyBorder="1" applyAlignment="1">
      <alignment horizontal="center"/>
    </xf>
    <xf numFmtId="2" fontId="46" fillId="16" borderId="42" xfId="0" applyNumberFormat="1" applyFont="1" applyFill="1" applyBorder="1" applyAlignment="1">
      <alignment horizontal="center"/>
    </xf>
    <xf numFmtId="0" fontId="1" fillId="20" borderId="65" xfId="0" applyFont="1" applyFill="1" applyBorder="1" applyAlignment="1">
      <alignment horizontal="center"/>
    </xf>
    <xf numFmtId="0" fontId="1" fillId="14" borderId="65" xfId="0" applyFont="1" applyFill="1" applyBorder="1" applyAlignment="1">
      <alignment horizontal="center"/>
    </xf>
    <xf numFmtId="2" fontId="46" fillId="14" borderId="0" xfId="0" applyNumberFormat="1" applyFont="1" applyFill="1" applyAlignment="1">
      <alignment horizontal="center"/>
    </xf>
    <xf numFmtId="2" fontId="1" fillId="15" borderId="0" xfId="0" applyNumberFormat="1" applyFont="1" applyFill="1" applyAlignment="1">
      <alignment horizontal="center"/>
    </xf>
    <xf numFmtId="2" fontId="46" fillId="12" borderId="33" xfId="0" applyNumberFormat="1" applyFont="1" applyFill="1" applyBorder="1" applyAlignment="1">
      <alignment horizontal="center"/>
    </xf>
    <xf numFmtId="2" fontId="46" fillId="12" borderId="34" xfId="0" applyNumberFormat="1" applyFont="1" applyFill="1" applyBorder="1" applyAlignment="1">
      <alignment horizontal="center"/>
    </xf>
    <xf numFmtId="2" fontId="46" fillId="12" borderId="0" xfId="0" applyNumberFormat="1" applyFont="1" applyFill="1" applyAlignment="1">
      <alignment horizontal="center"/>
    </xf>
    <xf numFmtId="3" fontId="46" fillId="25" borderId="66" xfId="0" applyNumberFormat="1" applyFont="1" applyFill="1" applyBorder="1" applyAlignment="1">
      <alignment horizontal="center"/>
    </xf>
    <xf numFmtId="0" fontId="44" fillId="4" borderId="31" xfId="0" applyFont="1" applyFill="1" applyBorder="1" applyAlignment="1">
      <alignment horizontal="center" vertical="center" wrapText="1"/>
    </xf>
    <xf numFmtId="0" fontId="44" fillId="4" borderId="37" xfId="0" applyFont="1" applyFill="1" applyBorder="1" applyAlignment="1">
      <alignment horizontal="center" vertical="center" wrapText="1"/>
    </xf>
    <xf numFmtId="0" fontId="44" fillId="4" borderId="32" xfId="0" applyFont="1" applyFill="1" applyBorder="1" applyAlignment="1">
      <alignment horizontal="center" vertical="center" wrapText="1"/>
    </xf>
    <xf numFmtId="0" fontId="44" fillId="4" borderId="33" xfId="0" applyFont="1" applyFill="1" applyBorder="1" applyAlignment="1">
      <alignment horizontal="center" vertical="center" wrapText="1"/>
    </xf>
    <xf numFmtId="0" fontId="44" fillId="4" borderId="0" xfId="0" applyFont="1" applyFill="1" applyAlignment="1">
      <alignment horizontal="center" vertical="center" wrapText="1"/>
    </xf>
    <xf numFmtId="0" fontId="44" fillId="4" borderId="34" xfId="0" applyFont="1" applyFill="1" applyBorder="1" applyAlignment="1">
      <alignment horizontal="center" vertical="center" wrapText="1"/>
    </xf>
    <xf numFmtId="3" fontId="66" fillId="9" borderId="54" xfId="0" applyNumberFormat="1" applyFont="1" applyFill="1" applyBorder="1" applyAlignment="1">
      <alignment horizontal="right"/>
    </xf>
    <xf numFmtId="3" fontId="16" fillId="9" borderId="0" xfId="0" applyNumberFormat="1" applyFont="1" applyFill="1" applyBorder="1" applyAlignment="1">
      <alignment horizontal="right"/>
    </xf>
    <xf numFmtId="3" fontId="16" fillId="9" borderId="54" xfId="0" applyNumberFormat="1" applyFont="1" applyFill="1" applyBorder="1" applyAlignment="1">
      <alignment horizontal="right"/>
    </xf>
    <xf numFmtId="3" fontId="35" fillId="9" borderId="54" xfId="0" applyNumberFormat="1" applyFont="1" applyFill="1" applyBorder="1" applyAlignment="1">
      <alignment horizontal="right" vertical="center"/>
    </xf>
    <xf numFmtId="3" fontId="66" fillId="9" borderId="0" xfId="0" applyNumberFormat="1" applyFont="1" applyFill="1" applyBorder="1" applyAlignment="1">
      <alignment horizontal="right" vertical="center"/>
    </xf>
    <xf numFmtId="3" fontId="83" fillId="9" borderId="0" xfId="0" applyNumberFormat="1" applyFont="1" applyFill="1" applyBorder="1" applyAlignment="1">
      <alignment horizontal="right" vertical="center"/>
    </xf>
    <xf numFmtId="3" fontId="109" fillId="9" borderId="0" xfId="0" applyNumberFormat="1" applyFont="1" applyFill="1" applyBorder="1" applyAlignment="1">
      <alignment horizontal="right" vertical="center"/>
    </xf>
    <xf numFmtId="3" fontId="62" fillId="9" borderId="41" xfId="0" applyNumberFormat="1" applyFont="1" applyFill="1" applyBorder="1" applyAlignment="1">
      <alignment horizontal="right" vertical="center"/>
    </xf>
    <xf numFmtId="3" fontId="75" fillId="9" borderId="0" xfId="0" applyNumberFormat="1" applyFont="1" applyFill="1" applyBorder="1" applyAlignment="1">
      <alignment horizontal="right" vertical="center"/>
    </xf>
    <xf numFmtId="3" fontId="61" fillId="9" borderId="41" xfId="0" applyNumberFormat="1" applyFont="1" applyFill="1" applyBorder="1" applyAlignment="1">
      <alignment horizontal="right" vertical="center"/>
    </xf>
    <xf numFmtId="3" fontId="39" fillId="9" borderId="77" xfId="0" applyNumberFormat="1" applyFont="1" applyFill="1" applyBorder="1" applyAlignment="1">
      <alignment horizontal="right" vertical="center"/>
    </xf>
    <xf numFmtId="3" fontId="42" fillId="9" borderId="41" xfId="0" applyNumberFormat="1" applyFont="1" applyFill="1" applyBorder="1" applyAlignment="1">
      <alignment horizontal="right" vertical="center"/>
    </xf>
    <xf numFmtId="3" fontId="47" fillId="9" borderId="54" xfId="0" applyNumberFormat="1" applyFont="1" applyFill="1" applyBorder="1" applyAlignment="1">
      <alignment horizontal="right"/>
    </xf>
    <xf numFmtId="3" fontId="48" fillId="9" borderId="0" xfId="0" applyNumberFormat="1" applyFont="1" applyFill="1" applyBorder="1" applyAlignment="1">
      <alignment horizontal="right"/>
    </xf>
    <xf numFmtId="3" fontId="21" fillId="9" borderId="0" xfId="0" applyNumberFormat="1" applyFont="1" applyFill="1" applyBorder="1" applyAlignment="1">
      <alignment horizontal="right"/>
    </xf>
    <xf numFmtId="3" fontId="83" fillId="9" borderId="41" xfId="0" applyNumberFormat="1" applyFont="1" applyFill="1" applyBorder="1" applyAlignment="1">
      <alignment horizontal="right"/>
    </xf>
    <xf numFmtId="3" fontId="77" fillId="9" borderId="54" xfId="0" applyNumberFormat="1" applyFont="1" applyFill="1" applyBorder="1" applyAlignment="1">
      <alignment horizontal="right"/>
    </xf>
    <xf numFmtId="3" fontId="78" fillId="9" borderId="0" xfId="0" applyNumberFormat="1" applyFont="1" applyFill="1" applyBorder="1" applyAlignment="1">
      <alignment horizontal="right"/>
    </xf>
    <xf numFmtId="3" fontId="78" fillId="9" borderId="41" xfId="0" applyNumberFormat="1" applyFont="1" applyFill="1" applyBorder="1" applyAlignment="1">
      <alignment horizontal="right"/>
    </xf>
    <xf numFmtId="3" fontId="45" fillId="9" borderId="46" xfId="0" applyNumberFormat="1" applyFont="1" applyFill="1" applyBorder="1" applyAlignment="1">
      <alignment horizontal="right" vertical="center"/>
    </xf>
    <xf numFmtId="3" fontId="26" fillId="9" borderId="0" xfId="0" applyNumberFormat="1" applyFont="1" applyFill="1" applyBorder="1" applyAlignment="1">
      <alignment horizontal="right"/>
    </xf>
    <xf numFmtId="3" fontId="45" fillId="9" borderId="0" xfId="0" applyNumberFormat="1" applyFont="1" applyFill="1" applyBorder="1" applyAlignment="1">
      <alignment horizontal="right" vertical="center"/>
    </xf>
    <xf numFmtId="0" fontId="112" fillId="3" borderId="80" xfId="0" applyFont="1" applyFill="1" applyBorder="1" applyAlignment="1">
      <alignment horizontal="center" vertical="center"/>
    </xf>
    <xf numFmtId="174" fontId="10" fillId="9" borderId="5" xfId="0" applyNumberFormat="1" applyFont="1" applyFill="1" applyBorder="1" applyAlignment="1">
      <alignment horizontal="center" vertical="center"/>
    </xf>
    <xf numFmtId="164" fontId="71" fillId="9" borderId="5" xfId="0" applyNumberFormat="1" applyFont="1" applyFill="1" applyBorder="1" applyAlignment="1">
      <alignment horizontal="center" vertical="center"/>
    </xf>
    <xf numFmtId="164" fontId="25" fillId="9" borderId="5" xfId="0" applyNumberFormat="1" applyFont="1" applyFill="1" applyBorder="1" applyAlignment="1">
      <alignment horizontal="center" vertical="center"/>
    </xf>
    <xf numFmtId="164" fontId="25" fillId="9" borderId="28" xfId="0" applyNumberFormat="1" applyFont="1" applyFill="1" applyBorder="1" applyAlignment="1">
      <alignment horizontal="center" vertical="center"/>
    </xf>
    <xf numFmtId="174" fontId="21" fillId="9" borderId="5" xfId="0" applyNumberFormat="1" applyFont="1" applyFill="1" applyBorder="1" applyAlignment="1">
      <alignment horizontal="center" vertical="center"/>
    </xf>
    <xf numFmtId="164" fontId="71" fillId="9" borderId="10" xfId="0" applyNumberFormat="1" applyFont="1" applyFill="1" applyBorder="1" applyAlignment="1">
      <alignment horizontal="center" vertical="center"/>
    </xf>
    <xf numFmtId="164" fontId="25" fillId="9" borderId="10" xfId="0" applyNumberFormat="1" applyFont="1" applyFill="1" applyBorder="1" applyAlignment="1">
      <alignment horizontal="center" vertical="center"/>
    </xf>
    <xf numFmtId="174" fontId="21" fillId="9" borderId="15" xfId="0" applyNumberFormat="1" applyFont="1" applyFill="1" applyBorder="1" applyAlignment="1">
      <alignment horizontal="center" vertical="center"/>
    </xf>
    <xf numFmtId="0" fontId="102" fillId="0" borderId="0" xfId="0" applyFont="1" applyAlignment="1">
      <alignment horizontal="center"/>
    </xf>
  </cellXfs>
  <cellStyles count="3">
    <cellStyle name="Link" xfId="1" builtinId="8"/>
    <cellStyle name="Link 2" xfId="2" xr:uid="{74BD8A63-B1A2-4687-BA35-801B9961812C}"/>
    <cellStyle name="Standard" xfId="0" builtinId="0"/>
  </cellStyles>
  <dxfs count="103">
    <dxf>
      <font>
        <strike val="0"/>
        <outline val="0"/>
        <shadow val="0"/>
        <u val="none"/>
        <vertAlign val="baseline"/>
        <sz val="11"/>
        <color theme="1"/>
        <name val="Book Antiqua"/>
        <family val="1"/>
        <scheme val="none"/>
      </font>
      <alignment horizontal="center" textRotation="0" wrapText="0" indent="0" justifyLastLine="0" shrinkToFit="0" readingOrder="0"/>
    </dxf>
    <dxf>
      <font>
        <color auto="1"/>
      </font>
      <fill>
        <patternFill>
          <bgColor theme="5" tint="0.39994506668294322"/>
        </patternFill>
      </fill>
    </dxf>
    <dxf>
      <font>
        <color auto="1"/>
      </font>
      <fill>
        <patternFill>
          <bgColor theme="5" tint="0.39994506668294322"/>
        </patternFill>
      </fill>
    </dxf>
    <dxf>
      <font>
        <color theme="1"/>
      </font>
      <fill>
        <patternFill>
          <bgColor rgb="FF92D050"/>
        </patternFill>
      </fill>
    </dxf>
    <dxf>
      <font>
        <b/>
        <i val="0"/>
      </font>
    </dxf>
    <dxf>
      <font>
        <b/>
        <i val="0"/>
      </font>
    </dxf>
    <dxf>
      <font>
        <b/>
        <i val="0"/>
      </font>
    </dxf>
    <dxf>
      <font>
        <b/>
        <i val="0"/>
      </font>
    </dxf>
    <dxf>
      <font>
        <b/>
        <i val="0"/>
      </font>
    </dxf>
    <dxf>
      <font>
        <color rgb="FFC0000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fill>
        <patternFill>
          <bgColor theme="8" tint="0.79998168889431442"/>
        </patternFill>
      </fill>
    </dxf>
    <dxf>
      <font>
        <color rgb="FF00B050"/>
      </font>
    </dxf>
    <dxf>
      <font>
        <b/>
        <i val="0"/>
      </font>
      <fill>
        <patternFill patternType="solid">
          <bgColor theme="8" tint="0.79998168889431442"/>
        </patternFill>
      </fill>
    </dxf>
    <dxf>
      <font>
        <b/>
        <i/>
        <strike val="0"/>
      </font>
      <fill>
        <patternFill patternType="solid">
          <bgColor rgb="FF00B050"/>
        </patternFill>
      </fill>
      <border>
        <left style="thin">
          <color rgb="FF00B050"/>
        </left>
        <right style="thin">
          <color rgb="FF00B050"/>
        </right>
        <top style="thin">
          <color rgb="FF00B050"/>
        </top>
        <bottom style="thin">
          <color rgb="FF00B050"/>
        </bottom>
        <vertical/>
        <horizontal/>
      </border>
    </dxf>
    <dxf>
      <font>
        <color auto="1"/>
      </font>
      <fill>
        <patternFill>
          <bgColor theme="5" tint="0.39994506668294322"/>
        </patternFill>
      </fill>
    </dxf>
    <dxf>
      <font>
        <color auto="1"/>
      </font>
      <fill>
        <patternFill>
          <bgColor theme="5" tint="0.39994506668294322"/>
        </patternFill>
      </fill>
    </dxf>
    <dxf>
      <font>
        <color theme="1"/>
      </font>
      <fill>
        <patternFill>
          <bgColor rgb="FF92D050"/>
        </patternFill>
      </fill>
    </dxf>
    <dxf>
      <font>
        <color rgb="FF00B050"/>
      </font>
      <fill>
        <patternFill>
          <bgColor theme="9" tint="0.79998168889431442"/>
        </patternFill>
      </fill>
    </dxf>
    <dxf>
      <font>
        <color theme="1"/>
      </font>
      <fill>
        <patternFill>
          <bgColor theme="7" tint="0.79998168889431442"/>
        </patternFill>
      </fill>
    </dxf>
    <dxf>
      <font>
        <color rgb="FFFF0000"/>
      </font>
      <fill>
        <patternFill>
          <bgColor theme="5" tint="0.79998168889431442"/>
        </patternFill>
      </fill>
    </dxf>
    <dxf>
      <font>
        <b/>
        <i val="0"/>
        <strike val="0"/>
        <condense val="0"/>
        <extend val="0"/>
        <outline val="0"/>
        <shadow val="0"/>
        <u val="none"/>
        <vertAlign val="baseline"/>
        <sz val="11"/>
        <color theme="1"/>
        <name val="Calibri"/>
        <family val="2"/>
        <scheme val="minor"/>
      </font>
      <numFmt numFmtId="4" formatCode="#,##0.00"/>
    </dxf>
    <dxf>
      <font>
        <b/>
        <i val="0"/>
        <strike val="0"/>
        <condense val="0"/>
        <extend val="0"/>
        <outline val="0"/>
        <shadow val="0"/>
        <u val="none"/>
        <vertAlign val="baseline"/>
        <sz val="11"/>
        <color theme="1"/>
        <name val="Calibri"/>
        <family val="2"/>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family val="2"/>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family val="2"/>
        <scheme val="minor"/>
      </font>
      <numFmt numFmtId="4" formatCode="#,##0.00"/>
    </dxf>
    <dxf>
      <font>
        <b/>
        <i val="0"/>
        <strike val="0"/>
        <condense val="0"/>
        <extend val="0"/>
        <outline val="0"/>
        <shadow val="0"/>
        <u val="none"/>
        <vertAlign val="baseline"/>
        <sz val="11"/>
        <color theme="1"/>
        <name val="Calibri"/>
        <family val="2"/>
        <scheme val="minor"/>
      </font>
      <numFmt numFmtId="3" formatCode="#,##0"/>
    </dxf>
    <dxf>
      <font>
        <b/>
        <i val="0"/>
        <strike val="0"/>
        <condense val="0"/>
        <extend val="0"/>
        <outline val="0"/>
        <shadow val="0"/>
        <u val="none"/>
        <vertAlign val="baseline"/>
        <sz val="11"/>
        <color theme="1"/>
        <name val="Calibri"/>
        <family val="2"/>
        <scheme val="minor"/>
      </font>
      <numFmt numFmtId="3" formatCode="#,##0"/>
    </dxf>
    <dxf>
      <font>
        <b/>
        <i val="0"/>
        <strike val="0"/>
        <condense val="0"/>
        <extend val="0"/>
        <outline val="0"/>
        <shadow val="0"/>
        <u val="none"/>
        <vertAlign val="baseline"/>
        <sz val="11"/>
        <color theme="1"/>
        <name val="Calibri"/>
        <family val="2"/>
        <scheme val="minor"/>
      </font>
      <numFmt numFmtId="4" formatCode="#,##0.00"/>
    </dxf>
    <dxf>
      <font>
        <b/>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dxf>
    <dxf>
      <font>
        <b/>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dxf>
    <dxf>
      <font>
        <b/>
        <i val="0"/>
        <strike val="0"/>
        <condense val="0"/>
        <extend val="0"/>
        <outline val="0"/>
        <shadow val="0"/>
        <u val="none"/>
        <vertAlign val="baseline"/>
        <sz val="11"/>
        <color theme="1"/>
        <name val="Calibri"/>
        <family val="2"/>
        <scheme val="minor"/>
      </font>
      <numFmt numFmtId="4" formatCode="#,##0.00"/>
    </dxf>
    <dxf>
      <font>
        <b/>
        <i val="0"/>
        <strike val="0"/>
        <condense val="0"/>
        <extend val="0"/>
        <outline val="0"/>
        <shadow val="0"/>
        <u val="none"/>
        <vertAlign val="baseline"/>
        <sz val="11"/>
        <color theme="1"/>
        <name val="Calibri"/>
        <family val="2"/>
        <scheme val="minor"/>
      </font>
      <numFmt numFmtId="3" formatCode="#,##0"/>
    </dxf>
    <dxf>
      <font>
        <b/>
        <i val="0"/>
        <strike val="0"/>
        <condense val="0"/>
        <extend val="0"/>
        <outline val="0"/>
        <shadow val="0"/>
        <u val="none"/>
        <vertAlign val="baseline"/>
        <sz val="11"/>
        <color theme="1"/>
        <name val="Calibri"/>
        <family val="2"/>
        <scheme val="minor"/>
      </font>
      <numFmt numFmtId="3" formatCode="#,##0"/>
    </dxf>
    <dxf>
      <font>
        <b/>
        <i val="0"/>
        <strike val="0"/>
        <condense val="0"/>
        <extend val="0"/>
        <outline val="0"/>
        <shadow val="0"/>
        <u val="none"/>
        <vertAlign val="baseline"/>
        <sz val="11"/>
        <color theme="1"/>
        <name val="Calibri"/>
        <family val="2"/>
        <scheme val="minor"/>
      </font>
      <numFmt numFmtId="4" formatCode="#,##0.00"/>
    </dxf>
    <dxf>
      <font>
        <b/>
        <i val="0"/>
        <strike val="0"/>
        <condense val="0"/>
        <extend val="0"/>
        <outline val="0"/>
        <shadow val="0"/>
        <u val="none"/>
        <vertAlign val="baseline"/>
        <sz val="11"/>
        <color theme="1"/>
        <name val="Calibri"/>
        <family val="2"/>
        <scheme val="minor"/>
      </font>
      <numFmt numFmtId="3" formatCode="#,##0"/>
    </dxf>
    <dxf>
      <font>
        <b/>
        <i val="0"/>
        <strike val="0"/>
        <condense val="0"/>
        <extend val="0"/>
        <outline val="0"/>
        <shadow val="0"/>
        <u val="none"/>
        <vertAlign val="baseline"/>
        <sz val="11"/>
        <color theme="1"/>
        <name val="Calibri"/>
        <family val="2"/>
        <scheme val="minor"/>
      </font>
      <numFmt numFmtId="3" formatCode="#,##0"/>
    </dxf>
    <dxf>
      <font>
        <b/>
        <i val="0"/>
        <strike val="0"/>
        <condense val="0"/>
        <extend val="0"/>
        <outline val="0"/>
        <shadow val="0"/>
        <u val="none"/>
        <vertAlign val="baseline"/>
        <sz val="11"/>
        <color theme="1"/>
        <name val="Calibri"/>
        <family val="2"/>
        <scheme val="minor"/>
      </font>
      <numFmt numFmtId="4" formatCode="#,##0.00"/>
    </dxf>
    <dxf>
      <font>
        <b/>
        <i val="0"/>
        <strike val="0"/>
        <condense val="0"/>
        <extend val="0"/>
        <outline val="0"/>
        <shadow val="0"/>
        <u val="none"/>
        <vertAlign val="baseline"/>
        <sz val="11"/>
        <color theme="1"/>
        <name val="Calibri"/>
        <family val="2"/>
        <scheme val="minor"/>
      </font>
      <numFmt numFmtId="3" formatCode="#,##0"/>
    </dxf>
    <dxf>
      <font>
        <b/>
        <i val="0"/>
        <strike val="0"/>
        <condense val="0"/>
        <extend val="0"/>
        <outline val="0"/>
        <shadow val="0"/>
        <u val="none"/>
        <vertAlign val="baseline"/>
        <sz val="11"/>
        <color theme="1"/>
        <name val="Calibri"/>
        <family val="2"/>
        <scheme val="minor"/>
      </font>
      <numFmt numFmtId="3" formatCode="#,##0"/>
    </dxf>
    <dxf>
      <font>
        <b/>
        <i val="0"/>
        <strike val="0"/>
        <condense val="0"/>
        <extend val="0"/>
        <outline val="0"/>
        <shadow val="0"/>
        <u val="none"/>
        <vertAlign val="baseline"/>
        <sz val="11"/>
        <color theme="1"/>
        <name val="Calibri"/>
        <family val="2"/>
        <scheme val="minor"/>
      </font>
      <numFmt numFmtId="4" formatCode="#,##0.00"/>
    </dxf>
    <dxf>
      <font>
        <b/>
        <i val="0"/>
        <strike val="0"/>
        <condense val="0"/>
        <extend val="0"/>
        <outline val="0"/>
        <shadow val="0"/>
        <u val="none"/>
        <vertAlign val="baseline"/>
        <sz val="11"/>
        <color theme="1"/>
        <name val="Calibri"/>
        <family val="2"/>
        <scheme val="minor"/>
      </font>
      <numFmt numFmtId="3" formatCode="#,##0"/>
    </dxf>
    <dxf>
      <font>
        <b/>
        <i val="0"/>
        <strike val="0"/>
        <condense val="0"/>
        <extend val="0"/>
        <outline val="0"/>
        <shadow val="0"/>
        <u val="none"/>
        <vertAlign val="baseline"/>
        <sz val="11"/>
        <color theme="1"/>
        <name val="Calibri"/>
        <family val="2"/>
        <scheme val="minor"/>
      </font>
      <numFmt numFmtId="3" formatCode="#,##0"/>
    </dxf>
    <dxf>
      <font>
        <b/>
        <i val="0"/>
        <strike val="0"/>
        <condense val="0"/>
        <extend val="0"/>
        <outline val="0"/>
        <shadow val="0"/>
        <u val="none"/>
        <vertAlign val="baseline"/>
        <sz val="11"/>
        <color theme="1"/>
        <name val="Calibri"/>
        <family val="2"/>
        <scheme val="minor"/>
      </font>
      <numFmt numFmtId="4" formatCode="#,##0.00"/>
    </dxf>
    <dxf>
      <font>
        <b/>
        <i val="0"/>
        <strike val="0"/>
        <condense val="0"/>
        <extend val="0"/>
        <outline val="0"/>
        <shadow val="0"/>
        <u val="none"/>
        <vertAlign val="baseline"/>
        <sz val="11"/>
        <color theme="1"/>
        <name val="Calibri"/>
        <family val="2"/>
        <scheme val="minor"/>
      </font>
      <numFmt numFmtId="3" formatCode="#,##0"/>
    </dxf>
    <dxf>
      <font>
        <b/>
        <i val="0"/>
        <strike val="0"/>
        <condense val="0"/>
        <extend val="0"/>
        <outline val="0"/>
        <shadow val="0"/>
        <u val="none"/>
        <vertAlign val="baseline"/>
        <sz val="11"/>
        <color theme="1"/>
        <name val="Calibri"/>
        <family val="2"/>
        <scheme val="minor"/>
      </font>
      <numFmt numFmtId="3" formatCode="#,##0"/>
    </dxf>
    <dxf>
      <font>
        <b/>
        <i val="0"/>
        <strike val="0"/>
        <condense val="0"/>
        <extend val="0"/>
        <outline val="0"/>
        <shadow val="0"/>
        <u val="none"/>
        <vertAlign val="baseline"/>
        <sz val="11"/>
        <color theme="1"/>
        <name val="Calibri"/>
        <family val="2"/>
        <scheme val="minor"/>
      </font>
      <numFmt numFmtId="4" formatCode="#,##0.00"/>
    </dxf>
    <dxf>
      <font>
        <b/>
        <i val="0"/>
        <strike val="0"/>
        <condense val="0"/>
        <extend val="0"/>
        <outline val="0"/>
        <shadow val="0"/>
        <u val="none"/>
        <vertAlign val="baseline"/>
        <sz val="11"/>
        <color theme="1"/>
        <name val="Calibri"/>
        <family val="2"/>
        <scheme val="minor"/>
      </font>
      <numFmt numFmtId="3" formatCode="#,##0"/>
    </dxf>
    <dxf>
      <font>
        <b/>
        <i val="0"/>
        <strike val="0"/>
        <condense val="0"/>
        <extend val="0"/>
        <outline val="0"/>
        <shadow val="0"/>
        <u val="none"/>
        <vertAlign val="baseline"/>
        <sz val="11"/>
        <color theme="1"/>
        <name val="Calibri"/>
        <family val="2"/>
        <scheme val="minor"/>
      </font>
      <numFmt numFmtId="3" formatCode="#,##0"/>
    </dxf>
    <dxf>
      <font>
        <b/>
        <i val="0"/>
        <strike val="0"/>
        <condense val="0"/>
        <extend val="0"/>
        <outline val="0"/>
        <shadow val="0"/>
        <u val="none"/>
        <vertAlign val="baseline"/>
        <sz val="11"/>
        <color theme="1"/>
        <name val="Calibri"/>
        <family val="2"/>
        <scheme val="minor"/>
      </font>
      <numFmt numFmtId="4" formatCode="#,##0.00"/>
    </dxf>
    <dxf>
      <font>
        <b/>
        <i val="0"/>
        <strike val="0"/>
        <condense val="0"/>
        <extend val="0"/>
        <outline val="0"/>
        <shadow val="0"/>
        <u val="none"/>
        <vertAlign val="baseline"/>
        <sz val="11"/>
        <color theme="1"/>
        <name val="Calibri"/>
        <family val="2"/>
        <scheme val="minor"/>
      </font>
      <numFmt numFmtId="3" formatCode="#,##0"/>
    </dxf>
    <dxf>
      <font>
        <b/>
        <i val="0"/>
        <strike val="0"/>
        <condense val="0"/>
        <extend val="0"/>
        <outline val="0"/>
        <shadow val="0"/>
        <u val="none"/>
        <vertAlign val="baseline"/>
        <sz val="11"/>
        <color theme="1"/>
        <name val="Calibri"/>
        <family val="2"/>
        <scheme val="minor"/>
      </font>
      <numFmt numFmtId="3" formatCode="#,##0"/>
    </dxf>
    <dxf>
      <font>
        <b/>
        <i val="0"/>
        <strike val="0"/>
        <condense val="0"/>
        <extend val="0"/>
        <outline val="0"/>
        <shadow val="0"/>
        <u val="none"/>
        <vertAlign val="baseline"/>
        <sz val="11"/>
        <color theme="1"/>
        <name val="Calibri"/>
        <family val="2"/>
        <scheme val="minor"/>
      </font>
      <numFmt numFmtId="4" formatCode="#,##0.00"/>
    </dxf>
    <dxf>
      <font>
        <b/>
        <i val="0"/>
        <strike val="0"/>
        <condense val="0"/>
        <extend val="0"/>
        <outline val="0"/>
        <shadow val="0"/>
        <u val="none"/>
        <vertAlign val="baseline"/>
        <sz val="11"/>
        <color theme="1"/>
        <name val="Calibri"/>
        <family val="2"/>
        <scheme val="minor"/>
      </font>
      <numFmt numFmtId="3" formatCode="#,##0"/>
      <fill>
        <patternFill patternType="solid">
          <fgColor indexed="64"/>
          <bgColor rgb="FF92D050"/>
        </patternFill>
      </fill>
    </dxf>
    <dxf>
      <font>
        <b/>
        <i val="0"/>
        <strike val="0"/>
        <condense val="0"/>
        <extend val="0"/>
        <outline val="0"/>
        <shadow val="0"/>
        <u val="none"/>
        <vertAlign val="baseline"/>
        <sz val="11"/>
        <color theme="1"/>
        <name val="Calibri"/>
        <family val="2"/>
        <scheme val="minor"/>
      </font>
      <numFmt numFmtId="3" formatCode="#,##0"/>
      <fill>
        <patternFill patternType="solid">
          <fgColor indexed="64"/>
          <bgColor rgb="FF92D050"/>
        </patternFill>
      </fill>
    </dxf>
    <dxf>
      <font>
        <b/>
        <i val="0"/>
        <strike val="0"/>
        <condense val="0"/>
        <extend val="0"/>
        <outline val="0"/>
        <shadow val="0"/>
        <u val="none"/>
        <vertAlign val="baseline"/>
        <sz val="11"/>
        <color theme="1"/>
        <name val="Calibri"/>
        <family val="2"/>
        <scheme val="minor"/>
      </font>
      <numFmt numFmtId="4" formatCode="#,##0.00"/>
    </dxf>
    <dxf>
      <font>
        <b/>
        <i val="0"/>
        <strike val="0"/>
        <condense val="0"/>
        <extend val="0"/>
        <outline val="0"/>
        <shadow val="0"/>
        <u val="none"/>
        <vertAlign val="baseline"/>
        <sz val="11"/>
        <color theme="1"/>
        <name val="Calibri"/>
        <family val="2"/>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family val="2"/>
        <scheme val="minor"/>
      </font>
      <numFmt numFmtId="3" formatCode="#,##0"/>
      <fill>
        <patternFill patternType="none">
          <fgColor indexed="64"/>
          <bgColor indexed="65"/>
        </patternFill>
      </fill>
    </dxf>
    <dxf>
      <font>
        <b/>
        <i val="0"/>
        <strike val="0"/>
        <condense val="0"/>
        <extend val="0"/>
        <outline val="0"/>
        <shadow val="0"/>
        <u val="none"/>
        <vertAlign val="baseline"/>
        <sz val="11"/>
        <color theme="1"/>
        <name val="Calibri"/>
        <family val="2"/>
        <scheme val="minor"/>
      </font>
      <numFmt numFmtId="4" formatCode="#,##0.00"/>
    </dxf>
    <dxf>
      <font>
        <b/>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dxf>
    <dxf>
      <font>
        <b/>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dxf>
    <dxf>
      <font>
        <b/>
        <i val="0"/>
        <strike val="0"/>
        <condense val="0"/>
        <extend val="0"/>
        <outline val="0"/>
        <shadow val="0"/>
        <u val="none"/>
        <vertAlign val="baseline"/>
        <sz val="11"/>
        <color theme="1"/>
        <name val="Calibri"/>
        <family val="2"/>
        <scheme val="minor"/>
      </font>
      <numFmt numFmtId="4" formatCode="#,##0.00"/>
    </dxf>
    <dxf>
      <font>
        <b/>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dxf>
    <dxf>
      <font>
        <b/>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dxf>
    <dxf>
      <font>
        <b/>
        <i val="0"/>
        <strike val="0"/>
        <condense val="0"/>
        <extend val="0"/>
        <outline val="0"/>
        <shadow val="0"/>
        <u val="none"/>
        <vertAlign val="baseline"/>
        <sz val="11"/>
        <color auto="1"/>
        <name val="Calibri"/>
        <family val="2"/>
        <scheme val="minor"/>
      </font>
      <numFmt numFmtId="4" formatCode="#,##0.00"/>
    </dxf>
    <dxf>
      <font>
        <b/>
      </font>
      <numFmt numFmtId="3" formatCode="#,##0"/>
    </dxf>
    <dxf>
      <font>
        <b/>
      </font>
      <numFmt numFmtId="3" formatCode="#,##0"/>
    </dxf>
    <dxf>
      <font>
        <b/>
        <i val="0"/>
        <strike val="0"/>
        <condense val="0"/>
        <extend val="0"/>
        <outline val="0"/>
        <shadow val="0"/>
        <u val="none"/>
        <vertAlign val="baseline"/>
        <sz val="11"/>
        <color theme="1"/>
        <name val="Calibri"/>
        <family val="2"/>
        <scheme val="minor"/>
      </font>
      <numFmt numFmtId="4" formatCode="#,##0.00"/>
    </dxf>
    <dxf>
      <font>
        <b/>
      </font>
      <numFmt numFmtId="3" formatCode="#,##0"/>
    </dxf>
    <dxf>
      <font>
        <b/>
      </font>
      <numFmt numFmtId="3" formatCode="#,##0"/>
    </dxf>
    <dxf>
      <font>
        <b/>
      </font>
    </dxf>
    <dxf>
      <numFmt numFmtId="3" formatCode="#,##0"/>
    </dxf>
    <dxf>
      <font>
        <strike val="0"/>
        <outline val="0"/>
        <shadow val="0"/>
        <u val="none"/>
        <vertAlign val="baseline"/>
        <sz val="11"/>
        <color theme="1"/>
        <name val="Book Antiqua"/>
        <family val="1"/>
        <scheme val="none"/>
      </font>
    </dxf>
    <dxf>
      <font>
        <strike val="0"/>
        <outline val="0"/>
        <shadow val="0"/>
        <u val="none"/>
        <vertAlign val="baseline"/>
        <sz val="11"/>
        <color theme="1"/>
        <name val="Book Antiqua"/>
        <family val="1"/>
        <scheme val="none"/>
      </font>
      <numFmt numFmtId="176" formatCode="yyyy\-mm\-dd;@"/>
      <alignment horizontal="center" vertical="top" textRotation="0" wrapText="0" indent="0" justifyLastLine="0" shrinkToFit="0" readingOrder="0"/>
    </dxf>
    <dxf>
      <font>
        <strike val="0"/>
        <outline val="0"/>
        <shadow val="0"/>
        <u val="none"/>
        <vertAlign val="baseline"/>
        <sz val="11"/>
        <color theme="1"/>
        <name val="Book Antiqua"/>
        <family val="1"/>
        <scheme val="none"/>
      </font>
    </dxf>
    <dxf>
      <font>
        <strike val="0"/>
        <outline val="0"/>
        <shadow val="0"/>
        <vertAlign val="baseline"/>
        <sz val="11"/>
        <name val="Book Antiqua"/>
        <family val="1"/>
        <scheme val="none"/>
      </font>
      <numFmt numFmtId="31" formatCode="[h]:mm:ss"/>
      <alignment horizontal="right" vertical="bottom" textRotation="0" wrapText="0" indent="0" justifyLastLine="0" shrinkToFit="0" readingOrder="0"/>
    </dxf>
    <dxf>
      <font>
        <strike val="0"/>
        <outline val="0"/>
        <shadow val="0"/>
        <vertAlign val="baseline"/>
        <sz val="11"/>
        <name val="Book Antiqua"/>
        <family val="1"/>
        <scheme val="none"/>
      </font>
    </dxf>
    <dxf>
      <font>
        <strike val="0"/>
        <outline val="0"/>
        <shadow val="0"/>
        <vertAlign val="baseline"/>
        <sz val="11"/>
        <name val="Book Antiqua"/>
        <family val="1"/>
        <scheme val="none"/>
      </font>
    </dxf>
    <dxf>
      <font>
        <strike val="0"/>
        <outline val="0"/>
        <shadow val="0"/>
        <vertAlign val="baseline"/>
        <sz val="11"/>
        <name val="Book Antiqua"/>
        <family val="1"/>
        <scheme val="none"/>
      </font>
      <fill>
        <patternFill patternType="none">
          <fgColor indexed="64"/>
          <bgColor indexed="65"/>
        </patternFill>
      </fill>
    </dxf>
    <dxf>
      <font>
        <strike val="0"/>
        <outline val="0"/>
        <shadow val="0"/>
        <vertAlign val="baseline"/>
        <sz val="11"/>
        <name val="Book Antiqua"/>
        <family val="1"/>
        <scheme val="none"/>
      </font>
    </dxf>
    <dxf>
      <font>
        <strike val="0"/>
        <outline val="0"/>
        <shadow val="0"/>
        <vertAlign val="baseline"/>
        <sz val="11"/>
        <name val="Book Antiqua"/>
        <family val="1"/>
        <scheme val="none"/>
      </font>
    </dxf>
    <dxf>
      <font>
        <strike val="0"/>
        <outline val="0"/>
        <shadow val="0"/>
        <vertAlign val="baseline"/>
        <sz val="11"/>
        <name val="Book Antiqua"/>
        <family val="1"/>
        <scheme val="none"/>
      </font>
    </dxf>
    <dxf>
      <font>
        <strike val="0"/>
        <outline val="0"/>
        <shadow val="0"/>
        <vertAlign val="baseline"/>
        <sz val="11"/>
        <name val="Book Antiqua"/>
        <family val="1"/>
        <scheme val="none"/>
      </font>
    </dxf>
    <dxf>
      <font>
        <b/>
        <i val="0"/>
        <strike val="0"/>
        <condense val="0"/>
        <extend val="0"/>
        <outline val="0"/>
        <shadow val="0"/>
        <u val="none"/>
        <vertAlign val="baseline"/>
        <sz val="11"/>
        <color theme="1"/>
        <name val="Book Antiqua"/>
        <family val="1"/>
        <scheme val="none"/>
      </font>
    </dxf>
    <dxf>
      <font>
        <strike val="0"/>
        <outline val="0"/>
        <shadow val="0"/>
        <vertAlign val="baseline"/>
        <sz val="11"/>
        <name val="Book Antiqua"/>
        <family val="1"/>
        <scheme val="none"/>
      </font>
      <numFmt numFmtId="31" formatCode="[h]:mm:ss"/>
      <alignment horizontal="right" vertical="bottom" textRotation="0" wrapText="0" indent="0" justifyLastLine="0" shrinkToFit="0" readingOrder="0"/>
    </dxf>
    <dxf>
      <font>
        <strike val="0"/>
        <outline val="0"/>
        <shadow val="0"/>
        <vertAlign val="baseline"/>
        <sz val="11"/>
        <name val="Book Antiqua"/>
        <family val="1"/>
        <scheme val="none"/>
      </font>
    </dxf>
    <dxf>
      <font>
        <strike val="0"/>
        <outline val="0"/>
        <shadow val="0"/>
        <vertAlign val="baseline"/>
        <sz val="11"/>
        <name val="Book Antiqua"/>
        <family val="1"/>
        <scheme val="none"/>
      </font>
    </dxf>
    <dxf>
      <font>
        <strike val="0"/>
        <outline val="0"/>
        <shadow val="0"/>
        <vertAlign val="baseline"/>
        <sz val="11"/>
        <name val="Book Antiqua"/>
        <family val="1"/>
        <scheme val="none"/>
      </font>
      <fill>
        <patternFill patternType="none">
          <fgColor indexed="64"/>
          <bgColor indexed="65"/>
        </patternFill>
      </fill>
    </dxf>
    <dxf>
      <font>
        <strike val="0"/>
        <outline val="0"/>
        <shadow val="0"/>
        <vertAlign val="baseline"/>
        <sz val="11"/>
        <name val="Book Antiqua"/>
        <family val="1"/>
        <scheme val="none"/>
      </font>
    </dxf>
    <dxf>
      <font>
        <strike val="0"/>
        <outline val="0"/>
        <shadow val="0"/>
        <vertAlign val="baseline"/>
        <sz val="11"/>
        <name val="Book Antiqua"/>
        <family val="1"/>
        <scheme val="none"/>
      </font>
    </dxf>
    <dxf>
      <font>
        <strike val="0"/>
        <outline val="0"/>
        <shadow val="0"/>
        <vertAlign val="baseline"/>
        <sz val="11"/>
        <name val="Book Antiqua"/>
        <family val="1"/>
        <scheme val="none"/>
      </font>
    </dxf>
    <dxf>
      <font>
        <strike val="0"/>
        <outline val="0"/>
        <shadow val="0"/>
        <vertAlign val="baseline"/>
        <sz val="11"/>
        <name val="Book Antiqua"/>
        <family val="1"/>
        <scheme val="none"/>
      </font>
    </dxf>
    <dxf>
      <font>
        <b/>
        <i val="0"/>
        <strike val="0"/>
        <condense val="0"/>
        <extend val="0"/>
        <outline val="0"/>
        <shadow val="0"/>
        <u val="none"/>
        <vertAlign val="baseline"/>
        <sz val="11"/>
        <color theme="1"/>
        <name val="Book Antiqua"/>
        <family val="1"/>
        <scheme val="none"/>
      </font>
    </dxf>
  </dxfs>
  <tableStyles count="0" defaultTableStyle="TableStyleMedium2" defaultPivotStyle="PivotStyleLight16"/>
  <colors>
    <mruColors>
      <color rgb="FFC4BF00"/>
      <color rgb="FFD7D200"/>
      <color rgb="FFCC3399"/>
      <color rgb="FF89E3B8"/>
      <color rgb="FFFD23ED"/>
      <color rgb="FFFFD071"/>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Book Antiqua" panose="02040602050305030304" pitchFamily="18" charset="0"/>
                <a:ea typeface="+mn-ea"/>
                <a:cs typeface="+mn-cs"/>
              </a:defRPr>
            </a:pPr>
            <a:r>
              <a:rPr lang="de-DE">
                <a:solidFill>
                  <a:sysClr val="windowText" lastClr="000000"/>
                </a:solidFill>
              </a:rPr>
              <a:t>Current status</a:t>
            </a:r>
          </a:p>
          <a:p>
            <a:pPr>
              <a:defRPr/>
            </a:pPr>
            <a:r>
              <a:rPr lang="de-DE">
                <a:solidFill>
                  <a:sysClr val="windowText" lastClr="000000"/>
                </a:solidFill>
              </a:rPr>
              <a:t>and forecast €</a:t>
            </a:r>
          </a:p>
        </c:rich>
      </c:tx>
      <c:layout>
        <c:manualLayout>
          <c:xMode val="edge"/>
          <c:yMode val="edge"/>
          <c:x val="4.0281046571650728E-2"/>
          <c:y val="1.325871769909719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Book Antiqua" panose="02040602050305030304" pitchFamily="18" charset="0"/>
              <a:ea typeface="+mn-ea"/>
              <a:cs typeface="+mn-cs"/>
            </a:defRPr>
          </a:pPr>
          <a:endParaRPr lang="de-DE"/>
        </a:p>
      </c:txPr>
    </c:title>
    <c:autoTitleDeleted val="0"/>
    <c:plotArea>
      <c:layout>
        <c:manualLayout>
          <c:layoutTarget val="inner"/>
          <c:xMode val="edge"/>
          <c:yMode val="edge"/>
          <c:x val="3.0805541273050116E-2"/>
          <c:y val="0.10467574213818567"/>
          <c:w val="0.8597564327361924"/>
          <c:h val="0.84057786599713435"/>
        </c:manualLayout>
      </c:layout>
      <c:lineChart>
        <c:grouping val="standard"/>
        <c:varyColors val="0"/>
        <c:ser>
          <c:idx val="5"/>
          <c:order val="1"/>
          <c:tx>
            <c:v>€ Werkzeuge</c:v>
          </c:tx>
          <c:spPr>
            <a:ln w="28575" cap="rnd">
              <a:solidFill>
                <a:schemeClr val="accent6"/>
              </a:solidFill>
              <a:round/>
            </a:ln>
            <a:effectLst/>
          </c:spPr>
          <c:marker>
            <c:symbol val="circle"/>
            <c:size val="5"/>
            <c:spPr>
              <a:solidFill>
                <a:schemeClr val="accent2"/>
              </a:solidFill>
              <a:ln w="9525">
                <a:solidFill>
                  <a:schemeClr val="accent2"/>
                </a:solidFill>
              </a:ln>
              <a:effectLst/>
            </c:spPr>
          </c:marker>
          <c:cat>
            <c:strRef>
              <c:f>'Overview &amp; instructions'!$G$51:$G$73</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instructions'!$V$51:$V$72</c:f>
              <c:extLst xmlns:c15="http://schemas.microsoft.com/office/drawing/2012/chart"/>
            </c:numRef>
          </c:val>
          <c:smooth val="0"/>
          <c:extLst xmlns:c15="http://schemas.microsoft.com/office/drawing/2012/chart">
            <c:ext xmlns:c16="http://schemas.microsoft.com/office/drawing/2014/chart" uri="{C3380CC4-5D6E-409C-BE32-E72D297353CC}">
              <c16:uniqueId val="{00000001-80A0-4E24-84D9-F27E1528FAC6}"/>
            </c:ext>
          </c:extLst>
        </c:ser>
        <c:ser>
          <c:idx val="6"/>
          <c:order val="3"/>
          <c:tx>
            <c:v>€ Rohals Erben</c:v>
          </c:tx>
          <c:spPr>
            <a:ln w="28575" cap="rnd">
              <a:solidFill>
                <a:srgbClr val="0070C0"/>
              </a:solidFill>
              <a:round/>
            </a:ln>
            <a:effectLst/>
          </c:spPr>
          <c:marker>
            <c:symbol val="circle"/>
            <c:size val="5"/>
            <c:spPr>
              <a:solidFill>
                <a:srgbClr val="0070C0"/>
              </a:solidFill>
              <a:ln w="9525">
                <a:solidFill>
                  <a:srgbClr val="0070C0"/>
                </a:solidFill>
              </a:ln>
              <a:effectLst/>
            </c:spPr>
          </c:marker>
          <c:cat>
            <c:strRef>
              <c:f>'Overview &amp; instructions'!$G$51:$G$73</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instructions'!$S$51:$S$73</c:f>
              <c:numCache>
                <c:formatCode>#,##0\ "€"</c:formatCode>
                <c:ptCount val="23"/>
                <c:pt idx="0">
                  <c:v>0</c:v>
                </c:pt>
                <c:pt idx="1">
                  <c:v>82966</c:v>
                </c:pt>
                <c:pt idx="2">
                  <c:v>96328</c:v>
                </c:pt>
                <c:pt idx="3">
                  <c:v>115147</c:v>
                </c:pt>
                <c:pt idx="4">
                  <c:v>123834</c:v>
                </c:pt>
                <c:pt idx="5">
                  <c:v>132002</c:v>
                </c:pt>
                <c:pt idx="6">
                  <c:v>150957</c:v>
                </c:pt>
                <c:pt idx="7">
                  <c:v>164491</c:v>
                </c:pt>
                <c:pt idx="8">
                  <c:v>182858</c:v>
                </c:pt>
                <c:pt idx="9">
                  <c:v>195000</c:v>
                </c:pt>
                <c:pt idx="10">
                  <c:v>203877</c:v>
                </c:pt>
                <c:pt idx="11">
                  <c:v>212794</c:v>
                </c:pt>
                <c:pt idx="12">
                  <c:v>221864</c:v>
                </c:pt>
                <c:pt idx="13">
                  <c:v>229701</c:v>
                </c:pt>
                <c:pt idx="14">
                  <c:v>240791</c:v>
                </c:pt>
                <c:pt idx="15">
                  <c:v>249000</c:v>
                </c:pt>
                <c:pt idx="16">
                  <c:v>257666</c:v>
                </c:pt>
                <c:pt idx="17">
                  <c:v>268894</c:v>
                </c:pt>
                <c:pt idx="18">
                  <c:v>280832</c:v>
                </c:pt>
                <c:pt idx="19">
                  <c:v>299641</c:v>
                </c:pt>
                <c:pt idx="20">
                  <c:v>330836</c:v>
                </c:pt>
                <c:pt idx="21">
                  <c:v>390507</c:v>
                </c:pt>
              </c:numCache>
            </c:numRef>
          </c:val>
          <c:smooth val="0"/>
          <c:extLst xmlns:c15="http://schemas.microsoft.com/office/drawing/2012/chart">
            <c:ext xmlns:c16="http://schemas.microsoft.com/office/drawing/2014/chart" uri="{C3380CC4-5D6E-409C-BE32-E72D297353CC}">
              <c16:uniqueId val="{00000033-8772-4CB5-9B41-96C9281176D7}"/>
            </c:ext>
          </c:extLst>
        </c:ser>
        <c:ser>
          <c:idx val="17"/>
          <c:order val="4"/>
          <c:tx>
            <c:v>€ Ära d.G. Kaisers</c:v>
          </c:tx>
          <c:spPr>
            <a:ln w="28575" cap="rnd">
              <a:solidFill>
                <a:schemeClr val="accent6">
                  <a:lumMod val="80000"/>
                  <a:lumOff val="20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strRef>
              <c:f>'Overview &amp; instructions'!$G$51:$G$73</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instructions'!$U$51:$U$72</c:f>
            </c:numRef>
          </c:val>
          <c:smooth val="0"/>
          <c:extLst>
            <c:ext xmlns:c16="http://schemas.microsoft.com/office/drawing/2014/chart" uri="{C3380CC4-5D6E-409C-BE32-E72D297353CC}">
              <c16:uniqueId val="{00000035-3CC7-4D1D-A37C-F1D2F85CFD9E}"/>
            </c:ext>
          </c:extLst>
        </c:ser>
        <c:ser>
          <c:idx val="10"/>
          <c:order val="5"/>
          <c:tx>
            <c:v>€ Winterwacht</c:v>
          </c:tx>
          <c:spPr>
            <a:ln w="28575" cap="rnd">
              <a:solidFill>
                <a:srgbClr val="00B0F0"/>
              </a:solidFill>
              <a:round/>
            </a:ln>
            <a:effectLst/>
          </c:spPr>
          <c:marker>
            <c:symbol val="circle"/>
            <c:size val="5"/>
            <c:spPr>
              <a:solidFill>
                <a:srgbClr val="00B0F0"/>
              </a:solidFill>
              <a:ln w="9525">
                <a:solidFill>
                  <a:srgbClr val="00B0F0"/>
                </a:solidFill>
              </a:ln>
              <a:effectLst/>
            </c:spPr>
          </c:marker>
          <c:cat>
            <c:strRef>
              <c:f>'Overview &amp; instructions'!$G$51:$G$73</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instructions'!$P$51:$P$73</c:f>
              <c:numCache>
                <c:formatCode>#,##0\ "€"</c:formatCode>
                <c:ptCount val="23"/>
                <c:pt idx="0">
                  <c:v>0</c:v>
                </c:pt>
                <c:pt idx="1">
                  <c:v>97183</c:v>
                </c:pt>
                <c:pt idx="2">
                  <c:v>121393</c:v>
                </c:pt>
                <c:pt idx="3">
                  <c:v>143837</c:v>
                </c:pt>
                <c:pt idx="4">
                  <c:v>156839</c:v>
                </c:pt>
                <c:pt idx="5">
                  <c:v>166947</c:v>
                </c:pt>
                <c:pt idx="6">
                  <c:v>175946</c:v>
                </c:pt>
                <c:pt idx="7">
                  <c:v>184883</c:v>
                </c:pt>
                <c:pt idx="8">
                  <c:v>193287</c:v>
                </c:pt>
                <c:pt idx="9">
                  <c:v>202015</c:v>
                </c:pt>
                <c:pt idx="10">
                  <c:v>209016</c:v>
                </c:pt>
                <c:pt idx="11">
                  <c:v>214911</c:v>
                </c:pt>
                <c:pt idx="12">
                  <c:v>220698</c:v>
                </c:pt>
                <c:pt idx="13">
                  <c:v>224732</c:v>
                </c:pt>
                <c:pt idx="14">
                  <c:v>232641</c:v>
                </c:pt>
                <c:pt idx="15">
                  <c:v>242719</c:v>
                </c:pt>
                <c:pt idx="16">
                  <c:v>251181</c:v>
                </c:pt>
                <c:pt idx="17">
                  <c:v>258252</c:v>
                </c:pt>
                <c:pt idx="18">
                  <c:v>267342</c:v>
                </c:pt>
                <c:pt idx="19">
                  <c:v>279921</c:v>
                </c:pt>
                <c:pt idx="20">
                  <c:v>295660</c:v>
                </c:pt>
                <c:pt idx="21">
                  <c:v>324435</c:v>
                </c:pt>
              </c:numCache>
            </c:numRef>
          </c:val>
          <c:smooth val="0"/>
          <c:extLst xmlns:c15="http://schemas.microsoft.com/office/drawing/2012/chart">
            <c:ext xmlns:c16="http://schemas.microsoft.com/office/drawing/2014/chart" uri="{C3380CC4-5D6E-409C-BE32-E72D297353CC}">
              <c16:uniqueId val="{00000035-8772-4CB5-9B41-96C9281176D7}"/>
            </c:ext>
          </c:extLst>
        </c:ser>
        <c:ser>
          <c:idx val="9"/>
          <c:order val="6"/>
          <c:tx>
            <c:v>€ Gunst der Göttin</c:v>
          </c:tx>
          <c:spPr>
            <a:ln w="28575" cap="rnd">
              <a:solidFill>
                <a:schemeClr val="accent4">
                  <a:lumMod val="60000"/>
                </a:schemeClr>
              </a:solidFill>
              <a:round/>
            </a:ln>
            <a:effectLst/>
          </c:spPr>
          <c:marker>
            <c:symbol val="circle"/>
            <c:size val="5"/>
            <c:spPr>
              <a:solidFill>
                <a:srgbClr val="FD23ED"/>
              </a:solidFill>
              <a:ln w="9525">
                <a:solidFill>
                  <a:srgbClr val="FD23ED"/>
                </a:solidFill>
              </a:ln>
              <a:effectLst/>
            </c:spPr>
          </c:marker>
          <c:cat>
            <c:strRef>
              <c:f>'Overview &amp; instructions'!$G$51:$G$73</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instructions'!$W$51:$W$72</c:f>
              <c:extLst xmlns:c15="http://schemas.microsoft.com/office/drawing/2012/chart"/>
            </c:numRef>
          </c:val>
          <c:smooth val="0"/>
          <c:extLst xmlns:c15="http://schemas.microsoft.com/office/drawing/2012/chart">
            <c:ext xmlns:c16="http://schemas.microsoft.com/office/drawing/2014/chart" uri="{C3380CC4-5D6E-409C-BE32-E72D297353CC}">
              <c16:uniqueId val="{00000034-8772-4CB5-9B41-96C9281176D7}"/>
            </c:ext>
          </c:extLst>
        </c:ser>
        <c:ser>
          <c:idx val="16"/>
          <c:order val="7"/>
          <c:tx>
            <c:v>€ Echsensümpfe</c:v>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f>'Overview &amp; instructions'!$G$51:$G$73</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instructions'!$Q$51:$Q$73</c:f>
              <c:numCache>
                <c:formatCode>#,##0\ "€"</c:formatCode>
                <c:ptCount val="23"/>
                <c:pt idx="0">
                  <c:v>0</c:v>
                </c:pt>
                <c:pt idx="1">
                  <c:v>88345</c:v>
                </c:pt>
                <c:pt idx="2">
                  <c:v>113466</c:v>
                </c:pt>
                <c:pt idx="3">
                  <c:v>126235</c:v>
                </c:pt>
                <c:pt idx="4">
                  <c:v>134183</c:v>
                </c:pt>
                <c:pt idx="5">
                  <c:v>141611</c:v>
                </c:pt>
                <c:pt idx="6">
                  <c:v>150726</c:v>
                </c:pt>
                <c:pt idx="7">
                  <c:v>157770</c:v>
                </c:pt>
                <c:pt idx="8">
                  <c:v>165131</c:v>
                </c:pt>
                <c:pt idx="9">
                  <c:v>173440</c:v>
                </c:pt>
                <c:pt idx="10">
                  <c:v>180535</c:v>
                </c:pt>
                <c:pt idx="11">
                  <c:v>184785</c:v>
                </c:pt>
                <c:pt idx="12">
                  <c:v>189297</c:v>
                </c:pt>
                <c:pt idx="13">
                  <c:v>195413</c:v>
                </c:pt>
                <c:pt idx="14">
                  <c:v>204026</c:v>
                </c:pt>
                <c:pt idx="15">
                  <c:v>214753</c:v>
                </c:pt>
                <c:pt idx="16">
                  <c:v>222938</c:v>
                </c:pt>
                <c:pt idx="17">
                  <c:v>228929</c:v>
                </c:pt>
                <c:pt idx="18">
                  <c:v>237425</c:v>
                </c:pt>
                <c:pt idx="19">
                  <c:v>255462.76086956522</c:v>
                </c:pt>
                <c:pt idx="20">
                  <c:v>276856.81185071182</c:v>
                </c:pt>
                <c:pt idx="21">
                  <c:v>323946.51534191088</c:v>
                </c:pt>
              </c:numCache>
            </c:numRef>
          </c:val>
          <c:smooth val="0"/>
          <c:extLst>
            <c:ext xmlns:c16="http://schemas.microsoft.com/office/drawing/2014/chart" uri="{C3380CC4-5D6E-409C-BE32-E72D297353CC}">
              <c16:uniqueId val="{00000034-3CC7-4D1D-A37C-F1D2F85CFD9E}"/>
            </c:ext>
          </c:extLst>
        </c:ser>
        <c:ser>
          <c:idx val="14"/>
          <c:order val="8"/>
          <c:tx>
            <c:v>€ Av. Nedime</c:v>
          </c:tx>
          <c:spPr>
            <a:ln w="28575" cap="rnd">
              <a:solidFill>
                <a:srgbClr val="CC3399"/>
              </a:solidFill>
              <a:round/>
            </a:ln>
            <a:effectLst/>
          </c:spPr>
          <c:marker>
            <c:symbol val="circle"/>
            <c:size val="5"/>
            <c:spPr>
              <a:solidFill>
                <a:srgbClr val="CC3399"/>
              </a:solidFill>
              <a:ln w="9525">
                <a:solidFill>
                  <a:srgbClr val="CC3399"/>
                </a:solidFill>
              </a:ln>
              <a:effectLst/>
            </c:spPr>
          </c:marker>
          <c:dPt>
            <c:idx val="22"/>
            <c:marker>
              <c:symbol val="circle"/>
              <c:size val="5"/>
              <c:spPr>
                <a:solidFill>
                  <a:srgbClr val="CC3399"/>
                </a:solidFill>
                <a:ln w="9525">
                  <a:solidFill>
                    <a:srgbClr val="CC3399"/>
                  </a:solidFill>
                </a:ln>
                <a:effectLst/>
              </c:spPr>
            </c:marker>
            <c:bubble3D val="0"/>
            <c:spPr>
              <a:ln w="28575" cap="rnd">
                <a:solidFill>
                  <a:srgbClr val="CC3399"/>
                </a:solidFill>
                <a:prstDash val="sysDot"/>
                <a:round/>
              </a:ln>
              <a:effectLst/>
            </c:spPr>
            <c:extLst>
              <c:ext xmlns:c16="http://schemas.microsoft.com/office/drawing/2014/chart" uri="{C3380CC4-5D6E-409C-BE32-E72D297353CC}">
                <c16:uniqueId val="{00000034-FEDD-4F9E-9626-CFE32D7E8B09}"/>
              </c:ext>
            </c:extLst>
          </c:dPt>
          <c:cat>
            <c:strRef>
              <c:f>'Overview &amp; instructions'!$G$51:$G$73</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instructions'!$AB$51:$AB$73</c:f>
              <c:numCache>
                <c:formatCode>#,##0\ "€"</c:formatCode>
                <c:ptCount val="23"/>
                <c:pt idx="0">
                  <c:v>0</c:v>
                </c:pt>
                <c:pt idx="1">
                  <c:v>14771</c:v>
                </c:pt>
                <c:pt idx="2">
                  <c:v>16764</c:v>
                </c:pt>
                <c:pt idx="3">
                  <c:v>17674</c:v>
                </c:pt>
                <c:pt idx="4">
                  <c:v>18881</c:v>
                </c:pt>
                <c:pt idx="5">
                  <c:v>21886</c:v>
                </c:pt>
                <c:pt idx="6">
                  <c:v>22571</c:v>
                </c:pt>
                <c:pt idx="7">
                  <c:v>24180</c:v>
                </c:pt>
                <c:pt idx="8">
                  <c:v>26679</c:v>
                </c:pt>
                <c:pt idx="9">
                  <c:v>27868</c:v>
                </c:pt>
                <c:pt idx="10">
                  <c:v>31587</c:v>
                </c:pt>
                <c:pt idx="11">
                  <c:v>34703</c:v>
                </c:pt>
                <c:pt idx="12">
                  <c:v>36986</c:v>
                </c:pt>
                <c:pt idx="13">
                  <c:v>37704</c:v>
                </c:pt>
                <c:pt idx="14">
                  <c:v>38541</c:v>
                </c:pt>
                <c:pt idx="15">
                  <c:v>40401</c:v>
                </c:pt>
                <c:pt idx="16">
                  <c:v>42277</c:v>
                </c:pt>
                <c:pt idx="17">
                  <c:v>44039</c:v>
                </c:pt>
                <c:pt idx="18">
                  <c:v>46661</c:v>
                </c:pt>
                <c:pt idx="19">
                  <c:v>49576</c:v>
                </c:pt>
                <c:pt idx="20">
                  <c:v>54612</c:v>
                </c:pt>
                <c:pt idx="21">
                  <c:v>62345</c:v>
                </c:pt>
                <c:pt idx="22">
                  <c:v>67364</c:v>
                </c:pt>
              </c:numCache>
            </c:numRef>
          </c:val>
          <c:smooth val="0"/>
          <c:extLst>
            <c:ext xmlns:c16="http://schemas.microsoft.com/office/drawing/2014/chart" uri="{C3380CC4-5D6E-409C-BE32-E72D297353CC}">
              <c16:uniqueId val="{00000035-5345-4F43-98B1-37A1277838B4}"/>
            </c:ext>
          </c:extLst>
        </c:ser>
        <c:ser>
          <c:idx val="15"/>
          <c:order val="9"/>
          <c:tx>
            <c:v>€ Av. Mythen &amp; Legenden</c:v>
          </c:tx>
          <c:spPr>
            <a:ln w="28575" cap="rnd">
              <a:solidFill>
                <a:schemeClr val="bg2">
                  <a:lumMod val="50000"/>
                </a:schemeClr>
              </a:solidFill>
              <a:round/>
            </a:ln>
            <a:effectLst/>
          </c:spPr>
          <c:marker>
            <c:symbol val="circle"/>
            <c:size val="5"/>
            <c:spPr>
              <a:solidFill>
                <a:schemeClr val="bg2">
                  <a:lumMod val="50000"/>
                </a:schemeClr>
              </a:solidFill>
              <a:ln w="9525">
                <a:solidFill>
                  <a:schemeClr val="bg2">
                    <a:lumMod val="50000"/>
                  </a:schemeClr>
                </a:solidFill>
              </a:ln>
              <a:effectLst/>
            </c:spPr>
          </c:marker>
          <c:cat>
            <c:strRef>
              <c:f>'Overview &amp; instructions'!$G$51:$G$73</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instructions'!$AC$51:$AC$73</c:f>
              <c:numCache>
                <c:formatCode>#,##0\ "€"</c:formatCode>
                <c:ptCount val="23"/>
                <c:pt idx="0">
                  <c:v>0</c:v>
                </c:pt>
                <c:pt idx="1">
                  <c:v>19612</c:v>
                </c:pt>
                <c:pt idx="2">
                  <c:v>24532</c:v>
                </c:pt>
                <c:pt idx="3">
                  <c:v>27671</c:v>
                </c:pt>
                <c:pt idx="4">
                  <c:v>30324</c:v>
                </c:pt>
                <c:pt idx="5">
                  <c:v>32621</c:v>
                </c:pt>
                <c:pt idx="6">
                  <c:v>37481</c:v>
                </c:pt>
                <c:pt idx="7">
                  <c:v>40223</c:v>
                </c:pt>
                <c:pt idx="8">
                  <c:v>43766</c:v>
                </c:pt>
                <c:pt idx="9">
                  <c:v>45971</c:v>
                </c:pt>
                <c:pt idx="10">
                  <c:v>48853</c:v>
                </c:pt>
                <c:pt idx="11">
                  <c:v>50284</c:v>
                </c:pt>
                <c:pt idx="12">
                  <c:v>54218</c:v>
                </c:pt>
                <c:pt idx="13">
                  <c:v>55585</c:v>
                </c:pt>
                <c:pt idx="14">
                  <c:v>57658</c:v>
                </c:pt>
                <c:pt idx="15">
                  <c:v>59154</c:v>
                </c:pt>
                <c:pt idx="16">
                  <c:v>61842</c:v>
                </c:pt>
                <c:pt idx="17">
                  <c:v>64258</c:v>
                </c:pt>
                <c:pt idx="18">
                  <c:v>66749</c:v>
                </c:pt>
                <c:pt idx="19">
                  <c:v>71433</c:v>
                </c:pt>
                <c:pt idx="20">
                  <c:v>78993</c:v>
                </c:pt>
                <c:pt idx="21">
                  <c:v>89991</c:v>
                </c:pt>
              </c:numCache>
            </c:numRef>
          </c:val>
          <c:smooth val="0"/>
          <c:extLst>
            <c:ext xmlns:c16="http://schemas.microsoft.com/office/drawing/2014/chart" uri="{C3380CC4-5D6E-409C-BE32-E72D297353CC}">
              <c16:uniqueId val="{00000036-5345-4F43-98B1-37A1277838B4}"/>
            </c:ext>
          </c:extLst>
        </c:ser>
        <c:ser>
          <c:idx val="11"/>
          <c:order val="10"/>
          <c:tx>
            <c:v>€ DSK Fasar</c:v>
          </c:tx>
          <c:spPr>
            <a:ln w="28575" cap="rnd">
              <a:solidFill>
                <a:schemeClr val="accent6">
                  <a:lumMod val="6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f>'Overview &amp; instructions'!$G$51:$G$73</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instructions'!$X$51:$X$72</c:f>
            </c:numRef>
          </c:val>
          <c:smooth val="0"/>
          <c:extLst>
            <c:ext xmlns:c16="http://schemas.microsoft.com/office/drawing/2014/chart" uri="{C3380CC4-5D6E-409C-BE32-E72D297353CC}">
              <c16:uniqueId val="{00000032-5345-4F43-98B1-37A1277838B4}"/>
            </c:ext>
          </c:extLst>
        </c:ser>
        <c:ser>
          <c:idx val="18"/>
          <c:order val="11"/>
          <c:tx>
            <c:v>€ Wolfsfrost</c:v>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dPt>
            <c:idx val="22"/>
            <c:marker>
              <c:symbol val="circle"/>
              <c:size val="5"/>
              <c:spPr>
                <a:solidFill>
                  <a:schemeClr val="accent1">
                    <a:lumMod val="80000"/>
                  </a:schemeClr>
                </a:solidFill>
                <a:ln w="9525">
                  <a:solidFill>
                    <a:schemeClr val="accent1">
                      <a:lumMod val="80000"/>
                    </a:schemeClr>
                  </a:solidFill>
                </a:ln>
                <a:effectLst/>
              </c:spPr>
            </c:marker>
            <c:bubble3D val="0"/>
            <c:spPr>
              <a:ln w="28575" cap="rnd">
                <a:solidFill>
                  <a:schemeClr val="accent1">
                    <a:lumMod val="80000"/>
                  </a:schemeClr>
                </a:solidFill>
                <a:prstDash val="sysDot"/>
                <a:round/>
              </a:ln>
              <a:effectLst/>
            </c:spPr>
            <c:extLst>
              <c:ext xmlns:c16="http://schemas.microsoft.com/office/drawing/2014/chart" uri="{C3380CC4-5D6E-409C-BE32-E72D297353CC}">
                <c16:uniqueId val="{00000035-FEDD-4F9E-9626-CFE32D7E8B09}"/>
              </c:ext>
            </c:extLst>
          </c:dPt>
          <c:cat>
            <c:strRef>
              <c:f>'Overview &amp; instructions'!$G$51:$G$73</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instructions'!$R$51:$R$73</c:f>
              <c:numCache>
                <c:formatCode>#,##0\ "€"</c:formatCode>
                <c:ptCount val="23"/>
                <c:pt idx="0">
                  <c:v>0</c:v>
                </c:pt>
                <c:pt idx="1">
                  <c:v>117333.01</c:v>
                </c:pt>
                <c:pt idx="2">
                  <c:v>142540.60999999999</c:v>
                </c:pt>
                <c:pt idx="3">
                  <c:v>158884.32</c:v>
                </c:pt>
                <c:pt idx="4">
                  <c:v>172623.29</c:v>
                </c:pt>
                <c:pt idx="5">
                  <c:v>178763.98</c:v>
                </c:pt>
                <c:pt idx="6">
                  <c:v>184821.71</c:v>
                </c:pt>
                <c:pt idx="7">
                  <c:v>192894.71</c:v>
                </c:pt>
                <c:pt idx="8">
                  <c:v>201017.49</c:v>
                </c:pt>
                <c:pt idx="9">
                  <c:v>206116.1</c:v>
                </c:pt>
                <c:pt idx="10">
                  <c:v>217511.64</c:v>
                </c:pt>
                <c:pt idx="11">
                  <c:v>224693.2</c:v>
                </c:pt>
                <c:pt idx="12">
                  <c:v>232990.67</c:v>
                </c:pt>
                <c:pt idx="13">
                  <c:v>241976.2</c:v>
                </c:pt>
                <c:pt idx="14">
                  <c:v>253405.41</c:v>
                </c:pt>
                <c:pt idx="15">
                  <c:v>264609.71999999997</c:v>
                </c:pt>
                <c:pt idx="16">
                  <c:v>272847.35999999999</c:v>
                </c:pt>
                <c:pt idx="17">
                  <c:v>281181.88</c:v>
                </c:pt>
                <c:pt idx="18">
                  <c:v>290671.17</c:v>
                </c:pt>
                <c:pt idx="19">
                  <c:v>300668.59000000003</c:v>
                </c:pt>
                <c:pt idx="20">
                  <c:v>314352.75</c:v>
                </c:pt>
                <c:pt idx="21">
                  <c:v>342006.6</c:v>
                </c:pt>
                <c:pt idx="22">
                  <c:v>355866</c:v>
                </c:pt>
              </c:numCache>
            </c:numRef>
          </c:val>
          <c:smooth val="0"/>
          <c:extLst>
            <c:ext xmlns:c16="http://schemas.microsoft.com/office/drawing/2014/chart" uri="{C3380CC4-5D6E-409C-BE32-E72D297353CC}">
              <c16:uniqueId val="{00000036-F87A-46B7-A316-A15D37C07049}"/>
            </c:ext>
          </c:extLst>
        </c:ser>
        <c:ser>
          <c:idx val="12"/>
          <c:order val="12"/>
          <c:tx>
            <c:v>€ DSK Schleichender Verfall</c:v>
          </c:tx>
          <c:spPr>
            <a:ln w="28575" cap="rnd">
              <a:solidFill>
                <a:schemeClr val="accent1">
                  <a:lumMod val="80000"/>
                  <a:lumOff val="20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Ref>
              <c:f>'Overview &amp; instructions'!$G$51:$G$73</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instructions'!$Y$51:$Y$72</c:f>
            </c:numRef>
          </c:val>
          <c:smooth val="0"/>
          <c:extLst>
            <c:ext xmlns:c16="http://schemas.microsoft.com/office/drawing/2014/chart" uri="{C3380CC4-5D6E-409C-BE32-E72D297353CC}">
              <c16:uniqueId val="{00000033-5345-4F43-98B1-37A1277838B4}"/>
            </c:ext>
          </c:extLst>
        </c:ser>
        <c:ser>
          <c:idx val="13"/>
          <c:order val="13"/>
          <c:tx>
            <c:v>€ DSK Refurbished</c:v>
          </c:tx>
          <c:spPr>
            <a:ln w="28575" cap="rnd">
              <a:solidFill>
                <a:schemeClr val="accent2">
                  <a:lumMod val="80000"/>
                  <a:lumOff val="20000"/>
                </a:schemeClr>
              </a:solidFill>
              <a:round/>
            </a:ln>
            <a:effectLst/>
          </c:spPr>
          <c:marker>
            <c:symbol val="circle"/>
            <c:size val="5"/>
            <c:spPr>
              <a:solidFill>
                <a:srgbClr val="FF0000"/>
              </a:solidFill>
              <a:ln w="9525">
                <a:solidFill>
                  <a:srgbClr val="FF0000"/>
                </a:solidFill>
              </a:ln>
              <a:effectLst/>
            </c:spPr>
          </c:marker>
          <c:cat>
            <c:strRef>
              <c:f>'Overview &amp; instructions'!$G$51:$G$73</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instructions'!$Z$51:$Z$72</c:f>
            </c:numRef>
          </c:val>
          <c:smooth val="0"/>
          <c:extLst>
            <c:ext xmlns:c16="http://schemas.microsoft.com/office/drawing/2014/chart" uri="{C3380CC4-5D6E-409C-BE32-E72D297353CC}">
              <c16:uniqueId val="{00000034-5345-4F43-98B1-37A1277838B4}"/>
            </c:ext>
          </c:extLst>
        </c:ser>
        <c:ser>
          <c:idx val="3"/>
          <c:order val="16"/>
          <c:tx>
            <c:v>€ First estimate min.</c:v>
          </c:tx>
          <c:spPr>
            <a:ln w="28575" cap="rnd">
              <a:solidFill>
                <a:srgbClr val="C00000"/>
              </a:solidFill>
              <a:prstDash val="sysDot"/>
              <a:round/>
            </a:ln>
            <a:effectLst/>
          </c:spPr>
          <c:marker>
            <c:symbol val="circle"/>
            <c:size val="5"/>
            <c:spPr>
              <a:solidFill>
                <a:srgbClr val="C00000"/>
              </a:solidFill>
              <a:ln w="9525">
                <a:solidFill>
                  <a:srgbClr val="C00000"/>
                </a:solidFill>
              </a:ln>
              <a:effectLst/>
            </c:spPr>
          </c:marker>
          <c:cat>
            <c:strRef>
              <c:f>'Overview &amp; instructions'!$G$51:$G$73</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instructions'!$L$51:$L$73</c:f>
              <c:numCache>
                <c:formatCode>#,##0\ "€"</c:formatCode>
                <c:ptCount val="23"/>
                <c:pt idx="0">
                  <c:v>0</c:v>
                </c:pt>
                <c:pt idx="1">
                  <c:v>183428.34</c:v>
                </c:pt>
                <c:pt idx="2">
                  <c:v>211630.27</c:v>
                </c:pt>
                <c:pt idx="3">
                  <c:v>226553.17</c:v>
                </c:pt>
                <c:pt idx="4">
                  <c:v>277418.56</c:v>
                </c:pt>
                <c:pt idx="5">
                  <c:v>300513.95</c:v>
                </c:pt>
                <c:pt idx="6">
                  <c:v>317794.57</c:v>
                </c:pt>
                <c:pt idx="7">
                  <c:v>323733.52039825299</c:v>
                </c:pt>
                <c:pt idx="8">
                  <c:v>335187.21045202663</c:v>
                </c:pt>
                <c:pt idx="9">
                  <c:v>338944.50560194178</c:v>
                </c:pt>
                <c:pt idx="10">
                  <c:v>345586.43380243692</c:v>
                </c:pt>
                <c:pt idx="11">
                  <c:v>357852.18442086963</c:v>
                </c:pt>
                <c:pt idx="12">
                  <c:v>370602.74731671077</c:v>
                </c:pt>
                <c:pt idx="13">
                  <c:v>373208.61330778094</c:v>
                </c:pt>
                <c:pt idx="14">
                  <c:v>380686.84268680564</c:v>
                </c:pt>
                <c:pt idx="15">
                  <c:v>393982.8193947312</c:v>
                </c:pt>
                <c:pt idx="16">
                  <c:v>405860.72019123717</c:v>
                </c:pt>
                <c:pt idx="17">
                  <c:v>411217.89585660008</c:v>
                </c:pt>
                <c:pt idx="18">
                  <c:v>427192.46039720712</c:v>
                </c:pt>
                <c:pt idx="19">
                  <c:v>444706.30391858582</c:v>
                </c:pt>
                <c:pt idx="20">
                  <c:v>486278.95670635672</c:v>
                </c:pt>
                <c:pt idx="21">
                  <c:v>560334.03208049084</c:v>
                </c:pt>
              </c:numCache>
            </c:numRef>
          </c:val>
          <c:smooth val="0"/>
          <c:extLst>
            <c:ext xmlns:c16="http://schemas.microsoft.com/office/drawing/2014/chart" uri="{C3380CC4-5D6E-409C-BE32-E72D297353CC}">
              <c16:uniqueId val="{00000003-80A0-4E24-84D9-F27E1528FAC6}"/>
            </c:ext>
          </c:extLst>
        </c:ser>
        <c:ser>
          <c:idx val="2"/>
          <c:order val="17"/>
          <c:tx>
            <c:v>€ First estimate max.</c:v>
          </c:tx>
          <c:spPr>
            <a:ln w="28575" cap="rnd">
              <a:solidFill>
                <a:schemeClr val="accent6">
                  <a:lumMod val="75000"/>
                </a:schemeClr>
              </a:solidFill>
              <a:prstDash val="sysDot"/>
              <a:round/>
            </a:ln>
            <a:effectLst/>
          </c:spPr>
          <c:marker>
            <c:symbol val="circle"/>
            <c:size val="5"/>
            <c:spPr>
              <a:solidFill>
                <a:schemeClr val="accent6">
                  <a:lumMod val="75000"/>
                </a:schemeClr>
              </a:solidFill>
              <a:ln w="9525">
                <a:solidFill>
                  <a:schemeClr val="accent6">
                    <a:lumMod val="75000"/>
                  </a:schemeClr>
                </a:solidFill>
              </a:ln>
              <a:effectLst/>
            </c:spPr>
          </c:marker>
          <c:cat>
            <c:strRef>
              <c:f>'Overview &amp; instructions'!$G$51:$G$73</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instructions'!$M$51:$M$73</c:f>
              <c:numCache>
                <c:formatCode>#,##0\ "€"</c:formatCode>
                <c:ptCount val="23"/>
                <c:pt idx="0">
                  <c:v>0</c:v>
                </c:pt>
                <c:pt idx="1">
                  <c:v>183428.34</c:v>
                </c:pt>
                <c:pt idx="2">
                  <c:v>211630.27</c:v>
                </c:pt>
                <c:pt idx="3">
                  <c:v>226553.17</c:v>
                </c:pt>
                <c:pt idx="4">
                  <c:v>277418.56</c:v>
                </c:pt>
                <c:pt idx="5">
                  <c:v>300513.95</c:v>
                </c:pt>
                <c:pt idx="6">
                  <c:v>317794.57</c:v>
                </c:pt>
                <c:pt idx="7">
                  <c:v>381131.35969349858</c:v>
                </c:pt>
                <c:pt idx="8">
                  <c:v>418238.36301956826</c:v>
                </c:pt>
                <c:pt idx="9">
                  <c:v>442525.40267647378</c:v>
                </c:pt>
                <c:pt idx="10">
                  <c:v>467158.78157982347</c:v>
                </c:pt>
                <c:pt idx="11">
                  <c:v>484535.27096002031</c:v>
                </c:pt>
                <c:pt idx="12">
                  <c:v>502799.25465923065</c:v>
                </c:pt>
                <c:pt idx="13">
                  <c:v>517172.33338666847</c:v>
                </c:pt>
                <c:pt idx="14">
                  <c:v>539862.96557949483</c:v>
                </c:pt>
                <c:pt idx="15">
                  <c:v>602875.06222945184</c:v>
                </c:pt>
                <c:pt idx="16">
                  <c:v>629884.11190138035</c:v>
                </c:pt>
                <c:pt idx="17">
                  <c:v>656925.63087766303</c:v>
                </c:pt>
                <c:pt idx="18">
                  <c:v>683214.9443030745</c:v>
                </c:pt>
                <c:pt idx="19">
                  <c:v>732281.47473292344</c:v>
                </c:pt>
                <c:pt idx="20">
                  <c:v>779421.49310442596</c:v>
                </c:pt>
                <c:pt idx="21">
                  <c:v>877803.48529750574</c:v>
                </c:pt>
              </c:numCache>
            </c:numRef>
          </c:val>
          <c:smooth val="0"/>
          <c:extLst>
            <c:ext xmlns:c16="http://schemas.microsoft.com/office/drawing/2014/chart" uri="{C3380CC4-5D6E-409C-BE32-E72D297353CC}">
              <c16:uniqueId val="{00000002-80A0-4E24-84D9-F27E1528FAC6}"/>
            </c:ext>
          </c:extLst>
        </c:ser>
        <c:ser>
          <c:idx val="0"/>
          <c:order val="18"/>
          <c:tx>
            <c:v>€ Current Forecast</c:v>
          </c:tx>
          <c:spPr>
            <a:ln w="28575" cap="rnd">
              <a:solidFill>
                <a:schemeClr val="accent4">
                  <a:lumMod val="75000"/>
                </a:schemeClr>
              </a:solidFill>
              <a:prstDash val="solid"/>
              <a:round/>
            </a:ln>
            <a:effectLst/>
          </c:spPr>
          <c:marker>
            <c:symbol val="circle"/>
            <c:size val="5"/>
            <c:spPr>
              <a:solidFill>
                <a:schemeClr val="accent4">
                  <a:lumMod val="75000"/>
                </a:schemeClr>
              </a:solidFill>
              <a:ln w="9525">
                <a:solidFill>
                  <a:schemeClr val="accent4">
                    <a:lumMod val="75000"/>
                  </a:schemeClr>
                </a:solidFill>
              </a:ln>
              <a:effectLst/>
            </c:spPr>
          </c:marker>
          <c:dPt>
            <c:idx val="1"/>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05-80A0-4E24-84D9-F27E1528FAC6}"/>
              </c:ext>
            </c:extLst>
          </c:dPt>
          <c:dPt>
            <c:idx val="2"/>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07-80A0-4E24-84D9-F27E1528FAC6}"/>
              </c:ext>
            </c:extLst>
          </c:dPt>
          <c:dPt>
            <c:idx val="3"/>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09-80A0-4E24-84D9-F27E1528FAC6}"/>
              </c:ext>
            </c:extLst>
          </c:dPt>
          <c:dPt>
            <c:idx val="4"/>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0B-80A0-4E24-84D9-F27E1528FAC6}"/>
              </c:ext>
            </c:extLst>
          </c:dPt>
          <c:dPt>
            <c:idx val="5"/>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0D-80A0-4E24-84D9-F27E1528FAC6}"/>
              </c:ext>
            </c:extLst>
          </c:dPt>
          <c:dPt>
            <c:idx val="6"/>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0F-80A0-4E24-84D9-F27E1528FAC6}"/>
              </c:ext>
            </c:extLst>
          </c:dPt>
          <c:dPt>
            <c:idx val="7"/>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11-80A0-4E24-84D9-F27E1528FAC6}"/>
              </c:ext>
            </c:extLst>
          </c:dPt>
          <c:dPt>
            <c:idx val="8"/>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13-80A0-4E24-84D9-F27E1528FAC6}"/>
              </c:ext>
            </c:extLst>
          </c:dPt>
          <c:dPt>
            <c:idx val="9"/>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15-80A0-4E24-84D9-F27E1528FAC6}"/>
              </c:ext>
            </c:extLst>
          </c:dPt>
          <c:dPt>
            <c:idx val="10"/>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17-80A0-4E24-84D9-F27E1528FAC6}"/>
              </c:ext>
            </c:extLst>
          </c:dPt>
          <c:dPt>
            <c:idx val="11"/>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19-80A0-4E24-84D9-F27E1528FAC6}"/>
              </c:ext>
            </c:extLst>
          </c:dPt>
          <c:dPt>
            <c:idx val="12"/>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1B-80A0-4E24-84D9-F27E1528FAC6}"/>
              </c:ext>
            </c:extLst>
          </c:dPt>
          <c:dPt>
            <c:idx val="13"/>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1D-80A0-4E24-84D9-F27E1528FAC6}"/>
              </c:ext>
            </c:extLst>
          </c:dPt>
          <c:dPt>
            <c:idx val="14"/>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1F-80A0-4E24-84D9-F27E1528FAC6}"/>
              </c:ext>
            </c:extLst>
          </c:dPt>
          <c:dPt>
            <c:idx val="15"/>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21-80A0-4E24-84D9-F27E1528FAC6}"/>
              </c:ext>
            </c:extLst>
          </c:dPt>
          <c:dPt>
            <c:idx val="16"/>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23-80A0-4E24-84D9-F27E1528FAC6}"/>
              </c:ext>
            </c:extLst>
          </c:dPt>
          <c:dPt>
            <c:idx val="17"/>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25-80A0-4E24-84D9-F27E1528FAC6}"/>
              </c:ext>
            </c:extLst>
          </c:dPt>
          <c:dPt>
            <c:idx val="18"/>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27-80A0-4E24-84D9-F27E1528FAC6}"/>
              </c:ext>
            </c:extLst>
          </c:dPt>
          <c:dPt>
            <c:idx val="19"/>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29-80A0-4E24-84D9-F27E1528FAC6}"/>
              </c:ext>
            </c:extLst>
          </c:dPt>
          <c:dPt>
            <c:idx val="20"/>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2B-80A0-4E24-84D9-F27E1528FAC6}"/>
              </c:ext>
            </c:extLst>
          </c:dPt>
          <c:dPt>
            <c:idx val="21"/>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2D-80A0-4E24-84D9-F27E1528FAC6}"/>
              </c:ext>
            </c:extLst>
          </c:dPt>
          <c:dPt>
            <c:idx val="22"/>
            <c:marker>
              <c:symbol val="diamond"/>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2F-80A0-4E24-84D9-F27E1528FAC6}"/>
              </c:ext>
            </c:extLst>
          </c:dPt>
          <c:dPt>
            <c:idx val="23"/>
            <c:marker>
              <c:symbol val="diamond"/>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31-80A0-4E24-84D9-F27E1528FAC6}"/>
              </c:ext>
            </c:extLst>
          </c:dPt>
          <c:dPt>
            <c:idx val="24"/>
            <c:marker>
              <c:symbol val="diamond"/>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33-80A0-4E24-84D9-F27E1528FAC6}"/>
              </c:ext>
            </c:extLst>
          </c:dPt>
          <c:dPt>
            <c:idx val="25"/>
            <c:marker>
              <c:symbol val="diamond"/>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35-80A0-4E24-84D9-F27E1528FAC6}"/>
              </c:ext>
            </c:extLst>
          </c:dPt>
          <c:cat>
            <c:strRef>
              <c:f>'Overview &amp; instructions'!$G$51:$G$73</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instructions'!$I$51:$I$73</c:f>
              <c:numCache>
                <c:formatCode>#,##0\ "€"</c:formatCode>
                <c:ptCount val="23"/>
                <c:pt idx="0">
                  <c:v>0</c:v>
                </c:pt>
                <c:pt idx="1">
                  <c:v>183428.34</c:v>
                </c:pt>
                <c:pt idx="2">
                  <c:v>211630.27</c:v>
                </c:pt>
                <c:pt idx="3">
                  <c:v>226553.17</c:v>
                </c:pt>
                <c:pt idx="4">
                  <c:v>277418.56</c:v>
                </c:pt>
                <c:pt idx="5">
                  <c:v>300513.95</c:v>
                </c:pt>
                <c:pt idx="6">
                  <c:v>317794.57</c:v>
                </c:pt>
                <c:pt idx="7">
                  <c:v>329589.40000000002</c:v>
                </c:pt>
                <c:pt idx="8">
                  <c:v>341743.05</c:v>
                </c:pt>
                <c:pt idx="9">
                  <c:v>350397.33</c:v>
                </c:pt>
                <c:pt idx="10">
                  <c:v>355633</c:v>
                </c:pt>
                <c:pt idx="11">
                  <c:v>375515</c:v>
                </c:pt>
                <c:pt idx="12">
                  <c:v>383107</c:v>
                </c:pt>
                <c:pt idx="13">
                  <c:v>390522</c:v>
                </c:pt>
                <c:pt idx="14">
                  <c:v>398145</c:v>
                </c:pt>
                <c:pt idx="15">
                  <c:v>412178</c:v>
                </c:pt>
                <c:pt idx="16">
                  <c:v>427537</c:v>
                </c:pt>
                <c:pt idx="17">
                  <c:v>439430</c:v>
                </c:pt>
                <c:pt idx="18">
                  <c:v>454034</c:v>
                </c:pt>
                <c:pt idx="19">
                  <c:v>470532</c:v>
                </c:pt>
                <c:pt idx="20">
                  <c:v>507150</c:v>
                </c:pt>
                <c:pt idx="21">
                  <c:v>560576.43999999994</c:v>
                </c:pt>
              </c:numCache>
            </c:numRef>
          </c:val>
          <c:smooth val="0"/>
          <c:extLst>
            <c:ext xmlns:c16="http://schemas.microsoft.com/office/drawing/2014/chart" uri="{C3380CC4-5D6E-409C-BE32-E72D297353CC}">
              <c16:uniqueId val="{00000036-80A0-4E24-84D9-F27E1528FAC6}"/>
            </c:ext>
          </c:extLst>
        </c:ser>
        <c:dLbls>
          <c:showLegendKey val="0"/>
          <c:showVal val="0"/>
          <c:showCatName val="0"/>
          <c:showSerName val="0"/>
          <c:showPercent val="0"/>
          <c:showBubbleSize val="0"/>
        </c:dLbls>
        <c:marker val="1"/>
        <c:smooth val="0"/>
        <c:axId val="514141632"/>
        <c:axId val="514139008"/>
        <c:extLst>
          <c:ext xmlns:c15="http://schemas.microsoft.com/office/drawing/2012/chart" uri="{02D57815-91ED-43cb-92C2-25804820EDAC}">
            <c15:filteredLineSeries>
              <c15:ser>
                <c:idx val="4"/>
                <c:order val="0"/>
                <c:tx>
                  <c:v>€ Thorwal</c:v>
                </c:tx>
                <c:spPr>
                  <a:ln w="28575" cap="rnd">
                    <a:solidFill>
                      <a:srgbClr val="7030A0"/>
                    </a:solidFill>
                    <a:round/>
                  </a:ln>
                  <a:effectLst/>
                </c:spPr>
                <c:marker>
                  <c:symbol val="circle"/>
                  <c:size val="5"/>
                  <c:spPr>
                    <a:solidFill>
                      <a:srgbClr val="7030A0"/>
                    </a:solidFill>
                    <a:ln w="9525">
                      <a:solidFill>
                        <a:srgbClr val="7030A0"/>
                      </a:solidFill>
                    </a:ln>
                    <a:effectLst/>
                  </c:spPr>
                </c:marker>
                <c:dPt>
                  <c:idx val="12"/>
                  <c:marker>
                    <c:symbol val="circle"/>
                    <c:size val="5"/>
                    <c:spPr>
                      <a:solidFill>
                        <a:srgbClr val="7030A0"/>
                      </a:solidFill>
                      <a:ln w="9525">
                        <a:solidFill>
                          <a:srgbClr val="7030A0"/>
                        </a:solidFill>
                      </a:ln>
                      <a:effectLst/>
                    </c:spPr>
                  </c:marker>
                  <c:bubble3D val="0"/>
                  <c:spPr>
                    <a:ln w="28575" cap="rnd">
                      <a:noFill/>
                      <a:round/>
                    </a:ln>
                    <a:effectLst/>
                  </c:spPr>
                  <c:extLst>
                    <c:ext xmlns:c16="http://schemas.microsoft.com/office/drawing/2014/chart" uri="{C3380CC4-5D6E-409C-BE32-E72D297353CC}">
                      <c16:uniqueId val="{00000032-8B0A-46AB-B0D1-A4874A6746F8}"/>
                    </c:ext>
                  </c:extLst>
                </c:dPt>
                <c:cat>
                  <c:strRef>
                    <c:extLst>
                      <c:ext uri="{02D57815-91ED-43cb-92C2-25804820EDAC}">
                        <c15:formulaRef>
                          <c15:sqref>'Overview &amp; instructions'!$G$51:$G$73</c15:sqref>
                        </c15:formulaRef>
                      </c:ext>
                    </c:extLst>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extLst>
                      <c:ext uri="{02D57815-91ED-43cb-92C2-25804820EDAC}">
                        <c15:formulaRef>
                          <c15:sqref>'Overview &amp; instructions'!$N$51:$N$73</c15:sqref>
                        </c15:formulaRef>
                      </c:ext>
                    </c:extLst>
                    <c:numCache>
                      <c:formatCode>#,##0\ "€"</c:formatCode>
                      <c:ptCount val="23"/>
                      <c:pt idx="0">
                        <c:v>0</c:v>
                      </c:pt>
                      <c:pt idx="2">
                        <c:v>65000</c:v>
                      </c:pt>
                      <c:pt idx="12">
                        <c:v>125000</c:v>
                      </c:pt>
                      <c:pt idx="21">
                        <c:v>266116</c:v>
                      </c:pt>
                      <c:pt idx="22">
                        <c:v>285417</c:v>
                      </c:pt>
                    </c:numCache>
                  </c:numRef>
                </c:val>
                <c:smooth val="0"/>
                <c:extLst>
                  <c:ext xmlns:c16="http://schemas.microsoft.com/office/drawing/2014/chart" uri="{C3380CC4-5D6E-409C-BE32-E72D297353CC}">
                    <c16:uniqueId val="{00000000-80A0-4E24-84D9-F27E1528FAC6}"/>
                  </c:ext>
                </c:extLst>
              </c15:ser>
            </c15:filteredLineSeries>
            <c15:filteredLineSeries>
              <c15:ser>
                <c:idx val="1"/>
                <c:order val="2"/>
                <c:tx>
                  <c:v>€ Sonnenküste</c:v>
                </c:tx>
                <c:spPr>
                  <a:ln w="28575" cap="rnd">
                    <a:solidFill>
                      <a:srgbClr val="C4BF00"/>
                    </a:solidFill>
                    <a:round/>
                  </a:ln>
                  <a:effectLst/>
                </c:spPr>
                <c:marker>
                  <c:symbol val="circle"/>
                  <c:size val="5"/>
                  <c:spPr>
                    <a:solidFill>
                      <a:srgbClr val="C4BF00"/>
                    </a:solidFill>
                    <a:ln w="9525">
                      <a:solidFill>
                        <a:srgbClr val="C4BF00"/>
                      </a:solidFill>
                    </a:ln>
                    <a:effectLst/>
                  </c:spPr>
                </c:marker>
                <c:cat>
                  <c:strRef>
                    <c:extLst>
                      <c:ext xmlns:c15="http://schemas.microsoft.com/office/drawing/2012/chart" uri="{02D57815-91ED-43cb-92C2-25804820EDAC}">
                        <c15:formulaRef>
                          <c15:sqref>'Overview &amp; instructions'!$G$51:$G$73</c15:sqref>
                        </c15:formulaRef>
                      </c:ext>
                    </c:extLst>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extLst>
                      <c:ext xmlns:c15="http://schemas.microsoft.com/office/drawing/2012/chart" uri="{02D57815-91ED-43cb-92C2-25804820EDAC}">
                        <c15:formulaRef>
                          <c15:sqref>'Overview &amp; instructions'!$O$51:$O$73</c15:sqref>
                        </c15:formulaRef>
                      </c:ext>
                    </c:extLst>
                    <c:numCache>
                      <c:formatCode>#,##0\ "€"</c:formatCode>
                      <c:ptCount val="23"/>
                      <c:pt idx="0">
                        <c:v>0</c:v>
                      </c:pt>
                      <c:pt idx="1">
                        <c:v>89735</c:v>
                      </c:pt>
                      <c:pt idx="2">
                        <c:v>114003</c:v>
                      </c:pt>
                      <c:pt idx="3">
                        <c:v>122519</c:v>
                      </c:pt>
                      <c:pt idx="4">
                        <c:v>127604</c:v>
                      </c:pt>
                      <c:pt idx="5">
                        <c:v>131274</c:v>
                      </c:pt>
                      <c:pt idx="6">
                        <c:v>135593</c:v>
                      </c:pt>
                      <c:pt idx="7">
                        <c:v>147297</c:v>
                      </c:pt>
                      <c:pt idx="8">
                        <c:v>154154</c:v>
                      </c:pt>
                      <c:pt idx="9">
                        <c:v>158642</c:v>
                      </c:pt>
                      <c:pt idx="10">
                        <c:v>163194</c:v>
                      </c:pt>
                      <c:pt idx="11">
                        <c:v>166405</c:v>
                      </c:pt>
                      <c:pt idx="12">
                        <c:v>169780</c:v>
                      </c:pt>
                      <c:pt idx="13">
                        <c:v>172436</c:v>
                      </c:pt>
                      <c:pt idx="14">
                        <c:v>176629</c:v>
                      </c:pt>
                      <c:pt idx="15">
                        <c:v>188273</c:v>
                      </c:pt>
                      <c:pt idx="16">
                        <c:v>193264</c:v>
                      </c:pt>
                      <c:pt idx="17">
                        <c:v>198261</c:v>
                      </c:pt>
                      <c:pt idx="18">
                        <c:v>203119</c:v>
                      </c:pt>
                      <c:pt idx="19">
                        <c:v>212186</c:v>
                      </c:pt>
                      <c:pt idx="20">
                        <c:v>220897</c:v>
                      </c:pt>
                      <c:pt idx="21">
                        <c:v>239077</c:v>
                      </c:pt>
                    </c:numCache>
                  </c:numRef>
                </c:val>
                <c:smooth val="0"/>
                <c:extLst xmlns:c15="http://schemas.microsoft.com/office/drawing/2012/chart">
                  <c:ext xmlns:c16="http://schemas.microsoft.com/office/drawing/2014/chart" uri="{C3380CC4-5D6E-409C-BE32-E72D297353CC}">
                    <c16:uniqueId val="{00000032-8772-4CB5-9B41-96C9281176D7}"/>
                  </c:ext>
                </c:extLst>
              </c15:ser>
            </c15:filteredLineSeries>
            <c15:filteredLineSeries>
              <c15:ser>
                <c:idx val="8"/>
                <c:order val="14"/>
                <c:tx>
                  <c:v>€ Worst Case</c:v>
                </c:tx>
                <c:spPr>
                  <a:ln w="28575" cap="rnd">
                    <a:solidFill>
                      <a:srgbClr val="FF0000"/>
                    </a:solidFill>
                    <a:prstDash val="sysDash"/>
                    <a:round/>
                  </a:ln>
                  <a:effectLst/>
                </c:spPr>
                <c:marker>
                  <c:symbol val="circle"/>
                  <c:size val="5"/>
                  <c:spPr>
                    <a:solidFill>
                      <a:srgbClr val="FF0000"/>
                    </a:solidFill>
                    <a:ln w="9525">
                      <a:solidFill>
                        <a:srgbClr val="FF0000"/>
                      </a:solidFill>
                    </a:ln>
                    <a:effectLst/>
                  </c:spPr>
                </c:marker>
                <c:cat>
                  <c:strRef>
                    <c:extLst>
                      <c:ext xmlns:c15="http://schemas.microsoft.com/office/drawing/2012/chart" uri="{02D57815-91ED-43cb-92C2-25804820EDAC}">
                        <c15:formulaRef>
                          <c15:sqref>'Overview &amp; instructions'!$G$51:$G$73</c15:sqref>
                        </c15:formulaRef>
                      </c:ext>
                    </c:extLst>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extLst>
                      <c:ext xmlns:c15="http://schemas.microsoft.com/office/drawing/2012/chart" uri="{02D57815-91ED-43cb-92C2-25804820EDAC}">
                        <c15:formulaRef>
                          <c15:sqref>'Overview &amp; instructions'!$J$51:$J$73</c15:sqref>
                        </c15:formulaRef>
                      </c:ext>
                    </c:extLst>
                    <c:numCache>
                      <c:formatCode>#,##0\ "€"</c:formatCode>
                      <c:ptCount val="23"/>
                      <c:pt idx="0">
                        <c:v>0</c:v>
                      </c:pt>
                      <c:pt idx="1">
                        <c:v>183428.34</c:v>
                      </c:pt>
                      <c:pt idx="2">
                        <c:v>211630.27</c:v>
                      </c:pt>
                      <c:pt idx="3">
                        <c:v>226553.17</c:v>
                      </c:pt>
                      <c:pt idx="4">
                        <c:v>277418.56</c:v>
                      </c:pt>
                      <c:pt idx="5">
                        <c:v>300513.95</c:v>
                      </c:pt>
                      <c:pt idx="6">
                        <c:v>317794.57</c:v>
                      </c:pt>
                      <c:pt idx="7">
                        <c:v>329589.40000000002</c:v>
                      </c:pt>
                      <c:pt idx="8">
                        <c:v>341743.05</c:v>
                      </c:pt>
                      <c:pt idx="9">
                        <c:v>350397.33</c:v>
                      </c:pt>
                      <c:pt idx="10">
                        <c:v>355633</c:v>
                      </c:pt>
                      <c:pt idx="11">
                        <c:v>375515</c:v>
                      </c:pt>
                      <c:pt idx="12">
                        <c:v>383107</c:v>
                      </c:pt>
                      <c:pt idx="13">
                        <c:v>390522</c:v>
                      </c:pt>
                      <c:pt idx="14">
                        <c:v>398145</c:v>
                      </c:pt>
                      <c:pt idx="15">
                        <c:v>412178</c:v>
                      </c:pt>
                      <c:pt idx="16">
                        <c:v>427537</c:v>
                      </c:pt>
                      <c:pt idx="17">
                        <c:v>439430</c:v>
                      </c:pt>
                      <c:pt idx="18">
                        <c:v>454034</c:v>
                      </c:pt>
                      <c:pt idx="19">
                        <c:v>470532</c:v>
                      </c:pt>
                      <c:pt idx="20">
                        <c:v>507150</c:v>
                      </c:pt>
                      <c:pt idx="21">
                        <c:v>560576.43999999994</c:v>
                      </c:pt>
                    </c:numCache>
                  </c:numRef>
                </c:val>
                <c:smooth val="0"/>
                <c:extLst xmlns:c15="http://schemas.microsoft.com/office/drawing/2012/chart">
                  <c:ext xmlns:c16="http://schemas.microsoft.com/office/drawing/2014/chart" uri="{C3380CC4-5D6E-409C-BE32-E72D297353CC}">
                    <c16:uniqueId val="{00000039-80A0-4E24-84D9-F27E1528FAC6}"/>
                  </c:ext>
                </c:extLst>
              </c15:ser>
            </c15:filteredLineSeries>
            <c15:filteredLineSeries>
              <c15:ser>
                <c:idx val="7"/>
                <c:order val="15"/>
                <c:tx>
                  <c:v>€ Best Case</c:v>
                </c:tx>
                <c:spPr>
                  <a:ln w="28575" cap="rnd">
                    <a:solidFill>
                      <a:srgbClr val="00B050"/>
                    </a:solidFill>
                    <a:prstDash val="sysDash"/>
                    <a:round/>
                  </a:ln>
                  <a:effectLst/>
                </c:spPr>
                <c:marker>
                  <c:symbol val="circle"/>
                  <c:size val="5"/>
                  <c:spPr>
                    <a:solidFill>
                      <a:srgbClr val="00B050"/>
                    </a:solidFill>
                    <a:ln w="9525">
                      <a:solidFill>
                        <a:srgbClr val="00B050"/>
                      </a:solidFill>
                    </a:ln>
                    <a:effectLst/>
                  </c:spPr>
                </c:marker>
                <c:cat>
                  <c:strRef>
                    <c:extLst>
                      <c:ext xmlns:c15="http://schemas.microsoft.com/office/drawing/2012/chart" uri="{02D57815-91ED-43cb-92C2-25804820EDAC}">
                        <c15:formulaRef>
                          <c15:sqref>'Overview &amp; instructions'!$G$51:$G$73</c15:sqref>
                        </c15:formulaRef>
                      </c:ext>
                    </c:extLst>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extLst>
                      <c:ext xmlns:c15="http://schemas.microsoft.com/office/drawing/2012/chart" uri="{02D57815-91ED-43cb-92C2-25804820EDAC}">
                        <c15:formulaRef>
                          <c15:sqref>'Overview &amp; instructions'!$K$51:$K$73</c15:sqref>
                        </c15:formulaRef>
                      </c:ext>
                    </c:extLst>
                    <c:numCache>
                      <c:formatCode>#,##0\ "€"</c:formatCode>
                      <c:ptCount val="23"/>
                      <c:pt idx="0">
                        <c:v>0</c:v>
                      </c:pt>
                      <c:pt idx="1">
                        <c:v>183428.34</c:v>
                      </c:pt>
                      <c:pt idx="2">
                        <c:v>211630.27</c:v>
                      </c:pt>
                      <c:pt idx="3">
                        <c:v>226553.17</c:v>
                      </c:pt>
                      <c:pt idx="4">
                        <c:v>277418.56</c:v>
                      </c:pt>
                      <c:pt idx="5">
                        <c:v>300513.95</c:v>
                      </c:pt>
                      <c:pt idx="6">
                        <c:v>317794.57</c:v>
                      </c:pt>
                      <c:pt idx="7">
                        <c:v>329589.40000000002</c:v>
                      </c:pt>
                      <c:pt idx="8">
                        <c:v>341743.05</c:v>
                      </c:pt>
                      <c:pt idx="9">
                        <c:v>350397.33</c:v>
                      </c:pt>
                      <c:pt idx="10">
                        <c:v>355633</c:v>
                      </c:pt>
                      <c:pt idx="11">
                        <c:v>375515</c:v>
                      </c:pt>
                      <c:pt idx="12">
                        <c:v>383107</c:v>
                      </c:pt>
                      <c:pt idx="13">
                        <c:v>390522</c:v>
                      </c:pt>
                      <c:pt idx="14">
                        <c:v>398145</c:v>
                      </c:pt>
                      <c:pt idx="15">
                        <c:v>412178</c:v>
                      </c:pt>
                      <c:pt idx="16">
                        <c:v>427537</c:v>
                      </c:pt>
                      <c:pt idx="17">
                        <c:v>439430</c:v>
                      </c:pt>
                      <c:pt idx="18">
                        <c:v>454034</c:v>
                      </c:pt>
                      <c:pt idx="19">
                        <c:v>470532</c:v>
                      </c:pt>
                      <c:pt idx="20">
                        <c:v>507150</c:v>
                      </c:pt>
                      <c:pt idx="21">
                        <c:v>560576.43999999994</c:v>
                      </c:pt>
                    </c:numCache>
                  </c:numRef>
                </c:val>
                <c:smooth val="0"/>
                <c:extLst xmlns:c15="http://schemas.microsoft.com/office/drawing/2012/chart">
                  <c:ext xmlns:c16="http://schemas.microsoft.com/office/drawing/2014/chart" uri="{C3380CC4-5D6E-409C-BE32-E72D297353CC}">
                    <c16:uniqueId val="{00000038-80A0-4E24-84D9-F27E1528FAC6}"/>
                  </c:ext>
                </c:extLst>
              </c15:ser>
            </c15:filteredLineSeries>
          </c:ext>
        </c:extLst>
      </c:lineChart>
      <c:catAx>
        <c:axId val="514141632"/>
        <c:scaling>
          <c:orientation val="minMax"/>
        </c:scaling>
        <c:delete val="0"/>
        <c:axPos val="b"/>
        <c:numFmt formatCode="General" sourceLinked="0"/>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ook Antiqua" panose="02040602050305030304" pitchFamily="18" charset="0"/>
                <a:ea typeface="+mn-ea"/>
                <a:cs typeface="+mn-cs"/>
              </a:defRPr>
            </a:pPr>
            <a:endParaRPr lang="de-DE"/>
          </a:p>
        </c:txPr>
        <c:crossAx val="514139008"/>
        <c:crosses val="autoZero"/>
        <c:auto val="0"/>
        <c:lblAlgn val="ctr"/>
        <c:lblOffset val="100"/>
        <c:noMultiLvlLbl val="0"/>
      </c:catAx>
      <c:valAx>
        <c:axId val="514139008"/>
        <c:scaling>
          <c:orientation val="minMax"/>
          <c:max val="575000"/>
          <c:min val="0"/>
        </c:scaling>
        <c:delete val="0"/>
        <c:axPos val="l"/>
        <c:majorGridlines>
          <c:spPr>
            <a:ln w="9525" cap="flat" cmpd="sng" algn="ctr">
              <a:solidFill>
                <a:schemeClr val="tx1">
                  <a:lumMod val="15000"/>
                  <a:lumOff val="85000"/>
                </a:schemeClr>
              </a:solidFill>
              <a:round/>
            </a:ln>
            <a:effectLst/>
          </c:spPr>
        </c:majorGridlines>
        <c:numFmt formatCode="#,\ &quot;T€&quot;"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ook Antiqua" panose="02040602050305030304" pitchFamily="18" charset="0"/>
                <a:ea typeface="+mn-ea"/>
                <a:cs typeface="+mn-cs"/>
              </a:defRPr>
            </a:pPr>
            <a:endParaRPr lang="de-DE"/>
          </a:p>
        </c:txPr>
        <c:crossAx val="514141632"/>
        <c:crossesAt val="43874"/>
        <c:crossBetween val="midCat"/>
        <c:majorUnit val="25000"/>
      </c:valAx>
      <c:spPr>
        <a:solidFill>
          <a:sysClr val="window" lastClr="FFFFFF"/>
        </a:solidFill>
        <a:ln>
          <a:noFill/>
        </a:ln>
        <a:effectLst/>
      </c:spPr>
    </c:plotArea>
    <c:legend>
      <c:legendPos val="t"/>
      <c:layout>
        <c:manualLayout>
          <c:xMode val="edge"/>
          <c:yMode val="edge"/>
          <c:x val="0.17960715970822713"/>
          <c:y val="1.5639151688508966E-2"/>
          <c:w val="0.77940638558357789"/>
          <c:h val="7.292795863203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ook Antiqua" panose="02040602050305030304" pitchFamily="18"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5">
        <a:lumMod val="40000"/>
        <a:lumOff val="60000"/>
      </a:schemeClr>
    </a:solidFill>
    <a:ln w="9525" cap="flat" cmpd="sng" algn="ctr">
      <a:solidFill>
        <a:schemeClr val="tx1">
          <a:lumMod val="15000"/>
          <a:lumOff val="85000"/>
        </a:schemeClr>
      </a:solidFill>
      <a:round/>
    </a:ln>
    <a:effectLst/>
  </c:spPr>
  <c:txPr>
    <a:bodyPr/>
    <a:lstStyle/>
    <a:p>
      <a:pPr>
        <a:defRPr>
          <a:latin typeface="Book Antiqua" panose="02040602050305030304" pitchFamily="18" charset="0"/>
        </a:defRPr>
      </a:pPr>
      <a:endParaRPr lang="de-DE"/>
    </a:p>
  </c:txPr>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Book Antiqua" panose="02040602050305030304" pitchFamily="18" charset="0"/>
                <a:ea typeface="+mn-ea"/>
                <a:cs typeface="+mn-cs"/>
              </a:defRPr>
            </a:pPr>
            <a:r>
              <a:rPr lang="de-DE">
                <a:solidFill>
                  <a:sysClr val="windowText" lastClr="000000"/>
                </a:solidFill>
              </a:rPr>
              <a:t>Current status</a:t>
            </a:r>
          </a:p>
          <a:p>
            <a:pPr>
              <a:defRPr/>
            </a:pPr>
            <a:r>
              <a:rPr lang="de-DE">
                <a:solidFill>
                  <a:sysClr val="windowText" lastClr="000000"/>
                </a:solidFill>
              </a:rPr>
              <a:t>and forecast backers</a:t>
            </a:r>
          </a:p>
        </c:rich>
      </c:tx>
      <c:layout>
        <c:manualLayout>
          <c:xMode val="edge"/>
          <c:yMode val="edge"/>
          <c:x val="3.0453674649409502E-2"/>
          <c:y val="8.9137134286766044E-4"/>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Book Antiqua" panose="02040602050305030304" pitchFamily="18" charset="0"/>
              <a:ea typeface="+mn-ea"/>
              <a:cs typeface="+mn-cs"/>
            </a:defRPr>
          </a:pPr>
          <a:endParaRPr lang="de-DE"/>
        </a:p>
      </c:txPr>
    </c:title>
    <c:autoTitleDeleted val="0"/>
    <c:plotArea>
      <c:layout>
        <c:manualLayout>
          <c:layoutTarget val="inner"/>
          <c:xMode val="edge"/>
          <c:yMode val="edge"/>
          <c:x val="3.0805541273050116E-2"/>
          <c:y val="0.10467574213818567"/>
          <c:w val="0.8597564327361924"/>
          <c:h val="0.84492288813297134"/>
        </c:manualLayout>
      </c:layout>
      <c:lineChart>
        <c:grouping val="standard"/>
        <c:varyColors val="0"/>
        <c:ser>
          <c:idx val="5"/>
          <c:order val="1"/>
          <c:tx>
            <c:v>Backer Werkzeuge</c:v>
          </c:tx>
          <c:spPr>
            <a:ln w="28575" cap="rnd">
              <a:solidFill>
                <a:schemeClr val="accent6"/>
              </a:solidFill>
              <a:round/>
            </a:ln>
            <a:effectLst/>
          </c:spPr>
          <c:marker>
            <c:symbol val="circle"/>
            <c:size val="5"/>
            <c:spPr>
              <a:solidFill>
                <a:schemeClr val="accent2"/>
              </a:solidFill>
              <a:ln w="9525">
                <a:solidFill>
                  <a:schemeClr val="accent2"/>
                </a:solidFill>
              </a:ln>
              <a:effectLst/>
            </c:spPr>
          </c:marker>
          <c:cat>
            <c:strRef>
              <c:f>'Overview &amp; instructions'!$G$83:$G$105</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instructions'!$V$83:$V$104</c:f>
              <c:extLst xmlns:c15="http://schemas.microsoft.com/office/drawing/2012/chart"/>
            </c:numRef>
          </c:val>
          <c:smooth val="0"/>
          <c:extLst xmlns:c15="http://schemas.microsoft.com/office/drawing/2012/chart">
            <c:ext xmlns:c16="http://schemas.microsoft.com/office/drawing/2014/chart" uri="{C3380CC4-5D6E-409C-BE32-E72D297353CC}">
              <c16:uniqueId val="{00000001-F090-4B47-B039-C2E9452AA03A}"/>
            </c:ext>
          </c:extLst>
        </c:ser>
        <c:ser>
          <c:idx val="6"/>
          <c:order val="3"/>
          <c:tx>
            <c:v>Backers Rohals Erben</c:v>
          </c:tx>
          <c:spPr>
            <a:ln w="28575" cap="rnd">
              <a:solidFill>
                <a:srgbClr val="0070C0"/>
              </a:solidFill>
              <a:round/>
            </a:ln>
            <a:effectLst/>
          </c:spPr>
          <c:marker>
            <c:symbol val="circle"/>
            <c:size val="5"/>
            <c:spPr>
              <a:solidFill>
                <a:srgbClr val="0070C0"/>
              </a:solidFill>
              <a:ln w="9525">
                <a:solidFill>
                  <a:srgbClr val="0070C0"/>
                </a:solidFill>
              </a:ln>
              <a:effectLst/>
            </c:spPr>
          </c:marker>
          <c:cat>
            <c:strRef>
              <c:f>'Overview &amp; instructions'!$G$83:$G$105</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instructions'!$S$83:$S$105</c:f>
              <c:numCache>
                <c:formatCode>#,##0</c:formatCode>
                <c:ptCount val="23"/>
                <c:pt idx="0">
                  <c:v>0</c:v>
                </c:pt>
                <c:pt idx="1">
                  <c:v>341</c:v>
                </c:pt>
                <c:pt idx="2">
                  <c:v>404</c:v>
                </c:pt>
                <c:pt idx="3">
                  <c:v>480</c:v>
                </c:pt>
                <c:pt idx="4">
                  <c:v>520</c:v>
                </c:pt>
                <c:pt idx="5">
                  <c:v>564</c:v>
                </c:pt>
                <c:pt idx="6">
                  <c:v>652</c:v>
                </c:pt>
                <c:pt idx="7">
                  <c:v>709</c:v>
                </c:pt>
                <c:pt idx="8">
                  <c:v>792</c:v>
                </c:pt>
                <c:pt idx="9">
                  <c:v>851</c:v>
                </c:pt>
                <c:pt idx="10">
                  <c:v>893</c:v>
                </c:pt>
                <c:pt idx="11">
                  <c:v>935</c:v>
                </c:pt>
                <c:pt idx="12">
                  <c:v>976</c:v>
                </c:pt>
                <c:pt idx="13">
                  <c:v>1011</c:v>
                </c:pt>
                <c:pt idx="14">
                  <c:v>1060</c:v>
                </c:pt>
                <c:pt idx="15">
                  <c:v>1096</c:v>
                </c:pt>
                <c:pt idx="16">
                  <c:v>1134</c:v>
                </c:pt>
                <c:pt idx="17">
                  <c:v>1160</c:v>
                </c:pt>
                <c:pt idx="18">
                  <c:v>1210</c:v>
                </c:pt>
                <c:pt idx="19">
                  <c:v>1290</c:v>
                </c:pt>
                <c:pt idx="20">
                  <c:v>1421</c:v>
                </c:pt>
                <c:pt idx="21">
                  <c:v>1658</c:v>
                </c:pt>
              </c:numCache>
            </c:numRef>
          </c:val>
          <c:smooth val="0"/>
          <c:extLst>
            <c:ext xmlns:c16="http://schemas.microsoft.com/office/drawing/2014/chart" uri="{C3380CC4-5D6E-409C-BE32-E72D297353CC}">
              <c16:uniqueId val="{00000033-D13C-4DCF-A6E7-5437B880B125}"/>
            </c:ext>
          </c:extLst>
        </c:ser>
        <c:ser>
          <c:idx val="17"/>
          <c:order val="4"/>
          <c:tx>
            <c:v>Backer Ära d.G. Kaisers</c:v>
          </c:tx>
          <c:spPr>
            <a:ln w="28575" cap="rnd">
              <a:solidFill>
                <a:schemeClr val="accent6">
                  <a:lumMod val="80000"/>
                  <a:lumOff val="20000"/>
                </a:schemeClr>
              </a:solidFill>
              <a:round/>
            </a:ln>
            <a:effectLst/>
          </c:spPr>
          <c:marker>
            <c:symbol val="circle"/>
            <c:size val="5"/>
            <c:spPr>
              <a:solidFill>
                <a:schemeClr val="accent4">
                  <a:lumMod val="75000"/>
                </a:schemeClr>
              </a:solidFill>
              <a:ln w="9525">
                <a:solidFill>
                  <a:schemeClr val="accent4">
                    <a:lumMod val="75000"/>
                  </a:schemeClr>
                </a:solidFill>
              </a:ln>
              <a:effectLst/>
            </c:spPr>
          </c:marker>
          <c:cat>
            <c:strRef>
              <c:f>'Overview &amp; instructions'!$G$83:$G$105</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instructions'!$U$83:$U$104</c:f>
            </c:numRef>
          </c:val>
          <c:smooth val="0"/>
          <c:extLst>
            <c:ext xmlns:c16="http://schemas.microsoft.com/office/drawing/2014/chart" uri="{C3380CC4-5D6E-409C-BE32-E72D297353CC}">
              <c16:uniqueId val="{00000033-0240-41EE-9611-CEC9C9CBB7B2}"/>
            </c:ext>
          </c:extLst>
        </c:ser>
        <c:ser>
          <c:idx val="9"/>
          <c:order val="5"/>
          <c:tx>
            <c:v>Backer Gunst der Göttin</c:v>
          </c:tx>
          <c:spPr>
            <a:ln w="28575" cap="rnd">
              <a:solidFill>
                <a:schemeClr val="accent4">
                  <a:lumMod val="60000"/>
                </a:schemeClr>
              </a:solidFill>
              <a:round/>
            </a:ln>
            <a:effectLst/>
          </c:spPr>
          <c:marker>
            <c:symbol val="circle"/>
            <c:size val="5"/>
            <c:spPr>
              <a:solidFill>
                <a:srgbClr val="FD23ED"/>
              </a:solidFill>
              <a:ln w="9525">
                <a:solidFill>
                  <a:srgbClr val="FD23ED"/>
                </a:solidFill>
              </a:ln>
              <a:effectLst/>
            </c:spPr>
          </c:marker>
          <c:cat>
            <c:strRef>
              <c:f>'Overview &amp; instructions'!$G$83:$G$105</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instructions'!$W$83:$W$104</c:f>
            </c:numRef>
          </c:val>
          <c:smooth val="0"/>
          <c:extLst>
            <c:ext xmlns:c16="http://schemas.microsoft.com/office/drawing/2014/chart" uri="{C3380CC4-5D6E-409C-BE32-E72D297353CC}">
              <c16:uniqueId val="{00000034-D13C-4DCF-A6E7-5437B880B125}"/>
            </c:ext>
          </c:extLst>
        </c:ser>
        <c:ser>
          <c:idx val="10"/>
          <c:order val="6"/>
          <c:tx>
            <c:v>Backers Winterwacht</c:v>
          </c:tx>
          <c:spPr>
            <a:ln w="28575" cap="rnd">
              <a:solidFill>
                <a:srgbClr val="00B0F0"/>
              </a:solidFill>
              <a:round/>
            </a:ln>
            <a:effectLst/>
          </c:spPr>
          <c:marker>
            <c:symbol val="circle"/>
            <c:size val="5"/>
            <c:spPr>
              <a:solidFill>
                <a:srgbClr val="00B0F0"/>
              </a:solidFill>
              <a:ln w="9525">
                <a:solidFill>
                  <a:srgbClr val="00B0F0"/>
                </a:solidFill>
              </a:ln>
              <a:effectLst/>
            </c:spPr>
          </c:marker>
          <c:cat>
            <c:strRef>
              <c:f>'Overview &amp; instructions'!$G$83:$G$105</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instructions'!$P$83:$P$105</c:f>
              <c:numCache>
                <c:formatCode>#,##0</c:formatCode>
                <c:ptCount val="23"/>
                <c:pt idx="0">
                  <c:v>0</c:v>
                </c:pt>
                <c:pt idx="1">
                  <c:v>489</c:v>
                </c:pt>
                <c:pt idx="2">
                  <c:v>618</c:v>
                </c:pt>
                <c:pt idx="3">
                  <c:v>731</c:v>
                </c:pt>
                <c:pt idx="4">
                  <c:v>797</c:v>
                </c:pt>
                <c:pt idx="5">
                  <c:v>847</c:v>
                </c:pt>
                <c:pt idx="6">
                  <c:v>901</c:v>
                </c:pt>
                <c:pt idx="7">
                  <c:v>953</c:v>
                </c:pt>
                <c:pt idx="8">
                  <c:v>994</c:v>
                </c:pt>
                <c:pt idx="9">
                  <c:v>1040</c:v>
                </c:pt>
                <c:pt idx="10">
                  <c:v>1073</c:v>
                </c:pt>
                <c:pt idx="11">
                  <c:v>1104</c:v>
                </c:pt>
                <c:pt idx="12">
                  <c:v>1137</c:v>
                </c:pt>
                <c:pt idx="13">
                  <c:v>1159</c:v>
                </c:pt>
                <c:pt idx="14">
                  <c:v>1207</c:v>
                </c:pt>
                <c:pt idx="15">
                  <c:v>1257</c:v>
                </c:pt>
                <c:pt idx="16">
                  <c:v>1301</c:v>
                </c:pt>
                <c:pt idx="17">
                  <c:v>1341</c:v>
                </c:pt>
                <c:pt idx="18">
                  <c:v>1386</c:v>
                </c:pt>
                <c:pt idx="19">
                  <c:v>1454</c:v>
                </c:pt>
                <c:pt idx="20">
                  <c:v>1533</c:v>
                </c:pt>
                <c:pt idx="21">
                  <c:v>1680</c:v>
                </c:pt>
              </c:numCache>
            </c:numRef>
          </c:val>
          <c:smooth val="0"/>
          <c:extLst>
            <c:ext xmlns:c16="http://schemas.microsoft.com/office/drawing/2014/chart" uri="{C3380CC4-5D6E-409C-BE32-E72D297353CC}">
              <c16:uniqueId val="{00000035-D13C-4DCF-A6E7-5437B880B125}"/>
            </c:ext>
          </c:extLst>
        </c:ser>
        <c:ser>
          <c:idx val="16"/>
          <c:order val="7"/>
          <c:tx>
            <c:v>Backers Echsensümpfe</c:v>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f>'Overview &amp; instructions'!$G$83:$G$105</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instructions'!$Q$83:$Q$105</c:f>
              <c:numCache>
                <c:formatCode>#,##0</c:formatCode>
                <c:ptCount val="23"/>
                <c:pt idx="0">
                  <c:v>0</c:v>
                </c:pt>
                <c:pt idx="1">
                  <c:v>396</c:v>
                </c:pt>
                <c:pt idx="2">
                  <c:v>516</c:v>
                </c:pt>
                <c:pt idx="3">
                  <c:v>580</c:v>
                </c:pt>
                <c:pt idx="4">
                  <c:v>622</c:v>
                </c:pt>
                <c:pt idx="5">
                  <c:v>661</c:v>
                </c:pt>
                <c:pt idx="6">
                  <c:v>706</c:v>
                </c:pt>
                <c:pt idx="7">
                  <c:v>746</c:v>
                </c:pt>
                <c:pt idx="8">
                  <c:v>781</c:v>
                </c:pt>
                <c:pt idx="9">
                  <c:v>821</c:v>
                </c:pt>
                <c:pt idx="10">
                  <c:v>858</c:v>
                </c:pt>
                <c:pt idx="11">
                  <c:v>877</c:v>
                </c:pt>
                <c:pt idx="12">
                  <c:v>901</c:v>
                </c:pt>
                <c:pt idx="13">
                  <c:v>929</c:v>
                </c:pt>
                <c:pt idx="14">
                  <c:v>966</c:v>
                </c:pt>
                <c:pt idx="15">
                  <c:v>1013</c:v>
                </c:pt>
                <c:pt idx="16">
                  <c:v>1049</c:v>
                </c:pt>
                <c:pt idx="17">
                  <c:v>1075</c:v>
                </c:pt>
                <c:pt idx="18">
                  <c:v>1113</c:v>
                </c:pt>
                <c:pt idx="19">
                  <c:v>1192</c:v>
                </c:pt>
                <c:pt idx="20">
                  <c:v>1286</c:v>
                </c:pt>
                <c:pt idx="21">
                  <c:v>1493</c:v>
                </c:pt>
              </c:numCache>
            </c:numRef>
          </c:val>
          <c:smooth val="0"/>
          <c:extLst>
            <c:ext xmlns:c16="http://schemas.microsoft.com/office/drawing/2014/chart" uri="{C3380CC4-5D6E-409C-BE32-E72D297353CC}">
              <c16:uniqueId val="{00000032-0240-41EE-9611-CEC9C9CBB7B2}"/>
            </c:ext>
          </c:extLst>
        </c:ser>
        <c:ser>
          <c:idx val="11"/>
          <c:order val="8"/>
          <c:tx>
            <c:v>Backer DSK Fasar</c:v>
          </c:tx>
          <c:spPr>
            <a:ln w="28575" cap="rnd">
              <a:solidFill>
                <a:schemeClr val="accent6">
                  <a:lumMod val="6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f>'Overview &amp; instructions'!$G$83:$G$105</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instructions'!$X$83:$X$104</c:f>
            </c:numRef>
          </c:val>
          <c:smooth val="0"/>
          <c:extLst>
            <c:ext xmlns:c16="http://schemas.microsoft.com/office/drawing/2014/chart" uri="{C3380CC4-5D6E-409C-BE32-E72D297353CC}">
              <c16:uniqueId val="{00000032-8935-4DDB-A198-DE245B7BD8A0}"/>
            </c:ext>
          </c:extLst>
        </c:ser>
        <c:ser>
          <c:idx val="12"/>
          <c:order val="9"/>
          <c:tx>
            <c:v>Backer DSK Schleichender Verfall</c:v>
          </c:tx>
          <c:spPr>
            <a:ln w="28575" cap="rnd">
              <a:solidFill>
                <a:schemeClr val="accent1">
                  <a:lumMod val="80000"/>
                  <a:lumOff val="20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Ref>
              <c:f>'Overview &amp; instructions'!$G$83:$G$105</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instructions'!$Y$83:$Y$104</c:f>
            </c:numRef>
          </c:val>
          <c:smooth val="0"/>
          <c:extLst>
            <c:ext xmlns:c16="http://schemas.microsoft.com/office/drawing/2014/chart" uri="{C3380CC4-5D6E-409C-BE32-E72D297353CC}">
              <c16:uniqueId val="{00000033-8935-4DDB-A198-DE245B7BD8A0}"/>
            </c:ext>
          </c:extLst>
        </c:ser>
        <c:ser>
          <c:idx val="13"/>
          <c:order val="10"/>
          <c:tx>
            <c:v>Backer DSK Refurbished</c:v>
          </c:tx>
          <c:spPr>
            <a:ln w="28575" cap="rnd">
              <a:solidFill>
                <a:schemeClr val="accent2">
                  <a:lumMod val="80000"/>
                  <a:lumOff val="20000"/>
                </a:schemeClr>
              </a:solidFill>
              <a:round/>
            </a:ln>
            <a:effectLst/>
          </c:spPr>
          <c:marker>
            <c:symbol val="circle"/>
            <c:size val="5"/>
            <c:spPr>
              <a:solidFill>
                <a:srgbClr val="FF0000"/>
              </a:solidFill>
              <a:ln w="9525">
                <a:solidFill>
                  <a:srgbClr val="FF0000"/>
                </a:solidFill>
              </a:ln>
              <a:effectLst/>
            </c:spPr>
          </c:marker>
          <c:cat>
            <c:strRef>
              <c:f>'Overview &amp; instructions'!$G$83:$G$105</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instructions'!$Z$83:$Z$104</c:f>
            </c:numRef>
          </c:val>
          <c:smooth val="0"/>
          <c:extLst>
            <c:ext xmlns:c16="http://schemas.microsoft.com/office/drawing/2014/chart" uri="{C3380CC4-5D6E-409C-BE32-E72D297353CC}">
              <c16:uniqueId val="{00000034-8935-4DDB-A198-DE245B7BD8A0}"/>
            </c:ext>
          </c:extLst>
        </c:ser>
        <c:ser>
          <c:idx val="18"/>
          <c:order val="11"/>
          <c:tx>
            <c:v>Backers Wolfsfrost</c:v>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dPt>
            <c:idx val="22"/>
            <c:marker>
              <c:symbol val="circle"/>
              <c:size val="5"/>
              <c:spPr>
                <a:solidFill>
                  <a:schemeClr val="accent1">
                    <a:lumMod val="80000"/>
                  </a:schemeClr>
                </a:solidFill>
                <a:ln w="9525">
                  <a:solidFill>
                    <a:schemeClr val="accent1">
                      <a:lumMod val="80000"/>
                    </a:schemeClr>
                  </a:solidFill>
                </a:ln>
                <a:effectLst/>
              </c:spPr>
            </c:marker>
            <c:bubble3D val="0"/>
            <c:spPr>
              <a:ln w="28575" cap="rnd">
                <a:solidFill>
                  <a:schemeClr val="accent1">
                    <a:lumMod val="80000"/>
                  </a:schemeClr>
                </a:solidFill>
                <a:prstDash val="sysDot"/>
                <a:round/>
              </a:ln>
              <a:effectLst/>
            </c:spPr>
            <c:extLst>
              <c:ext xmlns:c16="http://schemas.microsoft.com/office/drawing/2014/chart" uri="{C3380CC4-5D6E-409C-BE32-E72D297353CC}">
                <c16:uniqueId val="{00000032-44BC-4E66-80B6-8EE9EB6DEF4E}"/>
              </c:ext>
            </c:extLst>
          </c:dPt>
          <c:cat>
            <c:strRef>
              <c:f>'Overview &amp; instructions'!$G$83:$G$105</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instructions'!$R$83:$R$105</c:f>
              <c:numCache>
                <c:formatCode>#,##0</c:formatCode>
                <c:ptCount val="23"/>
                <c:pt idx="0">
                  <c:v>0</c:v>
                </c:pt>
                <c:pt idx="1">
                  <c:v>504</c:v>
                </c:pt>
                <c:pt idx="2">
                  <c:v>617</c:v>
                </c:pt>
                <c:pt idx="3">
                  <c:v>696</c:v>
                </c:pt>
                <c:pt idx="4">
                  <c:v>759</c:v>
                </c:pt>
                <c:pt idx="5">
                  <c:v>790</c:v>
                </c:pt>
                <c:pt idx="6">
                  <c:v>821</c:v>
                </c:pt>
                <c:pt idx="7">
                  <c:v>855</c:v>
                </c:pt>
                <c:pt idx="8">
                  <c:v>882</c:v>
                </c:pt>
                <c:pt idx="9">
                  <c:v>905</c:v>
                </c:pt>
                <c:pt idx="10">
                  <c:v>957</c:v>
                </c:pt>
                <c:pt idx="11">
                  <c:v>989</c:v>
                </c:pt>
                <c:pt idx="12">
                  <c:v>1026</c:v>
                </c:pt>
                <c:pt idx="13">
                  <c:v>1068</c:v>
                </c:pt>
                <c:pt idx="14">
                  <c:v>1115</c:v>
                </c:pt>
                <c:pt idx="15">
                  <c:v>1170</c:v>
                </c:pt>
                <c:pt idx="16">
                  <c:v>1216</c:v>
                </c:pt>
                <c:pt idx="17">
                  <c:v>1256</c:v>
                </c:pt>
                <c:pt idx="18">
                  <c:v>1296</c:v>
                </c:pt>
                <c:pt idx="19">
                  <c:v>1340</c:v>
                </c:pt>
                <c:pt idx="20">
                  <c:v>1403</c:v>
                </c:pt>
                <c:pt idx="21">
                  <c:v>1546</c:v>
                </c:pt>
                <c:pt idx="22">
                  <c:v>1606</c:v>
                </c:pt>
              </c:numCache>
            </c:numRef>
          </c:val>
          <c:smooth val="0"/>
          <c:extLst>
            <c:ext xmlns:c16="http://schemas.microsoft.com/office/drawing/2014/chart" uri="{C3380CC4-5D6E-409C-BE32-E72D297353CC}">
              <c16:uniqueId val="{00000032-285B-47B2-83E0-57588ECA4526}"/>
            </c:ext>
          </c:extLst>
        </c:ser>
        <c:ser>
          <c:idx val="14"/>
          <c:order val="12"/>
          <c:tx>
            <c:v>Backers Av. Nedime</c:v>
          </c:tx>
          <c:spPr>
            <a:ln w="28575" cap="rnd">
              <a:solidFill>
                <a:srgbClr val="CC3399"/>
              </a:solidFill>
              <a:round/>
            </a:ln>
            <a:effectLst/>
          </c:spPr>
          <c:marker>
            <c:symbol val="circle"/>
            <c:size val="5"/>
            <c:spPr>
              <a:solidFill>
                <a:srgbClr val="CC3399"/>
              </a:solidFill>
              <a:ln w="9525">
                <a:solidFill>
                  <a:srgbClr val="CC3399"/>
                </a:solidFill>
              </a:ln>
              <a:effectLst/>
            </c:spPr>
          </c:marker>
          <c:dPt>
            <c:idx val="22"/>
            <c:marker>
              <c:symbol val="circle"/>
              <c:size val="5"/>
              <c:spPr>
                <a:solidFill>
                  <a:srgbClr val="CC3399"/>
                </a:solidFill>
                <a:ln w="9525">
                  <a:solidFill>
                    <a:srgbClr val="CC3399"/>
                  </a:solidFill>
                </a:ln>
                <a:effectLst/>
              </c:spPr>
            </c:marker>
            <c:bubble3D val="0"/>
            <c:spPr>
              <a:ln w="28575" cap="rnd">
                <a:solidFill>
                  <a:srgbClr val="CC3399"/>
                </a:solidFill>
                <a:prstDash val="sysDot"/>
                <a:round/>
              </a:ln>
              <a:effectLst/>
            </c:spPr>
            <c:extLst>
              <c:ext xmlns:c16="http://schemas.microsoft.com/office/drawing/2014/chart" uri="{C3380CC4-5D6E-409C-BE32-E72D297353CC}">
                <c16:uniqueId val="{00000033-44BC-4E66-80B6-8EE9EB6DEF4E}"/>
              </c:ext>
            </c:extLst>
          </c:dPt>
          <c:cat>
            <c:strRef>
              <c:f>'Overview &amp; instructions'!$G$83:$G$105</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instructions'!$AB$83:$AB$105</c:f>
              <c:numCache>
                <c:formatCode>#,##0</c:formatCode>
                <c:ptCount val="23"/>
                <c:pt idx="0">
                  <c:v>0</c:v>
                </c:pt>
                <c:pt idx="1">
                  <c:v>73</c:v>
                </c:pt>
                <c:pt idx="2">
                  <c:v>82</c:v>
                </c:pt>
                <c:pt idx="3">
                  <c:v>90</c:v>
                </c:pt>
                <c:pt idx="4">
                  <c:v>95</c:v>
                </c:pt>
                <c:pt idx="5">
                  <c:v>111</c:v>
                </c:pt>
                <c:pt idx="6">
                  <c:v>114.99999999999999</c:v>
                </c:pt>
                <c:pt idx="7">
                  <c:v>124</c:v>
                </c:pt>
                <c:pt idx="8">
                  <c:v>136</c:v>
                </c:pt>
                <c:pt idx="9">
                  <c:v>142</c:v>
                </c:pt>
                <c:pt idx="10">
                  <c:v>161</c:v>
                </c:pt>
                <c:pt idx="11">
                  <c:v>178</c:v>
                </c:pt>
                <c:pt idx="12">
                  <c:v>193</c:v>
                </c:pt>
                <c:pt idx="13">
                  <c:v>197</c:v>
                </c:pt>
                <c:pt idx="14">
                  <c:v>205</c:v>
                </c:pt>
                <c:pt idx="15">
                  <c:v>214</c:v>
                </c:pt>
                <c:pt idx="16">
                  <c:v>224</c:v>
                </c:pt>
                <c:pt idx="17">
                  <c:v>233</c:v>
                </c:pt>
                <c:pt idx="18">
                  <c:v>250</c:v>
                </c:pt>
                <c:pt idx="19">
                  <c:v>267</c:v>
                </c:pt>
                <c:pt idx="20">
                  <c:v>300</c:v>
                </c:pt>
                <c:pt idx="21">
                  <c:v>347</c:v>
                </c:pt>
                <c:pt idx="22">
                  <c:v>378</c:v>
                </c:pt>
              </c:numCache>
            </c:numRef>
          </c:val>
          <c:smooth val="0"/>
          <c:extLst>
            <c:ext xmlns:c16="http://schemas.microsoft.com/office/drawing/2014/chart" uri="{C3380CC4-5D6E-409C-BE32-E72D297353CC}">
              <c16:uniqueId val="{00000035-8935-4DDB-A198-DE245B7BD8A0}"/>
            </c:ext>
          </c:extLst>
        </c:ser>
        <c:ser>
          <c:idx val="15"/>
          <c:order val="13"/>
          <c:tx>
            <c:v>Backers Av. Mythen &amp; Legenden</c:v>
          </c:tx>
          <c:spPr>
            <a:ln w="28575" cap="rnd">
              <a:solidFill>
                <a:schemeClr val="bg2">
                  <a:lumMod val="50000"/>
                </a:schemeClr>
              </a:solidFill>
              <a:round/>
            </a:ln>
            <a:effectLst/>
          </c:spPr>
          <c:marker>
            <c:symbol val="circle"/>
            <c:size val="5"/>
            <c:spPr>
              <a:solidFill>
                <a:schemeClr val="bg2">
                  <a:lumMod val="50000"/>
                </a:schemeClr>
              </a:solidFill>
              <a:ln w="9525">
                <a:solidFill>
                  <a:schemeClr val="bg2">
                    <a:lumMod val="50000"/>
                  </a:schemeClr>
                </a:solidFill>
              </a:ln>
              <a:effectLst/>
            </c:spPr>
          </c:marker>
          <c:cat>
            <c:strRef>
              <c:f>'Overview &amp; instructions'!$G$83:$G$105</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instructions'!$AC$83:$AC$105</c:f>
              <c:numCache>
                <c:formatCode>#,##0</c:formatCode>
                <c:ptCount val="23"/>
                <c:pt idx="0">
                  <c:v>0</c:v>
                </c:pt>
                <c:pt idx="1">
                  <c:v>115</c:v>
                </c:pt>
                <c:pt idx="2">
                  <c:v>145</c:v>
                </c:pt>
                <c:pt idx="3">
                  <c:v>162</c:v>
                </c:pt>
                <c:pt idx="4">
                  <c:v>178</c:v>
                </c:pt>
                <c:pt idx="5">
                  <c:v>191</c:v>
                </c:pt>
                <c:pt idx="6">
                  <c:v>220</c:v>
                </c:pt>
                <c:pt idx="7">
                  <c:v>236</c:v>
                </c:pt>
                <c:pt idx="8">
                  <c:v>253</c:v>
                </c:pt>
                <c:pt idx="9">
                  <c:v>267</c:v>
                </c:pt>
                <c:pt idx="10">
                  <c:v>282</c:v>
                </c:pt>
                <c:pt idx="11">
                  <c:v>291</c:v>
                </c:pt>
                <c:pt idx="12">
                  <c:v>311</c:v>
                </c:pt>
                <c:pt idx="13">
                  <c:v>319</c:v>
                </c:pt>
                <c:pt idx="14">
                  <c:v>330</c:v>
                </c:pt>
                <c:pt idx="15">
                  <c:v>337</c:v>
                </c:pt>
                <c:pt idx="16">
                  <c:v>349</c:v>
                </c:pt>
                <c:pt idx="17">
                  <c:v>363</c:v>
                </c:pt>
                <c:pt idx="18">
                  <c:v>377</c:v>
                </c:pt>
                <c:pt idx="19">
                  <c:v>401</c:v>
                </c:pt>
                <c:pt idx="20">
                  <c:v>440</c:v>
                </c:pt>
                <c:pt idx="21">
                  <c:v>497</c:v>
                </c:pt>
              </c:numCache>
            </c:numRef>
          </c:val>
          <c:smooth val="0"/>
          <c:extLst>
            <c:ext xmlns:c16="http://schemas.microsoft.com/office/drawing/2014/chart" uri="{C3380CC4-5D6E-409C-BE32-E72D297353CC}">
              <c16:uniqueId val="{00000036-8935-4DDB-A198-DE245B7BD8A0}"/>
            </c:ext>
          </c:extLst>
        </c:ser>
        <c:ser>
          <c:idx val="2"/>
          <c:order val="14"/>
          <c:tx>
            <c:v>Backers First estimate max.</c:v>
          </c:tx>
          <c:spPr>
            <a:ln w="28575" cap="rnd">
              <a:solidFill>
                <a:schemeClr val="accent6">
                  <a:lumMod val="75000"/>
                </a:schemeClr>
              </a:solidFill>
              <a:prstDash val="sysDot"/>
              <a:round/>
            </a:ln>
            <a:effectLst/>
          </c:spPr>
          <c:marker>
            <c:symbol val="circle"/>
            <c:size val="5"/>
            <c:spPr>
              <a:solidFill>
                <a:schemeClr val="accent6">
                  <a:lumMod val="75000"/>
                </a:schemeClr>
              </a:solidFill>
              <a:ln w="9525">
                <a:solidFill>
                  <a:schemeClr val="accent6">
                    <a:lumMod val="75000"/>
                  </a:schemeClr>
                </a:solidFill>
              </a:ln>
              <a:effectLst/>
            </c:spPr>
          </c:marker>
          <c:cat>
            <c:strRef>
              <c:f>'Overview &amp; instructions'!$G$83:$G$105</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instructions'!$M$83:$M$105</c:f>
              <c:numCache>
                <c:formatCode>#,##0</c:formatCode>
                <c:ptCount val="23"/>
                <c:pt idx="0">
                  <c:v>0</c:v>
                </c:pt>
                <c:pt idx="1">
                  <c:v>929</c:v>
                </c:pt>
                <c:pt idx="2">
                  <c:v>1062</c:v>
                </c:pt>
                <c:pt idx="3">
                  <c:v>1134</c:v>
                </c:pt>
                <c:pt idx="4">
                  <c:v>1388</c:v>
                </c:pt>
                <c:pt idx="5">
                  <c:v>1511</c:v>
                </c:pt>
                <c:pt idx="6">
                  <c:v>1598</c:v>
                </c:pt>
                <c:pt idx="7">
                  <c:v>2011</c:v>
                </c:pt>
                <c:pt idx="8">
                  <c:v>2192</c:v>
                </c:pt>
                <c:pt idx="9">
                  <c:v>2319</c:v>
                </c:pt>
                <c:pt idx="10">
                  <c:v>2446</c:v>
                </c:pt>
                <c:pt idx="11">
                  <c:v>2550</c:v>
                </c:pt>
                <c:pt idx="12">
                  <c:v>2668</c:v>
                </c:pt>
                <c:pt idx="13">
                  <c:v>2741</c:v>
                </c:pt>
                <c:pt idx="14">
                  <c:v>2863</c:v>
                </c:pt>
                <c:pt idx="15">
                  <c:v>3230</c:v>
                </c:pt>
                <c:pt idx="16">
                  <c:v>3398</c:v>
                </c:pt>
                <c:pt idx="17">
                  <c:v>3552</c:v>
                </c:pt>
                <c:pt idx="18">
                  <c:v>3711</c:v>
                </c:pt>
                <c:pt idx="19">
                  <c:v>4001</c:v>
                </c:pt>
                <c:pt idx="20">
                  <c:v>4282</c:v>
                </c:pt>
                <c:pt idx="21">
                  <c:v>4822</c:v>
                </c:pt>
              </c:numCache>
            </c:numRef>
          </c:val>
          <c:smooth val="0"/>
          <c:extLst>
            <c:ext xmlns:c16="http://schemas.microsoft.com/office/drawing/2014/chart" uri="{C3380CC4-5D6E-409C-BE32-E72D297353CC}">
              <c16:uniqueId val="{00000002-F090-4B47-B039-C2E9452AA03A}"/>
            </c:ext>
          </c:extLst>
        </c:ser>
        <c:ser>
          <c:idx val="3"/>
          <c:order val="15"/>
          <c:tx>
            <c:v>Backers First estimate min.</c:v>
          </c:tx>
          <c:spPr>
            <a:ln w="28575" cap="rnd">
              <a:solidFill>
                <a:srgbClr val="C00000"/>
              </a:solidFill>
              <a:prstDash val="sysDot"/>
              <a:round/>
            </a:ln>
            <a:effectLst/>
          </c:spPr>
          <c:marker>
            <c:symbol val="circle"/>
            <c:size val="5"/>
            <c:spPr>
              <a:solidFill>
                <a:srgbClr val="C00000"/>
              </a:solidFill>
              <a:ln w="9525">
                <a:solidFill>
                  <a:srgbClr val="C00000"/>
                </a:solidFill>
              </a:ln>
              <a:effectLst/>
            </c:spPr>
          </c:marker>
          <c:cat>
            <c:strRef>
              <c:f>'Overview &amp; instructions'!$G$83:$G$105</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instructions'!$L$83:$L$105</c:f>
              <c:numCache>
                <c:formatCode>#,##0</c:formatCode>
                <c:ptCount val="23"/>
                <c:pt idx="0">
                  <c:v>0</c:v>
                </c:pt>
                <c:pt idx="1">
                  <c:v>929</c:v>
                </c:pt>
                <c:pt idx="2">
                  <c:v>1062</c:v>
                </c:pt>
                <c:pt idx="3">
                  <c:v>1134</c:v>
                </c:pt>
                <c:pt idx="4">
                  <c:v>1388</c:v>
                </c:pt>
                <c:pt idx="5">
                  <c:v>1511</c:v>
                </c:pt>
                <c:pt idx="6">
                  <c:v>1598</c:v>
                </c:pt>
                <c:pt idx="7">
                  <c:v>1631</c:v>
                </c:pt>
                <c:pt idx="8">
                  <c:v>1688</c:v>
                </c:pt>
                <c:pt idx="9">
                  <c:v>1721</c:v>
                </c:pt>
                <c:pt idx="10">
                  <c:v>1762</c:v>
                </c:pt>
                <c:pt idx="11">
                  <c:v>1819</c:v>
                </c:pt>
                <c:pt idx="12">
                  <c:v>1852</c:v>
                </c:pt>
                <c:pt idx="13">
                  <c:v>1860</c:v>
                </c:pt>
                <c:pt idx="14">
                  <c:v>1893</c:v>
                </c:pt>
                <c:pt idx="15">
                  <c:v>1934</c:v>
                </c:pt>
                <c:pt idx="16">
                  <c:v>1999</c:v>
                </c:pt>
                <c:pt idx="17">
                  <c:v>2023</c:v>
                </c:pt>
                <c:pt idx="18">
                  <c:v>2113</c:v>
                </c:pt>
                <c:pt idx="19">
                  <c:v>2211</c:v>
                </c:pt>
                <c:pt idx="20">
                  <c:v>2448</c:v>
                </c:pt>
                <c:pt idx="21">
                  <c:v>2791</c:v>
                </c:pt>
              </c:numCache>
            </c:numRef>
          </c:val>
          <c:smooth val="0"/>
          <c:extLst>
            <c:ext xmlns:c16="http://schemas.microsoft.com/office/drawing/2014/chart" uri="{C3380CC4-5D6E-409C-BE32-E72D297353CC}">
              <c16:uniqueId val="{00000003-F090-4B47-B039-C2E9452AA03A}"/>
            </c:ext>
          </c:extLst>
        </c:ser>
        <c:ser>
          <c:idx val="0"/>
          <c:order val="18"/>
          <c:tx>
            <c:v>Backers Current Forecast</c:v>
          </c:tx>
          <c:spPr>
            <a:ln w="28575" cap="rnd">
              <a:solidFill>
                <a:schemeClr val="accent4">
                  <a:lumMod val="75000"/>
                </a:schemeClr>
              </a:solidFill>
              <a:prstDash val="solid"/>
              <a:round/>
            </a:ln>
            <a:effectLst/>
          </c:spPr>
          <c:marker>
            <c:symbol val="circle"/>
            <c:size val="5"/>
            <c:spPr>
              <a:solidFill>
                <a:schemeClr val="accent4">
                  <a:lumMod val="75000"/>
                </a:schemeClr>
              </a:solidFill>
              <a:ln w="9525">
                <a:solidFill>
                  <a:schemeClr val="accent4">
                    <a:lumMod val="75000"/>
                  </a:schemeClr>
                </a:solidFill>
              </a:ln>
              <a:effectLst/>
            </c:spPr>
          </c:marker>
          <c:dPt>
            <c:idx val="1"/>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05-F090-4B47-B039-C2E9452AA03A}"/>
              </c:ext>
            </c:extLst>
          </c:dPt>
          <c:dPt>
            <c:idx val="2"/>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07-F090-4B47-B039-C2E9452AA03A}"/>
              </c:ext>
            </c:extLst>
          </c:dPt>
          <c:dPt>
            <c:idx val="3"/>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09-F090-4B47-B039-C2E9452AA03A}"/>
              </c:ext>
            </c:extLst>
          </c:dPt>
          <c:dPt>
            <c:idx val="4"/>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0B-F090-4B47-B039-C2E9452AA03A}"/>
              </c:ext>
            </c:extLst>
          </c:dPt>
          <c:dPt>
            <c:idx val="5"/>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0D-F090-4B47-B039-C2E9452AA03A}"/>
              </c:ext>
            </c:extLst>
          </c:dPt>
          <c:dPt>
            <c:idx val="6"/>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0F-F090-4B47-B039-C2E9452AA03A}"/>
              </c:ext>
            </c:extLst>
          </c:dPt>
          <c:dPt>
            <c:idx val="7"/>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11-F090-4B47-B039-C2E9452AA03A}"/>
              </c:ext>
            </c:extLst>
          </c:dPt>
          <c:dPt>
            <c:idx val="8"/>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13-F090-4B47-B039-C2E9452AA03A}"/>
              </c:ext>
            </c:extLst>
          </c:dPt>
          <c:dPt>
            <c:idx val="9"/>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15-F090-4B47-B039-C2E9452AA03A}"/>
              </c:ext>
            </c:extLst>
          </c:dPt>
          <c:dPt>
            <c:idx val="10"/>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17-F090-4B47-B039-C2E9452AA03A}"/>
              </c:ext>
            </c:extLst>
          </c:dPt>
          <c:dPt>
            <c:idx val="11"/>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19-F090-4B47-B039-C2E9452AA03A}"/>
              </c:ext>
            </c:extLst>
          </c:dPt>
          <c:dPt>
            <c:idx val="12"/>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1B-F090-4B47-B039-C2E9452AA03A}"/>
              </c:ext>
            </c:extLst>
          </c:dPt>
          <c:dPt>
            <c:idx val="13"/>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1D-F090-4B47-B039-C2E9452AA03A}"/>
              </c:ext>
            </c:extLst>
          </c:dPt>
          <c:dPt>
            <c:idx val="14"/>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1F-F090-4B47-B039-C2E9452AA03A}"/>
              </c:ext>
            </c:extLst>
          </c:dPt>
          <c:dPt>
            <c:idx val="15"/>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21-F090-4B47-B039-C2E9452AA03A}"/>
              </c:ext>
            </c:extLst>
          </c:dPt>
          <c:dPt>
            <c:idx val="16"/>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23-F090-4B47-B039-C2E9452AA03A}"/>
              </c:ext>
            </c:extLst>
          </c:dPt>
          <c:dPt>
            <c:idx val="17"/>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25-F090-4B47-B039-C2E9452AA03A}"/>
              </c:ext>
            </c:extLst>
          </c:dPt>
          <c:dPt>
            <c:idx val="18"/>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27-F090-4B47-B039-C2E9452AA03A}"/>
              </c:ext>
            </c:extLst>
          </c:dPt>
          <c:dPt>
            <c:idx val="19"/>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29-F090-4B47-B039-C2E9452AA03A}"/>
              </c:ext>
            </c:extLst>
          </c:dPt>
          <c:dPt>
            <c:idx val="20"/>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2B-F090-4B47-B039-C2E9452AA03A}"/>
              </c:ext>
            </c:extLst>
          </c:dPt>
          <c:dPt>
            <c:idx val="21"/>
            <c:marker>
              <c:symbol val="circle"/>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2D-F090-4B47-B039-C2E9452AA03A}"/>
              </c:ext>
            </c:extLst>
          </c:dPt>
          <c:dPt>
            <c:idx val="22"/>
            <c:marker>
              <c:symbol val="diamond"/>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2F-F090-4B47-B039-C2E9452AA03A}"/>
              </c:ext>
            </c:extLst>
          </c:dPt>
          <c:dPt>
            <c:idx val="23"/>
            <c:marker>
              <c:symbol val="diamond"/>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31-F090-4B47-B039-C2E9452AA03A}"/>
              </c:ext>
            </c:extLst>
          </c:dPt>
          <c:dPt>
            <c:idx val="24"/>
            <c:marker>
              <c:symbol val="diamond"/>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33-F090-4B47-B039-C2E9452AA03A}"/>
              </c:ext>
            </c:extLst>
          </c:dPt>
          <c:dPt>
            <c:idx val="25"/>
            <c:marker>
              <c:symbol val="diamond"/>
              <c:size val="5"/>
              <c:spPr>
                <a:solidFill>
                  <a:schemeClr val="accent4">
                    <a:lumMod val="75000"/>
                  </a:schemeClr>
                </a:solidFill>
                <a:ln w="9525">
                  <a:solidFill>
                    <a:schemeClr val="accent4">
                      <a:lumMod val="75000"/>
                    </a:schemeClr>
                  </a:solidFill>
                </a:ln>
                <a:effectLst/>
              </c:spPr>
            </c:marker>
            <c:bubble3D val="0"/>
            <c:spPr>
              <a:ln w="28575" cap="rnd">
                <a:solidFill>
                  <a:schemeClr val="accent4">
                    <a:lumMod val="75000"/>
                  </a:schemeClr>
                </a:solidFill>
                <a:prstDash val="solid"/>
                <a:round/>
              </a:ln>
              <a:effectLst/>
            </c:spPr>
            <c:extLst>
              <c:ext xmlns:c16="http://schemas.microsoft.com/office/drawing/2014/chart" uri="{C3380CC4-5D6E-409C-BE32-E72D297353CC}">
                <c16:uniqueId val="{00000035-F090-4B47-B039-C2E9452AA03A}"/>
              </c:ext>
            </c:extLst>
          </c:dPt>
          <c:cat>
            <c:strRef>
              <c:f>'Overview &amp; instructions'!$G$83:$G$105</c:f>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f>'Overview &amp; instructions'!$I$83:$I$105</c:f>
              <c:numCache>
                <c:formatCode>#,##0</c:formatCode>
                <c:ptCount val="23"/>
                <c:pt idx="0">
                  <c:v>0</c:v>
                </c:pt>
                <c:pt idx="1">
                  <c:v>929</c:v>
                </c:pt>
                <c:pt idx="2">
                  <c:v>1062</c:v>
                </c:pt>
                <c:pt idx="3">
                  <c:v>1134</c:v>
                </c:pt>
                <c:pt idx="4">
                  <c:v>1388</c:v>
                </c:pt>
                <c:pt idx="5">
                  <c:v>1511</c:v>
                </c:pt>
                <c:pt idx="6">
                  <c:v>1598</c:v>
                </c:pt>
                <c:pt idx="7">
                  <c:v>1658</c:v>
                </c:pt>
                <c:pt idx="8">
                  <c:v>1720</c:v>
                </c:pt>
                <c:pt idx="9">
                  <c:v>1765</c:v>
                </c:pt>
                <c:pt idx="10">
                  <c:v>1797</c:v>
                </c:pt>
                <c:pt idx="11">
                  <c:v>1830</c:v>
                </c:pt>
                <c:pt idx="12">
                  <c:v>1863</c:v>
                </c:pt>
                <c:pt idx="13">
                  <c:v>1895</c:v>
                </c:pt>
                <c:pt idx="14">
                  <c:v>1928</c:v>
                </c:pt>
                <c:pt idx="15">
                  <c:v>1974</c:v>
                </c:pt>
                <c:pt idx="16">
                  <c:v>2039</c:v>
                </c:pt>
                <c:pt idx="17">
                  <c:v>2089</c:v>
                </c:pt>
                <c:pt idx="18">
                  <c:v>2148</c:v>
                </c:pt>
                <c:pt idx="19">
                  <c:v>2221</c:v>
                </c:pt>
                <c:pt idx="20">
                  <c:v>2404</c:v>
                </c:pt>
                <c:pt idx="21">
                  <c:v>2679</c:v>
                </c:pt>
              </c:numCache>
            </c:numRef>
          </c:val>
          <c:smooth val="0"/>
          <c:extLst>
            <c:ext xmlns:c16="http://schemas.microsoft.com/office/drawing/2014/chart" uri="{C3380CC4-5D6E-409C-BE32-E72D297353CC}">
              <c16:uniqueId val="{00000036-F090-4B47-B039-C2E9452AA03A}"/>
            </c:ext>
          </c:extLst>
        </c:ser>
        <c:dLbls>
          <c:showLegendKey val="0"/>
          <c:showVal val="0"/>
          <c:showCatName val="0"/>
          <c:showSerName val="0"/>
          <c:showPercent val="0"/>
          <c:showBubbleSize val="0"/>
        </c:dLbls>
        <c:marker val="1"/>
        <c:smooth val="0"/>
        <c:axId val="514141632"/>
        <c:axId val="514139008"/>
        <c:extLst>
          <c:ext xmlns:c15="http://schemas.microsoft.com/office/drawing/2012/chart" uri="{02D57815-91ED-43cb-92C2-25804820EDAC}">
            <c15:filteredLineSeries>
              <c15:ser>
                <c:idx val="4"/>
                <c:order val="0"/>
                <c:tx>
                  <c:v>Backer Thorwal</c:v>
                </c:tx>
                <c:spPr>
                  <a:ln w="28575" cap="rnd">
                    <a:solidFill>
                      <a:srgbClr val="7030A0"/>
                    </a:solidFill>
                    <a:round/>
                  </a:ln>
                  <a:effectLst/>
                </c:spPr>
                <c:marker>
                  <c:symbol val="circle"/>
                  <c:size val="5"/>
                  <c:spPr>
                    <a:solidFill>
                      <a:srgbClr val="7030A0"/>
                    </a:solidFill>
                    <a:ln w="9525">
                      <a:solidFill>
                        <a:srgbClr val="7030A0"/>
                      </a:solidFill>
                    </a:ln>
                    <a:effectLst/>
                  </c:spPr>
                </c:marker>
                <c:cat>
                  <c:strRef>
                    <c:extLst>
                      <c:ext uri="{02D57815-91ED-43cb-92C2-25804820EDAC}">
                        <c15:formulaRef>
                          <c15:sqref>'Overview &amp; instructions'!$G$83:$G$105</c15:sqref>
                        </c15:formulaRef>
                      </c:ext>
                    </c:extLst>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extLst>
                      <c:ext uri="{02D57815-91ED-43cb-92C2-25804820EDAC}">
                        <c15:formulaRef>
                          <c15:sqref>'Overview &amp; instructions'!$N$83:$N$105</c15:sqref>
                        </c15:formulaRef>
                      </c:ext>
                    </c:extLst>
                    <c:numCache>
                      <c:formatCode>#,##0</c:formatCode>
                      <c:ptCount val="23"/>
                      <c:pt idx="0">
                        <c:v>0</c:v>
                      </c:pt>
                      <c:pt idx="1">
                        <c:v>500</c:v>
                      </c:pt>
                      <c:pt idx="11">
                        <c:v>900</c:v>
                      </c:pt>
                      <c:pt idx="21">
                        <c:v>1572</c:v>
                      </c:pt>
                      <c:pt idx="22">
                        <c:v>1642</c:v>
                      </c:pt>
                    </c:numCache>
                  </c:numRef>
                </c:val>
                <c:smooth val="0"/>
                <c:extLst>
                  <c:ext xmlns:c16="http://schemas.microsoft.com/office/drawing/2014/chart" uri="{C3380CC4-5D6E-409C-BE32-E72D297353CC}">
                    <c16:uniqueId val="{00000000-F090-4B47-B039-C2E9452AA03A}"/>
                  </c:ext>
                </c:extLst>
              </c15:ser>
            </c15:filteredLineSeries>
            <c15:filteredLineSeries>
              <c15:ser>
                <c:idx val="1"/>
                <c:order val="2"/>
                <c:tx>
                  <c:v>Backer Sonnenküste</c:v>
                </c:tx>
                <c:spPr>
                  <a:ln w="28575" cap="rnd">
                    <a:solidFill>
                      <a:srgbClr val="C4BF00"/>
                    </a:solidFill>
                    <a:round/>
                  </a:ln>
                  <a:effectLst/>
                </c:spPr>
                <c:marker>
                  <c:symbol val="circle"/>
                  <c:size val="5"/>
                  <c:spPr>
                    <a:solidFill>
                      <a:srgbClr val="C4BF00"/>
                    </a:solidFill>
                    <a:ln w="9525">
                      <a:solidFill>
                        <a:srgbClr val="C4BF00"/>
                      </a:solidFill>
                    </a:ln>
                    <a:effectLst/>
                  </c:spPr>
                </c:marker>
                <c:cat>
                  <c:strRef>
                    <c:extLst>
                      <c:ext xmlns:c15="http://schemas.microsoft.com/office/drawing/2012/chart" uri="{02D57815-91ED-43cb-92C2-25804820EDAC}">
                        <c15:formulaRef>
                          <c15:sqref>'Overview &amp; instructions'!$G$83:$G$105</c15:sqref>
                        </c15:formulaRef>
                      </c:ext>
                    </c:extLst>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extLst>
                      <c:ext xmlns:c15="http://schemas.microsoft.com/office/drawing/2012/chart" uri="{02D57815-91ED-43cb-92C2-25804820EDAC}">
                        <c15:formulaRef>
                          <c15:sqref>'Overview &amp; instructions'!$O$83:$O$105</c15:sqref>
                        </c15:formulaRef>
                      </c:ext>
                    </c:extLst>
                    <c:numCache>
                      <c:formatCode>#,##0</c:formatCode>
                      <c:ptCount val="23"/>
                      <c:pt idx="0">
                        <c:v>0</c:v>
                      </c:pt>
                      <c:pt idx="1">
                        <c:v>625</c:v>
                      </c:pt>
                      <c:pt idx="2">
                        <c:v>789</c:v>
                      </c:pt>
                      <c:pt idx="3">
                        <c:v>852</c:v>
                      </c:pt>
                      <c:pt idx="4">
                        <c:v>891</c:v>
                      </c:pt>
                      <c:pt idx="5">
                        <c:v>918</c:v>
                      </c:pt>
                      <c:pt idx="6">
                        <c:v>953</c:v>
                      </c:pt>
                      <c:pt idx="7">
                        <c:v>1044</c:v>
                      </c:pt>
                      <c:pt idx="8">
                        <c:v>1084</c:v>
                      </c:pt>
                      <c:pt idx="9">
                        <c:v>1112</c:v>
                      </c:pt>
                      <c:pt idx="10">
                        <c:v>1140</c:v>
                      </c:pt>
                      <c:pt idx="11">
                        <c:v>1163</c:v>
                      </c:pt>
                      <c:pt idx="12">
                        <c:v>1189</c:v>
                      </c:pt>
                      <c:pt idx="13">
                        <c:v>1205</c:v>
                      </c:pt>
                      <c:pt idx="14">
                        <c:v>1232</c:v>
                      </c:pt>
                      <c:pt idx="15">
                        <c:v>1313</c:v>
                      </c:pt>
                      <c:pt idx="16">
                        <c:v>1350</c:v>
                      </c:pt>
                      <c:pt idx="17">
                        <c:v>1384</c:v>
                      </c:pt>
                      <c:pt idx="18">
                        <c:v>1419</c:v>
                      </c:pt>
                      <c:pt idx="19">
                        <c:v>1483</c:v>
                      </c:pt>
                      <c:pt idx="20">
                        <c:v>1545</c:v>
                      </c:pt>
                      <c:pt idx="21">
                        <c:v>1664</c:v>
                      </c:pt>
                    </c:numCache>
                  </c:numRef>
                </c:val>
                <c:smooth val="0"/>
                <c:extLst xmlns:c15="http://schemas.microsoft.com/office/drawing/2012/chart">
                  <c:ext xmlns:c16="http://schemas.microsoft.com/office/drawing/2014/chart" uri="{C3380CC4-5D6E-409C-BE32-E72D297353CC}">
                    <c16:uniqueId val="{00000032-D13C-4DCF-A6E7-5437B880B125}"/>
                  </c:ext>
                </c:extLst>
              </c15:ser>
            </c15:filteredLineSeries>
            <c15:filteredLineSeries>
              <c15:ser>
                <c:idx val="8"/>
                <c:order val="16"/>
                <c:tx>
                  <c:v>Backers Best Case</c:v>
                </c:tx>
                <c:spPr>
                  <a:ln w="28575" cap="rnd">
                    <a:solidFill>
                      <a:srgbClr val="00B050"/>
                    </a:solidFill>
                    <a:prstDash val="sysDash"/>
                    <a:round/>
                  </a:ln>
                  <a:effectLst/>
                </c:spPr>
                <c:marker>
                  <c:symbol val="circle"/>
                  <c:size val="5"/>
                  <c:spPr>
                    <a:solidFill>
                      <a:srgbClr val="00B050"/>
                    </a:solidFill>
                    <a:ln w="9525">
                      <a:solidFill>
                        <a:srgbClr val="00B050"/>
                      </a:solidFill>
                    </a:ln>
                    <a:effectLst/>
                  </c:spPr>
                </c:marker>
                <c:cat>
                  <c:strRef>
                    <c:extLst>
                      <c:ext xmlns:c15="http://schemas.microsoft.com/office/drawing/2012/chart" uri="{02D57815-91ED-43cb-92C2-25804820EDAC}">
                        <c15:formulaRef>
                          <c15:sqref>'Overview &amp; instructions'!$G$83:$G$105</c15:sqref>
                        </c15:formulaRef>
                      </c:ext>
                    </c:extLst>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extLst>
                      <c:ext xmlns:c15="http://schemas.microsoft.com/office/drawing/2012/chart" uri="{02D57815-91ED-43cb-92C2-25804820EDAC}">
                        <c15:formulaRef>
                          <c15:sqref>'Overview &amp; instructions'!$K$83:$K$105</c15:sqref>
                        </c15:formulaRef>
                      </c:ext>
                    </c:extLst>
                    <c:numCache>
                      <c:formatCode>#,##0</c:formatCode>
                      <c:ptCount val="23"/>
                      <c:pt idx="0" formatCode="General">
                        <c:v>0</c:v>
                      </c:pt>
                      <c:pt idx="1">
                        <c:v>929</c:v>
                      </c:pt>
                      <c:pt idx="2">
                        <c:v>1062</c:v>
                      </c:pt>
                      <c:pt idx="3">
                        <c:v>1134</c:v>
                      </c:pt>
                      <c:pt idx="4">
                        <c:v>1388</c:v>
                      </c:pt>
                      <c:pt idx="5">
                        <c:v>1511</c:v>
                      </c:pt>
                      <c:pt idx="6">
                        <c:v>1598</c:v>
                      </c:pt>
                      <c:pt idx="7">
                        <c:v>1658</c:v>
                      </c:pt>
                      <c:pt idx="8">
                        <c:v>1720</c:v>
                      </c:pt>
                      <c:pt idx="9">
                        <c:v>1765</c:v>
                      </c:pt>
                      <c:pt idx="10">
                        <c:v>1797</c:v>
                      </c:pt>
                      <c:pt idx="11">
                        <c:v>1830</c:v>
                      </c:pt>
                      <c:pt idx="12">
                        <c:v>1863</c:v>
                      </c:pt>
                      <c:pt idx="13">
                        <c:v>1895</c:v>
                      </c:pt>
                      <c:pt idx="14">
                        <c:v>1928</c:v>
                      </c:pt>
                      <c:pt idx="15">
                        <c:v>1974</c:v>
                      </c:pt>
                      <c:pt idx="16">
                        <c:v>2039</c:v>
                      </c:pt>
                      <c:pt idx="17">
                        <c:v>2089</c:v>
                      </c:pt>
                      <c:pt idx="18">
                        <c:v>2148</c:v>
                      </c:pt>
                      <c:pt idx="19">
                        <c:v>2221</c:v>
                      </c:pt>
                      <c:pt idx="20">
                        <c:v>2404</c:v>
                      </c:pt>
                      <c:pt idx="21">
                        <c:v>2679</c:v>
                      </c:pt>
                    </c:numCache>
                  </c:numRef>
                </c:val>
                <c:smooth val="0"/>
                <c:extLst xmlns:c15="http://schemas.microsoft.com/office/drawing/2012/chart">
                  <c:ext xmlns:c16="http://schemas.microsoft.com/office/drawing/2014/chart" uri="{C3380CC4-5D6E-409C-BE32-E72D297353CC}">
                    <c16:uniqueId val="{0000003A-F090-4B47-B039-C2E9452AA03A}"/>
                  </c:ext>
                </c:extLst>
              </c15:ser>
            </c15:filteredLineSeries>
            <c15:filteredLineSeries>
              <c15:ser>
                <c:idx val="7"/>
                <c:order val="17"/>
                <c:tx>
                  <c:v>Backers Worst Case</c:v>
                </c:tx>
                <c:spPr>
                  <a:ln w="28575" cap="rnd">
                    <a:solidFill>
                      <a:srgbClr val="FF0000"/>
                    </a:solidFill>
                    <a:prstDash val="sysDash"/>
                    <a:round/>
                  </a:ln>
                  <a:effectLst/>
                </c:spPr>
                <c:marker>
                  <c:symbol val="circle"/>
                  <c:size val="5"/>
                  <c:spPr>
                    <a:solidFill>
                      <a:srgbClr val="FF0000"/>
                    </a:solidFill>
                    <a:ln w="9525">
                      <a:solidFill>
                        <a:srgbClr val="FF0000"/>
                      </a:solidFill>
                    </a:ln>
                    <a:effectLst/>
                  </c:spPr>
                </c:marker>
                <c:cat>
                  <c:strRef>
                    <c:extLst>
                      <c:ext xmlns:c15="http://schemas.microsoft.com/office/drawing/2012/chart" uri="{02D57815-91ED-43cb-92C2-25804820EDAC}">
                        <c15:formulaRef>
                          <c15:sqref>'Overview &amp; instructions'!$G$83:$G$105</c15:sqref>
                        </c15:formulaRef>
                      </c:ext>
                    </c:extLst>
                    <c:strCache>
                      <c:ptCount val="2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LP</c:v>
                      </c:pt>
                    </c:strCache>
                  </c:strRef>
                </c:cat>
                <c:val>
                  <c:numRef>
                    <c:extLst>
                      <c:ext xmlns:c15="http://schemas.microsoft.com/office/drawing/2012/chart" uri="{02D57815-91ED-43cb-92C2-25804820EDAC}">
                        <c15:formulaRef>
                          <c15:sqref>'Overview &amp; instructions'!$J$83:$J$105</c15:sqref>
                        </c15:formulaRef>
                      </c:ext>
                    </c:extLst>
                    <c:numCache>
                      <c:formatCode>#,##0</c:formatCode>
                      <c:ptCount val="23"/>
                      <c:pt idx="0" formatCode="General">
                        <c:v>0</c:v>
                      </c:pt>
                      <c:pt idx="1">
                        <c:v>929</c:v>
                      </c:pt>
                      <c:pt idx="2">
                        <c:v>1062</c:v>
                      </c:pt>
                      <c:pt idx="3">
                        <c:v>1134</c:v>
                      </c:pt>
                      <c:pt idx="4">
                        <c:v>1388</c:v>
                      </c:pt>
                      <c:pt idx="5">
                        <c:v>1511</c:v>
                      </c:pt>
                      <c:pt idx="6">
                        <c:v>1598</c:v>
                      </c:pt>
                      <c:pt idx="7">
                        <c:v>1658</c:v>
                      </c:pt>
                      <c:pt idx="8">
                        <c:v>1720</c:v>
                      </c:pt>
                      <c:pt idx="9">
                        <c:v>1765</c:v>
                      </c:pt>
                      <c:pt idx="10">
                        <c:v>1797</c:v>
                      </c:pt>
                      <c:pt idx="11">
                        <c:v>1830</c:v>
                      </c:pt>
                      <c:pt idx="12">
                        <c:v>1863</c:v>
                      </c:pt>
                      <c:pt idx="13">
                        <c:v>1895</c:v>
                      </c:pt>
                      <c:pt idx="14">
                        <c:v>1928</c:v>
                      </c:pt>
                      <c:pt idx="15">
                        <c:v>1974</c:v>
                      </c:pt>
                      <c:pt idx="16">
                        <c:v>2039</c:v>
                      </c:pt>
                      <c:pt idx="17">
                        <c:v>2089</c:v>
                      </c:pt>
                      <c:pt idx="18">
                        <c:v>2148</c:v>
                      </c:pt>
                      <c:pt idx="19">
                        <c:v>2221</c:v>
                      </c:pt>
                      <c:pt idx="20">
                        <c:v>2404</c:v>
                      </c:pt>
                      <c:pt idx="21">
                        <c:v>2679</c:v>
                      </c:pt>
                    </c:numCache>
                  </c:numRef>
                </c:val>
                <c:smooth val="0"/>
                <c:extLst xmlns:c15="http://schemas.microsoft.com/office/drawing/2012/chart">
                  <c:ext xmlns:c16="http://schemas.microsoft.com/office/drawing/2014/chart" uri="{C3380CC4-5D6E-409C-BE32-E72D297353CC}">
                    <c16:uniqueId val="{0000003B-F090-4B47-B039-C2E9452AA03A}"/>
                  </c:ext>
                </c:extLst>
              </c15:ser>
            </c15:filteredLineSeries>
          </c:ext>
        </c:extLst>
      </c:lineChart>
      <c:catAx>
        <c:axId val="514141632"/>
        <c:scaling>
          <c:orientation val="minMax"/>
        </c:scaling>
        <c:delete val="0"/>
        <c:axPos val="b"/>
        <c:numFmt formatCode="General" sourceLinked="0"/>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ook Antiqua" panose="02040602050305030304" pitchFamily="18" charset="0"/>
                <a:ea typeface="+mn-ea"/>
                <a:cs typeface="+mn-cs"/>
              </a:defRPr>
            </a:pPr>
            <a:endParaRPr lang="de-DE"/>
          </a:p>
        </c:txPr>
        <c:crossAx val="514139008"/>
        <c:crosses val="autoZero"/>
        <c:auto val="0"/>
        <c:lblAlgn val="ctr"/>
        <c:lblOffset val="100"/>
        <c:noMultiLvlLbl val="0"/>
      </c:catAx>
      <c:valAx>
        <c:axId val="514139008"/>
        <c:scaling>
          <c:orientation val="minMax"/>
          <c:max val="2700"/>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ook Antiqua" panose="02040602050305030304" pitchFamily="18" charset="0"/>
                <a:ea typeface="+mn-ea"/>
                <a:cs typeface="+mn-cs"/>
              </a:defRPr>
            </a:pPr>
            <a:endParaRPr lang="de-DE"/>
          </a:p>
        </c:txPr>
        <c:crossAx val="514141632"/>
        <c:crossesAt val="43874"/>
        <c:crossBetween val="midCat"/>
        <c:majorUnit val="100"/>
        <c:minorUnit val="10"/>
      </c:valAx>
      <c:spPr>
        <a:solidFill>
          <a:sysClr val="window" lastClr="FFFFFF"/>
        </a:solidFill>
        <a:ln>
          <a:noFill/>
        </a:ln>
        <a:effectLst/>
      </c:spPr>
    </c:plotArea>
    <c:legend>
      <c:legendPos val="t"/>
      <c:layout>
        <c:manualLayout>
          <c:xMode val="edge"/>
          <c:yMode val="edge"/>
          <c:x val="0.19781968135006653"/>
          <c:y val="7.5604929793808831E-3"/>
          <c:w val="0.80218028255995755"/>
          <c:h val="9.81420977063304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ook Antiqua" panose="02040602050305030304" pitchFamily="18"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5">
        <a:lumMod val="40000"/>
        <a:lumOff val="60000"/>
      </a:schemeClr>
    </a:solidFill>
    <a:ln w="9525" cap="flat" cmpd="sng" algn="ctr">
      <a:solidFill>
        <a:schemeClr val="tx1">
          <a:lumMod val="15000"/>
          <a:lumOff val="85000"/>
        </a:schemeClr>
      </a:solidFill>
      <a:round/>
    </a:ln>
    <a:effectLst/>
  </c:spPr>
  <c:txPr>
    <a:bodyPr/>
    <a:lstStyle/>
    <a:p>
      <a:pPr>
        <a:defRPr>
          <a:latin typeface="Book Antiqua" panose="02040602050305030304" pitchFamily="18" charset="0"/>
        </a:defRPr>
      </a:pPr>
      <a:endParaRPr lang="de-DE"/>
    </a:p>
  </c:txPr>
  <c:printSettings>
    <c:headerFooter/>
    <c:pageMargins b="0.78740157499999996" l="0.7" r="0.7" t="0.78740157499999996"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https://hinter-dem-schwarzen-auge.de/aventuria-guide" TargetMode="Externa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hyperlink" Target="https://gamefound.com/de/projects/ulisses-spiele/aventuria" TargetMode="Externa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hyperlink" Target="https://hinter-dem-schwarzen-auge.de/aventuria-guide" TargetMode="External"/><Relationship Id="rId2" Type="http://schemas.openxmlformats.org/officeDocument/2006/relationships/image" Target="../media/image3.png"/><Relationship Id="rId1" Type="http://schemas.openxmlformats.org/officeDocument/2006/relationships/hyperlink" Target="https://gamefound.com/de/projects/ulisses-spiele/aventuria" TargetMode="External"/><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jpg"/><Relationship Id="rId7" Type="http://schemas.openxmlformats.org/officeDocument/2006/relationships/image" Target="../media/image11.jp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jpg"/><Relationship Id="rId5" Type="http://schemas.openxmlformats.org/officeDocument/2006/relationships/image" Target="../media/image9.png"/><Relationship Id="rId4"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xdr:from>
      <xdr:col>0</xdr:col>
      <xdr:colOff>79904</xdr:colOff>
      <xdr:row>106</xdr:row>
      <xdr:rowOff>114033</xdr:rowOff>
    </xdr:from>
    <xdr:to>
      <xdr:col>6</xdr:col>
      <xdr:colOff>0</xdr:colOff>
      <xdr:row>116</xdr:row>
      <xdr:rowOff>180974</xdr:rowOff>
    </xdr:to>
    <xdr:sp macro="" textlink="">
      <xdr:nvSpPr>
        <xdr:cNvPr id="2" name="Textfeld 1">
          <a:extLst>
            <a:ext uri="{FF2B5EF4-FFF2-40B4-BE49-F238E27FC236}">
              <a16:creationId xmlns:a16="http://schemas.microsoft.com/office/drawing/2014/main" id="{907A7500-30D6-4373-9CF2-4BED0A125177}"/>
            </a:ext>
          </a:extLst>
        </xdr:cNvPr>
        <xdr:cNvSpPr txBox="1"/>
      </xdr:nvSpPr>
      <xdr:spPr>
        <a:xfrm>
          <a:off x="79904" y="26317308"/>
          <a:ext cx="11578696" cy="1971941"/>
        </a:xfrm>
        <a:prstGeom prst="rect">
          <a:avLst/>
        </a:prstGeom>
        <a:solidFill>
          <a:schemeClr val="accent5">
            <a:lumMod val="60000"/>
            <a:lumOff val="40000"/>
          </a:schemeClr>
        </a:solidFill>
        <a:ln w="9525" cmpd="sng">
          <a:solidFill>
            <a:schemeClr val="tx1"/>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baseline="0"/>
            <a:t>This guide is a purely private story and </a:t>
          </a:r>
          <a:r>
            <a:rPr lang="de-DE" sz="1400" b="1" u="sng" baseline="0"/>
            <a:t>without guarantee</a:t>
          </a:r>
          <a:r>
            <a:rPr lang="de-DE" sz="1400" b="1" baseline="0"/>
            <a:t> of completeness and 100% correctness!</a:t>
          </a:r>
        </a:p>
        <a:p>
          <a:endParaRPr lang="de-DE" sz="1400" b="1" baseline="0"/>
        </a:p>
        <a:p>
          <a:r>
            <a:rPr lang="de-DE" sz="1400" b="1" baseline="0"/>
            <a:t>Thanks to adranez and Kai (4 Helden und 1 Schelm) for their great crawlers :) (which do not work anymore :( )</a:t>
          </a:r>
        </a:p>
        <a:p>
          <a:endParaRPr lang="de-DE" sz="800" b="1" baseline="0"/>
        </a:p>
        <a:p>
          <a:r>
            <a:rPr lang="de-DE" sz="1400" b="1" baseline="0"/>
            <a:t>Ulisses is NOT responsible for any mistakes on my part! And please don't blame me either ;)</a:t>
          </a:r>
        </a:p>
        <a:p>
          <a:r>
            <a:rPr lang="de-DE" sz="1400" b="1" baseline="0"/>
            <a:t>But feel free to report mistakes in the Gamefound comments, in my blog or Discord, on Facebook or Instagram!</a:t>
          </a:r>
        </a:p>
        <a:p>
          <a:endParaRPr lang="de-DE" sz="800" b="1" baseline="0"/>
        </a:p>
        <a:p>
          <a:r>
            <a:rPr lang="de-DE" sz="1400" b="1" baseline="0"/>
            <a:t>And now off on an adventure together!</a:t>
          </a:r>
        </a:p>
        <a:p>
          <a:r>
            <a:rPr lang="de-DE" sz="1400" b="1"/>
            <a:t>Your Gernot from Hinter dem Schwarzen Auge (Behind The</a:t>
          </a:r>
          <a:r>
            <a:rPr lang="de-DE" sz="1400" b="1" baseline="0"/>
            <a:t> Dark Eye) ...DSACast / DSA-Fantalk / DSA-Nachrichten in 3W20 Minuten / etc.    </a:t>
          </a:r>
          <a:r>
            <a:rPr lang="de-DE" sz="1400" b="1"/>
            <a:t>	</a:t>
          </a:r>
          <a:r>
            <a:rPr lang="de-DE" sz="300" b="1"/>
            <a:t>Anyone reading this is curious;)</a:t>
          </a:r>
        </a:p>
      </xdr:txBody>
    </xdr:sp>
    <xdr:clientData/>
  </xdr:twoCellAnchor>
  <xdr:twoCellAnchor>
    <xdr:from>
      <xdr:col>1</xdr:col>
      <xdr:colOff>71436</xdr:colOff>
      <xdr:row>48</xdr:row>
      <xdr:rowOff>57150</xdr:rowOff>
    </xdr:from>
    <xdr:to>
      <xdr:col>6</xdr:col>
      <xdr:colOff>0</xdr:colOff>
      <xdr:row>77</xdr:row>
      <xdr:rowOff>171450</xdr:rowOff>
    </xdr:to>
    <xdr:graphicFrame macro="">
      <xdr:nvGraphicFramePr>
        <xdr:cNvPr id="3" name="Diagramm 2">
          <a:extLst>
            <a:ext uri="{FF2B5EF4-FFF2-40B4-BE49-F238E27FC236}">
              <a16:creationId xmlns:a16="http://schemas.microsoft.com/office/drawing/2014/main" id="{CB2D0A86-C198-4204-9484-076D79831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219075</xdr:colOff>
      <xdr:row>3</xdr:row>
      <xdr:rowOff>57149</xdr:rowOff>
    </xdr:from>
    <xdr:to>
      <xdr:col>5</xdr:col>
      <xdr:colOff>3525271</xdr:colOff>
      <xdr:row>16</xdr:row>
      <xdr:rowOff>20012</xdr:rowOff>
    </xdr:to>
    <xdr:pic>
      <xdr:nvPicPr>
        <xdr:cNvPr id="11" name="Grafik 10">
          <a:hlinkClick xmlns:r="http://schemas.openxmlformats.org/officeDocument/2006/relationships" r:id="rId2"/>
          <a:extLst>
            <a:ext uri="{FF2B5EF4-FFF2-40B4-BE49-F238E27FC236}">
              <a16:creationId xmlns:a16="http://schemas.microsoft.com/office/drawing/2014/main" id="{FB8A0318-7B66-4012-91D1-6B3CBC0C9F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34350" y="666749"/>
          <a:ext cx="3306196" cy="3058488"/>
        </a:xfrm>
        <a:prstGeom prst="rect">
          <a:avLst/>
        </a:prstGeom>
      </xdr:spPr>
    </xdr:pic>
    <xdr:clientData/>
  </xdr:twoCellAnchor>
  <xdr:twoCellAnchor>
    <xdr:from>
      <xdr:col>1</xdr:col>
      <xdr:colOff>76200</xdr:colOff>
      <xdr:row>79</xdr:row>
      <xdr:rowOff>28575</xdr:rowOff>
    </xdr:from>
    <xdr:to>
      <xdr:col>6</xdr:col>
      <xdr:colOff>0</xdr:colOff>
      <xdr:row>106</xdr:row>
      <xdr:rowOff>10848</xdr:rowOff>
    </xdr:to>
    <xdr:graphicFrame macro="">
      <xdr:nvGraphicFramePr>
        <xdr:cNvPr id="12" name="Diagramm 11">
          <a:extLst>
            <a:ext uri="{FF2B5EF4-FFF2-40B4-BE49-F238E27FC236}">
              <a16:creationId xmlns:a16="http://schemas.microsoft.com/office/drawing/2014/main" id="{880EF14B-9001-47D9-8E66-7A2FE928A7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1831311</xdr:colOff>
      <xdr:row>3</xdr:row>
      <xdr:rowOff>77153</xdr:rowOff>
    </xdr:from>
    <xdr:to>
      <xdr:col>3</xdr:col>
      <xdr:colOff>3988464</xdr:colOff>
      <xdr:row>17</xdr:row>
      <xdr:rowOff>39054</xdr:rowOff>
    </xdr:to>
    <xdr:pic>
      <xdr:nvPicPr>
        <xdr:cNvPr id="13" name="Grafik 12">
          <a:hlinkClick xmlns:r="http://schemas.openxmlformats.org/officeDocument/2006/relationships" r:id="rId5"/>
          <a:extLst>
            <a:ext uri="{FF2B5EF4-FFF2-40B4-BE49-F238E27FC236}">
              <a16:creationId xmlns:a16="http://schemas.microsoft.com/office/drawing/2014/main" id="{9964C3DA-CD53-43EB-8099-0CC07DD254E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345786" y="686753"/>
          <a:ext cx="2157153" cy="3295651"/>
        </a:xfrm>
        <a:prstGeom prst="rect">
          <a:avLst/>
        </a:prstGeom>
      </xdr:spPr>
    </xdr:pic>
    <xdr:clientData/>
  </xdr:twoCellAnchor>
  <xdr:twoCellAnchor>
    <xdr:from>
      <xdr:col>7</xdr:col>
      <xdr:colOff>571500</xdr:colOff>
      <xdr:row>9</xdr:row>
      <xdr:rowOff>71437</xdr:rowOff>
    </xdr:from>
    <xdr:to>
      <xdr:col>9</xdr:col>
      <xdr:colOff>254127</xdr:colOff>
      <xdr:row>12</xdr:row>
      <xdr:rowOff>116014</xdr:rowOff>
    </xdr:to>
    <xdr:sp macro="" textlink="">
      <xdr:nvSpPr>
        <xdr:cNvPr id="4" name="Band: nach oben gekrümmt und gekippt 3">
          <a:extLst>
            <a:ext uri="{FF2B5EF4-FFF2-40B4-BE49-F238E27FC236}">
              <a16:creationId xmlns:a16="http://schemas.microsoft.com/office/drawing/2014/main" id="{AE1B099B-3029-2919-A45E-3EA188587F21}"/>
            </a:ext>
          </a:extLst>
        </xdr:cNvPr>
        <xdr:cNvSpPr/>
      </xdr:nvSpPr>
      <xdr:spPr>
        <a:xfrm>
          <a:off x="12649200" y="2109787"/>
          <a:ext cx="1216152" cy="758952"/>
        </a:xfrm>
        <a:prstGeom prst="ellipseRibbon2">
          <a:avLst/>
        </a:prstGeom>
        <a:solidFill>
          <a:schemeClr val="accent4">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15</xdr:col>
      <xdr:colOff>400050</xdr:colOff>
      <xdr:row>9</xdr:row>
      <xdr:rowOff>71437</xdr:rowOff>
    </xdr:from>
    <xdr:to>
      <xdr:col>17</xdr:col>
      <xdr:colOff>92202</xdr:colOff>
      <xdr:row>12</xdr:row>
      <xdr:rowOff>116014</xdr:rowOff>
    </xdr:to>
    <xdr:sp macro="" textlink="">
      <xdr:nvSpPr>
        <xdr:cNvPr id="5" name="Band: nach oben gekrümmt und gekippt 4">
          <a:extLst>
            <a:ext uri="{FF2B5EF4-FFF2-40B4-BE49-F238E27FC236}">
              <a16:creationId xmlns:a16="http://schemas.microsoft.com/office/drawing/2014/main" id="{FAE72C5F-0F48-439D-948C-826D9BB81EFF}"/>
            </a:ext>
          </a:extLst>
        </xdr:cNvPr>
        <xdr:cNvSpPr/>
      </xdr:nvSpPr>
      <xdr:spPr>
        <a:xfrm>
          <a:off x="18583275" y="2109787"/>
          <a:ext cx="1216152" cy="758952"/>
        </a:xfrm>
        <a:prstGeom prst="ellipseRibbon2">
          <a:avLst/>
        </a:prstGeom>
        <a:solidFill>
          <a:schemeClr val="accent4">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4271962</xdr:colOff>
      <xdr:row>28</xdr:row>
      <xdr:rowOff>152400</xdr:rowOff>
    </xdr:from>
    <xdr:to>
      <xdr:col>3</xdr:col>
      <xdr:colOff>4756594</xdr:colOff>
      <xdr:row>30</xdr:row>
      <xdr:rowOff>178308</xdr:rowOff>
    </xdr:to>
    <xdr:sp macro="" textlink="">
      <xdr:nvSpPr>
        <xdr:cNvPr id="6" name="Pfeil: nach unten 5">
          <a:extLst>
            <a:ext uri="{FF2B5EF4-FFF2-40B4-BE49-F238E27FC236}">
              <a16:creationId xmlns:a16="http://schemas.microsoft.com/office/drawing/2014/main" id="{1473221A-6DEF-8243-4E29-CB4166904CAE}"/>
            </a:ext>
          </a:extLst>
        </xdr:cNvPr>
        <xdr:cNvSpPr/>
      </xdr:nvSpPr>
      <xdr:spPr>
        <a:xfrm>
          <a:off x="5786437" y="6477000"/>
          <a:ext cx="484632" cy="502158"/>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4271962</xdr:colOff>
      <xdr:row>32</xdr:row>
      <xdr:rowOff>85725</xdr:rowOff>
    </xdr:from>
    <xdr:to>
      <xdr:col>3</xdr:col>
      <xdr:colOff>4756594</xdr:colOff>
      <xdr:row>34</xdr:row>
      <xdr:rowOff>111633</xdr:rowOff>
    </xdr:to>
    <xdr:sp macro="" textlink="">
      <xdr:nvSpPr>
        <xdr:cNvPr id="7" name="Pfeil: nach unten 6">
          <a:extLst>
            <a:ext uri="{FF2B5EF4-FFF2-40B4-BE49-F238E27FC236}">
              <a16:creationId xmlns:a16="http://schemas.microsoft.com/office/drawing/2014/main" id="{84205043-1334-4267-8981-1679C4BC05E5}"/>
            </a:ext>
          </a:extLst>
        </xdr:cNvPr>
        <xdr:cNvSpPr/>
      </xdr:nvSpPr>
      <xdr:spPr>
        <a:xfrm>
          <a:off x="5786437" y="7362825"/>
          <a:ext cx="484632" cy="502158"/>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423333</xdr:colOff>
      <xdr:row>86</xdr:row>
      <xdr:rowOff>173567</xdr:rowOff>
    </xdr:from>
    <xdr:to>
      <xdr:col>5</xdr:col>
      <xdr:colOff>2493783</xdr:colOff>
      <xdr:row>86</xdr:row>
      <xdr:rowOff>178858</xdr:rowOff>
    </xdr:to>
    <xdr:cxnSp macro="">
      <xdr:nvCxnSpPr>
        <xdr:cNvPr id="9" name="Gerader Verbinder 8">
          <a:extLst>
            <a:ext uri="{FF2B5EF4-FFF2-40B4-BE49-F238E27FC236}">
              <a16:creationId xmlns:a16="http://schemas.microsoft.com/office/drawing/2014/main" id="{0E79DE85-5A07-98C4-5517-D8B86E92D2AE}"/>
            </a:ext>
          </a:extLst>
        </xdr:cNvPr>
        <xdr:cNvCxnSpPr/>
      </xdr:nvCxnSpPr>
      <xdr:spPr>
        <a:xfrm flipV="1">
          <a:off x="509058" y="19566467"/>
          <a:ext cx="9900000" cy="5291"/>
        </a:xfrm>
        <a:prstGeom prst="line">
          <a:avLst/>
        </a:prstGeom>
        <a:ln w="1270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400050</xdr:colOff>
      <xdr:row>57</xdr:row>
      <xdr:rowOff>77259</xdr:rowOff>
    </xdr:from>
    <xdr:to>
      <xdr:col>5</xdr:col>
      <xdr:colOff>2470500</xdr:colOff>
      <xdr:row>57</xdr:row>
      <xdr:rowOff>85725</xdr:rowOff>
    </xdr:to>
    <xdr:cxnSp macro="">
      <xdr:nvCxnSpPr>
        <xdr:cNvPr id="17" name="Gerader Verbinder 16">
          <a:extLst>
            <a:ext uri="{FF2B5EF4-FFF2-40B4-BE49-F238E27FC236}">
              <a16:creationId xmlns:a16="http://schemas.microsoft.com/office/drawing/2014/main" id="{11C812D0-2CA7-4146-8996-EE8583994201}"/>
            </a:ext>
          </a:extLst>
        </xdr:cNvPr>
        <xdr:cNvCxnSpPr/>
      </xdr:nvCxnSpPr>
      <xdr:spPr>
        <a:xfrm flipV="1">
          <a:off x="485775" y="13069359"/>
          <a:ext cx="9900000" cy="8466"/>
        </a:xfrm>
        <a:prstGeom prst="line">
          <a:avLst/>
        </a:prstGeom>
        <a:ln w="1270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457199</xdr:colOff>
      <xdr:row>0</xdr:row>
      <xdr:rowOff>283934</xdr:rowOff>
    </xdr:from>
    <xdr:to>
      <xdr:col>6</xdr:col>
      <xdr:colOff>171449</xdr:colOff>
      <xdr:row>6</xdr:row>
      <xdr:rowOff>168841</xdr:rowOff>
    </xdr:to>
    <xdr:pic>
      <xdr:nvPicPr>
        <xdr:cNvPr id="7" name="Grafik 6">
          <a:hlinkClick xmlns:r="http://schemas.openxmlformats.org/officeDocument/2006/relationships" r:id="rId1"/>
          <a:extLst>
            <a:ext uri="{FF2B5EF4-FFF2-40B4-BE49-F238E27FC236}">
              <a16:creationId xmlns:a16="http://schemas.microsoft.com/office/drawing/2014/main" id="{902DCFFE-AB61-4D13-8D3D-9394DB4ABD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991224" y="283934"/>
          <a:ext cx="1171575" cy="1789907"/>
        </a:xfrm>
        <a:prstGeom prst="rect">
          <a:avLst/>
        </a:prstGeom>
      </xdr:spPr>
    </xdr:pic>
    <xdr:clientData/>
  </xdr:twoCellAnchor>
  <xdr:twoCellAnchor editAs="oneCell">
    <xdr:from>
      <xdr:col>7</xdr:col>
      <xdr:colOff>590550</xdr:colOff>
      <xdr:row>2</xdr:row>
      <xdr:rowOff>38100</xdr:rowOff>
    </xdr:from>
    <xdr:to>
      <xdr:col>7</xdr:col>
      <xdr:colOff>1599600</xdr:colOff>
      <xdr:row>3</xdr:row>
      <xdr:rowOff>333375</xdr:rowOff>
    </xdr:to>
    <xdr:pic>
      <xdr:nvPicPr>
        <xdr:cNvPr id="8" name="Grafik 7">
          <a:hlinkClick xmlns:r="http://schemas.openxmlformats.org/officeDocument/2006/relationships" r:id="rId3"/>
          <a:extLst>
            <a:ext uri="{FF2B5EF4-FFF2-40B4-BE49-F238E27FC236}">
              <a16:creationId xmlns:a16="http://schemas.microsoft.com/office/drawing/2014/main" id="{F76EF54A-AE06-4AAA-996F-5D2A1643E8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991475" y="400050"/>
          <a:ext cx="1009050" cy="933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1756833</xdr:colOff>
      <xdr:row>104</xdr:row>
      <xdr:rowOff>82021</xdr:rowOff>
    </xdr:from>
    <xdr:to>
      <xdr:col>5</xdr:col>
      <xdr:colOff>4565650</xdr:colOff>
      <xdr:row>148</xdr:row>
      <xdr:rowOff>160338</xdr:rowOff>
    </xdr:to>
    <xdr:pic>
      <xdr:nvPicPr>
        <xdr:cNvPr id="3" name="Grafik 2">
          <a:extLst>
            <a:ext uri="{FF2B5EF4-FFF2-40B4-BE49-F238E27FC236}">
              <a16:creationId xmlns:a16="http://schemas.microsoft.com/office/drawing/2014/main" id="{8740A395-E354-8B54-E6EF-C204C31349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6764000" y="19248438"/>
          <a:ext cx="7772400" cy="7772400"/>
        </a:xfrm>
        <a:prstGeom prst="rect">
          <a:avLst/>
        </a:prstGeom>
      </xdr:spPr>
    </xdr:pic>
    <xdr:clientData/>
  </xdr:twoCellAnchor>
  <xdr:twoCellAnchor editAs="oneCell">
    <xdr:from>
      <xdr:col>3</xdr:col>
      <xdr:colOff>12417</xdr:colOff>
      <xdr:row>104</xdr:row>
      <xdr:rowOff>250541</xdr:rowOff>
    </xdr:from>
    <xdr:to>
      <xdr:col>4</xdr:col>
      <xdr:colOff>2821233</xdr:colOff>
      <xdr:row>149</xdr:row>
      <xdr:rowOff>138358</xdr:rowOff>
    </xdr:to>
    <xdr:pic>
      <xdr:nvPicPr>
        <xdr:cNvPr id="5" name="Grafik 4">
          <a:extLst>
            <a:ext uri="{FF2B5EF4-FFF2-40B4-BE49-F238E27FC236}">
              <a16:creationId xmlns:a16="http://schemas.microsoft.com/office/drawing/2014/main" id="{D8454587-A4AA-AB6D-9CCA-4B7B19750F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0056000" y="19416958"/>
          <a:ext cx="7772400" cy="7772400"/>
        </a:xfrm>
        <a:prstGeom prst="rect">
          <a:avLst/>
        </a:prstGeom>
      </xdr:spPr>
    </xdr:pic>
    <xdr:clientData/>
  </xdr:twoCellAnchor>
  <xdr:twoCellAnchor editAs="oneCell">
    <xdr:from>
      <xdr:col>3</xdr:col>
      <xdr:colOff>608541</xdr:colOff>
      <xdr:row>212</xdr:row>
      <xdr:rowOff>158748</xdr:rowOff>
    </xdr:from>
    <xdr:to>
      <xdr:col>4</xdr:col>
      <xdr:colOff>402167</xdr:colOff>
      <xdr:row>238</xdr:row>
      <xdr:rowOff>126999</xdr:rowOff>
    </xdr:to>
    <xdr:pic>
      <xdr:nvPicPr>
        <xdr:cNvPr id="7" name="Grafik 6">
          <a:extLst>
            <a:ext uri="{FF2B5EF4-FFF2-40B4-BE49-F238E27FC236}">
              <a16:creationId xmlns:a16="http://schemas.microsoft.com/office/drawing/2014/main" id="{FCF3B8B4-2090-1EC6-4BFD-BC33F4B9A97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673291" y="38830248"/>
          <a:ext cx="4762501" cy="4773085"/>
        </a:xfrm>
        <a:prstGeom prst="rect">
          <a:avLst/>
        </a:prstGeom>
      </xdr:spPr>
    </xdr:pic>
    <xdr:clientData/>
  </xdr:twoCellAnchor>
  <xdr:twoCellAnchor editAs="oneCell">
    <xdr:from>
      <xdr:col>4</xdr:col>
      <xdr:colOff>1735864</xdr:colOff>
      <xdr:row>211</xdr:row>
      <xdr:rowOff>121708</xdr:rowOff>
    </xdr:from>
    <xdr:to>
      <xdr:col>5</xdr:col>
      <xdr:colOff>2090985</xdr:colOff>
      <xdr:row>240</xdr:row>
      <xdr:rowOff>167745</xdr:rowOff>
    </xdr:to>
    <xdr:pic>
      <xdr:nvPicPr>
        <xdr:cNvPr id="9" name="Grafik 8">
          <a:extLst>
            <a:ext uri="{FF2B5EF4-FFF2-40B4-BE49-F238E27FC236}">
              <a16:creationId xmlns:a16="http://schemas.microsoft.com/office/drawing/2014/main" id="{079A62CD-4B0E-1D84-DB66-8F7B15A0FFE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769489" y="38602708"/>
          <a:ext cx="5323996" cy="5390621"/>
        </a:xfrm>
        <a:prstGeom prst="rect">
          <a:avLst/>
        </a:prstGeom>
      </xdr:spPr>
    </xdr:pic>
    <xdr:clientData/>
  </xdr:twoCellAnchor>
  <xdr:twoCellAnchor editAs="oneCell">
    <xdr:from>
      <xdr:col>4</xdr:col>
      <xdr:colOff>137583</xdr:colOff>
      <xdr:row>181</xdr:row>
      <xdr:rowOff>104099</xdr:rowOff>
    </xdr:from>
    <xdr:to>
      <xdr:col>5</xdr:col>
      <xdr:colOff>3291417</xdr:colOff>
      <xdr:row>214</xdr:row>
      <xdr:rowOff>184215</xdr:rowOff>
    </xdr:to>
    <xdr:pic>
      <xdr:nvPicPr>
        <xdr:cNvPr id="11" name="Grafik 10">
          <a:extLst>
            <a:ext uri="{FF2B5EF4-FFF2-40B4-BE49-F238E27FC236}">
              <a16:creationId xmlns:a16="http://schemas.microsoft.com/office/drawing/2014/main" id="{3813D7F8-8F49-9B58-E4CF-41BE781D9CA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15144750" y="32838349"/>
          <a:ext cx="8117417" cy="5763366"/>
        </a:xfrm>
        <a:prstGeom prst="rect">
          <a:avLst/>
        </a:prstGeom>
      </xdr:spPr>
    </xdr:pic>
    <xdr:clientData/>
  </xdr:twoCellAnchor>
  <xdr:twoCellAnchor editAs="oneCell">
    <xdr:from>
      <xdr:col>3</xdr:col>
      <xdr:colOff>1185542</xdr:colOff>
      <xdr:row>159</xdr:row>
      <xdr:rowOff>156428</xdr:rowOff>
    </xdr:from>
    <xdr:to>
      <xdr:col>4</xdr:col>
      <xdr:colOff>788458</xdr:colOff>
      <xdr:row>184</xdr:row>
      <xdr:rowOff>45095</xdr:rowOff>
    </xdr:to>
    <xdr:pic>
      <xdr:nvPicPr>
        <xdr:cNvPr id="13" name="Grafik 12">
          <a:extLst>
            <a:ext uri="{FF2B5EF4-FFF2-40B4-BE49-F238E27FC236}">
              <a16:creationId xmlns:a16="http://schemas.microsoft.com/office/drawing/2014/main" id="{3FF3BACD-4D46-E918-50C1-891507506BB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1229125" y="28784345"/>
          <a:ext cx="4566500" cy="4566500"/>
        </a:xfrm>
        <a:prstGeom prst="rect">
          <a:avLst/>
        </a:prstGeom>
      </xdr:spPr>
    </xdr:pic>
    <xdr:clientData/>
  </xdr:twoCellAnchor>
  <xdr:twoCellAnchor editAs="oneCell">
    <xdr:from>
      <xdr:col>4</xdr:col>
      <xdr:colOff>1901750</xdr:colOff>
      <xdr:row>162</xdr:row>
      <xdr:rowOff>120206</xdr:rowOff>
    </xdr:from>
    <xdr:to>
      <xdr:col>5</xdr:col>
      <xdr:colOff>1521167</xdr:colOff>
      <xdr:row>180</xdr:row>
      <xdr:rowOff>98793</xdr:rowOff>
    </xdr:to>
    <xdr:pic>
      <xdr:nvPicPr>
        <xdr:cNvPr id="15" name="Grafik 14">
          <a:extLst>
            <a:ext uri="{FF2B5EF4-FFF2-40B4-BE49-F238E27FC236}">
              <a16:creationId xmlns:a16="http://schemas.microsoft.com/office/drawing/2014/main" id="{93883114-042F-2ED1-2639-F74DBCDB782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16908917" y="29393706"/>
          <a:ext cx="4583000" cy="3248837"/>
        </a:xfrm>
        <a:prstGeom prst="rect">
          <a:avLst/>
        </a:prstGeom>
      </xdr:spPr>
    </xdr:pic>
    <xdr:clientData/>
  </xdr:twoCellAnchor>
  <xdr:twoCellAnchor editAs="oneCell">
    <xdr:from>
      <xdr:col>2</xdr:col>
      <xdr:colOff>4532886</xdr:colOff>
      <xdr:row>182</xdr:row>
      <xdr:rowOff>84668</xdr:rowOff>
    </xdr:from>
    <xdr:to>
      <xdr:col>4</xdr:col>
      <xdr:colOff>2241695</xdr:colOff>
      <xdr:row>217</xdr:row>
      <xdr:rowOff>67737</xdr:rowOff>
    </xdr:to>
    <xdr:pic>
      <xdr:nvPicPr>
        <xdr:cNvPr id="17" name="Grafik 16">
          <a:extLst>
            <a:ext uri="{FF2B5EF4-FFF2-40B4-BE49-F238E27FC236}">
              <a16:creationId xmlns:a16="http://schemas.microsoft.com/office/drawing/2014/main" id="{071B614E-0776-A239-3CBB-CA603C479A2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xdr:blipFill>
      <xdr:spPr>
        <a:xfrm>
          <a:off x="9612886" y="33210501"/>
          <a:ext cx="7602112" cy="5397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L:\DSA\CFs\AVENTURIA\Kelche%20der%20Macht\AVENTURIA%20Kelche%20der%20Macht%20-%20CF-Guide.xlsx" TargetMode="External"/><Relationship Id="rId1" Type="http://schemas.openxmlformats.org/officeDocument/2006/relationships/externalLinkPath" Target="AVENTURIA%20Kelche%20der%20Macht%20-%20CF-Gu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Übersicht &amp; Anleitung"/>
      <sheetName val="Einkaufsführer"/>
      <sheetName val="Videos &amp; Links"/>
      <sheetName val="Abenteuer_Helden 1.0 vs 2.0"/>
      <sheetName val="Regeln 1.0 vs 2.0"/>
      <sheetName val="Changelog"/>
      <sheetName val="Vergleich"/>
      <sheetName val="Verlauf"/>
    </sheetNames>
    <sheetDataSet>
      <sheetData sheetId="0"/>
      <sheetData sheetId="1">
        <row r="5">
          <cell r="K5">
            <v>0</v>
          </cell>
          <cell r="L5">
            <v>0</v>
          </cell>
          <cell r="M5">
            <v>0</v>
          </cell>
          <cell r="N5">
            <v>0</v>
          </cell>
          <cell r="O5">
            <v>0</v>
          </cell>
          <cell r="P5">
            <v>0</v>
          </cell>
          <cell r="Q5">
            <v>0</v>
          </cell>
          <cell r="R5">
            <v>0</v>
          </cell>
          <cell r="S5">
            <v>0</v>
          </cell>
          <cell r="T5">
            <v>0</v>
          </cell>
        </row>
      </sheetData>
      <sheetData sheetId="2"/>
      <sheetData sheetId="3"/>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E622560-56F7-4F39-9136-355465BF6FB0}" name="Tabelle2" displayName="Tabelle2" ref="A30:G61" totalsRowShown="0" headerRowDxfId="102" dataDxfId="101">
  <autoFilter ref="A30:G61" xr:uid="{5E622560-56F7-4F39-9136-355465BF6FB0}"/>
  <tableColumns count="7">
    <tableColumn id="1" xr3:uid="{CFD8F911-D1AA-4F67-93E6-1BA975123780}" name="Language" dataDxfId="100"/>
    <tableColumn id="8" xr3:uid="{9AF98825-03B3-4635-84D4-313721B99ED9}" name="Topic/Version" dataDxfId="99"/>
    <tableColumn id="7" xr3:uid="{EA20C8A6-326E-4040-96C8-A9BB996C7802}" name="Contents" dataDxfId="98"/>
    <tableColumn id="2" xr3:uid="{B3362A16-03E6-4ED9-8857-1C14546EF5F9}" name="(YouTube) Channel" dataDxfId="97"/>
    <tableColumn id="3" xr3:uid="{ED6865FE-B19F-42C2-888F-8D7B0147F572}" name="Video" dataDxfId="96"/>
    <tableColumn id="5" xr3:uid="{8831FC77-1121-4A27-9600-466461825DFD}" name="Link" dataDxfId="95" dataCellStyle="Link"/>
    <tableColumn id="6" xr3:uid="{18234522-44A8-4375-B232-D35051D327C7}" name="Duration" dataDxfId="9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3A06838-5FFB-4DCF-BE14-51FBE19FA806}" name="Tabelle4" displayName="Tabelle4" ref="A7:G24" totalsRowShown="0" headerRowDxfId="93" dataDxfId="92">
  <autoFilter ref="A7:G24" xr:uid="{43A06838-5FFB-4DCF-BE14-51FBE19FA806}"/>
  <tableColumns count="7">
    <tableColumn id="1" xr3:uid="{19F39029-BD80-4FD7-A5A0-1421D45DCD63}" name="Language" dataDxfId="91"/>
    <tableColumn id="8" xr3:uid="{6A534621-EF24-46CC-82AC-A25FDAE8A791}" name="Topic/Version" dataDxfId="90"/>
    <tableColumn id="7" xr3:uid="{2828ED49-D3D4-4E77-A057-F1146851AC60}" name="Contents" dataDxfId="89"/>
    <tableColumn id="2" xr3:uid="{A7E5545F-4DE4-4B27-BF87-475441D7ADB3}" name="(YouTube) Channel" dataDxfId="88"/>
    <tableColumn id="3" xr3:uid="{07CE5CBC-7DBB-4C3B-B46B-D3BB8CADCD8C}" name="Video" dataDxfId="87"/>
    <tableColumn id="5" xr3:uid="{47203E00-5462-4A4B-9271-4CE41AB378B1}" name="Link" dataDxfId="86" dataCellStyle="Link"/>
    <tableColumn id="6" xr3:uid="{CBB587CA-F9A4-439C-9D76-F77519C06AB4}" name="Duration" dataDxfId="8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4925669-5BD2-4A84-94E3-F70F3B640506}" name="Tabelle5" displayName="Tabelle5" ref="A1:B11" totalsRowShown="0" headerRowDxfId="0" dataDxfId="84">
  <autoFilter ref="A1:B11" xr:uid="{94925669-5BD2-4A84-94E3-F70F3B640506}"/>
  <tableColumns count="2">
    <tableColumn id="1" xr3:uid="{FC2D652E-62E0-40FE-9900-E0AC9E3124EE}" name="Date" dataDxfId="83"/>
    <tableColumn id="2" xr3:uid="{204D459E-C37D-48E6-AE3E-AB2CFB951C2A}" name="Changes" dataDxfId="8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EA9654-149B-455B-B037-D0C330FFD6EF}" name="Tabelle3" displayName="Tabelle3" ref="A4:AW26" totalsRowShown="0" headerRowDxfId="81">
  <autoFilter ref="A4:AW26" xr:uid="{27422959-90AD-4338-8C23-E3B9F7316881}"/>
  <tableColumns count="49">
    <tableColumn id="1" xr3:uid="{F20F49F8-6EB7-43C1-9922-F620A023E7F0}" name="Tag" dataDxfId="80"/>
    <tableColumn id="2" xr3:uid="{6971CB83-29C8-475B-A31E-D387F03E1C07}" name="Ned (€)" dataDxfId="79"/>
    <tableColumn id="3" xr3:uid="{F664882F-3BD9-41DE-A643-1C890FC1B073}" name="Ned (Backer)" dataDxfId="78"/>
    <tableColumn id="4" xr3:uid="{E579BA6A-6386-4040-8B87-1F53A08CA8B6}" name="Ned (€/B)" dataDxfId="77">
      <calculatedColumnFormula>IFERROR(Tabelle3[[#This Row],[Ned (€)]]/Tabelle3[[#This Row],[Ned (Backer)]],"")</calculatedColumnFormula>
    </tableColumn>
    <tableColumn id="10" xr3:uid="{DF5363C3-935A-49F1-B72D-9DF733CE4302}" name="Werkzeuge (€)" dataDxfId="76"/>
    <tableColumn id="11" xr3:uid="{4CFD1B7C-52BE-49FD-B7F5-1D7A36D73889}" name="Werkzeuge (Backer)" dataDxfId="75"/>
    <tableColumn id="5" xr3:uid="{61100E78-BB32-4A90-9325-A41F57693C15}" name="Werkz (€/B)" dataDxfId="74">
      <calculatedColumnFormula>Tabelle3[[#This Row],[Werkzeuge (€)]]/Tabelle3[[#This Row],[Werkzeuge (Backer)]]</calculatedColumnFormula>
    </tableColumn>
    <tableColumn id="26" xr3:uid="{F4AEE733-FE50-4D43-B8B6-2CFA99AA7EE6}" name="DSK Fasar (€)" dataDxfId="73"/>
    <tableColumn id="29" xr3:uid="{519C5630-D167-4EFA-B84F-F9BC19E907B3}" name="DSK Fasar (Backer)" dataDxfId="72"/>
    <tableColumn id="6" xr3:uid="{854DE083-8DB9-471F-9D2E-9CCE4771207A}" name="DSK Fasar (€/B)" dataDxfId="71">
      <calculatedColumnFormula>Tabelle3[[#This Row],[DSK Fasar (€)]]/Tabelle3[[#This Row],[DSK Fasar (Backer)]]</calculatedColumnFormula>
    </tableColumn>
    <tableColumn id="20" xr3:uid="{C33B8766-778A-4CBA-B6CD-11F696D9BF3F}" name="Mythen (€)" dataDxfId="70"/>
    <tableColumn id="21" xr3:uid="{7FE9A82A-5A08-46A8-A0C2-586311B74BB6}" name="Mythen (Backer)" dataDxfId="69"/>
    <tableColumn id="7" xr3:uid="{1FB905C7-E806-4D0D-8C42-EEC0E36B3E50}" name="Mythen (€/B)" dataDxfId="68">
      <calculatedColumnFormula>Tabelle3[[#This Row],[Mythen (€)]]/Tabelle3[[#This Row],[Mythen (Backer)]]</calculatedColumnFormula>
    </tableColumn>
    <tableColumn id="34" xr3:uid="{ECB31B1D-5FD5-4EF9-871C-99A9FFBB4E6B}" name="SOK (€)" dataDxfId="67"/>
    <tableColumn id="35" xr3:uid="{1E34A881-32F6-48DB-8A12-F2F7F315C3B2}" name="SOK (Backer)" dataDxfId="66"/>
    <tableColumn id="27" xr3:uid="{4E1D286A-D371-44AF-9493-13F1B3BBA1E1}" name="SOK (€/B)" dataDxfId="65">
      <calculatedColumnFormula>Tabelle3[[#This Row],[SOK (€)]]/Tabelle3[[#This Row],[SOK (Backer)]]</calculatedColumnFormula>
    </tableColumn>
    <tableColumn id="32" xr3:uid="{E4B16DC1-4EE4-4038-B4B5-B981FD62F8EA}" name="RE (€)" dataDxfId="64"/>
    <tableColumn id="33" xr3:uid="{8EB42BB1-C038-48A6-A211-78A44E799A6C}" name="RE (Backer)" dataDxfId="63"/>
    <tableColumn id="28" xr3:uid="{675D589F-A6F0-453C-BD2A-15ED374E6B93}" name="RE (€/B)" dataDxfId="62">
      <calculatedColumnFormula>Tabelle3[[#This Row],[RE (€)]]/Tabelle3[[#This Row],[RE (Backer)]]</calculatedColumnFormula>
    </tableColumn>
    <tableColumn id="40" xr3:uid="{B2000EDA-3E67-45D5-8ABE-A7E4CD713D4F}" name="DGG (€)" dataDxfId="61"/>
    <tableColumn id="41" xr3:uid="{545AC5E2-E4BD-4C28-A762-E9269E553E97}" name="DGG (Backer)" dataDxfId="60"/>
    <tableColumn id="30" xr3:uid="{0A7D82D9-FAFD-4AF2-98BD-4B5E82D93B24}" name="DGG (€/B)" dataDxfId="59">
      <calculatedColumnFormula>Tabelle3[[#This Row],[DGG (€)]]/Tabelle3[[#This Row],[DGG (Backer)]]</calculatedColumnFormula>
    </tableColumn>
    <tableColumn id="42" xr3:uid="{D96E1501-FE3A-4B42-9A72-261BAD1904BA}" name="DSK SV (€)" dataDxfId="58"/>
    <tableColumn id="43" xr3:uid="{1BAF0051-85B5-4740-AFB6-EC165E373FD8}" name="DSK SV (Backer)" dataDxfId="57"/>
    <tableColumn id="31" xr3:uid="{138CB00F-2D25-4FC9-8AD0-2920AC181536}" name="DSK SV (€/B)" dataDxfId="56">
      <calculatedColumnFormula>Tabelle3[[#This Row],[DSK SV (€)]]/Tabelle3[[#This Row],[DSK SV (Backer)]]</calculatedColumnFormula>
    </tableColumn>
    <tableColumn id="18" xr3:uid="{B115F17F-0C3A-4787-8FAF-58A699789E37}" name="WW (€)" dataDxfId="55"/>
    <tableColumn id="19" xr3:uid="{11D07988-6567-452C-B145-7D8ECCC114D6}" name="WW (Backer)" dataDxfId="54"/>
    <tableColumn id="36" xr3:uid="{8DC65953-3709-48DB-9A06-A512B0C5BBDC}" name="WW (€/B)" dataDxfId="53">
      <calculatedColumnFormula>Tabelle3[[#This Row],[WW (€)]]/Tabelle3[[#This Row],[WW (Backer)]]</calculatedColumnFormula>
    </tableColumn>
    <tableColumn id="22" xr3:uid="{A4423EDA-72CD-40A4-8CEB-84584B2848A9}" name="DSK R (€)" dataDxfId="52"/>
    <tableColumn id="23" xr3:uid="{9FA4C8B1-E398-4CB3-AC74-77828F3D4343}" name="DSK R (Backer)" dataDxfId="51"/>
    <tableColumn id="37" xr3:uid="{AE14262B-F3B7-47DF-BAFA-618A863548C2}" name="DSK R (€/B)" dataDxfId="50">
      <calculatedColumnFormula>Tabelle3[[#This Row],[DSK R (€)]]/Tabelle3[[#This Row],[DSK R (Backer)]]</calculatedColumnFormula>
    </tableColumn>
    <tableColumn id="24" xr3:uid="{EAE957AD-26EB-468A-9755-60EC7D72A845}" name="Ära (€)" dataDxfId="49"/>
    <tableColumn id="25" xr3:uid="{C1FC00A5-77F0-4DAB-9F9C-96D4AA018743}" name="Ära (Backer)" dataDxfId="48"/>
    <tableColumn id="46" xr3:uid="{629A9284-AB65-4209-9E8F-7A6AFE825122}" name="Ära (€/B)" dataDxfId="47">
      <calculatedColumnFormula>Tabelle3[[#This Row],[Ära (€)]]/Tabelle3[[#This Row],[Ära (Backer)]]</calculatedColumnFormula>
    </tableColumn>
    <tableColumn id="12" xr3:uid="{EAB919AA-10EC-4095-8D60-91ACA4CD78EA}" name="Mosaik (€)" dataDxfId="46"/>
    <tableColumn id="13" xr3:uid="{B83772FE-8724-4340-A7CF-F84CABFD14EA}" name="Mosaik (Backer)" dataDxfId="45"/>
    <tableColumn id="14" xr3:uid="{DC6325E1-30F4-4455-B2BC-420F17C27294}" name="Mosaik (€/B)" dataDxfId="44">
      <calculatedColumnFormula>Tabelle3[[#This Row],[Mosaik (€)]]/Tabelle3[[#This Row],[Mosaik (Backer)]]</calculatedColumnFormula>
    </tableColumn>
    <tableColumn id="8" xr3:uid="{7E6A6861-F3AF-4053-88ED-79369130690F}" name="DSK ES (€)" dataDxfId="43"/>
    <tableColumn id="9" xr3:uid="{69DB9D6C-1591-458D-96F7-10915AAA1449}" name="DSK ES (Backer)" dataDxfId="42"/>
    <tableColumn id="15" xr3:uid="{E07E3E1C-FEC3-4EA4-81B8-0CFF0EBEDA04}" name="DSK ES (€/B)" dataDxfId="41"/>
    <tableColumn id="16" xr3:uid="{77CE6583-3C33-4590-985E-EE555D99148B}" name="ES (€)" dataDxfId="40"/>
    <tableColumn id="17" xr3:uid="{4DE1CE20-910B-42B7-8BBE-20162E906649}" name="ES (Backer)" dataDxfId="39"/>
    <tableColumn id="44" xr3:uid="{0BEEFA74-08E6-4566-902B-6B0E7EB65CF1}" name="ES (€/B)" dataDxfId="38"/>
    <tableColumn id="45" xr3:uid="{0AB8F6F6-CC8C-47AA-9FAE-2833684A52BB}" name="WF (€)" dataDxfId="37"/>
    <tableColumn id="48" xr3:uid="{AF091027-B9D0-4C53-B98C-B41591294E52}" name="WF(Backer)" dataDxfId="36"/>
    <tableColumn id="49" xr3:uid="{5747D71C-2AC9-4D00-AE70-4A74DEE41E91}" name="WF (€/B)" dataDxfId="35"/>
    <tableColumn id="38" xr3:uid="{1AF87199-875A-4AB9-9AC0-88E8D7A82669}" name="AKM (€)" dataDxfId="34"/>
    <tableColumn id="39" xr3:uid="{1B706C0D-84D1-42A8-B0AB-701DEC761DD3}" name="AKM(Backer)" dataDxfId="33"/>
    <tableColumn id="47" xr3:uid="{77302F65-6E91-4233-8F2D-21412E5DD1A9}" name="AKM (€/B)" dataDxfId="32">
      <calculatedColumnFormula>Tabelle3[[#This Row],[AKM (€)]]/Tabelle3[[#This Row],[AKM(Backer)]]</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hinter-dem-schwarzen-auge.de/support" TargetMode="External"/><Relationship Id="rId7" Type="http://schemas.openxmlformats.org/officeDocument/2006/relationships/vmlDrawing" Target="../drawings/vmlDrawing1.vml"/><Relationship Id="rId2" Type="http://schemas.openxmlformats.org/officeDocument/2006/relationships/hyperlink" Target="https://hinter-dem-schwarzen-auge.de/links/" TargetMode="External"/><Relationship Id="rId1" Type="http://schemas.openxmlformats.org/officeDocument/2006/relationships/hyperlink" Target="https://gamefound.com/de/projects/ulisses-spiele/aventuria"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hinter-dem-schwarzen-auge.de/aventuria-guide/"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youtube.com/watch?v=TsQK81K0Zic" TargetMode="External"/><Relationship Id="rId13" Type="http://schemas.openxmlformats.org/officeDocument/2006/relationships/hyperlink" Target="https://www.youtube.com/watch?v=fF5dx-gDgBI" TargetMode="External"/><Relationship Id="rId18" Type="http://schemas.openxmlformats.org/officeDocument/2006/relationships/hyperlink" Target="https://youtu.be/9gaFztrqM5o" TargetMode="External"/><Relationship Id="rId26" Type="http://schemas.openxmlformats.org/officeDocument/2006/relationships/hyperlink" Target="https://www.youtube.com/watch?v=myLWx5LJQ14" TargetMode="External"/><Relationship Id="rId39" Type="http://schemas.openxmlformats.org/officeDocument/2006/relationships/hyperlink" Target="https://ulisses-spiele.de/aventuria-elementare-elemente/" TargetMode="External"/><Relationship Id="rId3" Type="http://schemas.openxmlformats.org/officeDocument/2006/relationships/hyperlink" Target="https://www.youtube.com/watch?v=hzQWsTTEhKQ" TargetMode="External"/><Relationship Id="rId21" Type="http://schemas.openxmlformats.org/officeDocument/2006/relationships/hyperlink" Target="https://www.youtube.com/live/DWI8qKMUOLU?si=LcQ3t9qtY0gnjJsc&amp;t=99" TargetMode="External"/><Relationship Id="rId34" Type="http://schemas.openxmlformats.org/officeDocument/2006/relationships/hyperlink" Target="https://ulisses-spiele.de/wp-content/uploads/2025/01/Aventuria2-ChalicesofPower-Rulebook-ComplimentaryCopy.pdf" TargetMode="External"/><Relationship Id="rId42" Type="http://schemas.openxmlformats.org/officeDocument/2006/relationships/printerSettings" Target="../printerSettings/printerSettings3.bin"/><Relationship Id="rId7" Type="http://schemas.openxmlformats.org/officeDocument/2006/relationships/hyperlink" Target="https://www.youtube.com/watch?v=ZJN7iqWz_LI" TargetMode="External"/><Relationship Id="rId12" Type="http://schemas.openxmlformats.org/officeDocument/2006/relationships/hyperlink" Target="https://www.youtube.com/live/S2FlpM6oMKw?si=oF8oQ06isVx5FBBE&amp;t=543" TargetMode="External"/><Relationship Id="rId17" Type="http://schemas.openxmlformats.org/officeDocument/2006/relationships/hyperlink" Target="https://www.youtube.com/watch?v=sBrYaOCPiGo" TargetMode="External"/><Relationship Id="rId25" Type="http://schemas.openxmlformats.org/officeDocument/2006/relationships/hyperlink" Target="https://www.youtube.com/watch?v=sqey6NhVtCM" TargetMode="External"/><Relationship Id="rId33" Type="http://schemas.openxmlformats.org/officeDocument/2006/relationships/hyperlink" Target="https://ulisses-spiele.de/wp-content/uploads/2025/01/Aventuria2-KelchederMacht-Regelheft-Ansichtsexemplar.pdf" TargetMode="External"/><Relationship Id="rId38" Type="http://schemas.openxmlformats.org/officeDocument/2006/relationships/hyperlink" Target="https://ulisses-spiele.de/aventuria-elementares/" TargetMode="External"/><Relationship Id="rId2" Type="http://schemas.openxmlformats.org/officeDocument/2006/relationships/hyperlink" Target="https://www.youtube.com/watch?v=cMxyL-sW43M" TargetMode="External"/><Relationship Id="rId16" Type="http://schemas.openxmlformats.org/officeDocument/2006/relationships/hyperlink" Target="https://www.youtube.com/watch?v=sldHXTCXjD0" TargetMode="External"/><Relationship Id="rId20" Type="http://schemas.openxmlformats.org/officeDocument/2006/relationships/hyperlink" Target="https://www.youtube.com/watch?v=4xaL336sXDA" TargetMode="External"/><Relationship Id="rId29" Type="http://schemas.openxmlformats.org/officeDocument/2006/relationships/hyperlink" Target="https://www.youtube.com/watch?v=b-ASzJ66Fek" TargetMode="External"/><Relationship Id="rId41" Type="http://schemas.openxmlformats.org/officeDocument/2006/relationships/hyperlink" Target="https://www.twitch.tv/videos/2381034784?t=00h08m50s" TargetMode="External"/><Relationship Id="rId1" Type="http://schemas.openxmlformats.org/officeDocument/2006/relationships/hyperlink" Target="https://www.youtube.com/watch?v=P_ePnhBsz0M" TargetMode="External"/><Relationship Id="rId6" Type="http://schemas.openxmlformats.org/officeDocument/2006/relationships/hyperlink" Target="https://www.youtube.com/watch?v=fRJq3eKuF-Y" TargetMode="External"/><Relationship Id="rId11" Type="http://schemas.openxmlformats.org/officeDocument/2006/relationships/hyperlink" Target="https://www.youtube.com/live/CpMyqUa7xMU?si=cU8wMFhsbGYiMobu&amp;t=540" TargetMode="External"/><Relationship Id="rId24" Type="http://schemas.openxmlformats.org/officeDocument/2006/relationships/hyperlink" Target="https://www.youtube.com/watch?v=p8l-zn_2Bmw" TargetMode="External"/><Relationship Id="rId32" Type="http://schemas.openxmlformats.org/officeDocument/2006/relationships/hyperlink" Target="https://www.youtube.com/watch?v=1ZuRGGbdsf4&amp;t=4138s" TargetMode="External"/><Relationship Id="rId37" Type="http://schemas.openxmlformats.org/officeDocument/2006/relationships/hyperlink" Target="https://ulisses-spiele.de/aventuria-mumien-mausmads-mantikore/" TargetMode="External"/><Relationship Id="rId40" Type="http://schemas.openxmlformats.org/officeDocument/2006/relationships/hyperlink" Target="https://ulisses-spiele.de/aventuria-schelmentreiben/" TargetMode="External"/><Relationship Id="rId5" Type="http://schemas.openxmlformats.org/officeDocument/2006/relationships/hyperlink" Target="mailto:gernot@hinter-dsa.de?subject=Aventuria%20Playthroughs%20-%20Missing%20link/video" TargetMode="External"/><Relationship Id="rId15" Type="http://schemas.openxmlformats.org/officeDocument/2006/relationships/hyperlink" Target="https://www.youtube.com/watch?v=z-LRoLiXtIE" TargetMode="External"/><Relationship Id="rId23" Type="http://schemas.openxmlformats.org/officeDocument/2006/relationships/hyperlink" Target="https://www.youtube.com/watch?v=-zb5gpkSO6Q" TargetMode="External"/><Relationship Id="rId28" Type="http://schemas.openxmlformats.org/officeDocument/2006/relationships/hyperlink" Target="https://www.youtube.com/watch?v=Z4csjf8sMhw" TargetMode="External"/><Relationship Id="rId36" Type="http://schemas.openxmlformats.org/officeDocument/2006/relationships/hyperlink" Target="https://hinter-dem-schwarzen-auge.de/wp-content/uploads/Aventuria-sets-1.0-2.0.pdf" TargetMode="External"/><Relationship Id="rId10" Type="http://schemas.openxmlformats.org/officeDocument/2006/relationships/hyperlink" Target="https://www.youtube.com/watch?v=lBern3H90RQ" TargetMode="External"/><Relationship Id="rId19" Type="http://schemas.openxmlformats.org/officeDocument/2006/relationships/hyperlink" Target="https://www.youtube.com/watch?v=KAHb0ysKygk&amp;list=PLX1qrLtBfgEMv_zvWylunGlvbgYbXGoAN" TargetMode="External"/><Relationship Id="rId31" Type="http://schemas.openxmlformats.org/officeDocument/2006/relationships/hyperlink" Target="https://www.youtube.com/watch?v=aIMK0v57ycQ" TargetMode="External"/><Relationship Id="rId44" Type="http://schemas.openxmlformats.org/officeDocument/2006/relationships/table" Target="../tables/table2.xml"/><Relationship Id="rId4" Type="http://schemas.openxmlformats.org/officeDocument/2006/relationships/hyperlink" Target="https://youtu.be/89WLFkLrbp4" TargetMode="External"/><Relationship Id="rId9" Type="http://schemas.openxmlformats.org/officeDocument/2006/relationships/hyperlink" Target="https://www.youtube.com/watch?v=xWOyeE-Gnt0" TargetMode="External"/><Relationship Id="rId14" Type="http://schemas.openxmlformats.org/officeDocument/2006/relationships/hyperlink" Target="https://www.youtube.com/watch?v=7nyT5HG9Zlo" TargetMode="External"/><Relationship Id="rId22" Type="http://schemas.openxmlformats.org/officeDocument/2006/relationships/hyperlink" Target="https://www.youtube.com/live/vGqiiWIyp6Q?si=IzhKWiXRSo3p9wdr&amp;t=59" TargetMode="External"/><Relationship Id="rId27" Type="http://schemas.openxmlformats.org/officeDocument/2006/relationships/hyperlink" Target="https://www.youtube.com/watch?v=BUy0fI9NJWI" TargetMode="External"/><Relationship Id="rId30" Type="http://schemas.openxmlformats.org/officeDocument/2006/relationships/hyperlink" Target="https://www.youtube.com/watch?v=huXZdLkJl_s" TargetMode="External"/><Relationship Id="rId35" Type="http://schemas.openxmlformats.org/officeDocument/2006/relationships/hyperlink" Target="https://hinter-dem-schwarzen-auge.de/wp-content/uploads/Aventuria-Publikationen-1.0-2.0.pdf" TargetMode="External"/><Relationship Id="rId43"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gamefound.com/en/projects/ulisses-spiele/aventuria" TargetMode="External"/><Relationship Id="rId1" Type="http://schemas.openxmlformats.org/officeDocument/2006/relationships/hyperlink" Target="https://gamefound.com/en/projects/ulisses-spiele/aventuria"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ulisses-spiele.de/wp-content/uploads/2025/01/Aventuria2-ChalicesofPower-Rulebook-ComplimentaryCopy.pdf" TargetMode="External"/><Relationship Id="rId1" Type="http://schemas.openxmlformats.org/officeDocument/2006/relationships/hyperlink" Target="mailto:gernot@hinter-dsa.de?subject=Aventuria%20Playthroughs%20-%20Missing%20link/video"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03AF5-52E3-4D7D-8AFC-995B3E896D26}">
  <sheetPr codeName="Tabelle2">
    <tabColor rgb="FF00B0F0"/>
    <pageSetUpPr fitToPage="1"/>
  </sheetPr>
  <dimension ref="A1:CO169"/>
  <sheetViews>
    <sheetView showGridLines="0" tabSelected="1" zoomScaleNormal="100" workbookViewId="0">
      <pane ySplit="1" topLeftCell="A2" activePane="bottomLeft" state="frozen"/>
      <selection pane="bottomLeft" activeCell="B1" sqref="B1:R1"/>
    </sheetView>
  </sheetViews>
  <sheetFormatPr baseColWidth="10" defaultRowHeight="15" outlineLevelRow="1" outlineLevelCol="1" x14ac:dyDescent="0.3"/>
  <cols>
    <col min="1" max="1" width="1.28515625" style="96" customWidth="1"/>
    <col min="2" max="2" width="18.5703125" style="86" customWidth="1"/>
    <col min="3" max="3" width="2.85546875" style="87" customWidth="1"/>
    <col min="4" max="4" width="87.140625" style="47" customWidth="1"/>
    <col min="5" max="5" width="8.85546875" style="87" bestFit="1" customWidth="1"/>
    <col min="6" max="6" width="56.140625" style="87" customWidth="1"/>
    <col min="7" max="7" width="6.28515625" style="87" customWidth="1"/>
    <col min="8" max="8" width="11.5703125" style="87" customWidth="1"/>
    <col min="9" max="12" width="11.42578125" style="87" customWidth="1"/>
    <col min="13" max="13" width="11.42578125" style="113" customWidth="1"/>
    <col min="14" max="16" width="11.42578125" style="96" customWidth="1"/>
    <col min="17" max="18" width="12.5703125" style="96" customWidth="1"/>
    <col min="19" max="19" width="11.42578125" style="96" customWidth="1"/>
    <col min="20" max="23" width="11.42578125" style="109" hidden="1" customWidth="1" outlineLevel="1"/>
    <col min="24" max="26" width="11.42578125" style="88" hidden="1" customWidth="1" outlineLevel="1"/>
    <col min="27" max="27" width="12.7109375" style="88" hidden="1" customWidth="1" outlineLevel="1"/>
    <col min="28" max="28" width="12.7109375" style="88" customWidth="1" collapsed="1"/>
    <col min="29" max="30" width="12.7109375" style="88" customWidth="1"/>
    <col min="31" max="31" width="16.7109375" style="23" hidden="1" customWidth="1" outlineLevel="1"/>
    <col min="32" max="32" width="9.85546875" style="23" hidden="1" customWidth="1" outlineLevel="1"/>
    <col min="33" max="33" width="3.140625" style="239" hidden="1" customWidth="1" outlineLevel="1"/>
    <col min="34" max="37" width="11.42578125" style="23" hidden="1" customWidth="1" outlineLevel="1"/>
    <col min="38" max="38" width="13.140625" style="23" hidden="1" customWidth="1" outlineLevel="1"/>
    <col min="39" max="39" width="7.28515625" style="23" hidden="1" customWidth="1" outlineLevel="1"/>
    <col min="40" max="40" width="9.28515625" style="23" hidden="1" customWidth="1" outlineLevel="1"/>
    <col min="41" max="41" width="12.5703125" style="23" hidden="1" customWidth="1" outlineLevel="1"/>
    <col min="42" max="45" width="11.42578125" style="23" hidden="1" customWidth="1" outlineLevel="1"/>
    <col min="46" max="46" width="11.42578125" style="24" hidden="1" customWidth="1" outlineLevel="1"/>
    <col min="47" max="48" width="11.42578125" style="23" hidden="1" customWidth="1" outlineLevel="1"/>
    <col min="49" max="49" width="11.42578125" style="135" hidden="1" customWidth="1" outlineLevel="1"/>
    <col min="50" max="50" width="11.42578125" style="35" hidden="1" customWidth="1" outlineLevel="1"/>
    <col min="51" max="51" width="11.42578125" style="135" hidden="1" customWidth="1" outlineLevel="1"/>
    <col min="52" max="52" width="11.42578125" style="35" hidden="1" customWidth="1" outlineLevel="1"/>
    <col min="53" max="53" width="14" style="23" hidden="1" customWidth="1" outlineLevel="1"/>
    <col min="54" max="56" width="11.42578125" style="28" hidden="1" customWidth="1" outlineLevel="1"/>
    <col min="57" max="57" width="11.42578125" style="23" hidden="1" customWidth="1" outlineLevel="1"/>
    <col min="58" max="60" width="11.42578125" style="28" hidden="1" customWidth="1" outlineLevel="1"/>
    <col min="61" max="61" width="11.42578125" style="96" collapsed="1"/>
    <col min="62" max="93" width="11.42578125" style="96"/>
    <col min="94" max="16384" width="11.42578125" style="47"/>
  </cols>
  <sheetData>
    <row r="1" spans="1:93" s="96" customFormat="1" ht="24.75" thickBot="1" x14ac:dyDescent="0.3">
      <c r="B1" s="874" t="s">
        <v>701</v>
      </c>
      <c r="C1" s="875"/>
      <c r="D1" s="875"/>
      <c r="E1" s="875"/>
      <c r="F1" s="875"/>
      <c r="G1" s="875"/>
      <c r="H1" s="875"/>
      <c r="I1" s="875"/>
      <c r="J1" s="875"/>
      <c r="K1" s="875"/>
      <c r="L1" s="875"/>
      <c r="M1" s="875"/>
      <c r="N1" s="875"/>
      <c r="O1" s="875"/>
      <c r="P1" s="875"/>
      <c r="Q1" s="875"/>
      <c r="R1" s="876"/>
      <c r="S1" s="116"/>
      <c r="T1" s="113"/>
      <c r="U1" s="113"/>
      <c r="V1" s="113"/>
      <c r="W1" s="459"/>
      <c r="X1" s="113"/>
      <c r="Y1" s="113"/>
      <c r="Z1" s="113"/>
      <c r="AA1" s="113"/>
      <c r="AB1" s="113"/>
      <c r="AC1" s="113"/>
      <c r="AD1" s="113"/>
      <c r="AE1" s="209" t="s">
        <v>101</v>
      </c>
      <c r="AF1" s="209"/>
      <c r="AG1" s="41"/>
      <c r="AH1" s="41"/>
      <c r="AI1" s="41"/>
      <c r="AJ1" s="41"/>
      <c r="AK1" s="41"/>
      <c r="AL1" s="41"/>
      <c r="AM1" s="41"/>
      <c r="AN1" s="41"/>
      <c r="AO1" s="41"/>
      <c r="AP1" s="41"/>
      <c r="AQ1" s="41"/>
      <c r="AR1" s="41"/>
      <c r="AS1" s="23"/>
      <c r="AT1" s="41"/>
      <c r="AU1" s="41"/>
      <c r="AV1" s="41"/>
      <c r="AW1" s="157"/>
      <c r="AX1" s="41"/>
      <c r="AY1" s="157"/>
      <c r="AZ1" s="41"/>
      <c r="BA1" s="41"/>
      <c r="BB1" s="41"/>
      <c r="BC1" s="41"/>
      <c r="BD1" s="28"/>
      <c r="BE1" s="23"/>
      <c r="BF1" s="28"/>
      <c r="BG1" s="28"/>
      <c r="BH1" s="28"/>
    </row>
    <row r="2" spans="1:93" s="2" customFormat="1" ht="4.5" customHeight="1" thickBot="1" x14ac:dyDescent="0.35">
      <c r="A2" s="102"/>
      <c r="B2" s="96"/>
      <c r="C2" s="113"/>
      <c r="D2" s="96"/>
      <c r="E2" s="113"/>
      <c r="F2" s="113"/>
      <c r="G2" s="113"/>
      <c r="H2" s="113"/>
      <c r="I2" s="113"/>
      <c r="J2" s="113"/>
      <c r="K2" s="113"/>
      <c r="L2" s="111"/>
      <c r="M2" s="113"/>
      <c r="N2" s="96"/>
      <c r="O2" s="96"/>
      <c r="P2" s="96"/>
      <c r="Q2" s="96"/>
      <c r="R2" s="96"/>
      <c r="S2" s="116"/>
      <c r="T2" s="113"/>
      <c r="U2" s="113"/>
      <c r="V2" s="113"/>
      <c r="W2" s="459"/>
      <c r="X2" s="113"/>
      <c r="Y2" s="113"/>
      <c r="Z2" s="113"/>
      <c r="AA2" s="113"/>
      <c r="AB2" s="113"/>
      <c r="AC2" s="113"/>
      <c r="AD2" s="113"/>
      <c r="AE2" s="23"/>
      <c r="AF2" s="23"/>
      <c r="AG2" s="54"/>
      <c r="AH2" s="54"/>
      <c r="AI2" s="54"/>
      <c r="AJ2" s="54"/>
      <c r="AK2" s="54"/>
      <c r="AL2" s="54"/>
      <c r="AM2" s="54"/>
      <c r="AN2" s="54"/>
      <c r="AO2" s="54"/>
      <c r="AP2" s="54"/>
      <c r="AQ2" s="54"/>
      <c r="AR2" s="54"/>
      <c r="AS2" s="54"/>
      <c r="AT2" s="54"/>
      <c r="AU2" s="41"/>
      <c r="AV2" s="54"/>
      <c r="AW2" s="54"/>
      <c r="AX2" s="54"/>
      <c r="AY2" s="54"/>
      <c r="AZ2" s="54"/>
      <c r="BA2" s="54"/>
      <c r="BB2" s="54"/>
      <c r="BC2" s="54"/>
      <c r="BD2" s="54"/>
      <c r="BE2" s="54"/>
      <c r="BF2" s="54"/>
      <c r="BG2" s="54"/>
      <c r="BH2" s="54"/>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row>
    <row r="3" spans="1:93" s="2" customFormat="1" ht="18.75" customHeight="1" thickBot="1" x14ac:dyDescent="0.35">
      <c r="A3" s="102"/>
      <c r="B3" s="96"/>
      <c r="C3" s="113"/>
      <c r="D3" s="793" t="s">
        <v>719</v>
      </c>
      <c r="E3" s="897" t="s">
        <v>194</v>
      </c>
      <c r="F3" s="897"/>
      <c r="G3" s="897"/>
      <c r="H3" s="196"/>
      <c r="I3" s="196"/>
      <c r="J3" s="196"/>
      <c r="K3" s="196"/>
      <c r="L3" s="196"/>
      <c r="M3" s="196"/>
      <c r="N3" s="96"/>
      <c r="O3" s="96"/>
      <c r="P3" s="96"/>
      <c r="Q3" s="96"/>
      <c r="R3" s="96"/>
      <c r="S3" s="116"/>
      <c r="T3" s="113"/>
      <c r="U3" s="113"/>
      <c r="V3" s="113"/>
      <c r="W3" s="459"/>
      <c r="X3" s="113"/>
      <c r="Y3" s="113"/>
      <c r="Z3" s="113"/>
      <c r="AA3" s="113"/>
      <c r="AB3" s="113"/>
      <c r="AC3" s="113"/>
      <c r="AD3" s="113"/>
      <c r="AE3" s="201" t="s">
        <v>419</v>
      </c>
      <c r="AF3" s="617">
        <v>45685</v>
      </c>
      <c r="AG3" s="54"/>
      <c r="AH3" s="54"/>
      <c r="AI3" s="54"/>
      <c r="AJ3" s="54"/>
      <c r="AK3" s="54"/>
      <c r="AL3" s="54"/>
      <c r="AM3" s="54"/>
      <c r="AN3" s="54"/>
      <c r="AO3" s="54"/>
      <c r="AP3" s="41"/>
      <c r="AQ3" s="41"/>
      <c r="AR3" s="41"/>
      <c r="AS3" s="23"/>
      <c r="AT3" s="41"/>
      <c r="AU3" s="41"/>
      <c r="AV3" s="54"/>
      <c r="AW3" s="54"/>
      <c r="AX3" s="54"/>
      <c r="AY3" s="54"/>
      <c r="AZ3" s="54"/>
      <c r="BA3" s="54"/>
      <c r="BB3" s="54"/>
      <c r="BC3" s="54"/>
      <c r="BD3" s="54"/>
      <c r="BE3" s="54"/>
      <c r="BF3" s="54"/>
      <c r="BG3" s="54"/>
      <c r="BH3" s="54"/>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row>
    <row r="4" spans="1:93" s="2" customFormat="1" ht="18.75" customHeight="1" thickBot="1" x14ac:dyDescent="0.35">
      <c r="A4" s="102"/>
      <c r="B4" s="96"/>
      <c r="C4" s="113"/>
      <c r="D4" s="96"/>
      <c r="E4" s="113"/>
      <c r="F4" s="113"/>
      <c r="G4" s="113"/>
      <c r="H4" s="877" t="s">
        <v>1082</v>
      </c>
      <c r="I4" s="878"/>
      <c r="J4" s="878"/>
      <c r="K4" s="878"/>
      <c r="L4" s="878"/>
      <c r="M4" s="878"/>
      <c r="N4" s="878"/>
      <c r="O4" s="878"/>
      <c r="P4" s="878"/>
      <c r="Q4" s="878"/>
      <c r="R4" s="879"/>
      <c r="S4" s="116"/>
      <c r="T4" s="113"/>
      <c r="U4" s="113"/>
      <c r="V4" s="113"/>
      <c r="W4" s="459"/>
      <c r="X4" s="113"/>
      <c r="Y4" s="113"/>
      <c r="Z4" s="113"/>
      <c r="AA4" s="113"/>
      <c r="AB4" s="113"/>
      <c r="AC4" s="113"/>
      <c r="AD4" s="113"/>
      <c r="AE4" s="200" t="s">
        <v>12</v>
      </c>
      <c r="AF4" s="198">
        <v>21</v>
      </c>
      <c r="AG4" s="54"/>
      <c r="AH4" s="54">
        <f>AF5-AF3</f>
        <v>21</v>
      </c>
      <c r="AI4" s="54"/>
      <c r="AJ4" s="54"/>
      <c r="AK4" s="54"/>
      <c r="AL4" s="54"/>
      <c r="AM4" s="54"/>
      <c r="AN4" s="54"/>
      <c r="AO4" s="54"/>
      <c r="AP4" s="41"/>
      <c r="AQ4" s="41"/>
      <c r="AR4" s="41"/>
      <c r="AS4" s="23"/>
      <c r="AT4" s="41"/>
      <c r="AU4" s="41"/>
      <c r="AV4" s="54"/>
      <c r="AW4" s="54"/>
      <c r="AX4" s="54"/>
      <c r="AY4" s="54"/>
      <c r="AZ4" s="54"/>
      <c r="BA4" s="54"/>
      <c r="BB4" s="54"/>
      <c r="BC4" s="54"/>
      <c r="BD4" s="54"/>
      <c r="BE4" s="54"/>
      <c r="BF4" s="54"/>
      <c r="BG4" s="54"/>
      <c r="BH4" s="54"/>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row>
    <row r="5" spans="1:93" s="2" customFormat="1" ht="18.75" customHeight="1" x14ac:dyDescent="0.3">
      <c r="A5" s="102"/>
      <c r="B5" s="862" t="s">
        <v>99</v>
      </c>
      <c r="C5" s="193"/>
      <c r="D5" s="190"/>
      <c r="E5" s="193"/>
      <c r="F5" s="190"/>
      <c r="G5" s="113"/>
      <c r="H5" s="880"/>
      <c r="I5" s="881"/>
      <c r="J5" s="881"/>
      <c r="K5" s="881"/>
      <c r="L5" s="881"/>
      <c r="M5" s="881"/>
      <c r="N5" s="881"/>
      <c r="O5" s="881"/>
      <c r="P5" s="881"/>
      <c r="Q5" s="881"/>
      <c r="R5" s="882"/>
      <c r="S5" s="116"/>
      <c r="T5" s="113"/>
      <c r="U5" s="113"/>
      <c r="V5" s="113"/>
      <c r="W5" s="459"/>
      <c r="X5" s="113"/>
      <c r="Y5" s="113"/>
      <c r="Z5" s="113"/>
      <c r="AA5" s="113"/>
      <c r="AB5" s="113"/>
      <c r="AC5" s="113"/>
      <c r="AD5" s="113"/>
      <c r="AE5" s="201" t="s">
        <v>420</v>
      </c>
      <c r="AF5" s="702">
        <v>45706</v>
      </c>
      <c r="AG5" s="23"/>
      <c r="AH5" s="23"/>
      <c r="AI5" s="23"/>
      <c r="AJ5" s="23"/>
      <c r="AK5" s="23"/>
      <c r="AL5" s="23"/>
      <c r="AM5" s="23"/>
      <c r="AN5" s="23"/>
      <c r="AO5" s="23"/>
      <c r="AP5" s="41"/>
      <c r="AQ5" s="41"/>
      <c r="AR5" s="41"/>
      <c r="AS5" s="23"/>
      <c r="AT5" s="41"/>
      <c r="AU5" s="41"/>
      <c r="AV5" s="23"/>
      <c r="AW5" s="23"/>
      <c r="AX5" s="23"/>
      <c r="AY5" s="23"/>
      <c r="AZ5" s="23"/>
      <c r="BA5" s="23"/>
      <c r="BB5" s="23"/>
      <c r="BC5" s="23"/>
      <c r="BD5" s="23"/>
      <c r="BE5" s="23"/>
      <c r="BF5" s="23"/>
      <c r="BG5" s="23"/>
      <c r="BH5" s="23"/>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row>
    <row r="6" spans="1:93" s="2" customFormat="1" ht="18.75" customHeight="1" thickBot="1" x14ac:dyDescent="0.3">
      <c r="A6" s="102"/>
      <c r="B6" s="863"/>
      <c r="C6" s="113"/>
      <c r="D6" s="96"/>
      <c r="E6" s="113"/>
      <c r="F6" s="113"/>
      <c r="G6" s="113"/>
      <c r="H6" s="880"/>
      <c r="I6" s="881"/>
      <c r="J6" s="881"/>
      <c r="K6" s="881"/>
      <c r="L6" s="881"/>
      <c r="M6" s="881"/>
      <c r="N6" s="881"/>
      <c r="O6" s="881"/>
      <c r="P6" s="881"/>
      <c r="Q6" s="881"/>
      <c r="R6" s="882"/>
      <c r="S6" s="116"/>
      <c r="T6" s="113"/>
      <c r="U6" s="113"/>
      <c r="V6" s="113"/>
      <c r="W6" s="459"/>
      <c r="X6" s="113"/>
      <c r="Y6" s="113"/>
      <c r="Z6" s="113"/>
      <c r="AA6" s="113"/>
      <c r="AB6" s="113"/>
      <c r="AC6" s="113"/>
      <c r="AD6" s="113"/>
      <c r="AE6" s="201" t="s">
        <v>15</v>
      </c>
      <c r="AF6" s="860" t="s">
        <v>1105</v>
      </c>
      <c r="AG6" s="23"/>
      <c r="AH6" s="23"/>
      <c r="AI6" s="23"/>
      <c r="AJ6" s="23"/>
      <c r="AK6" s="23"/>
      <c r="AL6" s="23"/>
      <c r="AM6" s="23"/>
      <c r="AN6" s="23"/>
      <c r="AO6" s="23"/>
      <c r="AP6" s="41"/>
      <c r="AQ6" s="41"/>
      <c r="AR6" s="41"/>
      <c r="AS6" s="23"/>
      <c r="AT6" s="41"/>
      <c r="AU6" s="41"/>
      <c r="AV6" s="23"/>
      <c r="AW6" s="23"/>
      <c r="AX6" s="23"/>
      <c r="AY6" s="23"/>
      <c r="AZ6" s="23"/>
      <c r="BA6" s="23"/>
      <c r="BB6" s="23"/>
      <c r="BC6" s="23"/>
      <c r="BD6" s="23"/>
      <c r="BE6" s="23"/>
      <c r="BF6" s="23"/>
      <c r="BG6" s="23"/>
      <c r="BH6" s="23"/>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row>
    <row r="7" spans="1:93" s="2" customFormat="1" ht="18.75" customHeight="1" thickBot="1" x14ac:dyDescent="0.3">
      <c r="A7" s="102"/>
      <c r="B7" s="863"/>
      <c r="C7" s="113"/>
      <c r="D7" s="96"/>
      <c r="E7" s="113"/>
      <c r="F7" s="113"/>
      <c r="G7" s="113"/>
      <c r="H7" s="880"/>
      <c r="I7" s="881"/>
      <c r="J7" s="881"/>
      <c r="K7" s="881"/>
      <c r="L7" s="881"/>
      <c r="M7" s="881"/>
      <c r="N7" s="881"/>
      <c r="O7" s="881"/>
      <c r="P7" s="881"/>
      <c r="Q7" s="881"/>
      <c r="R7" s="882"/>
      <c r="S7" s="116"/>
      <c r="T7" s="113"/>
      <c r="U7" s="113"/>
      <c r="V7" s="113"/>
      <c r="W7" s="459"/>
      <c r="X7" s="113"/>
      <c r="Y7" s="113"/>
      <c r="Z7" s="113"/>
      <c r="AA7" s="113"/>
      <c r="AB7" s="113"/>
      <c r="AC7" s="113"/>
      <c r="AD7" s="113"/>
      <c r="AE7" s="201" t="s">
        <v>727</v>
      </c>
      <c r="AF7" s="514">
        <f>INDEX($I$16:$I$46,MATCH($AF$8,O16:O46,1),1)</f>
        <v>30</v>
      </c>
      <c r="AG7" s="23"/>
      <c r="AH7" s="23"/>
      <c r="AI7" s="23"/>
      <c r="AJ7" s="23"/>
      <c r="AK7" s="23"/>
      <c r="AL7" s="23"/>
      <c r="AM7" s="23"/>
      <c r="AN7" s="23"/>
      <c r="AO7" s="23"/>
      <c r="AP7" s="41"/>
      <c r="AQ7" s="41"/>
      <c r="AR7" s="41"/>
      <c r="AS7" s="23"/>
      <c r="AT7" s="41"/>
      <c r="AU7" s="41"/>
      <c r="AV7" s="23"/>
      <c r="AW7" s="23"/>
      <c r="AX7" s="23"/>
      <c r="AY7" s="23"/>
      <c r="AZ7" s="23"/>
      <c r="BA7" s="23"/>
      <c r="BB7" s="23"/>
      <c r="BC7" s="23"/>
      <c r="BD7" s="23"/>
      <c r="BE7" s="23"/>
      <c r="BF7" s="23"/>
      <c r="BG7" s="23"/>
      <c r="BH7" s="23"/>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row>
    <row r="8" spans="1:93" s="2" customFormat="1" ht="18.75" customHeight="1" thickBot="1" x14ac:dyDescent="0.3">
      <c r="A8" s="102"/>
      <c r="B8" s="863"/>
      <c r="C8" s="113"/>
      <c r="D8" s="96"/>
      <c r="E8" s="113"/>
      <c r="F8" s="113"/>
      <c r="G8" s="113"/>
      <c r="H8" s="880"/>
      <c r="I8" s="881"/>
      <c r="J8" s="881"/>
      <c r="K8" s="881"/>
      <c r="L8" s="881"/>
      <c r="M8" s="881"/>
      <c r="N8" s="881"/>
      <c r="O8" s="881"/>
      <c r="P8" s="881"/>
      <c r="Q8" s="881"/>
      <c r="R8" s="882"/>
      <c r="S8" s="116"/>
      <c r="T8" s="113"/>
      <c r="U8" s="113"/>
      <c r="V8" s="113"/>
      <c r="W8" s="459"/>
      <c r="X8" s="113"/>
      <c r="Y8" s="113"/>
      <c r="Z8" s="113"/>
      <c r="AA8" s="113"/>
      <c r="AB8" s="113"/>
      <c r="AC8" s="113"/>
      <c r="AD8" s="113"/>
      <c r="AE8" s="201" t="s">
        <v>10</v>
      </c>
      <c r="AF8" s="591">
        <v>560576.43999999994</v>
      </c>
      <c r="AG8" s="23"/>
      <c r="AH8" s="35">
        <f>SUM(AH16:AH25)</f>
        <v>0</v>
      </c>
      <c r="AI8" s="23"/>
      <c r="AJ8" s="23"/>
      <c r="AK8" s="23"/>
      <c r="AL8" s="23"/>
      <c r="AM8" s="23"/>
      <c r="AN8" s="23"/>
      <c r="AO8" s="23"/>
      <c r="AP8" s="41"/>
      <c r="AQ8" s="41"/>
      <c r="AR8" s="41"/>
      <c r="AS8" s="23"/>
      <c r="AT8" s="41"/>
      <c r="AU8" s="41"/>
      <c r="AV8" s="23"/>
      <c r="AW8" s="23"/>
      <c r="AX8" s="23"/>
      <c r="AY8" s="23"/>
      <c r="AZ8" s="23"/>
      <c r="BA8" s="23"/>
      <c r="BB8" s="23"/>
      <c r="BC8" s="23"/>
      <c r="BD8" s="23"/>
      <c r="BE8" s="23"/>
      <c r="BF8" s="23"/>
      <c r="BG8" s="23"/>
      <c r="BH8" s="23"/>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row>
    <row r="9" spans="1:93" s="2" customFormat="1" ht="18.75" customHeight="1" thickBot="1" x14ac:dyDescent="0.3">
      <c r="A9" s="102"/>
      <c r="B9" s="863"/>
      <c r="C9" s="113"/>
      <c r="D9" s="96"/>
      <c r="E9" s="113"/>
      <c r="F9" s="113"/>
      <c r="G9" s="113"/>
      <c r="H9" s="883"/>
      <c r="I9" s="884"/>
      <c r="J9" s="884"/>
      <c r="K9" s="884"/>
      <c r="L9" s="884"/>
      <c r="M9" s="884"/>
      <c r="N9" s="884"/>
      <c r="O9" s="884"/>
      <c r="P9" s="884"/>
      <c r="Q9" s="884"/>
      <c r="R9" s="885"/>
      <c r="S9" s="116"/>
      <c r="T9" s="113"/>
      <c r="U9" s="113"/>
      <c r="V9" s="113"/>
      <c r="W9" s="459"/>
      <c r="X9" s="113"/>
      <c r="Y9" s="113"/>
      <c r="Z9" s="113"/>
      <c r="AA9" s="113"/>
      <c r="AB9" s="113"/>
      <c r="AC9" s="113"/>
      <c r="AD9" s="113"/>
      <c r="AE9" s="202" t="s">
        <v>11</v>
      </c>
      <c r="AF9" s="592">
        <f>INDEX($O$16:$O$46,MATCH($AF$7,$I$16:$I$46,1)+1,1)</f>
        <v>575000</v>
      </c>
      <c r="AG9" s="23"/>
      <c r="AH9" s="23"/>
      <c r="AI9" s="23"/>
      <c r="AJ9" s="23"/>
      <c r="AK9" s="23"/>
      <c r="AL9" s="23"/>
      <c r="AM9" s="23"/>
      <c r="AN9" s="23"/>
      <c r="AO9" s="23"/>
      <c r="AP9" s="41"/>
      <c r="AQ9" s="41"/>
      <c r="AR9" s="41"/>
      <c r="AS9" s="23"/>
      <c r="AT9" s="41"/>
      <c r="AU9" s="41"/>
      <c r="AV9" s="23"/>
      <c r="AW9" s="23"/>
      <c r="AX9" s="23"/>
      <c r="AY9" s="23"/>
      <c r="AZ9" s="23"/>
      <c r="BA9" s="23"/>
      <c r="BB9" s="23"/>
      <c r="BC9" s="23"/>
      <c r="BD9" s="23"/>
      <c r="BE9" s="23"/>
      <c r="BF9" s="23"/>
      <c r="BG9" s="23"/>
      <c r="BH9" s="23"/>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row>
    <row r="10" spans="1:93" s="2" customFormat="1" ht="18.75" customHeight="1" thickBot="1" x14ac:dyDescent="0.3">
      <c r="A10" s="102"/>
      <c r="B10" s="863"/>
      <c r="C10" s="113"/>
      <c r="D10" s="96"/>
      <c r="E10" s="113"/>
      <c r="F10" s="113"/>
      <c r="G10" s="113"/>
      <c r="H10" s="113"/>
      <c r="I10" s="113"/>
      <c r="J10" s="113"/>
      <c r="K10" s="113"/>
      <c r="L10" s="113"/>
      <c r="M10" s="113"/>
      <c r="N10" s="460"/>
      <c r="O10" s="460"/>
      <c r="P10" s="460"/>
      <c r="Q10" s="460"/>
      <c r="R10" s="460"/>
      <c r="S10" s="116"/>
      <c r="T10" s="113"/>
      <c r="U10" s="113"/>
      <c r="V10" s="113"/>
      <c r="W10" s="459"/>
      <c r="X10" s="113"/>
      <c r="Y10" s="113"/>
      <c r="Z10" s="113"/>
      <c r="AA10" s="113"/>
      <c r="AB10" s="113"/>
      <c r="AC10" s="113"/>
      <c r="AD10" s="113"/>
      <c r="AE10" s="201" t="s">
        <v>9</v>
      </c>
      <c r="AF10" s="32">
        <v>2679</v>
      </c>
      <c r="AG10" s="23"/>
      <c r="AH10" s="23"/>
      <c r="AI10" s="23"/>
      <c r="AJ10" s="23"/>
      <c r="AK10" s="23"/>
      <c r="AL10" s="23"/>
      <c r="AM10" s="23"/>
      <c r="AN10" s="23"/>
      <c r="AO10" s="23"/>
      <c r="AP10" s="41"/>
      <c r="AQ10" s="41"/>
      <c r="AR10" s="41"/>
      <c r="AS10" s="23"/>
      <c r="AT10" s="41"/>
      <c r="AU10" s="41"/>
      <c r="AV10" s="23"/>
      <c r="AW10" s="23"/>
      <c r="AX10" s="23"/>
      <c r="AY10" s="23"/>
      <c r="AZ10" s="23"/>
      <c r="BA10" s="23"/>
      <c r="BB10" s="23"/>
      <c r="BC10" s="23"/>
      <c r="BD10" s="23"/>
      <c r="BE10" s="23"/>
      <c r="BF10" s="23"/>
      <c r="BG10" s="23"/>
      <c r="BH10" s="23"/>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row>
    <row r="11" spans="1:93" s="2" customFormat="1" ht="18.75" customHeight="1" x14ac:dyDescent="0.3">
      <c r="A11" s="102"/>
      <c r="B11" s="863"/>
      <c r="C11" s="113"/>
      <c r="D11" s="96"/>
      <c r="E11" s="113"/>
      <c r="F11" s="113"/>
      <c r="G11" s="113"/>
      <c r="H11" s="886" t="s">
        <v>720</v>
      </c>
      <c r="I11" s="887"/>
      <c r="J11" s="887"/>
      <c r="K11" s="887"/>
      <c r="L11" s="887"/>
      <c r="M11" s="887"/>
      <c r="N11" s="887"/>
      <c r="O11" s="887"/>
      <c r="P11" s="887"/>
      <c r="Q11" s="887"/>
      <c r="R11" s="888"/>
      <c r="S11" s="116"/>
      <c r="T11" s="113"/>
      <c r="U11" s="113"/>
      <c r="V11" s="113"/>
      <c r="W11" s="459"/>
      <c r="X11" s="113"/>
      <c r="Y11" s="113"/>
      <c r="Z11" s="113"/>
      <c r="AA11" s="113"/>
      <c r="AB11" s="113"/>
      <c r="AC11" s="113"/>
      <c r="AD11" s="113"/>
      <c r="AE11" s="201" t="s">
        <v>42</v>
      </c>
      <c r="AF11" s="34">
        <f>AF8/AF10</f>
        <v>209.24839119074278</v>
      </c>
      <c r="AG11" s="23"/>
      <c r="AH11" s="23"/>
      <c r="AI11" s="23"/>
      <c r="AJ11" s="23"/>
      <c r="AK11" s="23"/>
      <c r="AL11" s="23"/>
      <c r="AM11" s="23"/>
      <c r="AN11" s="23"/>
      <c r="AO11" s="23"/>
      <c r="AP11" s="41"/>
      <c r="AQ11" s="41"/>
      <c r="AR11" s="41"/>
      <c r="AS11" s="23"/>
      <c r="AT11" s="41"/>
      <c r="AU11" s="41"/>
      <c r="AV11" s="23"/>
      <c r="AW11" s="23"/>
      <c r="AX11" s="23"/>
      <c r="AY11" s="23"/>
      <c r="AZ11" s="23"/>
      <c r="BA11" s="23"/>
      <c r="BB11" s="23"/>
      <c r="BC11" s="23"/>
      <c r="BD11" s="23"/>
      <c r="BE11" s="23"/>
      <c r="BF11" s="23"/>
      <c r="BG11" s="23"/>
      <c r="BH11" s="23"/>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row>
    <row r="12" spans="1:93" s="2" customFormat="1" ht="18.75" customHeight="1" thickBot="1" x14ac:dyDescent="0.35">
      <c r="A12" s="102"/>
      <c r="B12" s="863"/>
      <c r="C12" s="113"/>
      <c r="D12" s="96"/>
      <c r="E12" s="113"/>
      <c r="F12" s="113"/>
      <c r="G12" s="113"/>
      <c r="H12" s="889" t="s">
        <v>73</v>
      </c>
      <c r="I12" s="890"/>
      <c r="J12" s="890"/>
      <c r="K12" s="890"/>
      <c r="L12" s="890"/>
      <c r="M12" s="890"/>
      <c r="N12" s="890"/>
      <c r="O12" s="890"/>
      <c r="P12" s="890"/>
      <c r="Q12" s="890"/>
      <c r="R12" s="891"/>
      <c r="S12" s="116"/>
      <c r="T12" s="113"/>
      <c r="U12" s="113"/>
      <c r="V12" s="113"/>
      <c r="W12" s="459"/>
      <c r="X12" s="113"/>
      <c r="Y12" s="113"/>
      <c r="Z12" s="113"/>
      <c r="AA12" s="113"/>
      <c r="AB12" s="113"/>
      <c r="AC12" s="113"/>
      <c r="AD12" s="113"/>
      <c r="AE12" s="200" t="s">
        <v>32</v>
      </c>
      <c r="AF12" s="38">
        <f>SUM([1]Einkaufsführer!$K$5:$T$5)</f>
        <v>0</v>
      </c>
      <c r="AG12" s="23"/>
      <c r="AH12" s="23"/>
      <c r="AI12" s="23"/>
      <c r="AJ12" s="23"/>
      <c r="AK12" s="23"/>
      <c r="AL12" s="23"/>
      <c r="AM12" s="23"/>
      <c r="AN12" s="23"/>
      <c r="AO12" s="23"/>
      <c r="AP12" s="41"/>
      <c r="AQ12" s="41"/>
      <c r="AR12" s="41"/>
      <c r="AS12" s="23"/>
      <c r="AT12" s="41"/>
      <c r="AU12" s="41"/>
      <c r="AV12" s="23"/>
      <c r="AW12" s="23"/>
      <c r="AX12" s="23"/>
      <c r="AY12" s="23"/>
      <c r="AZ12" s="23"/>
      <c r="BA12" s="23"/>
      <c r="BB12" s="23"/>
      <c r="BC12" s="23"/>
      <c r="BD12" s="23"/>
      <c r="BE12" s="23"/>
      <c r="BF12" s="23"/>
      <c r="BG12" s="23"/>
      <c r="BH12" s="23"/>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row>
    <row r="13" spans="1:93" s="2" customFormat="1" ht="18.75" customHeight="1" thickBot="1" x14ac:dyDescent="0.35">
      <c r="A13" s="102"/>
      <c r="B13" s="863"/>
      <c r="C13" s="113"/>
      <c r="D13" s="96"/>
      <c r="E13" s="113"/>
      <c r="F13" s="113"/>
      <c r="G13" s="113"/>
      <c r="H13" s="113"/>
      <c r="I13" s="113"/>
      <c r="J13" s="113"/>
      <c r="K13" s="113"/>
      <c r="L13" s="113"/>
      <c r="M13" s="113"/>
      <c r="N13" s="113"/>
      <c r="O13" s="113"/>
      <c r="P13" s="113"/>
      <c r="Q13" s="113"/>
      <c r="R13" s="113"/>
      <c r="S13" s="116"/>
      <c r="T13" s="113"/>
      <c r="U13" s="113"/>
      <c r="V13" s="113"/>
      <c r="W13" s="459"/>
      <c r="X13" s="113"/>
      <c r="Y13" s="113"/>
      <c r="Z13" s="113"/>
      <c r="AA13" s="113"/>
      <c r="AB13" s="113"/>
      <c r="AC13" s="113"/>
      <c r="AD13" s="113"/>
      <c r="AE13" s="203" t="s">
        <v>19</v>
      </c>
      <c r="AF13" s="131"/>
      <c r="AG13" s="23"/>
      <c r="AH13" s="23"/>
      <c r="AI13" s="23"/>
      <c r="AJ13" s="23"/>
      <c r="AK13" s="23"/>
      <c r="AL13" s="23"/>
      <c r="AM13" s="23"/>
      <c r="AN13" s="23"/>
      <c r="AO13" s="23"/>
      <c r="AP13" s="41"/>
      <c r="AQ13" s="41"/>
      <c r="AR13" s="41"/>
      <c r="AS13" s="23"/>
      <c r="AT13" s="41"/>
      <c r="AU13" s="41"/>
      <c r="AV13" s="23"/>
      <c r="AW13" s="23"/>
      <c r="AX13" s="23"/>
      <c r="AY13" s="23"/>
      <c r="AZ13" s="23"/>
      <c r="BA13" s="23"/>
      <c r="BB13" s="23"/>
      <c r="BC13" s="23"/>
      <c r="BD13" s="23"/>
      <c r="BE13" s="23"/>
      <c r="BF13" s="23"/>
      <c r="BG13" s="23"/>
      <c r="BH13" s="23"/>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row>
    <row r="14" spans="1:93" s="2" customFormat="1" ht="18.75" customHeight="1" thickBot="1" x14ac:dyDescent="0.35">
      <c r="A14" s="102"/>
      <c r="B14" s="863"/>
      <c r="C14" s="113"/>
      <c r="D14" s="96"/>
      <c r="E14" s="113"/>
      <c r="F14" s="113"/>
      <c r="G14" s="113"/>
      <c r="H14" s="893" t="s">
        <v>721</v>
      </c>
      <c r="I14" s="894"/>
      <c r="J14" s="894"/>
      <c r="K14" s="894"/>
      <c r="L14" s="894"/>
      <c r="M14" s="894"/>
      <c r="N14" s="894"/>
      <c r="O14" s="894"/>
      <c r="P14" s="895" t="s">
        <v>722</v>
      </c>
      <c r="Q14" s="895"/>
      <c r="R14" s="896"/>
      <c r="S14" s="116"/>
      <c r="T14" s="113"/>
      <c r="U14" s="113"/>
      <c r="V14" s="113"/>
      <c r="W14" s="459"/>
      <c r="X14" s="113"/>
      <c r="Y14" s="113"/>
      <c r="Z14" s="113"/>
      <c r="AA14" s="113"/>
      <c r="AB14" s="113"/>
      <c r="AC14" s="113"/>
      <c r="AD14" s="113"/>
      <c r="AE14" s="23"/>
      <c r="AF14" s="23"/>
      <c r="AG14" s="23"/>
      <c r="AH14" s="23"/>
      <c r="AI14" s="23"/>
      <c r="AJ14" s="23"/>
      <c r="AK14" s="23"/>
      <c r="AL14" s="23"/>
      <c r="AM14" s="23"/>
      <c r="AN14" s="23"/>
      <c r="AO14" s="23"/>
      <c r="AP14" s="41"/>
      <c r="AQ14" s="41"/>
      <c r="AR14" s="41"/>
      <c r="AS14" s="23"/>
      <c r="AT14" s="41"/>
      <c r="AU14" s="41"/>
      <c r="AV14" s="23"/>
      <c r="AW14" s="23"/>
      <c r="AX14" s="23"/>
      <c r="AY14" s="23"/>
      <c r="AZ14" s="23"/>
      <c r="BA14" s="23"/>
      <c r="BB14" s="23"/>
      <c r="BC14" s="23"/>
      <c r="BD14" s="23"/>
      <c r="BE14" s="23"/>
      <c r="BF14" s="23"/>
      <c r="BG14" s="23"/>
      <c r="BH14" s="23"/>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row>
    <row r="15" spans="1:93" s="2" customFormat="1" ht="18.75" customHeight="1" thickBot="1" x14ac:dyDescent="0.3">
      <c r="A15" s="102"/>
      <c r="B15" s="863"/>
      <c r="C15" s="113"/>
      <c r="D15" s="96"/>
      <c r="E15" s="113"/>
      <c r="F15" s="113"/>
      <c r="G15" s="113"/>
      <c r="H15" s="508" t="s">
        <v>397</v>
      </c>
      <c r="I15" s="509" t="s">
        <v>726</v>
      </c>
      <c r="J15" s="895" t="s">
        <v>725</v>
      </c>
      <c r="K15" s="895"/>
      <c r="L15" s="895"/>
      <c r="M15" s="895"/>
      <c r="N15" s="510"/>
      <c r="O15" s="509" t="s">
        <v>724</v>
      </c>
      <c r="P15" s="513" t="s">
        <v>723</v>
      </c>
      <c r="Q15" s="511" t="s">
        <v>587</v>
      </c>
      <c r="R15" s="512" t="s">
        <v>588</v>
      </c>
      <c r="S15" s="116"/>
      <c r="T15" s="113"/>
      <c r="U15" s="113"/>
      <c r="V15" s="113"/>
      <c r="W15" s="459"/>
      <c r="X15" s="113"/>
      <c r="Y15" s="113"/>
      <c r="Z15" s="113"/>
      <c r="AA15" s="113"/>
      <c r="AB15" s="113"/>
      <c r="AC15" s="113"/>
      <c r="AD15" s="113"/>
      <c r="AE15" s="204" t="s">
        <v>418</v>
      </c>
      <c r="AF15" s="514">
        <f>AF10-AF12</f>
        <v>2679</v>
      </c>
      <c r="AG15" s="23"/>
      <c r="AH15" s="23"/>
      <c r="AI15" s="23"/>
      <c r="AJ15" s="23"/>
      <c r="AK15" s="23"/>
      <c r="AL15" s="23"/>
      <c r="AM15" s="23"/>
      <c r="AN15" s="23"/>
      <c r="AO15" s="23"/>
      <c r="AP15" s="41"/>
      <c r="AQ15" s="41"/>
      <c r="AR15" s="41"/>
      <c r="AS15" s="23"/>
      <c r="AT15" s="41"/>
      <c r="AU15" s="41"/>
      <c r="AV15" s="23"/>
      <c r="AW15" s="23"/>
      <c r="AX15" s="23"/>
      <c r="AY15" s="23"/>
      <c r="AZ15" s="23"/>
      <c r="BA15" s="23"/>
      <c r="BB15" s="23"/>
      <c r="BC15" s="23"/>
      <c r="BD15" s="23"/>
      <c r="BE15" s="23"/>
      <c r="BF15" s="23"/>
      <c r="BG15" s="23"/>
      <c r="BH15" s="23"/>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row>
    <row r="16" spans="1:93" s="2" customFormat="1" ht="18.75" customHeight="1" x14ac:dyDescent="0.25">
      <c r="A16" s="102"/>
      <c r="B16" s="863"/>
      <c r="C16" s="113"/>
      <c r="D16" s="96"/>
      <c r="E16" s="113"/>
      <c r="F16" s="113"/>
      <c r="G16" s="113"/>
      <c r="H16" s="572" t="str">
        <f t="shared" ref="H16:H42" si="0">IF(O16&lt;$AF$8,"Achieved",IF(J16&lt;&gt;"n.a.","Disclosed","Secret"))</f>
        <v>Achieved</v>
      </c>
      <c r="I16" s="573">
        <v>1</v>
      </c>
      <c r="J16" s="574" t="s">
        <v>747</v>
      </c>
      <c r="K16" s="575"/>
      <c r="L16" s="575"/>
      <c r="M16" s="575"/>
      <c r="N16" s="575"/>
      <c r="O16" s="576">
        <v>25000</v>
      </c>
      <c r="P16" s="577" t="str">
        <f t="shared" ref="P16:P46" si="1">"on day "&amp;INDEX($G$51:$G$72,MATCH(O16,$I$51:$I$72,1),1)+1</f>
        <v>on day 1</v>
      </c>
      <c r="Q16" s="577" t="str">
        <f t="shared" ref="Q16:Q46" si="2">IF(O16&lt;$AF$8,"",IF(INDEX($G$51:$G$72,MATCH(O16,$J$51:$J$72,1),1)+1&gt;21,"missed","on day "&amp;INDEX($G$51:$G$72,MATCH(O16,$J$51:$J$72,1),1)+1))</f>
        <v/>
      </c>
      <c r="R16" s="578" t="str">
        <f t="shared" ref="R16:R46" si="3">IF(O16&lt;$AF$8,"",IF(INDEX($G$51:$G$72,MATCH(O16,$K$51:$K$72,1),1)+1&gt;21,"missed","on day "&amp;INDEX($G$51:$G$72,MATCH(O16,$K$51:$K$72,1),1)+1))</f>
        <v/>
      </c>
      <c r="S16" s="116"/>
      <c r="T16" s="113"/>
      <c r="U16" s="113"/>
      <c r="V16" s="113"/>
      <c r="W16" s="459"/>
      <c r="X16" s="113"/>
      <c r="Y16" s="113"/>
      <c r="Z16" s="113"/>
      <c r="AA16" s="113"/>
      <c r="AB16" s="113"/>
      <c r="AC16" s="113"/>
      <c r="AD16" s="113"/>
      <c r="AE16" s="204" t="str">
        <f>'Shopping guide'!$K$3</f>
        <v>Curse of the Desert</v>
      </c>
      <c r="AF16" s="30"/>
      <c r="AG16" s="23"/>
      <c r="AH16" s="35">
        <f>AF16*'Shopping guide'!K7</f>
        <v>0</v>
      </c>
      <c r="AI16" s="23"/>
      <c r="AJ16" s="23"/>
      <c r="AK16" s="23"/>
      <c r="AL16" s="23"/>
      <c r="AM16" s="23"/>
      <c r="AN16" s="23"/>
      <c r="AO16" s="23"/>
      <c r="AP16" s="41"/>
      <c r="AQ16" s="41"/>
      <c r="AR16" s="41"/>
      <c r="AS16" s="23"/>
      <c r="AT16" s="41"/>
      <c r="AU16" s="41"/>
      <c r="AV16" s="23"/>
      <c r="AW16" s="23"/>
      <c r="AX16" s="23"/>
      <c r="AY16" s="23"/>
      <c r="AZ16" s="23"/>
      <c r="BA16" s="23"/>
      <c r="BB16" s="23"/>
      <c r="BC16" s="23"/>
      <c r="BD16" s="23"/>
      <c r="BE16" s="23"/>
      <c r="BF16" s="23"/>
      <c r="BG16" s="23"/>
      <c r="BH16" s="23"/>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row>
    <row r="17" spans="1:93" s="2" customFormat="1" ht="18.75" customHeight="1" thickBot="1" x14ac:dyDescent="0.35">
      <c r="A17" s="102"/>
      <c r="B17" s="864"/>
      <c r="C17" s="113"/>
      <c r="D17" s="96"/>
      <c r="E17" s="192" t="s">
        <v>692</v>
      </c>
      <c r="F17" s="192" t="s">
        <v>100</v>
      </c>
      <c r="G17" s="113"/>
      <c r="H17" s="579" t="str">
        <f t="shared" si="0"/>
        <v>Achieved</v>
      </c>
      <c r="I17" s="580">
        <f>I16+1</f>
        <v>2</v>
      </c>
      <c r="J17" s="581" t="s">
        <v>746</v>
      </c>
      <c r="K17" s="582"/>
      <c r="L17" s="582"/>
      <c r="M17" s="582"/>
      <c r="N17" s="582"/>
      <c r="O17" s="583">
        <f>O16+5000</f>
        <v>30000</v>
      </c>
      <c r="P17" s="577" t="str">
        <f t="shared" si="1"/>
        <v>on day 1</v>
      </c>
      <c r="Q17" s="577" t="str">
        <f t="shared" si="2"/>
        <v/>
      </c>
      <c r="R17" s="578" t="str">
        <f t="shared" si="3"/>
        <v/>
      </c>
      <c r="S17" s="116"/>
      <c r="T17" s="113"/>
      <c r="U17" s="113"/>
      <c r="V17" s="113"/>
      <c r="W17" s="459"/>
      <c r="X17" s="113"/>
      <c r="Y17" s="113"/>
      <c r="Z17" s="113"/>
      <c r="AA17" s="113"/>
      <c r="AB17" s="113"/>
      <c r="AC17" s="113"/>
      <c r="AD17" s="113"/>
      <c r="AE17" s="204" t="str">
        <f>'Shopping guide'!$L$3</f>
        <v>Chalices of Power</v>
      </c>
      <c r="AF17" s="199"/>
      <c r="AG17" s="23"/>
      <c r="AH17" s="35">
        <f>AF17*'Shopping guide'!L7</f>
        <v>0</v>
      </c>
      <c r="AI17" s="23"/>
      <c r="AJ17" s="23"/>
      <c r="AK17" s="23"/>
      <c r="AL17" s="23"/>
      <c r="AM17" s="23"/>
      <c r="AN17" s="23"/>
      <c r="AO17" s="23"/>
      <c r="AP17" s="41"/>
      <c r="AQ17" s="41"/>
      <c r="AR17" s="41"/>
      <c r="AS17" s="23"/>
      <c r="AT17" s="41"/>
      <c r="AU17" s="41"/>
      <c r="AV17" s="23"/>
      <c r="AW17" s="23"/>
      <c r="AX17" s="23"/>
      <c r="AY17" s="23"/>
      <c r="AZ17" s="23"/>
      <c r="BA17" s="23"/>
      <c r="BB17" s="23"/>
      <c r="BC17" s="23"/>
      <c r="BD17" s="23"/>
      <c r="BE17" s="23"/>
      <c r="BF17" s="23"/>
      <c r="BG17" s="23"/>
      <c r="BH17" s="23"/>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row>
    <row r="18" spans="1:93" s="2" customFormat="1" ht="18.75" customHeight="1" x14ac:dyDescent="0.3">
      <c r="A18" s="102"/>
      <c r="B18" s="96"/>
      <c r="C18" s="96"/>
      <c r="D18" s="191" t="s">
        <v>574</v>
      </c>
      <c r="E18" s="191" t="s">
        <v>441</v>
      </c>
      <c r="F18" s="620" t="s">
        <v>440</v>
      </c>
      <c r="G18" s="113"/>
      <c r="H18" s="579" t="str">
        <f t="shared" si="0"/>
        <v>Achieved</v>
      </c>
      <c r="I18" s="580">
        <f t="shared" ref="I18:I25" si="4">I17+1</f>
        <v>3</v>
      </c>
      <c r="J18" s="581" t="s">
        <v>745</v>
      </c>
      <c r="K18" s="582"/>
      <c r="L18" s="582"/>
      <c r="M18" s="582"/>
      <c r="N18" s="582"/>
      <c r="O18" s="583">
        <f t="shared" ref="O18:O24" si="5">O17+10000</f>
        <v>40000</v>
      </c>
      <c r="P18" s="577" t="str">
        <f t="shared" si="1"/>
        <v>on day 1</v>
      </c>
      <c r="Q18" s="577" t="str">
        <f t="shared" si="2"/>
        <v/>
      </c>
      <c r="R18" s="578" t="str">
        <f t="shared" si="3"/>
        <v/>
      </c>
      <c r="S18" s="116"/>
      <c r="T18" s="113"/>
      <c r="U18" s="113"/>
      <c r="V18" s="113"/>
      <c r="W18" s="459"/>
      <c r="X18" s="113"/>
      <c r="Y18" s="113"/>
      <c r="Z18" s="113"/>
      <c r="AA18" s="113"/>
      <c r="AB18" s="96"/>
      <c r="AC18" s="96"/>
      <c r="AD18" s="96"/>
      <c r="AE18" s="204" t="str">
        <f>'Shopping guide'!$M$3</f>
        <v>Endurium</v>
      </c>
      <c r="AF18" s="199"/>
      <c r="AG18" s="23"/>
      <c r="AH18" s="35">
        <f>AF18*'Shopping guide'!M7</f>
        <v>0</v>
      </c>
      <c r="AI18" s="23"/>
      <c r="AJ18" s="23"/>
      <c r="AK18" s="23"/>
      <c r="AL18" s="23"/>
      <c r="AM18" s="23"/>
      <c r="AN18" s="23"/>
      <c r="AO18" s="23"/>
      <c r="AP18" s="41"/>
      <c r="AQ18" s="41"/>
      <c r="AR18" s="41"/>
      <c r="AS18" s="23"/>
      <c r="AT18" s="41"/>
      <c r="AU18" s="41"/>
      <c r="AV18" s="23"/>
      <c r="AW18" s="23"/>
      <c r="AX18" s="23"/>
      <c r="AY18" s="23"/>
      <c r="AZ18" s="23"/>
      <c r="BA18" s="23"/>
      <c r="BB18" s="23"/>
      <c r="BC18" s="23"/>
      <c r="BD18" s="23"/>
      <c r="BE18" s="23"/>
      <c r="BF18" s="23"/>
      <c r="BG18" s="23"/>
      <c r="BH18" s="23"/>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row>
    <row r="19" spans="1:93" s="2" customFormat="1" ht="18.75" customHeight="1" x14ac:dyDescent="0.3">
      <c r="A19" s="102"/>
      <c r="B19" s="96"/>
      <c r="C19" s="96"/>
      <c r="D19" s="571" t="s">
        <v>410</v>
      </c>
      <c r="E19" s="191" t="s">
        <v>442</v>
      </c>
      <c r="F19" s="571" t="s">
        <v>68</v>
      </c>
      <c r="G19" s="113"/>
      <c r="H19" s="579" t="str">
        <f t="shared" si="0"/>
        <v>Achieved</v>
      </c>
      <c r="I19" s="580">
        <f t="shared" si="4"/>
        <v>4</v>
      </c>
      <c r="J19" s="581" t="s">
        <v>744</v>
      </c>
      <c r="K19" s="582"/>
      <c r="L19" s="582"/>
      <c r="M19" s="582"/>
      <c r="N19" s="582"/>
      <c r="O19" s="583">
        <f t="shared" si="5"/>
        <v>50000</v>
      </c>
      <c r="P19" s="577" t="str">
        <f t="shared" si="1"/>
        <v>on day 1</v>
      </c>
      <c r="Q19" s="577" t="str">
        <f t="shared" si="2"/>
        <v/>
      </c>
      <c r="R19" s="578" t="str">
        <f t="shared" si="3"/>
        <v/>
      </c>
      <c r="S19" s="116"/>
      <c r="T19" s="113"/>
      <c r="U19" s="96"/>
      <c r="V19" s="96"/>
      <c r="W19" s="96"/>
      <c r="X19" s="96"/>
      <c r="Y19" s="96"/>
      <c r="Z19" s="96"/>
      <c r="AA19" s="96"/>
      <c r="AB19" s="96"/>
      <c r="AC19" s="96"/>
      <c r="AD19" s="96"/>
      <c r="AE19" s="204" t="str">
        <f>'Shopping guide'!$N$3</f>
        <v>Titanium</v>
      </c>
      <c r="AF19" s="199"/>
      <c r="AG19" s="23"/>
      <c r="AH19" s="35">
        <f>AF19*'Shopping guide'!N5</f>
        <v>0</v>
      </c>
      <c r="AI19" s="23"/>
      <c r="AJ19" s="23"/>
      <c r="AK19" s="23"/>
      <c r="AL19" s="23"/>
      <c r="AM19" s="23"/>
      <c r="AN19" s="23"/>
      <c r="AO19" s="23"/>
      <c r="AP19" s="41"/>
      <c r="AQ19" s="41"/>
      <c r="AR19" s="41"/>
      <c r="AS19" s="23"/>
      <c r="AT19" s="41"/>
      <c r="AU19" s="41"/>
      <c r="AV19" s="23"/>
      <c r="AW19" s="23"/>
      <c r="AX19" s="23"/>
      <c r="AY19" s="23"/>
      <c r="AZ19" s="23"/>
      <c r="BA19" s="23"/>
      <c r="BB19" s="23"/>
      <c r="BC19" s="23"/>
      <c r="BD19" s="23"/>
      <c r="BE19" s="23"/>
      <c r="BF19" s="23"/>
      <c r="BG19" s="23"/>
      <c r="BH19" s="23"/>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row>
    <row r="20" spans="1:93" s="2" customFormat="1" ht="18.75" customHeight="1" collapsed="1" thickBot="1" x14ac:dyDescent="0.3">
      <c r="A20" s="102"/>
      <c r="B20" s="96"/>
      <c r="C20" s="113"/>
      <c r="D20" s="96"/>
      <c r="E20" s="96"/>
      <c r="F20" s="113"/>
      <c r="G20" s="113"/>
      <c r="H20" s="579" t="str">
        <f t="shared" si="0"/>
        <v>Achieved</v>
      </c>
      <c r="I20" s="580">
        <f t="shared" si="4"/>
        <v>5</v>
      </c>
      <c r="J20" s="581" t="s">
        <v>411</v>
      </c>
      <c r="K20" s="582"/>
      <c r="L20" s="582"/>
      <c r="M20" s="582"/>
      <c r="N20" s="582"/>
      <c r="O20" s="583">
        <f t="shared" si="5"/>
        <v>60000</v>
      </c>
      <c r="P20" s="577" t="str">
        <f t="shared" si="1"/>
        <v>on day 1</v>
      </c>
      <c r="Q20" s="577" t="str">
        <f t="shared" si="2"/>
        <v/>
      </c>
      <c r="R20" s="578" t="str">
        <f t="shared" si="3"/>
        <v/>
      </c>
      <c r="S20" s="116"/>
      <c r="T20" s="113"/>
      <c r="U20" s="113"/>
      <c r="V20" s="113"/>
      <c r="W20" s="96"/>
      <c r="X20" s="96"/>
      <c r="Y20" s="96"/>
      <c r="Z20" s="96"/>
      <c r="AA20" s="96"/>
      <c r="AB20" s="96"/>
      <c r="AC20" s="96"/>
      <c r="AD20" s="96"/>
      <c r="AE20" s="204">
        <f>'Shopping guide'!$O$3</f>
        <v>0</v>
      </c>
      <c r="AF20" s="199"/>
      <c r="AG20" s="23"/>
      <c r="AH20" s="35"/>
      <c r="AI20" s="23"/>
      <c r="AJ20" s="23"/>
      <c r="AK20" s="23"/>
      <c r="AL20" s="23"/>
      <c r="AM20" s="23"/>
      <c r="AN20" s="23"/>
      <c r="AO20" s="23"/>
      <c r="AP20" s="41"/>
      <c r="AQ20" s="41"/>
      <c r="AR20" s="41"/>
      <c r="AS20" s="23"/>
      <c r="AT20" s="41"/>
      <c r="AU20" s="41"/>
      <c r="AV20" s="23"/>
      <c r="AW20" s="23"/>
      <c r="AX20" s="23"/>
      <c r="AY20" s="23"/>
      <c r="AZ20" s="23"/>
      <c r="BA20" s="23"/>
      <c r="BB20" s="23"/>
      <c r="BC20" s="23"/>
      <c r="BD20" s="23"/>
      <c r="BE20" s="23"/>
      <c r="BF20" s="23"/>
      <c r="BG20" s="23"/>
      <c r="BH20" s="23"/>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row>
    <row r="21" spans="1:93" s="2" customFormat="1" ht="18.75" customHeight="1" x14ac:dyDescent="0.25">
      <c r="A21" s="102"/>
      <c r="B21" s="862" t="str">
        <f>"Final
status: 
"&amp;TEXT(AF5,"TT.MM.JJJJ")&amp;"
"&amp;AF6</f>
        <v>Final
status: 
18.02.2025
18:00</v>
      </c>
      <c r="C21" s="197"/>
      <c r="D21" s="1060" t="str">
        <f>"Final status: "&amp;TEXT(AF8,"#.##0")&amp;" € by "&amp;TEXT(AF10,"#.##0")&amp;" backers (Ø "&amp;TEXT(AF11,"#.##0,00")&amp;" €)"</f>
        <v>Final status: 560.576 € by 2.679 backers (Ø 209,25 €)</v>
      </c>
      <c r="E21" s="1061"/>
      <c r="F21" s="1062"/>
      <c r="G21" s="113"/>
      <c r="H21" s="579" t="str">
        <f t="shared" si="0"/>
        <v>Achieved</v>
      </c>
      <c r="I21" s="580">
        <f t="shared" si="4"/>
        <v>6</v>
      </c>
      <c r="J21" s="581" t="s">
        <v>743</v>
      </c>
      <c r="K21" s="582"/>
      <c r="L21" s="582"/>
      <c r="M21" s="582"/>
      <c r="N21" s="582"/>
      <c r="O21" s="583">
        <f t="shared" si="5"/>
        <v>70000</v>
      </c>
      <c r="P21" s="577" t="str">
        <f t="shared" si="1"/>
        <v>on day 1</v>
      </c>
      <c r="Q21" s="577" t="str">
        <f t="shared" si="2"/>
        <v/>
      </c>
      <c r="R21" s="578" t="str">
        <f t="shared" si="3"/>
        <v/>
      </c>
      <c r="S21" s="116"/>
      <c r="T21" s="113"/>
      <c r="U21" s="113"/>
      <c r="V21" s="113"/>
      <c r="W21" s="96"/>
      <c r="X21" s="96"/>
      <c r="Y21" s="96"/>
      <c r="Z21" s="96"/>
      <c r="AA21" s="96"/>
      <c r="AB21" s="96"/>
      <c r="AC21" s="96"/>
      <c r="AD21" s="96"/>
      <c r="AE21" s="204">
        <f>'Shopping guide'!$P$3</f>
        <v>0</v>
      </c>
      <c r="AF21" s="199"/>
      <c r="AG21" s="23"/>
      <c r="AH21" s="35"/>
      <c r="AI21" s="23"/>
      <c r="AJ21" s="23"/>
      <c r="AK21" s="23"/>
      <c r="AL21" s="23"/>
      <c r="AM21" s="23"/>
      <c r="AN21" s="23"/>
      <c r="AO21" s="23"/>
      <c r="AP21" s="41"/>
      <c r="AQ21" s="41"/>
      <c r="AR21" s="41"/>
      <c r="AS21" s="23"/>
      <c r="AT21" s="41"/>
      <c r="AU21" s="41"/>
      <c r="AV21" s="23"/>
      <c r="AW21" s="23"/>
      <c r="AX21" s="23"/>
      <c r="AY21" s="23"/>
      <c r="AZ21" s="23"/>
      <c r="BA21" s="23"/>
      <c r="BB21" s="23"/>
      <c r="BC21" s="23"/>
      <c r="BD21" s="23"/>
      <c r="BE21" s="23"/>
      <c r="BF21" s="23"/>
      <c r="BG21" s="23"/>
      <c r="BH21" s="23"/>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row>
    <row r="22" spans="1:93" s="2" customFormat="1" ht="18.75" customHeight="1" x14ac:dyDescent="0.25">
      <c r="A22" s="96"/>
      <c r="B22" s="863"/>
      <c r="C22" s="197"/>
      <c r="D22" s="1063"/>
      <c r="E22" s="1064"/>
      <c r="F22" s="1065"/>
      <c r="G22" s="113"/>
      <c r="H22" s="579" t="str">
        <f t="shared" si="0"/>
        <v>Achieved</v>
      </c>
      <c r="I22" s="580">
        <f t="shared" si="4"/>
        <v>7</v>
      </c>
      <c r="J22" s="581" t="s">
        <v>742</v>
      </c>
      <c r="K22" s="582"/>
      <c r="L22" s="582"/>
      <c r="M22" s="582"/>
      <c r="N22" s="582"/>
      <c r="O22" s="583">
        <f t="shared" si="5"/>
        <v>80000</v>
      </c>
      <c r="P22" s="577" t="str">
        <f t="shared" si="1"/>
        <v>on day 1</v>
      </c>
      <c r="Q22" s="577" t="str">
        <f t="shared" si="2"/>
        <v/>
      </c>
      <c r="R22" s="578" t="str">
        <f t="shared" si="3"/>
        <v/>
      </c>
      <c r="S22" s="461"/>
      <c r="T22" s="113"/>
      <c r="U22" s="113"/>
      <c r="V22" s="113"/>
      <c r="W22" s="96"/>
      <c r="X22" s="96"/>
      <c r="Y22" s="96"/>
      <c r="Z22" s="96"/>
      <c r="AA22" s="96"/>
      <c r="AB22" s="96"/>
      <c r="AC22" s="96"/>
      <c r="AD22" s="96"/>
      <c r="AE22" s="204">
        <f>'Shopping guide'!$Q$3</f>
        <v>0</v>
      </c>
      <c r="AF22" s="199"/>
      <c r="AG22" s="23"/>
      <c r="AH22" s="35"/>
      <c r="AI22" s="23"/>
      <c r="AJ22" s="23"/>
      <c r="AK22" s="23"/>
      <c r="AL22" s="23"/>
      <c r="AM22" s="23"/>
      <c r="AN22" s="23"/>
      <c r="AO22" s="23"/>
      <c r="AP22" s="41"/>
      <c r="AQ22" s="41"/>
      <c r="AR22" s="41"/>
      <c r="AS22" s="23"/>
      <c r="AT22" s="41"/>
      <c r="AU22" s="41"/>
      <c r="AV22" s="29"/>
      <c r="AW22" s="23"/>
      <c r="AX22" s="23"/>
      <c r="AY22" s="23"/>
      <c r="AZ22" s="23"/>
      <c r="BA22" s="23"/>
      <c r="BB22" s="23"/>
      <c r="BC22" s="23"/>
      <c r="BD22" s="23"/>
      <c r="BE22" s="23"/>
      <c r="BF22" s="23"/>
      <c r="BG22" s="23"/>
      <c r="BH22" s="23"/>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row>
    <row r="23" spans="1:93" s="2" customFormat="1" ht="18.75" customHeight="1" x14ac:dyDescent="0.25">
      <c r="A23" s="96"/>
      <c r="B23" s="863"/>
      <c r="C23" s="197"/>
      <c r="D23" s="928" t="str">
        <f>"Achieved stretchgoals: "&amp;AF7</f>
        <v>Achieved stretchgoals: 30</v>
      </c>
      <c r="E23" s="929"/>
      <c r="F23" s="930"/>
      <c r="G23" s="113"/>
      <c r="H23" s="579" t="str">
        <f t="shared" si="0"/>
        <v>Achieved</v>
      </c>
      <c r="I23" s="580">
        <f t="shared" si="4"/>
        <v>8</v>
      </c>
      <c r="J23" s="581" t="s">
        <v>741</v>
      </c>
      <c r="K23" s="582"/>
      <c r="L23" s="582"/>
      <c r="M23" s="582"/>
      <c r="N23" s="582"/>
      <c r="O23" s="583">
        <f t="shared" si="5"/>
        <v>90000</v>
      </c>
      <c r="P23" s="577" t="str">
        <f t="shared" si="1"/>
        <v>on day 1</v>
      </c>
      <c r="Q23" s="577" t="str">
        <f t="shared" si="2"/>
        <v/>
      </c>
      <c r="R23" s="578" t="str">
        <f t="shared" si="3"/>
        <v/>
      </c>
      <c r="S23" s="461"/>
      <c r="T23" s="113"/>
      <c r="U23" s="113"/>
      <c r="V23" s="113"/>
      <c r="W23" s="96"/>
      <c r="X23" s="96"/>
      <c r="Y23" s="96"/>
      <c r="Z23" s="96"/>
      <c r="AA23" s="96"/>
      <c r="AB23" s="96"/>
      <c r="AC23" s="96"/>
      <c r="AD23" s="96"/>
      <c r="AE23" s="204">
        <f>'Shopping guide'!$R$3</f>
        <v>0</v>
      </c>
      <c r="AF23" s="199"/>
      <c r="AG23" s="23"/>
      <c r="AH23" s="35"/>
      <c r="AI23" s="23"/>
      <c r="AJ23" s="23"/>
      <c r="AK23" s="23"/>
      <c r="AL23" s="23"/>
      <c r="AM23" s="23"/>
      <c r="AN23" s="23"/>
      <c r="AO23" s="29"/>
      <c r="AP23" s="41"/>
      <c r="AQ23" s="41"/>
      <c r="AR23" s="41"/>
      <c r="AS23" s="23"/>
      <c r="AT23" s="41"/>
      <c r="AU23" s="41"/>
      <c r="AV23" s="29"/>
      <c r="AW23" s="29"/>
      <c r="AX23" s="29"/>
      <c r="AY23" s="29"/>
      <c r="AZ23" s="29"/>
      <c r="BA23" s="29"/>
      <c r="BB23" s="29"/>
      <c r="BC23" s="29"/>
      <c r="BD23" s="29"/>
      <c r="BE23" s="29"/>
      <c r="BF23" s="29"/>
      <c r="BG23" s="29"/>
      <c r="BH23" s="29"/>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row>
    <row r="24" spans="1:93" s="36" customFormat="1" ht="18.75" customHeight="1" x14ac:dyDescent="0.25">
      <c r="A24" s="97"/>
      <c r="B24" s="863"/>
      <c r="C24" s="197"/>
      <c r="D24" s="931" t="s">
        <v>1104</v>
      </c>
      <c r="E24" s="932"/>
      <c r="F24" s="933"/>
      <c r="G24" s="113"/>
      <c r="H24" s="579" t="str">
        <f t="shared" si="0"/>
        <v>Achieved</v>
      </c>
      <c r="I24" s="580">
        <f t="shared" si="4"/>
        <v>9</v>
      </c>
      <c r="J24" s="581" t="s">
        <v>740</v>
      </c>
      <c r="K24" s="582"/>
      <c r="L24" s="582"/>
      <c r="M24" s="582"/>
      <c r="N24" s="582"/>
      <c r="O24" s="583">
        <f t="shared" si="5"/>
        <v>100000</v>
      </c>
      <c r="P24" s="577" t="str">
        <f t="shared" si="1"/>
        <v>on day 1</v>
      </c>
      <c r="Q24" s="577" t="str">
        <f t="shared" si="2"/>
        <v/>
      </c>
      <c r="R24" s="578" t="str">
        <f t="shared" si="3"/>
        <v/>
      </c>
      <c r="S24" s="461"/>
      <c r="T24" s="113"/>
      <c r="U24" s="113"/>
      <c r="V24" s="113"/>
      <c r="W24" s="96"/>
      <c r="X24" s="113"/>
      <c r="Y24" s="113"/>
      <c r="Z24" s="113"/>
      <c r="AA24" s="113"/>
      <c r="AB24" s="113"/>
      <c r="AC24" s="113"/>
      <c r="AD24" s="113"/>
      <c r="AE24" s="204">
        <f>'Shopping guide'!$S$3</f>
        <v>0</v>
      </c>
      <c r="AF24" s="199"/>
      <c r="AG24" s="23"/>
      <c r="AH24" s="35"/>
      <c r="AI24" s="23"/>
      <c r="AJ24" s="23"/>
      <c r="AK24" s="23"/>
      <c r="AL24" s="23"/>
      <c r="AM24" s="23"/>
      <c r="AN24" s="23"/>
      <c r="AO24" s="29"/>
      <c r="AP24" s="41"/>
      <c r="AQ24" s="41"/>
      <c r="AR24" s="41"/>
      <c r="AS24" s="23"/>
      <c r="AT24" s="41"/>
      <c r="AU24" s="41"/>
      <c r="AV24" s="23"/>
      <c r="AW24" s="29"/>
      <c r="AX24" s="29"/>
      <c r="AY24" s="29"/>
      <c r="AZ24" s="29"/>
      <c r="BA24" s="29"/>
      <c r="BB24" s="29"/>
      <c r="BC24" s="29"/>
      <c r="BD24" s="29"/>
      <c r="BE24" s="29"/>
      <c r="BF24" s="29"/>
      <c r="BG24" s="29"/>
      <c r="BH24" s="29"/>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row>
    <row r="25" spans="1:93" s="2" customFormat="1" ht="18.75" customHeight="1" thickBot="1" x14ac:dyDescent="0.3">
      <c r="A25" s="102"/>
      <c r="B25" s="864"/>
      <c r="C25" s="197"/>
      <c r="D25" s="871"/>
      <c r="E25" s="872"/>
      <c r="F25" s="873"/>
      <c r="G25" s="113"/>
      <c r="H25" s="579" t="str">
        <f t="shared" si="0"/>
        <v>Achieved</v>
      </c>
      <c r="I25" s="580">
        <f t="shared" si="4"/>
        <v>10</v>
      </c>
      <c r="J25" s="581" t="s">
        <v>412</v>
      </c>
      <c r="K25" s="582"/>
      <c r="L25" s="582"/>
      <c r="M25" s="582"/>
      <c r="N25" s="582"/>
      <c r="O25" s="583">
        <f>O24+20000</f>
        <v>120000</v>
      </c>
      <c r="P25" s="577" t="str">
        <f t="shared" si="1"/>
        <v>on day 1</v>
      </c>
      <c r="Q25" s="577" t="str">
        <f t="shared" si="2"/>
        <v/>
      </c>
      <c r="R25" s="578" t="str">
        <f t="shared" si="3"/>
        <v/>
      </c>
      <c r="S25" s="96"/>
      <c r="T25" s="113"/>
      <c r="U25" s="113"/>
      <c r="V25" s="113"/>
      <c r="W25" s="96"/>
      <c r="X25" s="113"/>
      <c r="Y25" s="113"/>
      <c r="Z25" s="113"/>
      <c r="AA25" s="113"/>
      <c r="AB25" s="113"/>
      <c r="AC25" s="113"/>
      <c r="AD25" s="113"/>
      <c r="AE25" s="204" t="str">
        <f>'Shopping guide'!$T$3</f>
        <v>Eternium - All-In</v>
      </c>
      <c r="AF25" s="32"/>
      <c r="AG25" s="23"/>
      <c r="AH25" s="35">
        <f>AF25*'Shopping guide'!T7</f>
        <v>0</v>
      </c>
      <c r="AI25" s="23"/>
      <c r="AJ25" s="23"/>
      <c r="AK25" s="23"/>
      <c r="AL25" s="23"/>
      <c r="AM25" s="23"/>
      <c r="AN25" s="23"/>
      <c r="AO25" s="23"/>
      <c r="AP25" s="41"/>
      <c r="AQ25" s="41"/>
      <c r="AR25" s="41"/>
      <c r="AS25" s="23"/>
      <c r="AT25" s="41"/>
      <c r="AU25" s="41"/>
      <c r="AV25" s="23"/>
      <c r="AW25" s="23"/>
      <c r="AX25" s="23"/>
      <c r="AY25" s="23"/>
      <c r="AZ25" s="23"/>
      <c r="BA25" s="23"/>
      <c r="BB25" s="23"/>
      <c r="BC25" s="23"/>
      <c r="BD25" s="23"/>
      <c r="BE25" s="23"/>
      <c r="BF25" s="23"/>
      <c r="BG25" s="23"/>
      <c r="BH25" s="23"/>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row>
    <row r="26" spans="1:93" s="2" customFormat="1" ht="18.75" customHeight="1" thickBot="1" x14ac:dyDescent="0.3">
      <c r="A26" s="102"/>
      <c r="B26" s="194"/>
      <c r="C26" s="113"/>
      <c r="D26" s="96"/>
      <c r="E26" s="113"/>
      <c r="F26" s="113"/>
      <c r="G26" s="113"/>
      <c r="H26" s="579" t="str">
        <f t="shared" si="0"/>
        <v>Achieved</v>
      </c>
      <c r="I26" s="580">
        <f t="shared" ref="I26:I46" si="6">I25+1</f>
        <v>11</v>
      </c>
      <c r="J26" s="581" t="s">
        <v>413</v>
      </c>
      <c r="K26" s="582"/>
      <c r="L26" s="582"/>
      <c r="M26" s="582"/>
      <c r="N26" s="582"/>
      <c r="O26" s="583">
        <f t="shared" ref="O26:O39" si="7">O25+20000</f>
        <v>140000</v>
      </c>
      <c r="P26" s="577" t="str">
        <f t="shared" si="1"/>
        <v>on day 1</v>
      </c>
      <c r="Q26" s="577" t="str">
        <f t="shared" si="2"/>
        <v/>
      </c>
      <c r="R26" s="578" t="str">
        <f t="shared" si="3"/>
        <v/>
      </c>
      <c r="S26" s="96"/>
      <c r="T26" s="113"/>
      <c r="U26" s="113"/>
      <c r="V26" s="113"/>
      <c r="W26" s="96"/>
      <c r="X26" s="113"/>
      <c r="Y26" s="113"/>
      <c r="Z26" s="113"/>
      <c r="AA26" s="113"/>
      <c r="AB26" s="113"/>
      <c r="AC26" s="113"/>
      <c r="AD26" s="113"/>
      <c r="AE26" s="23"/>
      <c r="AF26" s="23"/>
      <c r="AG26" s="23"/>
      <c r="AH26" s="23"/>
      <c r="AI26" s="23"/>
      <c r="AJ26" s="23"/>
      <c r="AK26" s="23"/>
      <c r="AL26" s="23"/>
      <c r="AM26" s="23"/>
      <c r="AN26" s="23"/>
      <c r="AO26" s="23"/>
      <c r="AP26" s="41"/>
      <c r="AQ26" s="41"/>
      <c r="AR26" s="41"/>
      <c r="AS26" s="23"/>
      <c r="AT26" s="41"/>
      <c r="AU26" s="41"/>
      <c r="AV26" s="23"/>
      <c r="AW26" s="23"/>
      <c r="AX26" s="23"/>
      <c r="AY26" s="23"/>
      <c r="AZ26" s="23"/>
      <c r="BA26" s="23"/>
      <c r="BB26" s="23"/>
      <c r="BC26" s="23"/>
      <c r="BD26" s="23"/>
      <c r="BE26" s="23"/>
      <c r="BF26" s="23"/>
      <c r="BG26" s="23"/>
      <c r="BH26" s="23"/>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row>
    <row r="27" spans="1:93" s="2" customFormat="1" ht="18.75" customHeight="1" x14ac:dyDescent="0.25">
      <c r="A27" s="102"/>
      <c r="B27" s="862" t="s">
        <v>751</v>
      </c>
      <c r="C27" s="113"/>
      <c r="D27" s="916" t="s">
        <v>748</v>
      </c>
      <c r="E27" s="917"/>
      <c r="F27" s="918"/>
      <c r="G27" s="113"/>
      <c r="H27" s="579" t="str">
        <f t="shared" si="0"/>
        <v>Achieved</v>
      </c>
      <c r="I27" s="580">
        <f t="shared" si="6"/>
        <v>12</v>
      </c>
      <c r="J27" s="581" t="s">
        <v>739</v>
      </c>
      <c r="K27" s="582"/>
      <c r="L27" s="582"/>
      <c r="M27" s="582"/>
      <c r="N27" s="582"/>
      <c r="O27" s="583">
        <f t="shared" si="7"/>
        <v>160000</v>
      </c>
      <c r="P27" s="577" t="str">
        <f t="shared" si="1"/>
        <v>on day 1</v>
      </c>
      <c r="Q27" s="577" t="str">
        <f t="shared" si="2"/>
        <v/>
      </c>
      <c r="R27" s="578" t="str">
        <f t="shared" si="3"/>
        <v/>
      </c>
      <c r="S27" s="96"/>
      <c r="T27" s="113"/>
      <c r="U27" s="113"/>
      <c r="V27" s="113"/>
      <c r="W27" s="113"/>
      <c r="X27" s="113"/>
      <c r="Y27" s="113"/>
      <c r="Z27" s="113"/>
      <c r="AA27" s="113"/>
      <c r="AB27" s="113"/>
      <c r="AC27" s="113"/>
      <c r="AD27" s="113"/>
      <c r="AE27" s="23"/>
      <c r="AF27" s="23"/>
      <c r="AG27" s="33"/>
      <c r="AH27" s="23"/>
      <c r="AI27" s="23"/>
      <c r="AJ27" s="23"/>
      <c r="AK27" s="23"/>
      <c r="AL27" s="23"/>
      <c r="AM27" s="23"/>
      <c r="AN27" s="23"/>
      <c r="AO27" s="23"/>
      <c r="AP27" s="23"/>
      <c r="AQ27" s="23"/>
      <c r="AR27" s="23"/>
      <c r="AS27" s="23"/>
      <c r="AT27" s="23"/>
      <c r="AU27" s="41"/>
      <c r="AV27" s="23"/>
      <c r="AW27" s="23"/>
      <c r="AX27" s="23"/>
      <c r="AY27" s="23"/>
      <c r="AZ27" s="23"/>
      <c r="BA27" s="23"/>
      <c r="BB27" s="23"/>
      <c r="BC27" s="23"/>
      <c r="BD27" s="23"/>
      <c r="BE27" s="23"/>
      <c r="BF27" s="23"/>
      <c r="BG27" s="23"/>
      <c r="BH27" s="23"/>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row>
    <row r="28" spans="1:93" s="2" customFormat="1" ht="18.75" customHeight="1" x14ac:dyDescent="0.25">
      <c r="A28" s="102"/>
      <c r="B28" s="863"/>
      <c r="C28" s="113"/>
      <c r="D28" s="919"/>
      <c r="E28" s="920"/>
      <c r="F28" s="921"/>
      <c r="G28" s="113"/>
      <c r="H28" s="579" t="str">
        <f t="shared" si="0"/>
        <v>Achieved</v>
      </c>
      <c r="I28" s="580">
        <f t="shared" si="6"/>
        <v>13</v>
      </c>
      <c r="J28" s="581" t="s">
        <v>738</v>
      </c>
      <c r="K28" s="582"/>
      <c r="L28" s="582"/>
      <c r="M28" s="582"/>
      <c r="N28" s="582"/>
      <c r="O28" s="583">
        <f t="shared" si="7"/>
        <v>180000</v>
      </c>
      <c r="P28" s="577" t="str">
        <f t="shared" si="1"/>
        <v>on day 1</v>
      </c>
      <c r="Q28" s="577" t="str">
        <f t="shared" si="2"/>
        <v/>
      </c>
      <c r="R28" s="578" t="str">
        <f t="shared" si="3"/>
        <v/>
      </c>
      <c r="S28" s="96"/>
      <c r="T28" s="113"/>
      <c r="U28" s="113"/>
      <c r="V28" s="113"/>
      <c r="W28" s="113"/>
      <c r="X28" s="113"/>
      <c r="Y28" s="113"/>
      <c r="Z28" s="113"/>
      <c r="AA28" s="113"/>
      <c r="AB28" s="113"/>
      <c r="AC28" s="113"/>
      <c r="AD28" s="113"/>
      <c r="AE28" s="23"/>
      <c r="AF28" s="23"/>
      <c r="AG28" s="33"/>
      <c r="AH28" s="23"/>
      <c r="AI28" s="23"/>
      <c r="AJ28" s="23"/>
      <c r="AK28" s="23"/>
      <c r="AL28" s="23"/>
      <c r="AM28" s="23"/>
      <c r="AN28" s="23"/>
      <c r="AO28" s="23"/>
      <c r="AP28" s="23"/>
      <c r="AQ28" s="23"/>
      <c r="AR28" s="23"/>
      <c r="AS28" s="23"/>
      <c r="AT28" s="23"/>
      <c r="AU28" s="41"/>
      <c r="AV28" s="23"/>
      <c r="AW28" s="23"/>
      <c r="AX28" s="23"/>
      <c r="AY28" s="23"/>
      <c r="AZ28" s="23"/>
      <c r="BA28" s="23"/>
      <c r="BB28" s="23"/>
      <c r="BC28" s="23"/>
      <c r="BD28" s="23"/>
      <c r="BE28" s="23"/>
      <c r="BF28" s="23"/>
      <c r="BG28" s="23"/>
      <c r="BH28" s="23"/>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row>
    <row r="29" spans="1:93" s="2" customFormat="1" ht="18.75" customHeight="1" thickBot="1" x14ac:dyDescent="0.3">
      <c r="A29" s="102"/>
      <c r="B29" s="863"/>
      <c r="C29" s="113"/>
      <c r="D29" s="922"/>
      <c r="E29" s="923"/>
      <c r="F29" s="924"/>
      <c r="G29" s="113"/>
      <c r="H29" s="579" t="str">
        <f t="shared" si="0"/>
        <v>Achieved</v>
      </c>
      <c r="I29" s="580">
        <f t="shared" si="6"/>
        <v>14</v>
      </c>
      <c r="J29" s="581" t="s">
        <v>737</v>
      </c>
      <c r="K29" s="582"/>
      <c r="L29" s="582"/>
      <c r="M29" s="582"/>
      <c r="N29" s="582"/>
      <c r="O29" s="583">
        <f t="shared" si="7"/>
        <v>200000</v>
      </c>
      <c r="P29" s="577" t="str">
        <f t="shared" si="1"/>
        <v>on day 2</v>
      </c>
      <c r="Q29" s="577" t="str">
        <f t="shared" si="2"/>
        <v/>
      </c>
      <c r="R29" s="578" t="str">
        <f t="shared" si="3"/>
        <v/>
      </c>
      <c r="S29" s="96"/>
      <c r="T29" s="113"/>
      <c r="U29" s="113"/>
      <c r="V29" s="113"/>
      <c r="W29" s="113"/>
      <c r="X29" s="113"/>
      <c r="Y29" s="113"/>
      <c r="Z29" s="113"/>
      <c r="AA29" s="113"/>
      <c r="AB29" s="113"/>
      <c r="AC29" s="113"/>
      <c r="AD29" s="113"/>
      <c r="AE29" s="23"/>
      <c r="AF29" s="23"/>
      <c r="AG29" s="3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row>
    <row r="30" spans="1:93" s="2" customFormat="1" ht="18.75" customHeight="1" thickBot="1" x14ac:dyDescent="0.3">
      <c r="A30" s="102"/>
      <c r="B30" s="863"/>
      <c r="C30" s="113"/>
      <c r="D30" s="113"/>
      <c r="E30" s="113"/>
      <c r="F30" s="113"/>
      <c r="G30" s="113"/>
      <c r="H30" s="579" t="str">
        <f t="shared" si="0"/>
        <v>Achieved</v>
      </c>
      <c r="I30" s="580">
        <f t="shared" si="6"/>
        <v>15</v>
      </c>
      <c r="J30" s="581" t="s">
        <v>736</v>
      </c>
      <c r="K30" s="582"/>
      <c r="L30" s="582"/>
      <c r="M30" s="582"/>
      <c r="N30" s="582"/>
      <c r="O30" s="583">
        <f t="shared" si="7"/>
        <v>220000</v>
      </c>
      <c r="P30" s="577" t="str">
        <f t="shared" si="1"/>
        <v>on day 3</v>
      </c>
      <c r="Q30" s="577" t="str">
        <f t="shared" si="2"/>
        <v/>
      </c>
      <c r="R30" s="578" t="str">
        <f t="shared" si="3"/>
        <v/>
      </c>
      <c r="S30" s="96"/>
      <c r="T30" s="113"/>
      <c r="U30" s="113"/>
      <c r="V30" s="113"/>
      <c r="W30" s="113"/>
      <c r="X30" s="113"/>
      <c r="Y30" s="113"/>
      <c r="Z30" s="113"/>
      <c r="AA30" s="113"/>
      <c r="AB30" s="113"/>
      <c r="AC30" s="113"/>
      <c r="AD30" s="113"/>
      <c r="AE30" s="23"/>
      <c r="AF30" s="23"/>
      <c r="AG30" s="3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row>
    <row r="31" spans="1:93" s="2" customFormat="1" ht="18.75" customHeight="1" x14ac:dyDescent="0.25">
      <c r="A31" s="102"/>
      <c r="B31" s="863"/>
      <c r="C31" s="113"/>
      <c r="D31" s="907" t="s">
        <v>749</v>
      </c>
      <c r="E31" s="908"/>
      <c r="F31" s="909"/>
      <c r="G31" s="113"/>
      <c r="H31" s="579" t="str">
        <f t="shared" si="0"/>
        <v>Achieved</v>
      </c>
      <c r="I31" s="580">
        <f t="shared" si="6"/>
        <v>16</v>
      </c>
      <c r="J31" s="581" t="s">
        <v>735</v>
      </c>
      <c r="K31" s="582"/>
      <c r="L31" s="582"/>
      <c r="M31" s="582"/>
      <c r="N31" s="582"/>
      <c r="O31" s="583">
        <f t="shared" si="7"/>
        <v>240000</v>
      </c>
      <c r="P31" s="577" t="str">
        <f t="shared" si="1"/>
        <v>on day 4</v>
      </c>
      <c r="Q31" s="577" t="str">
        <f t="shared" si="2"/>
        <v/>
      </c>
      <c r="R31" s="578" t="str">
        <f t="shared" si="3"/>
        <v/>
      </c>
      <c r="S31" s="96"/>
      <c r="T31" s="113"/>
      <c r="U31" s="113"/>
      <c r="V31" s="113"/>
      <c r="W31" s="113"/>
      <c r="X31" s="113"/>
      <c r="Y31" s="113"/>
      <c r="Z31" s="113"/>
      <c r="AA31" s="113"/>
      <c r="AB31" s="113"/>
      <c r="AC31" s="113"/>
      <c r="AD31" s="113"/>
      <c r="AE31" s="23"/>
      <c r="AF31" s="23"/>
      <c r="AG31" s="3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row>
    <row r="32" spans="1:93" s="443" customFormat="1" ht="18.75" customHeight="1" x14ac:dyDescent="0.25">
      <c r="A32" s="439"/>
      <c r="B32" s="863"/>
      <c r="C32" s="113"/>
      <c r="D32" s="910"/>
      <c r="E32" s="911"/>
      <c r="F32" s="912"/>
      <c r="G32" s="113"/>
      <c r="H32" s="579" t="str">
        <f t="shared" si="0"/>
        <v>Achieved</v>
      </c>
      <c r="I32" s="580">
        <f t="shared" si="6"/>
        <v>17</v>
      </c>
      <c r="J32" s="581" t="s">
        <v>734</v>
      </c>
      <c r="K32" s="582"/>
      <c r="L32" s="582"/>
      <c r="M32" s="582"/>
      <c r="N32" s="582"/>
      <c r="O32" s="583">
        <f t="shared" si="7"/>
        <v>260000</v>
      </c>
      <c r="P32" s="577" t="str">
        <f t="shared" si="1"/>
        <v>on day 4</v>
      </c>
      <c r="Q32" s="577" t="str">
        <f t="shared" si="2"/>
        <v/>
      </c>
      <c r="R32" s="578" t="str">
        <f t="shared" si="3"/>
        <v/>
      </c>
      <c r="S32" s="462"/>
      <c r="T32" s="462"/>
      <c r="U32" s="462"/>
      <c r="V32" s="462"/>
      <c r="W32" s="462"/>
      <c r="X32" s="462"/>
      <c r="Y32" s="462"/>
      <c r="Z32" s="462"/>
      <c r="AA32" s="462"/>
      <c r="AB32" s="462"/>
      <c r="AC32" s="462"/>
      <c r="AD32" s="462"/>
      <c r="AE32" s="442"/>
      <c r="AF32" s="442"/>
      <c r="AG32" s="441"/>
      <c r="AH32" s="440"/>
      <c r="AI32" s="440"/>
      <c r="AJ32" s="440"/>
      <c r="AK32" s="440"/>
      <c r="AL32" s="440"/>
      <c r="AM32" s="440"/>
      <c r="AN32" s="440"/>
      <c r="AO32" s="440"/>
      <c r="AP32" s="440"/>
      <c r="AQ32" s="440"/>
      <c r="AR32" s="440"/>
      <c r="AS32" s="440"/>
      <c r="AT32" s="440"/>
      <c r="AU32" s="440"/>
      <c r="AV32" s="440"/>
      <c r="AW32" s="440"/>
      <c r="AX32" s="440"/>
      <c r="AY32" s="440"/>
      <c r="AZ32" s="440"/>
      <c r="BA32" s="440"/>
      <c r="BB32" s="440"/>
      <c r="BC32" s="440"/>
      <c r="BD32" s="440"/>
      <c r="BE32" s="440"/>
      <c r="BF32" s="440"/>
      <c r="BG32" s="440"/>
      <c r="BH32" s="440"/>
      <c r="BI32" s="439"/>
      <c r="BJ32" s="439"/>
      <c r="BK32" s="439"/>
      <c r="BL32" s="439"/>
      <c r="BM32" s="439"/>
      <c r="BN32" s="439"/>
      <c r="BO32" s="439"/>
      <c r="BP32" s="439"/>
      <c r="BQ32" s="439"/>
      <c r="BR32" s="439"/>
      <c r="BS32" s="439"/>
      <c r="BT32" s="439"/>
      <c r="BU32" s="439"/>
      <c r="BV32" s="439"/>
      <c r="BW32" s="439"/>
      <c r="BX32" s="439"/>
      <c r="BY32" s="439"/>
      <c r="BZ32" s="439"/>
      <c r="CA32" s="439"/>
      <c r="CB32" s="439"/>
      <c r="CC32" s="439"/>
      <c r="CD32" s="439"/>
      <c r="CE32" s="439"/>
      <c r="CF32" s="439"/>
      <c r="CG32" s="439"/>
      <c r="CH32" s="439"/>
      <c r="CI32" s="439"/>
      <c r="CJ32" s="439"/>
      <c r="CK32" s="439"/>
      <c r="CL32" s="439"/>
      <c r="CM32" s="439"/>
      <c r="CN32" s="439"/>
      <c r="CO32" s="439"/>
    </row>
    <row r="33" spans="1:93" s="443" customFormat="1" ht="18.75" customHeight="1" thickBot="1" x14ac:dyDescent="0.3">
      <c r="A33" s="439"/>
      <c r="B33" s="863"/>
      <c r="C33" s="113"/>
      <c r="D33" s="913"/>
      <c r="E33" s="914"/>
      <c r="F33" s="915"/>
      <c r="G33" s="113"/>
      <c r="H33" s="579" t="str">
        <f t="shared" si="0"/>
        <v>Achieved</v>
      </c>
      <c r="I33" s="580">
        <f t="shared" si="6"/>
        <v>18</v>
      </c>
      <c r="J33" s="581" t="s">
        <v>733</v>
      </c>
      <c r="K33" s="582"/>
      <c r="L33" s="582"/>
      <c r="M33" s="582"/>
      <c r="N33" s="582"/>
      <c r="O33" s="583">
        <f t="shared" si="7"/>
        <v>280000</v>
      </c>
      <c r="P33" s="577" t="str">
        <f t="shared" si="1"/>
        <v>on day 5</v>
      </c>
      <c r="Q33" s="577" t="str">
        <f t="shared" si="2"/>
        <v/>
      </c>
      <c r="R33" s="578" t="str">
        <f t="shared" si="3"/>
        <v/>
      </c>
      <c r="S33" s="462"/>
      <c r="T33" s="462"/>
      <c r="U33" s="462"/>
      <c r="V33" s="462"/>
      <c r="W33" s="462"/>
      <c r="X33" s="462"/>
      <c r="Y33" s="462"/>
      <c r="Z33" s="462"/>
      <c r="AA33" s="462"/>
      <c r="AB33" s="462"/>
      <c r="AC33" s="462"/>
      <c r="AD33" s="462"/>
      <c r="AE33" s="442"/>
      <c r="AF33" s="442"/>
      <c r="AG33" s="441"/>
      <c r="AH33" s="440"/>
      <c r="AI33" s="440"/>
      <c r="AJ33" s="440"/>
      <c r="AK33" s="440"/>
      <c r="AL33" s="440"/>
      <c r="AM33" s="440"/>
      <c r="AN33" s="440"/>
      <c r="AO33" s="440"/>
      <c r="AP33" s="440"/>
      <c r="AQ33" s="440"/>
      <c r="AR33" s="440"/>
      <c r="AS33" s="440"/>
      <c r="AT33" s="440"/>
      <c r="AU33" s="440"/>
      <c r="AV33" s="440"/>
      <c r="AW33" s="440"/>
      <c r="AX33" s="440"/>
      <c r="AY33" s="440"/>
      <c r="AZ33" s="440"/>
      <c r="BA33" s="440"/>
      <c r="BB33" s="440"/>
      <c r="BC33" s="440"/>
      <c r="BD33" s="440"/>
      <c r="BE33" s="440"/>
      <c r="BF33" s="440"/>
      <c r="BG33" s="440"/>
      <c r="BH33" s="440"/>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row>
    <row r="34" spans="1:93" s="443" customFormat="1" ht="18.75" customHeight="1" thickBot="1" x14ac:dyDescent="0.35">
      <c r="A34" s="439"/>
      <c r="B34" s="863"/>
      <c r="C34" s="113"/>
      <c r="D34" s="96"/>
      <c r="E34" s="113"/>
      <c r="F34" s="190"/>
      <c r="G34" s="113"/>
      <c r="H34" s="579" t="str">
        <f t="shared" si="0"/>
        <v>Achieved</v>
      </c>
      <c r="I34" s="580">
        <f t="shared" si="6"/>
        <v>19</v>
      </c>
      <c r="J34" s="581" t="s">
        <v>732</v>
      </c>
      <c r="K34" s="582"/>
      <c r="L34" s="582"/>
      <c r="M34" s="582"/>
      <c r="N34" s="582"/>
      <c r="O34" s="583">
        <f t="shared" si="7"/>
        <v>300000</v>
      </c>
      <c r="P34" s="577" t="str">
        <f t="shared" si="1"/>
        <v>on day 5</v>
      </c>
      <c r="Q34" s="577" t="str">
        <f t="shared" si="2"/>
        <v/>
      </c>
      <c r="R34" s="578" t="str">
        <f t="shared" si="3"/>
        <v/>
      </c>
      <c r="S34" s="462"/>
      <c r="T34" s="462"/>
      <c r="U34" s="462"/>
      <c r="V34" s="462"/>
      <c r="W34" s="462"/>
      <c r="X34" s="462"/>
      <c r="Y34" s="462"/>
      <c r="Z34" s="462"/>
      <c r="AA34" s="462"/>
      <c r="AB34" s="462"/>
      <c r="AC34" s="462"/>
      <c r="AD34" s="462"/>
      <c r="AE34" s="442"/>
      <c r="AF34" s="442"/>
      <c r="AG34" s="441"/>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39"/>
      <c r="BJ34" s="439"/>
      <c r="BK34" s="439"/>
      <c r="BL34" s="439"/>
      <c r="BM34" s="439"/>
      <c r="BN34" s="439"/>
      <c r="BO34" s="439"/>
      <c r="BP34" s="439"/>
      <c r="BQ34" s="439"/>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row>
    <row r="35" spans="1:93" s="443" customFormat="1" ht="18.75" customHeight="1" x14ac:dyDescent="0.25">
      <c r="A35" s="439"/>
      <c r="B35" s="863"/>
      <c r="C35" s="113"/>
      <c r="D35" s="898" t="s">
        <v>752</v>
      </c>
      <c r="E35" s="899"/>
      <c r="F35" s="900"/>
      <c r="G35" s="113"/>
      <c r="H35" s="579" t="str">
        <f t="shared" si="0"/>
        <v>Achieved</v>
      </c>
      <c r="I35" s="580">
        <f t="shared" si="6"/>
        <v>20</v>
      </c>
      <c r="J35" s="581" t="s">
        <v>731</v>
      </c>
      <c r="K35" s="582"/>
      <c r="L35" s="582"/>
      <c r="M35" s="582"/>
      <c r="N35" s="582"/>
      <c r="O35" s="583">
        <f t="shared" si="7"/>
        <v>320000</v>
      </c>
      <c r="P35" s="577" t="str">
        <f t="shared" si="1"/>
        <v>on day 7</v>
      </c>
      <c r="Q35" s="577" t="str">
        <f t="shared" si="2"/>
        <v/>
      </c>
      <c r="R35" s="578" t="str">
        <f t="shared" si="3"/>
        <v/>
      </c>
      <c r="S35" s="112"/>
      <c r="T35" s="112"/>
      <c r="U35" s="112"/>
      <c r="V35" s="112"/>
      <c r="W35" s="112"/>
      <c r="X35" s="112"/>
      <c r="Y35" s="112"/>
      <c r="Z35" s="112"/>
      <c r="AA35" s="112"/>
      <c r="AB35" s="112"/>
      <c r="AC35" s="112"/>
      <c r="AD35" s="112"/>
      <c r="AE35" s="440"/>
      <c r="AF35" s="440"/>
      <c r="AG35" s="441"/>
      <c r="AH35" s="440"/>
      <c r="AI35" s="440"/>
      <c r="AJ35" s="440"/>
      <c r="AK35" s="440"/>
      <c r="AL35" s="440"/>
      <c r="AM35" s="440"/>
      <c r="AN35" s="440"/>
      <c r="AO35" s="440"/>
      <c r="AP35" s="440"/>
      <c r="AQ35" s="440"/>
      <c r="AR35" s="440"/>
      <c r="AS35" s="440"/>
      <c r="AT35" s="440"/>
      <c r="AU35" s="440"/>
      <c r="AV35" s="440"/>
      <c r="AW35" s="440"/>
      <c r="AX35" s="440"/>
      <c r="AY35" s="440"/>
      <c r="AZ35" s="440"/>
      <c r="BA35" s="440"/>
      <c r="BB35" s="440"/>
      <c r="BC35" s="440"/>
      <c r="BD35" s="440"/>
      <c r="BE35" s="440"/>
      <c r="BF35" s="440"/>
      <c r="BG35" s="440"/>
      <c r="BH35" s="440"/>
      <c r="BI35" s="439"/>
      <c r="BJ35" s="439"/>
      <c r="BK35" s="439"/>
      <c r="BL35" s="439"/>
      <c r="BM35" s="439"/>
      <c r="BN35" s="439"/>
      <c r="BO35" s="439"/>
      <c r="BP35" s="439"/>
      <c r="BQ35" s="439"/>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row>
    <row r="36" spans="1:93" s="443" customFormat="1" ht="18.75" customHeight="1" x14ac:dyDescent="0.25">
      <c r="A36" s="439"/>
      <c r="B36" s="863"/>
      <c r="C36" s="113"/>
      <c r="D36" s="901"/>
      <c r="E36" s="902"/>
      <c r="F36" s="903"/>
      <c r="G36" s="113"/>
      <c r="H36" s="579" t="str">
        <f t="shared" si="0"/>
        <v>Achieved</v>
      </c>
      <c r="I36" s="580">
        <f t="shared" si="6"/>
        <v>21</v>
      </c>
      <c r="J36" s="581" t="s">
        <v>730</v>
      </c>
      <c r="K36" s="582"/>
      <c r="L36" s="582"/>
      <c r="M36" s="582"/>
      <c r="N36" s="582"/>
      <c r="O36" s="583">
        <f t="shared" si="7"/>
        <v>340000</v>
      </c>
      <c r="P36" s="577" t="str">
        <f t="shared" si="1"/>
        <v>on day 8</v>
      </c>
      <c r="Q36" s="577" t="str">
        <f t="shared" si="2"/>
        <v/>
      </c>
      <c r="R36" s="578" t="str">
        <f t="shared" si="3"/>
        <v/>
      </c>
      <c r="S36" s="112"/>
      <c r="T36" s="112"/>
      <c r="U36" s="112"/>
      <c r="V36" s="112"/>
      <c r="W36" s="112"/>
      <c r="X36" s="112"/>
      <c r="Y36" s="112"/>
      <c r="Z36" s="112"/>
      <c r="AA36" s="112"/>
      <c r="AB36" s="112"/>
      <c r="AC36" s="112"/>
      <c r="AD36" s="112"/>
      <c r="AE36" s="440"/>
      <c r="AF36" s="440"/>
      <c r="AG36" s="441"/>
      <c r="AH36" s="440"/>
      <c r="AI36" s="440"/>
      <c r="AJ36" s="440"/>
      <c r="AK36" s="440"/>
      <c r="AL36" s="440"/>
      <c r="AM36" s="440"/>
      <c r="AN36" s="440"/>
      <c r="AO36" s="440"/>
      <c r="AP36" s="440"/>
      <c r="AQ36" s="440"/>
      <c r="AR36" s="440"/>
      <c r="AS36" s="440"/>
      <c r="AT36" s="440"/>
      <c r="AU36" s="440"/>
      <c r="AV36" s="440"/>
      <c r="AW36" s="440"/>
      <c r="AX36" s="440"/>
      <c r="AY36" s="440"/>
      <c r="AZ36" s="440"/>
      <c r="BA36" s="440"/>
      <c r="BB36" s="440"/>
      <c r="BC36" s="440"/>
      <c r="BD36" s="440"/>
      <c r="BE36" s="440"/>
      <c r="BF36" s="440"/>
      <c r="BG36" s="440"/>
      <c r="BH36" s="440"/>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row>
    <row r="37" spans="1:93" s="443" customFormat="1" ht="18.75" customHeight="1" x14ac:dyDescent="0.25">
      <c r="A37" s="439"/>
      <c r="B37" s="863"/>
      <c r="C37" s="113"/>
      <c r="D37" s="901"/>
      <c r="E37" s="902"/>
      <c r="F37" s="903"/>
      <c r="G37" s="113"/>
      <c r="H37" s="579" t="str">
        <f t="shared" si="0"/>
        <v>Achieved</v>
      </c>
      <c r="I37" s="580">
        <f t="shared" si="6"/>
        <v>22</v>
      </c>
      <c r="J37" s="581" t="s">
        <v>729</v>
      </c>
      <c r="K37" s="582"/>
      <c r="L37" s="582"/>
      <c r="M37" s="582"/>
      <c r="N37" s="582"/>
      <c r="O37" s="583">
        <f t="shared" si="7"/>
        <v>360000</v>
      </c>
      <c r="P37" s="577" t="str">
        <f t="shared" si="1"/>
        <v>on day 11</v>
      </c>
      <c r="Q37" s="577" t="str">
        <f t="shared" si="2"/>
        <v/>
      </c>
      <c r="R37" s="578" t="str">
        <f t="shared" si="3"/>
        <v/>
      </c>
      <c r="S37" s="112"/>
      <c r="T37" s="112"/>
      <c r="U37" s="112"/>
      <c r="V37" s="112"/>
      <c r="W37" s="112"/>
      <c r="X37" s="112"/>
      <c r="Y37" s="112"/>
      <c r="Z37" s="112"/>
      <c r="AA37" s="112"/>
      <c r="AB37" s="112"/>
      <c r="AC37" s="112"/>
      <c r="AD37" s="112"/>
      <c r="AE37" s="440"/>
      <c r="AF37" s="440"/>
      <c r="AG37" s="441"/>
      <c r="AH37" s="440"/>
      <c r="AI37" s="440"/>
      <c r="AJ37" s="440"/>
      <c r="AK37" s="440"/>
      <c r="AL37" s="440"/>
      <c r="AM37" s="440"/>
      <c r="AN37" s="440"/>
      <c r="AO37" s="440"/>
      <c r="AP37" s="440"/>
      <c r="AQ37" s="440"/>
      <c r="AR37" s="440"/>
      <c r="AS37" s="440"/>
      <c r="AT37" s="440"/>
      <c r="AU37" s="440"/>
      <c r="AV37" s="440"/>
      <c r="AW37" s="440"/>
      <c r="AX37" s="440"/>
      <c r="AY37" s="440"/>
      <c r="AZ37" s="440"/>
      <c r="BA37" s="440"/>
      <c r="BB37" s="440"/>
      <c r="BC37" s="440"/>
      <c r="BD37" s="440"/>
      <c r="BE37" s="440"/>
      <c r="BF37" s="440"/>
      <c r="BG37" s="440"/>
      <c r="BH37" s="440"/>
      <c r="BI37" s="439"/>
      <c r="BJ37" s="439"/>
      <c r="BK37" s="439"/>
      <c r="BL37" s="439"/>
      <c r="BM37" s="439"/>
      <c r="BN37" s="439"/>
      <c r="BO37" s="439"/>
      <c r="BP37" s="439"/>
      <c r="BQ37" s="439"/>
      <c r="BR37" s="439"/>
      <c r="BS37" s="439"/>
      <c r="BT37" s="439"/>
      <c r="BU37" s="439"/>
      <c r="BV37" s="439"/>
      <c r="BW37" s="439"/>
      <c r="BX37" s="439"/>
      <c r="BY37" s="439"/>
      <c r="BZ37" s="439"/>
      <c r="CA37" s="439"/>
      <c r="CB37" s="439"/>
      <c r="CC37" s="439"/>
      <c r="CD37" s="439"/>
      <c r="CE37" s="439"/>
      <c r="CF37" s="439"/>
      <c r="CG37" s="439"/>
      <c r="CH37" s="439"/>
      <c r="CI37" s="439"/>
      <c r="CJ37" s="439"/>
      <c r="CK37" s="439"/>
      <c r="CL37" s="439"/>
      <c r="CM37" s="439"/>
      <c r="CN37" s="439"/>
      <c r="CO37" s="439"/>
    </row>
    <row r="38" spans="1:93" s="443" customFormat="1" ht="18.75" customHeight="1" x14ac:dyDescent="0.25">
      <c r="A38" s="439"/>
      <c r="B38" s="863"/>
      <c r="C38" s="113"/>
      <c r="D38" s="901"/>
      <c r="E38" s="902"/>
      <c r="F38" s="903"/>
      <c r="G38" s="113"/>
      <c r="H38" s="579" t="str">
        <f t="shared" si="0"/>
        <v>Achieved</v>
      </c>
      <c r="I38" s="580">
        <f t="shared" si="6"/>
        <v>23</v>
      </c>
      <c r="J38" s="581" t="s">
        <v>728</v>
      </c>
      <c r="K38" s="582"/>
      <c r="L38" s="582"/>
      <c r="M38" s="582"/>
      <c r="N38" s="582"/>
      <c r="O38" s="583">
        <f t="shared" si="7"/>
        <v>380000</v>
      </c>
      <c r="P38" s="577" t="str">
        <f t="shared" si="1"/>
        <v>on day 12</v>
      </c>
      <c r="Q38" s="577" t="str">
        <f t="shared" si="2"/>
        <v/>
      </c>
      <c r="R38" s="578" t="str">
        <f t="shared" si="3"/>
        <v/>
      </c>
      <c r="S38" s="112"/>
      <c r="T38" s="112"/>
      <c r="U38" s="112"/>
      <c r="V38" s="112"/>
      <c r="W38" s="112"/>
      <c r="X38" s="112"/>
      <c r="Y38" s="112"/>
      <c r="Z38" s="112"/>
      <c r="AA38" s="112"/>
      <c r="AB38" s="112"/>
      <c r="AC38" s="112"/>
      <c r="AD38" s="112"/>
      <c r="AE38" s="440"/>
      <c r="AF38" s="440"/>
      <c r="AG38" s="441"/>
      <c r="AH38" s="440"/>
      <c r="AI38" s="440"/>
      <c r="AJ38" s="440"/>
      <c r="AK38" s="440"/>
      <c r="AL38" s="440"/>
      <c r="AM38" s="440"/>
      <c r="AN38" s="440"/>
      <c r="AO38" s="440"/>
      <c r="AP38" s="440"/>
      <c r="AQ38" s="440"/>
      <c r="AR38" s="440"/>
      <c r="AS38" s="440"/>
      <c r="AT38" s="440"/>
      <c r="AU38" s="440"/>
      <c r="AV38" s="440"/>
      <c r="AW38" s="440"/>
      <c r="AX38" s="440"/>
      <c r="AY38" s="440"/>
      <c r="AZ38" s="440"/>
      <c r="BA38" s="440"/>
      <c r="BB38" s="440"/>
      <c r="BC38" s="440"/>
      <c r="BD38" s="440"/>
      <c r="BE38" s="440"/>
      <c r="BF38" s="440"/>
      <c r="BG38" s="440"/>
      <c r="BH38" s="440"/>
      <c r="BI38" s="439"/>
      <c r="BJ38" s="439"/>
      <c r="BK38" s="439"/>
      <c r="BL38" s="439"/>
      <c r="BM38" s="439"/>
      <c r="BN38" s="439"/>
      <c r="BO38" s="439"/>
      <c r="BP38" s="439"/>
      <c r="BQ38" s="439"/>
      <c r="BR38" s="439"/>
      <c r="BS38" s="439"/>
      <c r="BT38" s="439"/>
      <c r="BU38" s="439"/>
      <c r="BV38" s="439"/>
      <c r="BW38" s="439"/>
      <c r="BX38" s="439"/>
      <c r="BY38" s="439"/>
      <c r="BZ38" s="439"/>
      <c r="CA38" s="439"/>
      <c r="CB38" s="439"/>
      <c r="CC38" s="439"/>
      <c r="CD38" s="439"/>
      <c r="CE38" s="439"/>
      <c r="CF38" s="439"/>
      <c r="CG38" s="439"/>
      <c r="CH38" s="439"/>
      <c r="CI38" s="439"/>
      <c r="CJ38" s="439"/>
      <c r="CK38" s="439"/>
      <c r="CL38" s="439"/>
      <c r="CM38" s="439"/>
      <c r="CN38" s="439"/>
      <c r="CO38" s="439"/>
    </row>
    <row r="39" spans="1:93" s="443" customFormat="1" ht="18.75" customHeight="1" x14ac:dyDescent="0.25">
      <c r="A39" s="439"/>
      <c r="B39" s="863"/>
      <c r="C39" s="113"/>
      <c r="D39" s="901"/>
      <c r="E39" s="902"/>
      <c r="F39" s="903"/>
      <c r="G39" s="113"/>
      <c r="H39" s="579" t="str">
        <f t="shared" si="0"/>
        <v>Achieved</v>
      </c>
      <c r="I39" s="580">
        <f t="shared" si="6"/>
        <v>24</v>
      </c>
      <c r="J39" s="581" t="s">
        <v>1057</v>
      </c>
      <c r="K39" s="582"/>
      <c r="L39" s="582"/>
      <c r="M39" s="582"/>
      <c r="N39" s="582"/>
      <c r="O39" s="583">
        <f t="shared" si="7"/>
        <v>400000</v>
      </c>
      <c r="P39" s="577" t="str">
        <f t="shared" si="1"/>
        <v>on day 15</v>
      </c>
      <c r="Q39" s="577" t="str">
        <f t="shared" si="2"/>
        <v/>
      </c>
      <c r="R39" s="578" t="str">
        <f t="shared" si="3"/>
        <v/>
      </c>
      <c r="S39" s="112"/>
      <c r="T39" s="112"/>
      <c r="U39" s="112"/>
      <c r="V39" s="112"/>
      <c r="W39" s="112"/>
      <c r="X39" s="112"/>
      <c r="Y39" s="112"/>
      <c r="Z39" s="112"/>
      <c r="AA39" s="112"/>
      <c r="AB39" s="112"/>
      <c r="AC39" s="112"/>
      <c r="AD39" s="112"/>
      <c r="AE39" s="440"/>
      <c r="AF39" s="440"/>
      <c r="AG39" s="441"/>
      <c r="AH39" s="440"/>
      <c r="AI39" s="440"/>
      <c r="AJ39" s="440"/>
      <c r="AK39" s="440"/>
      <c r="AL39" s="440"/>
      <c r="AM39" s="440"/>
      <c r="AN39" s="440"/>
      <c r="AO39" s="440"/>
      <c r="AP39" s="440"/>
      <c r="AQ39" s="440"/>
      <c r="AR39" s="440"/>
      <c r="AS39" s="440"/>
      <c r="AT39" s="440"/>
      <c r="AU39" s="440"/>
      <c r="AV39" s="440"/>
      <c r="AW39" s="440"/>
      <c r="AX39" s="440"/>
      <c r="AY39" s="440"/>
      <c r="AZ39" s="440"/>
      <c r="BA39" s="440"/>
      <c r="BB39" s="440"/>
      <c r="BC39" s="440"/>
      <c r="BD39" s="440"/>
      <c r="BE39" s="440"/>
      <c r="BF39" s="440"/>
      <c r="BG39" s="440"/>
      <c r="BH39" s="440"/>
      <c r="BI39" s="439"/>
      <c r="BJ39" s="439"/>
      <c r="BK39" s="439"/>
      <c r="BL39" s="439"/>
      <c r="BM39" s="439"/>
      <c r="BN39" s="439"/>
      <c r="BO39" s="439"/>
      <c r="BP39" s="439"/>
      <c r="BQ39" s="439"/>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row>
    <row r="40" spans="1:93" s="443" customFormat="1" ht="18.75" customHeight="1" x14ac:dyDescent="0.25">
      <c r="A40" s="439"/>
      <c r="B40" s="863"/>
      <c r="C40" s="113"/>
      <c r="D40" s="901"/>
      <c r="E40" s="902"/>
      <c r="F40" s="903"/>
      <c r="G40" s="113"/>
      <c r="H40" s="579" t="str">
        <f t="shared" si="0"/>
        <v>Achieved</v>
      </c>
      <c r="I40" s="580">
        <f t="shared" si="6"/>
        <v>25</v>
      </c>
      <c r="J40" s="581" t="s">
        <v>1058</v>
      </c>
      <c r="K40" s="582"/>
      <c r="L40" s="582"/>
      <c r="M40" s="582"/>
      <c r="N40" s="582"/>
      <c r="O40" s="583">
        <f>O39+25000</f>
        <v>425000</v>
      </c>
      <c r="P40" s="577" t="str">
        <f t="shared" si="1"/>
        <v>on day 16</v>
      </c>
      <c r="Q40" s="577" t="str">
        <f t="shared" si="2"/>
        <v/>
      </c>
      <c r="R40" s="578" t="str">
        <f t="shared" si="3"/>
        <v/>
      </c>
      <c r="S40" s="112"/>
      <c r="T40" s="112"/>
      <c r="U40" s="112"/>
      <c r="V40" s="112"/>
      <c r="W40" s="112"/>
      <c r="X40" s="112"/>
      <c r="Y40" s="112"/>
      <c r="Z40" s="112"/>
      <c r="AA40" s="112"/>
      <c r="AB40" s="112"/>
      <c r="AC40" s="112"/>
      <c r="AD40" s="112"/>
      <c r="AE40" s="440"/>
      <c r="AF40" s="440"/>
      <c r="AG40" s="441"/>
      <c r="AH40" s="440"/>
      <c r="AI40" s="440"/>
      <c r="AJ40" s="440"/>
      <c r="AK40" s="440"/>
      <c r="AL40" s="440"/>
      <c r="AM40" s="440"/>
      <c r="AN40" s="440"/>
      <c r="AO40" s="440"/>
      <c r="AP40" s="440"/>
      <c r="AQ40" s="440"/>
      <c r="AR40" s="440"/>
      <c r="AS40" s="440"/>
      <c r="AT40" s="440"/>
      <c r="AU40" s="440"/>
      <c r="AV40" s="440"/>
      <c r="AW40" s="440"/>
      <c r="AX40" s="440"/>
      <c r="AY40" s="440"/>
      <c r="AZ40" s="440"/>
      <c r="BA40" s="440"/>
      <c r="BB40" s="440"/>
      <c r="BC40" s="440"/>
      <c r="BD40" s="440"/>
      <c r="BE40" s="440"/>
      <c r="BF40" s="440"/>
      <c r="BG40" s="440"/>
      <c r="BH40" s="440"/>
      <c r="BI40" s="439"/>
      <c r="BJ40" s="439"/>
      <c r="BK40" s="439"/>
      <c r="BL40" s="439"/>
      <c r="BM40" s="439"/>
      <c r="BN40" s="439"/>
      <c r="BO40" s="439"/>
      <c r="BP40" s="439"/>
      <c r="BQ40" s="439"/>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row>
    <row r="41" spans="1:93" s="443" customFormat="1" ht="18.75" customHeight="1" x14ac:dyDescent="0.25">
      <c r="A41" s="439"/>
      <c r="B41" s="863"/>
      <c r="C41" s="113"/>
      <c r="D41" s="901"/>
      <c r="E41" s="902"/>
      <c r="F41" s="903"/>
      <c r="G41" s="113"/>
      <c r="H41" s="579" t="str">
        <f t="shared" si="0"/>
        <v>Achieved</v>
      </c>
      <c r="I41" s="580">
        <f t="shared" si="6"/>
        <v>26</v>
      </c>
      <c r="J41" s="581" t="s">
        <v>1060</v>
      </c>
      <c r="K41" s="582"/>
      <c r="L41" s="582"/>
      <c r="M41" s="582"/>
      <c r="N41" s="582"/>
      <c r="O41" s="583">
        <f t="shared" ref="O41:O46" si="8">O40+25000</f>
        <v>450000</v>
      </c>
      <c r="P41" s="577" t="str">
        <f t="shared" si="1"/>
        <v>on day 18</v>
      </c>
      <c r="Q41" s="577" t="str">
        <f t="shared" si="2"/>
        <v/>
      </c>
      <c r="R41" s="578" t="str">
        <f t="shared" si="3"/>
        <v/>
      </c>
      <c r="S41" s="112"/>
      <c r="T41" s="112"/>
      <c r="U41" s="112"/>
      <c r="V41" s="112"/>
      <c r="W41" s="112"/>
      <c r="X41" s="112"/>
      <c r="Y41" s="112"/>
      <c r="Z41" s="112"/>
      <c r="AA41" s="112"/>
      <c r="AB41" s="112"/>
      <c r="AC41" s="112"/>
      <c r="AD41" s="112"/>
      <c r="AE41" s="440"/>
      <c r="AF41" s="440"/>
      <c r="AG41" s="441"/>
      <c r="AH41" s="440"/>
      <c r="AI41" s="440"/>
      <c r="AJ41" s="440"/>
      <c r="AK41" s="440"/>
      <c r="AL41" s="440"/>
      <c r="AM41" s="440"/>
      <c r="AN41" s="440"/>
      <c r="AO41" s="440"/>
      <c r="AP41" s="440"/>
      <c r="AQ41" s="440"/>
      <c r="AR41" s="440"/>
      <c r="AS41" s="440"/>
      <c r="AT41" s="440"/>
      <c r="AU41" s="440"/>
      <c r="AV41" s="440"/>
      <c r="AW41" s="440"/>
      <c r="AX41" s="440"/>
      <c r="AY41" s="440"/>
      <c r="AZ41" s="440"/>
      <c r="BA41" s="440"/>
      <c r="BB41" s="440"/>
      <c r="BC41" s="440"/>
      <c r="BD41" s="440"/>
      <c r="BE41" s="440"/>
      <c r="BF41" s="440"/>
      <c r="BG41" s="440"/>
      <c r="BH41" s="440"/>
      <c r="BI41" s="439"/>
      <c r="BJ41" s="439"/>
      <c r="BK41" s="439"/>
      <c r="BL41" s="439"/>
      <c r="BM41" s="439"/>
      <c r="BN41" s="439"/>
      <c r="BO41" s="439"/>
      <c r="BP41" s="439"/>
      <c r="BQ41" s="439"/>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row>
    <row r="42" spans="1:93" s="443" customFormat="1" ht="18.75" customHeight="1" x14ac:dyDescent="0.25">
      <c r="A42" s="439"/>
      <c r="B42" s="863"/>
      <c r="C42" s="113"/>
      <c r="D42" s="901"/>
      <c r="E42" s="902"/>
      <c r="F42" s="903"/>
      <c r="G42" s="113"/>
      <c r="H42" s="803" t="str">
        <f t="shared" si="0"/>
        <v>Achieved</v>
      </c>
      <c r="I42" s="207">
        <f t="shared" si="6"/>
        <v>27</v>
      </c>
      <c r="J42" s="804" t="s">
        <v>1061</v>
      </c>
      <c r="K42" s="804"/>
      <c r="L42" s="804"/>
      <c r="M42" s="804"/>
      <c r="N42" s="804"/>
      <c r="O42" s="805">
        <f t="shared" si="8"/>
        <v>475000</v>
      </c>
      <c r="P42" s="806" t="str">
        <f t="shared" si="1"/>
        <v>on day 20</v>
      </c>
      <c r="Q42" s="806" t="str">
        <f t="shared" si="2"/>
        <v/>
      </c>
      <c r="R42" s="807" t="str">
        <f t="shared" si="3"/>
        <v/>
      </c>
      <c r="S42" s="112"/>
      <c r="T42" s="112"/>
      <c r="U42" s="112"/>
      <c r="V42" s="112"/>
      <c r="W42" s="112"/>
      <c r="X42" s="112"/>
      <c r="Y42" s="112"/>
      <c r="Z42" s="112"/>
      <c r="AA42" s="112"/>
      <c r="AB42" s="112"/>
      <c r="AC42" s="112"/>
      <c r="AD42" s="112"/>
      <c r="AE42" s="440"/>
      <c r="AF42" s="440"/>
      <c r="AG42" s="441"/>
      <c r="AH42" s="440"/>
      <c r="AI42" s="440"/>
      <c r="AJ42" s="440"/>
      <c r="AK42" s="440"/>
      <c r="AL42" s="440"/>
      <c r="AM42" s="440"/>
      <c r="AN42" s="440"/>
      <c r="AO42" s="440"/>
      <c r="AP42" s="440"/>
      <c r="AQ42" s="440"/>
      <c r="AR42" s="440"/>
      <c r="AS42" s="440"/>
      <c r="AT42" s="440"/>
      <c r="AU42" s="440"/>
      <c r="AV42" s="440"/>
      <c r="AW42" s="440"/>
      <c r="AX42" s="440"/>
      <c r="AY42" s="440"/>
      <c r="AZ42" s="440"/>
      <c r="BA42" s="440"/>
      <c r="BB42" s="440"/>
      <c r="BC42" s="440"/>
      <c r="BD42" s="440"/>
      <c r="BE42" s="440"/>
      <c r="BF42" s="440"/>
      <c r="BG42" s="440"/>
      <c r="BH42" s="440"/>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row>
    <row r="43" spans="1:93" s="443" customFormat="1" ht="18.75" customHeight="1" thickBot="1" x14ac:dyDescent="0.3">
      <c r="A43" s="439"/>
      <c r="B43" s="864"/>
      <c r="C43" s="113"/>
      <c r="D43" s="904"/>
      <c r="E43" s="905"/>
      <c r="F43" s="906"/>
      <c r="G43" s="113"/>
      <c r="H43" s="584" t="str">
        <f t="shared" ref="H43:H46" si="9">IF(O43&lt;$AF$8,"Achieved",IF(J43&lt;&gt;"n.a.","Disclosed","Secret"))</f>
        <v>Achieved</v>
      </c>
      <c r="I43" s="585">
        <f t="shared" si="6"/>
        <v>28</v>
      </c>
      <c r="J43" s="586" t="s">
        <v>1062</v>
      </c>
      <c r="K43" s="586"/>
      <c r="L43" s="586"/>
      <c r="M43" s="586"/>
      <c r="N43" s="586"/>
      <c r="O43" s="587">
        <f t="shared" si="8"/>
        <v>500000</v>
      </c>
      <c r="P43" s="588" t="str">
        <f t="shared" si="1"/>
        <v>on day 20</v>
      </c>
      <c r="Q43" s="588" t="str">
        <f t="shared" si="2"/>
        <v/>
      </c>
      <c r="R43" s="589" t="str">
        <f t="shared" si="3"/>
        <v/>
      </c>
      <c r="S43" s="112"/>
      <c r="T43" s="112"/>
      <c r="U43" s="112"/>
      <c r="V43" s="112"/>
      <c r="W43" s="112"/>
      <c r="X43" s="112"/>
      <c r="Y43" s="112"/>
      <c r="Z43" s="112"/>
      <c r="AA43" s="112"/>
      <c r="AB43" s="112"/>
      <c r="AC43" s="112"/>
      <c r="AD43" s="112"/>
      <c r="AE43" s="440"/>
      <c r="AF43" s="440"/>
      <c r="AG43" s="441"/>
      <c r="AH43" s="440"/>
      <c r="AI43" s="440"/>
      <c r="AJ43" s="440"/>
      <c r="AK43" s="440"/>
      <c r="AL43" s="440"/>
      <c r="AM43" s="440"/>
      <c r="AN43" s="440"/>
      <c r="AO43" s="440"/>
      <c r="AP43" s="440"/>
      <c r="AQ43" s="440"/>
      <c r="AR43" s="440"/>
      <c r="AS43" s="440"/>
      <c r="AT43" s="440"/>
      <c r="AU43" s="440"/>
      <c r="AV43" s="440"/>
      <c r="AW43" s="440"/>
      <c r="AX43" s="440"/>
      <c r="AY43" s="440"/>
      <c r="AZ43" s="440"/>
      <c r="BA43" s="440"/>
      <c r="BB43" s="440"/>
      <c r="BC43" s="440"/>
      <c r="BD43" s="440"/>
      <c r="BE43" s="440"/>
      <c r="BF43" s="440"/>
      <c r="BG43" s="440"/>
      <c r="BH43" s="440"/>
      <c r="BI43" s="439"/>
      <c r="BJ43" s="439"/>
      <c r="BK43" s="439"/>
      <c r="BL43" s="439"/>
      <c r="BM43" s="439"/>
      <c r="BN43" s="439"/>
      <c r="BO43" s="439"/>
      <c r="BP43" s="439"/>
      <c r="BQ43" s="439"/>
      <c r="BR43" s="439"/>
      <c r="BS43" s="439"/>
      <c r="BT43" s="439"/>
      <c r="BU43" s="439"/>
      <c r="BV43" s="439"/>
      <c r="BW43" s="439"/>
      <c r="BX43" s="439"/>
      <c r="BY43" s="439"/>
      <c r="BZ43" s="439"/>
      <c r="CA43" s="439"/>
      <c r="CB43" s="439"/>
      <c r="CC43" s="439"/>
      <c r="CD43" s="439"/>
      <c r="CE43" s="439"/>
      <c r="CF43" s="439"/>
      <c r="CG43" s="439"/>
      <c r="CH43" s="439"/>
      <c r="CI43" s="439"/>
      <c r="CJ43" s="439"/>
      <c r="CK43" s="439"/>
      <c r="CL43" s="439"/>
      <c r="CM43" s="439"/>
      <c r="CN43" s="439"/>
      <c r="CO43" s="439"/>
    </row>
    <row r="44" spans="1:93" s="443" customFormat="1" ht="18.75" hidden="1" customHeight="1" outlineLevel="1" x14ac:dyDescent="0.3">
      <c r="A44" s="439"/>
      <c r="B44" s="96"/>
      <c r="C44" s="113"/>
      <c r="D44" s="96"/>
      <c r="E44" s="113"/>
      <c r="F44" s="190"/>
      <c r="G44" s="113"/>
      <c r="H44" s="803" t="str">
        <f t="shared" si="9"/>
        <v>Achieved</v>
      </c>
      <c r="I44" s="207">
        <f t="shared" si="6"/>
        <v>29</v>
      </c>
      <c r="J44" s="804" t="s">
        <v>396</v>
      </c>
      <c r="K44" s="804"/>
      <c r="L44" s="804"/>
      <c r="M44" s="804"/>
      <c r="N44" s="804"/>
      <c r="O44" s="805">
        <f t="shared" si="8"/>
        <v>525000</v>
      </c>
      <c r="P44" s="806" t="str">
        <f t="shared" si="1"/>
        <v>on day 21</v>
      </c>
      <c r="Q44" s="806" t="str">
        <f t="shared" si="2"/>
        <v/>
      </c>
      <c r="R44" s="807" t="str">
        <f t="shared" si="3"/>
        <v/>
      </c>
      <c r="S44" s="112"/>
      <c r="T44" s="112"/>
      <c r="U44" s="112"/>
      <c r="V44" s="112"/>
      <c r="W44" s="112"/>
      <c r="X44" s="112"/>
      <c r="Y44" s="112"/>
      <c r="Z44" s="112"/>
      <c r="AA44" s="112"/>
      <c r="AB44" s="112"/>
      <c r="AC44" s="112"/>
      <c r="AD44" s="112"/>
      <c r="AE44" s="440"/>
      <c r="AF44" s="440"/>
      <c r="AG44" s="441"/>
      <c r="AH44" s="440"/>
      <c r="AI44" s="440"/>
      <c r="AJ44" s="440"/>
      <c r="AK44" s="440"/>
      <c r="AL44" s="440"/>
      <c r="AM44" s="440"/>
      <c r="AN44" s="440"/>
      <c r="AO44" s="440"/>
      <c r="AP44" s="440"/>
      <c r="AQ44" s="440"/>
      <c r="AR44" s="440"/>
      <c r="AS44" s="440"/>
      <c r="AT44" s="440"/>
      <c r="AU44" s="440"/>
      <c r="AV44" s="440"/>
      <c r="AW44" s="440"/>
      <c r="AX44" s="440"/>
      <c r="AY44" s="440"/>
      <c r="AZ44" s="440"/>
      <c r="BA44" s="440"/>
      <c r="BB44" s="440"/>
      <c r="BC44" s="440"/>
      <c r="BD44" s="440"/>
      <c r="BE44" s="440"/>
      <c r="BF44" s="440"/>
      <c r="BG44" s="440"/>
      <c r="BH44" s="440"/>
      <c r="BI44" s="439"/>
      <c r="BJ44" s="439"/>
      <c r="BK44" s="439"/>
      <c r="BL44" s="439"/>
      <c r="BM44" s="439"/>
      <c r="BN44" s="439"/>
      <c r="BO44" s="439"/>
      <c r="BP44" s="439"/>
      <c r="BQ44" s="439"/>
      <c r="BR44" s="439"/>
      <c r="BS44" s="439"/>
      <c r="BT44" s="439"/>
      <c r="BU44" s="439"/>
      <c r="BV44" s="439"/>
      <c r="BW44" s="439"/>
      <c r="BX44" s="439"/>
      <c r="BY44" s="439"/>
      <c r="BZ44" s="439"/>
      <c r="CA44" s="439"/>
      <c r="CB44" s="439"/>
      <c r="CC44" s="439"/>
      <c r="CD44" s="439"/>
      <c r="CE44" s="439"/>
      <c r="CF44" s="439"/>
      <c r="CG44" s="439"/>
      <c r="CH44" s="439"/>
      <c r="CI44" s="439"/>
      <c r="CJ44" s="439"/>
      <c r="CK44" s="439"/>
      <c r="CL44" s="439"/>
      <c r="CM44" s="439"/>
      <c r="CN44" s="439"/>
      <c r="CO44" s="439"/>
    </row>
    <row r="45" spans="1:93" s="443" customFormat="1" ht="18.75" hidden="1" customHeight="1" outlineLevel="1" x14ac:dyDescent="0.3">
      <c r="A45" s="439"/>
      <c r="B45" s="96"/>
      <c r="C45" s="113"/>
      <c r="D45" s="96"/>
      <c r="E45" s="113"/>
      <c r="F45" s="190"/>
      <c r="G45" s="113"/>
      <c r="H45" s="803" t="str">
        <f t="shared" si="9"/>
        <v>Achieved</v>
      </c>
      <c r="I45" s="207">
        <f t="shared" si="6"/>
        <v>30</v>
      </c>
      <c r="J45" s="804" t="s">
        <v>396</v>
      </c>
      <c r="K45" s="804"/>
      <c r="L45" s="804"/>
      <c r="M45" s="804"/>
      <c r="N45" s="804"/>
      <c r="O45" s="805">
        <f t="shared" si="8"/>
        <v>550000</v>
      </c>
      <c r="P45" s="806" t="str">
        <f t="shared" si="1"/>
        <v>on day 21</v>
      </c>
      <c r="Q45" s="806" t="str">
        <f t="shared" si="2"/>
        <v/>
      </c>
      <c r="R45" s="807" t="str">
        <f t="shared" si="3"/>
        <v/>
      </c>
      <c r="S45" s="112"/>
      <c r="T45" s="112"/>
      <c r="U45" s="112"/>
      <c r="V45" s="112"/>
      <c r="W45" s="112"/>
      <c r="X45" s="112"/>
      <c r="Y45" s="112"/>
      <c r="Z45" s="112"/>
      <c r="AA45" s="112"/>
      <c r="AB45" s="112"/>
      <c r="AC45" s="112"/>
      <c r="AD45" s="112"/>
      <c r="AE45" s="440"/>
      <c r="AF45" s="440"/>
      <c r="AG45" s="441"/>
      <c r="AH45" s="440"/>
      <c r="AI45" s="440"/>
      <c r="AJ45" s="440"/>
      <c r="AK45" s="440"/>
      <c r="AL45" s="440"/>
      <c r="AM45" s="440"/>
      <c r="AN45" s="440"/>
      <c r="AO45" s="440"/>
      <c r="AP45" s="440"/>
      <c r="AQ45" s="440"/>
      <c r="AR45" s="440"/>
      <c r="AS45" s="440"/>
      <c r="AT45" s="440"/>
      <c r="AU45" s="440"/>
      <c r="AV45" s="440"/>
      <c r="AW45" s="440"/>
      <c r="AX45" s="440"/>
      <c r="AY45" s="440"/>
      <c r="AZ45" s="440"/>
      <c r="BA45" s="440"/>
      <c r="BB45" s="440"/>
      <c r="BC45" s="440"/>
      <c r="BD45" s="440"/>
      <c r="BE45" s="440"/>
      <c r="BF45" s="440"/>
      <c r="BG45" s="440"/>
      <c r="BH45" s="440"/>
      <c r="BI45" s="439"/>
      <c r="BJ45" s="439"/>
      <c r="BK45" s="439"/>
      <c r="BL45" s="439"/>
      <c r="BM45" s="439"/>
      <c r="BN45" s="439"/>
      <c r="BO45" s="439"/>
      <c r="BP45" s="439"/>
      <c r="BQ45" s="439"/>
      <c r="BR45" s="439"/>
      <c r="BS45" s="439"/>
      <c r="BT45" s="439"/>
      <c r="BU45" s="439"/>
      <c r="BV45" s="439"/>
      <c r="BW45" s="439"/>
      <c r="BX45" s="439"/>
      <c r="BY45" s="439"/>
      <c r="BZ45" s="439"/>
      <c r="CA45" s="439"/>
      <c r="CB45" s="439"/>
      <c r="CC45" s="439"/>
      <c r="CD45" s="439"/>
      <c r="CE45" s="439"/>
      <c r="CF45" s="439"/>
      <c r="CG45" s="439"/>
      <c r="CH45" s="439"/>
      <c r="CI45" s="439"/>
      <c r="CJ45" s="439"/>
      <c r="CK45" s="439"/>
      <c r="CL45" s="439"/>
      <c r="CM45" s="439"/>
      <c r="CN45" s="439"/>
      <c r="CO45" s="439"/>
    </row>
    <row r="46" spans="1:93" s="443" customFormat="1" ht="18.75" hidden="1" customHeight="1" outlineLevel="1" thickBot="1" x14ac:dyDescent="0.35">
      <c r="A46" s="439"/>
      <c r="B46" s="96"/>
      <c r="C46" s="113"/>
      <c r="D46" s="96"/>
      <c r="E46" s="113"/>
      <c r="F46" s="190"/>
      <c r="G46" s="113"/>
      <c r="H46" s="584" t="str">
        <f t="shared" si="9"/>
        <v>Secret</v>
      </c>
      <c r="I46" s="585">
        <f t="shared" si="6"/>
        <v>31</v>
      </c>
      <c r="J46" s="586" t="s">
        <v>396</v>
      </c>
      <c r="K46" s="586"/>
      <c r="L46" s="586"/>
      <c r="M46" s="586"/>
      <c r="N46" s="586"/>
      <c r="O46" s="587">
        <f t="shared" si="8"/>
        <v>575000</v>
      </c>
      <c r="P46" s="588" t="str">
        <f t="shared" si="1"/>
        <v>on day 22</v>
      </c>
      <c r="Q46" s="588" t="str">
        <f t="shared" si="2"/>
        <v>missed</v>
      </c>
      <c r="R46" s="589" t="str">
        <f t="shared" si="3"/>
        <v>missed</v>
      </c>
      <c r="S46" s="112"/>
      <c r="T46" s="112"/>
      <c r="U46" s="112"/>
      <c r="V46" s="112"/>
      <c r="W46" s="112"/>
      <c r="X46" s="112"/>
      <c r="Y46" s="112"/>
      <c r="Z46" s="112"/>
      <c r="AA46" s="112"/>
      <c r="AB46" s="112"/>
      <c r="AC46" s="112"/>
      <c r="AD46" s="112"/>
      <c r="AE46" s="440"/>
      <c r="AF46" s="440"/>
      <c r="AG46" s="441"/>
      <c r="AH46" s="440"/>
      <c r="AI46" s="440"/>
      <c r="AJ46" s="440"/>
      <c r="AK46" s="440"/>
      <c r="AL46" s="440"/>
      <c r="AM46" s="440"/>
      <c r="AN46" s="440"/>
      <c r="AO46" s="440"/>
      <c r="AP46" s="440"/>
      <c r="AQ46" s="440"/>
      <c r="AR46" s="440"/>
      <c r="AS46" s="440"/>
      <c r="AT46" s="440"/>
      <c r="AU46" s="440"/>
      <c r="AV46" s="440"/>
      <c r="AW46" s="440"/>
      <c r="AX46" s="440"/>
      <c r="AY46" s="440"/>
      <c r="AZ46" s="440"/>
      <c r="BA46" s="440"/>
      <c r="BB46" s="440"/>
      <c r="BC46" s="440"/>
      <c r="BD46" s="440"/>
      <c r="BE46" s="440"/>
      <c r="BF46" s="440"/>
      <c r="BG46" s="440"/>
      <c r="BH46" s="440"/>
      <c r="BI46" s="439"/>
      <c r="BJ46" s="439"/>
      <c r="BK46" s="439"/>
      <c r="BL46" s="439"/>
      <c r="BM46" s="439"/>
      <c r="BN46" s="439"/>
      <c r="BO46" s="439"/>
      <c r="BP46" s="439"/>
      <c r="BQ46" s="439"/>
      <c r="BR46" s="439"/>
      <c r="BS46" s="439"/>
      <c r="BT46" s="439"/>
      <c r="BU46" s="439"/>
      <c r="BV46" s="439"/>
      <c r="BW46" s="439"/>
      <c r="BX46" s="439"/>
      <c r="BY46" s="439"/>
      <c r="BZ46" s="439"/>
      <c r="CA46" s="439"/>
      <c r="CB46" s="439"/>
      <c r="CC46" s="439"/>
      <c r="CD46" s="439"/>
      <c r="CE46" s="439"/>
      <c r="CF46" s="439"/>
      <c r="CG46" s="439"/>
      <c r="CH46" s="439"/>
      <c r="CI46" s="439"/>
      <c r="CJ46" s="439"/>
      <c r="CK46" s="439"/>
      <c r="CL46" s="439"/>
      <c r="CM46" s="439"/>
      <c r="CN46" s="439"/>
      <c r="CO46" s="439"/>
    </row>
    <row r="47" spans="1:93" s="2" customFormat="1" ht="18.75" customHeight="1" collapsed="1" thickBot="1" x14ac:dyDescent="0.35">
      <c r="A47" s="102"/>
      <c r="B47" s="96"/>
      <c r="C47" s="113"/>
      <c r="D47" s="96"/>
      <c r="E47" s="96"/>
      <c r="F47" s="113"/>
      <c r="G47" s="113"/>
      <c r="H47" s="195"/>
      <c r="I47" s="195"/>
      <c r="J47" s="195"/>
      <c r="K47" s="113"/>
      <c r="L47" s="111"/>
      <c r="M47" s="113"/>
      <c r="N47" s="96"/>
      <c r="O47" s="96"/>
      <c r="P47" s="96"/>
      <c r="Q47" s="96"/>
      <c r="R47" s="96"/>
      <c r="S47" s="96"/>
      <c r="T47" s="96"/>
      <c r="U47" s="96"/>
      <c r="V47" s="96"/>
      <c r="W47" s="96"/>
      <c r="X47" s="96"/>
      <c r="Y47" s="96"/>
      <c r="Z47" s="96"/>
      <c r="AA47" s="96"/>
      <c r="AB47" s="96"/>
      <c r="AC47" s="96"/>
      <c r="AD47" s="96"/>
      <c r="AE47" s="23"/>
      <c r="AF47" s="23"/>
      <c r="AG47" s="3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row>
    <row r="48" spans="1:93" s="2" customFormat="1" ht="19.5" thickBot="1" x14ac:dyDescent="0.35">
      <c r="A48" s="102"/>
      <c r="B48" s="925" t="s">
        <v>753</v>
      </c>
      <c r="C48" s="926"/>
      <c r="D48" s="926"/>
      <c r="E48" s="926"/>
      <c r="F48" s="927"/>
      <c r="G48" s="113"/>
      <c r="H48" s="195"/>
      <c r="I48" s="934" t="s">
        <v>754</v>
      </c>
      <c r="J48" s="935"/>
      <c r="K48" s="936"/>
      <c r="L48" s="937" t="s">
        <v>755</v>
      </c>
      <c r="M48" s="938"/>
      <c r="N48" s="892" t="s">
        <v>756</v>
      </c>
      <c r="O48" s="892"/>
      <c r="P48" s="892"/>
      <c r="Q48" s="892"/>
      <c r="R48" s="892"/>
      <c r="S48" s="892"/>
      <c r="T48" s="892"/>
      <c r="U48" s="892"/>
      <c r="V48" s="892"/>
      <c r="W48" s="892"/>
      <c r="X48" s="892" t="s">
        <v>757</v>
      </c>
      <c r="Y48" s="892"/>
      <c r="Z48" s="892"/>
      <c r="AA48" s="892"/>
      <c r="AB48" s="892"/>
      <c r="AC48" s="892"/>
      <c r="AD48" s="892"/>
      <c r="AE48" s="23"/>
      <c r="AF48" s="23"/>
      <c r="AG48" s="472"/>
      <c r="AH48" s="23"/>
      <c r="AI48" s="23"/>
      <c r="AJ48" s="23"/>
      <c r="AK48" s="545" t="s">
        <v>409</v>
      </c>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row>
    <row r="49" spans="1:93" s="2" customFormat="1" ht="18.75" x14ac:dyDescent="0.3">
      <c r="A49" s="102"/>
      <c r="B49" s="96"/>
      <c r="C49" s="113"/>
      <c r="D49" s="96"/>
      <c r="E49" s="113"/>
      <c r="F49" s="113"/>
      <c r="G49" s="113"/>
      <c r="H49" s="195"/>
      <c r="I49" s="703" t="s">
        <v>10</v>
      </c>
      <c r="J49" s="214" t="s">
        <v>589</v>
      </c>
      <c r="K49" s="215" t="s">
        <v>590</v>
      </c>
      <c r="L49" s="227" t="s">
        <v>72</v>
      </c>
      <c r="M49" s="215" t="s">
        <v>71</v>
      </c>
      <c r="N49" s="242" t="s">
        <v>10</v>
      </c>
      <c r="O49" s="547" t="s">
        <v>10</v>
      </c>
      <c r="P49" s="548" t="s">
        <v>10</v>
      </c>
      <c r="Q49" s="549" t="s">
        <v>10</v>
      </c>
      <c r="R49" s="613" t="s">
        <v>10</v>
      </c>
      <c r="S49" s="550" t="s">
        <v>10</v>
      </c>
      <c r="T49" s="319" t="s">
        <v>10</v>
      </c>
      <c r="U49" s="316" t="s">
        <v>10</v>
      </c>
      <c r="V49" s="551" t="s">
        <v>10</v>
      </c>
      <c r="W49" s="463" t="s">
        <v>10</v>
      </c>
      <c r="X49" s="321" t="s">
        <v>10</v>
      </c>
      <c r="Y49" s="349" t="s">
        <v>10</v>
      </c>
      <c r="Z49" s="111" t="s">
        <v>10</v>
      </c>
      <c r="AA49" s="314" t="s">
        <v>10</v>
      </c>
      <c r="AB49" s="327" t="s">
        <v>10</v>
      </c>
      <c r="AC49" s="595" t="s">
        <v>10</v>
      </c>
      <c r="AD49" s="596" t="s">
        <v>10</v>
      </c>
      <c r="AE49" s="23"/>
      <c r="AF49" s="23"/>
      <c r="AG49" s="54"/>
      <c r="AH49" s="23"/>
      <c r="AI49" s="23"/>
      <c r="AJ49" s="23"/>
      <c r="AK49" s="23"/>
      <c r="AL49" s="23"/>
      <c r="AM49" s="23"/>
      <c r="AN49" s="23"/>
      <c r="AO49" s="868" t="s">
        <v>40</v>
      </c>
      <c r="AP49" s="868"/>
      <c r="AQ49" s="23"/>
      <c r="AR49" s="23"/>
      <c r="AS49" s="23"/>
      <c r="AT49" s="23"/>
      <c r="AU49" s="23"/>
      <c r="AV49" s="23"/>
      <c r="AW49" s="869" t="s">
        <v>69</v>
      </c>
      <c r="AX49" s="869"/>
      <c r="AY49" s="870" t="s">
        <v>70</v>
      </c>
      <c r="AZ49" s="870"/>
      <c r="BA49" s="865" t="s">
        <v>37</v>
      </c>
      <c r="BB49" s="866"/>
      <c r="BC49" s="866"/>
      <c r="BD49" s="867"/>
      <c r="BE49" s="865" t="s">
        <v>38</v>
      </c>
      <c r="BF49" s="866"/>
      <c r="BG49" s="866"/>
      <c r="BH49" s="867"/>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row>
    <row r="50" spans="1:93" s="53" customFormat="1" ht="60.75" thickBot="1" x14ac:dyDescent="0.35">
      <c r="A50" s="103"/>
      <c r="B50" s="111"/>
      <c r="C50" s="111"/>
      <c r="D50" s="111"/>
      <c r="E50" s="111"/>
      <c r="F50" s="111"/>
      <c r="G50" s="207" t="s">
        <v>764</v>
      </c>
      <c r="H50" s="207" t="s">
        <v>624</v>
      </c>
      <c r="I50" s="704" t="s">
        <v>763</v>
      </c>
      <c r="J50" s="216" t="s">
        <v>763</v>
      </c>
      <c r="K50" s="217" t="s">
        <v>763</v>
      </c>
      <c r="L50" s="228" t="s">
        <v>755</v>
      </c>
      <c r="M50" s="217" t="s">
        <v>755</v>
      </c>
      <c r="N50" s="466" t="s">
        <v>107</v>
      </c>
      <c r="O50" s="552" t="s">
        <v>391</v>
      </c>
      <c r="P50" s="553" t="s">
        <v>392</v>
      </c>
      <c r="Q50" s="554" t="s">
        <v>403</v>
      </c>
      <c r="R50" s="614" t="s">
        <v>421</v>
      </c>
      <c r="S50" s="555" t="s">
        <v>57</v>
      </c>
      <c r="T50" s="320" t="s">
        <v>206</v>
      </c>
      <c r="U50" s="467" t="s">
        <v>394</v>
      </c>
      <c r="V50" s="556" t="s">
        <v>108</v>
      </c>
      <c r="W50" s="468" t="s">
        <v>395</v>
      </c>
      <c r="X50" s="322" t="s">
        <v>92</v>
      </c>
      <c r="Y50" s="350" t="s">
        <v>393</v>
      </c>
      <c r="Z50" s="444" t="s">
        <v>98</v>
      </c>
      <c r="AA50" s="447" t="s">
        <v>257</v>
      </c>
      <c r="AB50" s="328" t="s">
        <v>423</v>
      </c>
      <c r="AC50" s="593" t="s">
        <v>422</v>
      </c>
      <c r="AD50" s="351" t="s">
        <v>439</v>
      </c>
      <c r="AE50" s="54"/>
      <c r="AF50" s="54"/>
      <c r="AG50" s="473"/>
      <c r="AH50" s="50" t="s">
        <v>12</v>
      </c>
      <c r="AI50" s="304" t="s">
        <v>13</v>
      </c>
      <c r="AJ50" s="304" t="s">
        <v>8</v>
      </c>
      <c r="AK50" s="50" t="s">
        <v>15</v>
      </c>
      <c r="AL50" s="50" t="s">
        <v>14</v>
      </c>
      <c r="AM50" s="50" t="s">
        <v>16</v>
      </c>
      <c r="AN50" s="50" t="s">
        <v>17</v>
      </c>
      <c r="AO50" s="50" t="s">
        <v>18</v>
      </c>
      <c r="AP50" s="50" t="s">
        <v>21</v>
      </c>
      <c r="AQ50" s="50" t="s">
        <v>24</v>
      </c>
      <c r="AR50" s="50" t="s">
        <v>20</v>
      </c>
      <c r="AS50" s="50" t="s">
        <v>23</v>
      </c>
      <c r="AT50" s="51" t="s">
        <v>22</v>
      </c>
      <c r="AU50" s="50" t="s">
        <v>26</v>
      </c>
      <c r="AV50" s="50" t="s">
        <v>25</v>
      </c>
      <c r="AW50" s="158" t="s">
        <v>39</v>
      </c>
      <c r="AX50" s="173" t="s">
        <v>21</v>
      </c>
      <c r="AY50" s="159" t="s">
        <v>39</v>
      </c>
      <c r="AZ50" s="174" t="s">
        <v>21</v>
      </c>
      <c r="BA50" s="50" t="s">
        <v>39</v>
      </c>
      <c r="BB50" s="52" t="s">
        <v>19</v>
      </c>
      <c r="BC50" s="50" t="s">
        <v>21</v>
      </c>
      <c r="BD50" s="52" t="s">
        <v>19</v>
      </c>
      <c r="BE50" s="50" t="s">
        <v>39</v>
      </c>
      <c r="BF50" s="52" t="s">
        <v>19</v>
      </c>
      <c r="BG50" s="50" t="s">
        <v>21</v>
      </c>
      <c r="BH50" s="52" t="s">
        <v>19</v>
      </c>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row>
    <row r="51" spans="1:93" s="64" customFormat="1" ht="15.75" thickBot="1" x14ac:dyDescent="0.35">
      <c r="A51" s="104"/>
      <c r="B51" s="112"/>
      <c r="C51" s="164"/>
      <c r="D51" s="112"/>
      <c r="E51" s="164"/>
      <c r="F51" s="164"/>
      <c r="G51" s="108">
        <v>0</v>
      </c>
      <c r="H51" s="129">
        <f>AL51</f>
        <v>45685.75</v>
      </c>
      <c r="I51" s="229">
        <f>AO51</f>
        <v>0</v>
      </c>
      <c r="J51" s="219">
        <f>AW51</f>
        <v>0</v>
      </c>
      <c r="K51" s="220">
        <f>AY51</f>
        <v>0</v>
      </c>
      <c r="L51" s="229">
        <f>BA51</f>
        <v>0</v>
      </c>
      <c r="M51" s="230">
        <f>BE51</f>
        <v>0</v>
      </c>
      <c r="N51" s="229">
        <v>0</v>
      </c>
      <c r="O51" s="557">
        <v>0</v>
      </c>
      <c r="P51" s="557">
        <v>0</v>
      </c>
      <c r="Q51" s="557">
        <v>0</v>
      </c>
      <c r="R51" s="557">
        <v>0</v>
      </c>
      <c r="S51" s="557">
        <v>0</v>
      </c>
      <c r="T51" s="229">
        <v>0</v>
      </c>
      <c r="U51" s="230">
        <v>0</v>
      </c>
      <c r="V51" s="558">
        <v>0</v>
      </c>
      <c r="W51" s="230">
        <v>0</v>
      </c>
      <c r="X51" s="218">
        <v>0</v>
      </c>
      <c r="Y51" s="406">
        <v>0</v>
      </c>
      <c r="Z51" s="406">
        <v>0</v>
      </c>
      <c r="AA51" s="221">
        <v>0</v>
      </c>
      <c r="AB51" s="218">
        <v>0</v>
      </c>
      <c r="AC51" s="406">
        <v>0</v>
      </c>
      <c r="AD51" s="221">
        <v>0</v>
      </c>
      <c r="AE51" s="40"/>
      <c r="AF51" s="40"/>
      <c r="AG51" s="474"/>
      <c r="AH51" s="68">
        <v>0</v>
      </c>
      <c r="AI51" s="305">
        <f>WEEKDAY(AJ51)</f>
        <v>3</v>
      </c>
      <c r="AJ51" s="306">
        <f>AF3</f>
        <v>45685</v>
      </c>
      <c r="AK51" s="55">
        <v>0.75</v>
      </c>
      <c r="AL51" s="56">
        <f>AJ51+AK51</f>
        <v>45685.75</v>
      </c>
      <c r="AM51" s="57"/>
      <c r="AN51" s="57"/>
      <c r="AO51" s="58">
        <v>0</v>
      </c>
      <c r="AP51" s="31">
        <v>0</v>
      </c>
      <c r="AQ51" s="59"/>
      <c r="AR51" s="60"/>
      <c r="AS51" s="60"/>
      <c r="AT51" s="61"/>
      <c r="AU51" s="62"/>
      <c r="AV51" s="61"/>
      <c r="AW51" s="205">
        <f>AO51</f>
        <v>0</v>
      </c>
      <c r="AX51" s="206">
        <f>AP51</f>
        <v>0</v>
      </c>
      <c r="AY51" s="205">
        <f>AO51</f>
        <v>0</v>
      </c>
      <c r="AZ51" s="206">
        <f>AP51</f>
        <v>0</v>
      </c>
      <c r="BA51" s="60">
        <f>BF51</f>
        <v>0</v>
      </c>
      <c r="BB51" s="63"/>
      <c r="BC51" s="42"/>
      <c r="BD51" s="48"/>
      <c r="BE51" s="60"/>
      <c r="BF51" s="63"/>
      <c r="BG51" s="42"/>
      <c r="BH51" s="48"/>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row>
    <row r="52" spans="1:93" s="64" customFormat="1" ht="15.75" thickBot="1" x14ac:dyDescent="0.35">
      <c r="A52" s="104"/>
      <c r="B52" s="112"/>
      <c r="C52" s="164"/>
      <c r="D52" s="112"/>
      <c r="E52" s="164"/>
      <c r="F52" s="164"/>
      <c r="G52" s="108">
        <v>1</v>
      </c>
      <c r="H52" s="129">
        <f t="shared" ref="H52:H72" si="10">AL52</f>
        <v>45686.75</v>
      </c>
      <c r="I52" s="229">
        <f t="shared" ref="I52:I72" si="11">AO52</f>
        <v>183428.34</v>
      </c>
      <c r="J52" s="219">
        <f t="shared" ref="J52:J72" si="12">AW52</f>
        <v>183428.34</v>
      </c>
      <c r="K52" s="220">
        <f t="shared" ref="K52:K72" si="13">AY52</f>
        <v>183428.34</v>
      </c>
      <c r="L52" s="229">
        <f t="shared" ref="L52:L72" si="14">BA52</f>
        <v>183428.34</v>
      </c>
      <c r="M52" s="230">
        <f t="shared" ref="M52:M71" si="15">BE52</f>
        <v>183428.34</v>
      </c>
      <c r="N52" s="434"/>
      <c r="O52" s="219">
        <v>89735</v>
      </c>
      <c r="P52" s="219">
        <v>97183</v>
      </c>
      <c r="Q52" s="219">
        <v>88345</v>
      </c>
      <c r="R52" s="219">
        <v>117333.01</v>
      </c>
      <c r="S52" s="219">
        <v>82966</v>
      </c>
      <c r="T52" s="229">
        <v>25960</v>
      </c>
      <c r="U52" s="220">
        <v>39596</v>
      </c>
      <c r="V52" s="559">
        <v>43437</v>
      </c>
      <c r="W52" s="220">
        <v>76466</v>
      </c>
      <c r="X52" s="431">
        <v>36402</v>
      </c>
      <c r="Y52" s="432">
        <v>26725</v>
      </c>
      <c r="Z52" s="432">
        <v>8357</v>
      </c>
      <c r="AA52" s="221">
        <v>17251</v>
      </c>
      <c r="AB52" s="431">
        <v>14771</v>
      </c>
      <c r="AC52" s="432">
        <v>19612</v>
      </c>
      <c r="AD52" s="433"/>
      <c r="AE52" s="40"/>
      <c r="AF52" s="40"/>
      <c r="AG52" s="475"/>
      <c r="AH52" s="68">
        <v>1</v>
      </c>
      <c r="AI52" s="435" t="s">
        <v>7</v>
      </c>
      <c r="AJ52" s="436">
        <f>AJ51+1</f>
        <v>45686</v>
      </c>
      <c r="AK52" s="55">
        <v>0.75</v>
      </c>
      <c r="AL52" s="56">
        <f t="shared" ref="AL52:AL72" si="16">AJ52+AK52</f>
        <v>45686.75</v>
      </c>
      <c r="AM52" s="57">
        <f t="shared" ref="AM52:AM72" si="17">AL52-$AL$51</f>
        <v>1</v>
      </c>
      <c r="AN52" s="57">
        <f>AM52-AM51</f>
        <v>1</v>
      </c>
      <c r="AO52" s="65">
        <v>183428.34</v>
      </c>
      <c r="AP52" s="66">
        <v>929</v>
      </c>
      <c r="AQ52" s="437">
        <f t="shared" ref="AQ52:AQ72" si="18">AP52-AP51</f>
        <v>929</v>
      </c>
      <c r="AR52" s="438">
        <f>AO52-AO51</f>
        <v>183428.34</v>
      </c>
      <c r="AS52" s="60">
        <f t="shared" ref="AS52:AS72" si="19">AO52/AM52</f>
        <v>183428.34</v>
      </c>
      <c r="AT52" s="61">
        <f t="shared" ref="AT52:AT72" si="20">AO52/AP52</f>
        <v>197.44708288482238</v>
      </c>
      <c r="AU52" s="62">
        <f>(AR52-AO51)/(AQ52-AP51)</f>
        <v>197.44708288482238</v>
      </c>
      <c r="AV52" s="62">
        <f>SUM(AR52:AR52)/SUM(AQ52:AQ52)</f>
        <v>197.44708288482238</v>
      </c>
      <c r="AW52" s="65">
        <f>AO52</f>
        <v>183428.34</v>
      </c>
      <c r="AX52" s="66">
        <f>AP52</f>
        <v>929</v>
      </c>
      <c r="AY52" s="65">
        <f>AO52</f>
        <v>183428.34</v>
      </c>
      <c r="AZ52" s="66">
        <f>AP52</f>
        <v>929</v>
      </c>
      <c r="BA52" s="60">
        <f>AO52</f>
        <v>183428.34</v>
      </c>
      <c r="BB52" s="60">
        <f>AO52-BA52</f>
        <v>0</v>
      </c>
      <c r="BC52" s="67">
        <f>AP52</f>
        <v>929</v>
      </c>
      <c r="BD52" s="42">
        <f>AP52-BC52</f>
        <v>0</v>
      </c>
      <c r="BE52" s="60">
        <f>BA52</f>
        <v>183428.34</v>
      </c>
      <c r="BF52" s="60">
        <f>AO52-BE52</f>
        <v>0</v>
      </c>
      <c r="BG52" s="67">
        <f>BC52</f>
        <v>929</v>
      </c>
      <c r="BH52" s="42">
        <f>AP52-BG52</f>
        <v>0</v>
      </c>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row>
    <row r="53" spans="1:93" s="64" customFormat="1" x14ac:dyDescent="0.3">
      <c r="A53" s="104"/>
      <c r="B53" s="112"/>
      <c r="C53" s="164"/>
      <c r="D53" s="112"/>
      <c r="E53" s="164"/>
      <c r="F53" s="164"/>
      <c r="G53" s="108">
        <v>2</v>
      </c>
      <c r="H53" s="129">
        <f t="shared" si="10"/>
        <v>45687.75</v>
      </c>
      <c r="I53" s="229">
        <f t="shared" ref="I53:I57" si="21">AO53</f>
        <v>211630.27</v>
      </c>
      <c r="J53" s="219">
        <f t="shared" ref="J53:J57" si="22">AW53</f>
        <v>211630.27</v>
      </c>
      <c r="K53" s="220">
        <f t="shared" ref="K53:K57" si="23">AY53</f>
        <v>211630.27</v>
      </c>
      <c r="L53" s="229">
        <f t="shared" ref="L53:L57" si="24">BA53</f>
        <v>211630.27</v>
      </c>
      <c r="M53" s="230">
        <f t="shared" ref="M53:M57" si="25">BE53</f>
        <v>211630.27</v>
      </c>
      <c r="N53" s="434">
        <v>65000</v>
      </c>
      <c r="O53" s="219">
        <v>114003</v>
      </c>
      <c r="P53" s="219">
        <v>121393</v>
      </c>
      <c r="Q53" s="219">
        <v>113466</v>
      </c>
      <c r="R53" s="219">
        <v>142540.60999999999</v>
      </c>
      <c r="S53" s="219">
        <v>96328</v>
      </c>
      <c r="T53" s="229">
        <v>35712</v>
      </c>
      <c r="U53" s="220">
        <v>55623</v>
      </c>
      <c r="V53" s="559">
        <v>49522</v>
      </c>
      <c r="W53" s="220">
        <v>100197</v>
      </c>
      <c r="X53" s="431">
        <v>42659</v>
      </c>
      <c r="Y53" s="432">
        <v>32416</v>
      </c>
      <c r="Z53" s="432">
        <v>11433</v>
      </c>
      <c r="AA53" s="480"/>
      <c r="AB53" s="431">
        <v>16764</v>
      </c>
      <c r="AC53" s="432">
        <v>24532</v>
      </c>
      <c r="AD53" s="433"/>
      <c r="AE53" s="40"/>
      <c r="AF53" s="40"/>
      <c r="AG53" s="475"/>
      <c r="AH53" s="68">
        <v>2</v>
      </c>
      <c r="AI53" s="435">
        <f t="shared" ref="AI53:AI72" si="26">WEEKDAY(AJ53)</f>
        <v>5</v>
      </c>
      <c r="AJ53" s="436">
        <f t="shared" ref="AJ53:AJ72" si="27">AJ52+1</f>
        <v>45687</v>
      </c>
      <c r="AK53" s="55">
        <v>0.75</v>
      </c>
      <c r="AL53" s="56">
        <f t="shared" si="16"/>
        <v>45687.75</v>
      </c>
      <c r="AM53" s="57">
        <f t="shared" si="17"/>
        <v>2</v>
      </c>
      <c r="AN53" s="57">
        <f t="shared" ref="AN53:AN72" si="28">AM53-AM52</f>
        <v>1</v>
      </c>
      <c r="AO53" s="65">
        <v>211630.27</v>
      </c>
      <c r="AP53" s="66">
        <v>1062</v>
      </c>
      <c r="AQ53" s="502">
        <f t="shared" si="18"/>
        <v>133</v>
      </c>
      <c r="AR53" s="60">
        <f t="shared" ref="AR53:AR58" si="29">AO53-AO52</f>
        <v>28201.929999999993</v>
      </c>
      <c r="AS53" s="60">
        <f t="shared" si="19"/>
        <v>105815.13499999999</v>
      </c>
      <c r="AT53" s="61">
        <f t="shared" si="20"/>
        <v>199.27520715630885</v>
      </c>
      <c r="AU53" s="62">
        <f t="shared" ref="AU53:AU72" si="30">AR53/AQ53</f>
        <v>212.04458646616536</v>
      </c>
      <c r="AV53" s="62">
        <f>SUM(AR52:AR53)/SUM(AQ52:AQ53)</f>
        <v>199.27520715630885</v>
      </c>
      <c r="AW53" s="65">
        <f t="shared" ref="AW53" si="31">AO53</f>
        <v>211630.27</v>
      </c>
      <c r="AX53" s="66">
        <f t="shared" ref="AX53" si="32">AP53</f>
        <v>1062</v>
      </c>
      <c r="AY53" s="65">
        <f t="shared" ref="AY53" si="33">AO53</f>
        <v>211630.27</v>
      </c>
      <c r="AZ53" s="66">
        <f t="shared" ref="AZ53" si="34">AP53</f>
        <v>1062</v>
      </c>
      <c r="BA53" s="60">
        <f>AO53</f>
        <v>211630.27</v>
      </c>
      <c r="BB53" s="60">
        <f>AO53-BA53</f>
        <v>0</v>
      </c>
      <c r="BC53" s="67">
        <f>AP53</f>
        <v>1062</v>
      </c>
      <c r="BD53" s="42">
        <f t="shared" ref="BD53" si="35">AP53-BC53</f>
        <v>0</v>
      </c>
      <c r="BE53" s="60">
        <f>BA53</f>
        <v>211630.27</v>
      </c>
      <c r="BF53" s="60">
        <f t="shared" ref="BF53" si="36">AO53-BE53</f>
        <v>0</v>
      </c>
      <c r="BG53" s="67">
        <f>BC53</f>
        <v>1062</v>
      </c>
      <c r="BH53" s="42">
        <f t="shared" ref="BH53" si="37">AP53-BG53</f>
        <v>0</v>
      </c>
      <c r="BI53" s="112"/>
      <c r="BJ53" s="112"/>
      <c r="BK53" s="112"/>
      <c r="BL53" s="112"/>
      <c r="BM53" s="112"/>
      <c r="BN53" s="112"/>
      <c r="BO53" s="112"/>
      <c r="BP53" s="112"/>
      <c r="BQ53" s="112"/>
      <c r="BR53" s="112"/>
      <c r="BS53" s="112"/>
      <c r="BT53" s="112"/>
      <c r="BU53" s="112"/>
      <c r="BV53" s="112"/>
      <c r="BW53" s="112"/>
      <c r="BX53" s="112"/>
      <c r="BY53" s="112"/>
      <c r="BZ53" s="112"/>
      <c r="CA53" s="112"/>
      <c r="CB53" s="112"/>
      <c r="CC53" s="112"/>
      <c r="CD53" s="112"/>
      <c r="CE53" s="112"/>
      <c r="CF53" s="112"/>
      <c r="CG53" s="112"/>
      <c r="CH53" s="112"/>
      <c r="CI53" s="112"/>
      <c r="CJ53" s="112"/>
      <c r="CK53" s="112"/>
      <c r="CL53" s="112"/>
      <c r="CM53" s="112"/>
      <c r="CN53" s="112"/>
      <c r="CO53" s="112"/>
    </row>
    <row r="54" spans="1:93" s="64" customFormat="1" x14ac:dyDescent="0.3">
      <c r="A54" s="104"/>
      <c r="B54" s="112"/>
      <c r="C54" s="164"/>
      <c r="D54" s="112"/>
      <c r="E54" s="164"/>
      <c r="F54" s="164"/>
      <c r="G54" s="108">
        <v>3</v>
      </c>
      <c r="H54" s="129">
        <f t="shared" si="10"/>
        <v>45688.75</v>
      </c>
      <c r="I54" s="229">
        <f t="shared" si="21"/>
        <v>226553.17</v>
      </c>
      <c r="J54" s="219">
        <f t="shared" si="22"/>
        <v>226553.17</v>
      </c>
      <c r="K54" s="220">
        <f t="shared" si="23"/>
        <v>226553.17</v>
      </c>
      <c r="L54" s="229">
        <f t="shared" si="24"/>
        <v>226553.17</v>
      </c>
      <c r="M54" s="230">
        <f t="shared" si="25"/>
        <v>226553.17</v>
      </c>
      <c r="N54" s="434"/>
      <c r="O54" s="219">
        <v>122519</v>
      </c>
      <c r="P54" s="219">
        <v>143837</v>
      </c>
      <c r="Q54" s="219">
        <v>126235</v>
      </c>
      <c r="R54" s="219">
        <v>158884.32</v>
      </c>
      <c r="S54" s="219">
        <v>115147</v>
      </c>
      <c r="T54" s="229">
        <v>39341</v>
      </c>
      <c r="U54" s="220">
        <v>65490</v>
      </c>
      <c r="V54" s="559">
        <v>53901</v>
      </c>
      <c r="W54" s="220">
        <v>110488</v>
      </c>
      <c r="X54" s="431">
        <v>45273</v>
      </c>
      <c r="Y54" s="432">
        <v>38191</v>
      </c>
      <c r="Z54" s="432">
        <v>13158</v>
      </c>
      <c r="AA54" s="480"/>
      <c r="AB54" s="431">
        <v>17674</v>
      </c>
      <c r="AC54" s="432">
        <v>27671</v>
      </c>
      <c r="AD54" s="433"/>
      <c r="AE54" s="40"/>
      <c r="AF54" s="40"/>
      <c r="AG54" s="475"/>
      <c r="AH54" s="68">
        <v>3</v>
      </c>
      <c r="AI54" s="435">
        <f t="shared" si="26"/>
        <v>6</v>
      </c>
      <c r="AJ54" s="436">
        <f t="shared" si="27"/>
        <v>45688</v>
      </c>
      <c r="AK54" s="55">
        <v>0.75</v>
      </c>
      <c r="AL54" s="56">
        <f t="shared" si="16"/>
        <v>45688.75</v>
      </c>
      <c r="AM54" s="57">
        <f t="shared" si="17"/>
        <v>3</v>
      </c>
      <c r="AN54" s="57">
        <f t="shared" si="28"/>
        <v>1</v>
      </c>
      <c r="AO54" s="65">
        <v>226553.17</v>
      </c>
      <c r="AP54" s="66">
        <v>1134</v>
      </c>
      <c r="AQ54" s="502">
        <f t="shared" si="18"/>
        <v>72</v>
      </c>
      <c r="AR54" s="60">
        <f t="shared" si="29"/>
        <v>14922.900000000023</v>
      </c>
      <c r="AS54" s="60">
        <f t="shared" si="19"/>
        <v>75517.723333333342</v>
      </c>
      <c r="AT54" s="61">
        <f t="shared" si="20"/>
        <v>199.7823368606702</v>
      </c>
      <c r="AU54" s="62">
        <f t="shared" si="30"/>
        <v>207.26250000000033</v>
      </c>
      <c r="AV54" s="62">
        <f>SUM(AR52:AR54)/SUM(AQ52:AQ54)</f>
        <v>199.7823368606702</v>
      </c>
      <c r="AW54" s="65">
        <f t="shared" ref="AW54:AW55" si="38">AO54</f>
        <v>226553.17</v>
      </c>
      <c r="AX54" s="66">
        <f t="shared" ref="AX54:AX55" si="39">AP54</f>
        <v>1134</v>
      </c>
      <c r="AY54" s="65">
        <f t="shared" ref="AY54:AY55" si="40">AO54</f>
        <v>226553.17</v>
      </c>
      <c r="AZ54" s="66">
        <f t="shared" ref="AZ54:AZ55" si="41">AP54</f>
        <v>1134</v>
      </c>
      <c r="BA54" s="60">
        <f t="shared" ref="BA54:BA55" si="42">AO54</f>
        <v>226553.17</v>
      </c>
      <c r="BB54" s="60">
        <f t="shared" ref="BB54:BB55" si="43">AO54-BA54</f>
        <v>0</v>
      </c>
      <c r="BC54" s="67">
        <f t="shared" ref="BC54:BC55" si="44">AP54</f>
        <v>1134</v>
      </c>
      <c r="BD54" s="42">
        <f t="shared" ref="BD54:BD55" si="45">AP54-BC54</f>
        <v>0</v>
      </c>
      <c r="BE54" s="60">
        <f t="shared" ref="BE54:BE55" si="46">BA54</f>
        <v>226553.17</v>
      </c>
      <c r="BF54" s="60">
        <f t="shared" ref="BF54:BF55" si="47">AO54-BE54</f>
        <v>0</v>
      </c>
      <c r="BG54" s="67">
        <f t="shared" ref="BG54:BG55" si="48">BC54</f>
        <v>1134</v>
      </c>
      <c r="BH54" s="42">
        <f t="shared" ref="BH54:BH55" si="49">AP54-BG54</f>
        <v>0</v>
      </c>
      <c r="BI54" s="112"/>
      <c r="BJ54" s="112"/>
      <c r="BK54" s="112"/>
      <c r="BL54" s="112"/>
      <c r="BM54" s="112"/>
      <c r="BN54" s="112"/>
      <c r="BO54" s="112"/>
      <c r="BP54" s="112"/>
      <c r="BQ54" s="112"/>
      <c r="BR54" s="112"/>
      <c r="BS54" s="112"/>
      <c r="BT54" s="112"/>
      <c r="BU54" s="112"/>
      <c r="BV54" s="112"/>
      <c r="BW54" s="112"/>
      <c r="BX54" s="112"/>
      <c r="BY54" s="112"/>
      <c r="BZ54" s="112"/>
      <c r="CA54" s="112"/>
      <c r="CB54" s="112"/>
      <c r="CC54" s="112"/>
      <c r="CD54" s="112"/>
      <c r="CE54" s="112"/>
      <c r="CF54" s="112"/>
      <c r="CG54" s="112"/>
      <c r="CH54" s="112"/>
      <c r="CI54" s="112"/>
      <c r="CJ54" s="112"/>
      <c r="CK54" s="112"/>
      <c r="CL54" s="112"/>
      <c r="CM54" s="112"/>
      <c r="CN54" s="112"/>
      <c r="CO54" s="112"/>
    </row>
    <row r="55" spans="1:93" s="64" customFormat="1" x14ac:dyDescent="0.3">
      <c r="A55" s="104"/>
      <c r="B55" s="112"/>
      <c r="C55" s="164"/>
      <c r="D55" s="112"/>
      <c r="E55" s="164"/>
      <c r="F55" s="164"/>
      <c r="G55" s="108">
        <v>4</v>
      </c>
      <c r="H55" s="129">
        <f t="shared" si="10"/>
        <v>45689.75</v>
      </c>
      <c r="I55" s="229">
        <f t="shared" si="21"/>
        <v>277418.56</v>
      </c>
      <c r="J55" s="219">
        <f t="shared" si="22"/>
        <v>277418.56</v>
      </c>
      <c r="K55" s="220">
        <f t="shared" si="23"/>
        <v>277418.56</v>
      </c>
      <c r="L55" s="229">
        <f t="shared" si="24"/>
        <v>277418.56</v>
      </c>
      <c r="M55" s="230">
        <f t="shared" si="25"/>
        <v>277418.56</v>
      </c>
      <c r="N55" s="434"/>
      <c r="O55" s="219">
        <v>127604</v>
      </c>
      <c r="P55" s="219">
        <v>156839</v>
      </c>
      <c r="Q55" s="219">
        <v>134183</v>
      </c>
      <c r="R55" s="219">
        <v>172623.29</v>
      </c>
      <c r="S55" s="219">
        <v>123834</v>
      </c>
      <c r="T55" s="229">
        <v>43256</v>
      </c>
      <c r="U55" s="220">
        <v>69834</v>
      </c>
      <c r="V55" s="559">
        <v>59963</v>
      </c>
      <c r="W55" s="220">
        <v>117325</v>
      </c>
      <c r="X55" s="431">
        <v>47957</v>
      </c>
      <c r="Y55" s="432">
        <v>41597</v>
      </c>
      <c r="Z55" s="432">
        <v>14235</v>
      </c>
      <c r="AA55" s="480"/>
      <c r="AB55" s="431">
        <v>18881</v>
      </c>
      <c r="AC55" s="432">
        <v>30324</v>
      </c>
      <c r="AD55" s="433"/>
      <c r="AE55" s="40"/>
      <c r="AF55" s="40"/>
      <c r="AG55" s="475"/>
      <c r="AH55" s="68">
        <v>4</v>
      </c>
      <c r="AI55" s="605">
        <f t="shared" si="26"/>
        <v>7</v>
      </c>
      <c r="AJ55" s="436">
        <f t="shared" si="27"/>
        <v>45689</v>
      </c>
      <c r="AK55" s="55">
        <v>0.75</v>
      </c>
      <c r="AL55" s="56">
        <f t="shared" si="16"/>
        <v>45689.75</v>
      </c>
      <c r="AM55" s="57">
        <f t="shared" si="17"/>
        <v>4</v>
      </c>
      <c r="AN55" s="57">
        <f t="shared" si="28"/>
        <v>1</v>
      </c>
      <c r="AO55" s="65">
        <v>277418.56</v>
      </c>
      <c r="AP55" s="66">
        <v>1388</v>
      </c>
      <c r="AQ55" s="502">
        <f t="shared" si="18"/>
        <v>254</v>
      </c>
      <c r="AR55" s="60">
        <f t="shared" si="29"/>
        <v>50865.389999999985</v>
      </c>
      <c r="AS55" s="60">
        <f t="shared" si="19"/>
        <v>69354.64</v>
      </c>
      <c r="AT55" s="61">
        <f t="shared" si="20"/>
        <v>199.86927953890489</v>
      </c>
      <c r="AU55" s="62">
        <f t="shared" si="30"/>
        <v>200.25744094488184</v>
      </c>
      <c r="AV55" s="62">
        <f t="shared" ref="AV55" si="50">SUM(AR52:AR55)/SUM(AQ52:AQ55)</f>
        <v>199.86927953890489</v>
      </c>
      <c r="AW55" s="65">
        <f t="shared" si="38"/>
        <v>277418.56</v>
      </c>
      <c r="AX55" s="66">
        <f t="shared" si="39"/>
        <v>1388</v>
      </c>
      <c r="AY55" s="65">
        <f t="shared" si="40"/>
        <v>277418.56</v>
      </c>
      <c r="AZ55" s="66">
        <f t="shared" si="41"/>
        <v>1388</v>
      </c>
      <c r="BA55" s="60">
        <f t="shared" si="42"/>
        <v>277418.56</v>
      </c>
      <c r="BB55" s="60">
        <f t="shared" si="43"/>
        <v>0</v>
      </c>
      <c r="BC55" s="67">
        <f t="shared" si="44"/>
        <v>1388</v>
      </c>
      <c r="BD55" s="42">
        <f t="shared" si="45"/>
        <v>0</v>
      </c>
      <c r="BE55" s="60">
        <f t="shared" si="46"/>
        <v>277418.56</v>
      </c>
      <c r="BF55" s="60">
        <f t="shared" si="47"/>
        <v>0</v>
      </c>
      <c r="BG55" s="67">
        <f t="shared" si="48"/>
        <v>1388</v>
      </c>
      <c r="BH55" s="42">
        <f t="shared" si="49"/>
        <v>0</v>
      </c>
      <c r="BI55" s="112"/>
      <c r="BJ55" s="112"/>
      <c r="BK55" s="112"/>
      <c r="BL55" s="112"/>
      <c r="BM55" s="112"/>
      <c r="BN55" s="112"/>
      <c r="BO55" s="112"/>
      <c r="BP55" s="112"/>
      <c r="BQ55" s="112"/>
      <c r="BR55" s="112"/>
      <c r="BS55" s="112"/>
      <c r="BT55" s="112"/>
      <c r="BU55" s="112"/>
      <c r="BV55" s="112"/>
      <c r="BW55" s="112"/>
      <c r="BX55" s="112"/>
      <c r="BY55" s="112"/>
      <c r="BZ55" s="112"/>
      <c r="CA55" s="112"/>
      <c r="CB55" s="112"/>
      <c r="CC55" s="112"/>
      <c r="CD55" s="112"/>
      <c r="CE55" s="112"/>
      <c r="CF55" s="112"/>
      <c r="CG55" s="112"/>
      <c r="CH55" s="112"/>
      <c r="CI55" s="112"/>
      <c r="CJ55" s="112"/>
      <c r="CK55" s="112"/>
      <c r="CL55" s="112"/>
      <c r="CM55" s="112"/>
      <c r="CN55" s="112"/>
      <c r="CO55" s="112"/>
    </row>
    <row r="56" spans="1:93" s="64" customFormat="1" x14ac:dyDescent="0.3">
      <c r="A56" s="104"/>
      <c r="B56" s="112"/>
      <c r="C56" s="164"/>
      <c r="D56" s="112"/>
      <c r="E56" s="164"/>
      <c r="F56" s="164"/>
      <c r="G56" s="108">
        <v>5</v>
      </c>
      <c r="H56" s="129">
        <f t="shared" si="10"/>
        <v>45690.75</v>
      </c>
      <c r="I56" s="229">
        <f t="shared" si="21"/>
        <v>300513.95</v>
      </c>
      <c r="J56" s="219">
        <f t="shared" si="22"/>
        <v>300513.95</v>
      </c>
      <c r="K56" s="220">
        <f t="shared" si="23"/>
        <v>300513.95</v>
      </c>
      <c r="L56" s="229">
        <f t="shared" si="24"/>
        <v>300513.95</v>
      </c>
      <c r="M56" s="230">
        <f t="shared" si="25"/>
        <v>300513.95</v>
      </c>
      <c r="N56" s="434"/>
      <c r="O56" s="219">
        <v>131274</v>
      </c>
      <c r="P56" s="219">
        <v>166947</v>
      </c>
      <c r="Q56" s="219">
        <v>141611</v>
      </c>
      <c r="R56" s="219">
        <v>178763.98</v>
      </c>
      <c r="S56" s="219">
        <v>132002</v>
      </c>
      <c r="T56" s="229">
        <v>44966</v>
      </c>
      <c r="U56" s="220">
        <v>75551</v>
      </c>
      <c r="V56" s="559">
        <v>63115</v>
      </c>
      <c r="W56" s="220">
        <v>120368</v>
      </c>
      <c r="X56" s="431">
        <v>50763</v>
      </c>
      <c r="Y56" s="432">
        <v>44358</v>
      </c>
      <c r="Z56" s="432">
        <v>15015</v>
      </c>
      <c r="AA56" s="480"/>
      <c r="AB56" s="431">
        <v>21886</v>
      </c>
      <c r="AC56" s="432">
        <v>32621</v>
      </c>
      <c r="AD56" s="433"/>
      <c r="AE56" s="40"/>
      <c r="AF56" s="40"/>
      <c r="AG56" s="475"/>
      <c r="AH56" s="68">
        <v>5</v>
      </c>
      <c r="AI56" s="605">
        <f t="shared" si="26"/>
        <v>1</v>
      </c>
      <c r="AJ56" s="436">
        <f t="shared" si="27"/>
        <v>45690</v>
      </c>
      <c r="AK56" s="55">
        <v>0.75</v>
      </c>
      <c r="AL56" s="56">
        <f t="shared" si="16"/>
        <v>45690.75</v>
      </c>
      <c r="AM56" s="57">
        <f t="shared" si="17"/>
        <v>5</v>
      </c>
      <c r="AN56" s="57">
        <f t="shared" si="28"/>
        <v>1</v>
      </c>
      <c r="AO56" s="65">
        <v>300513.95</v>
      </c>
      <c r="AP56" s="66">
        <v>1511</v>
      </c>
      <c r="AQ56" s="502">
        <f t="shared" si="18"/>
        <v>123</v>
      </c>
      <c r="AR56" s="60">
        <f t="shared" si="29"/>
        <v>23095.390000000014</v>
      </c>
      <c r="AS56" s="60">
        <f t="shared" si="19"/>
        <v>60102.79</v>
      </c>
      <c r="AT56" s="61">
        <f t="shared" si="20"/>
        <v>198.88414956982132</v>
      </c>
      <c r="AU56" s="62">
        <f t="shared" si="30"/>
        <v>187.76739837398387</v>
      </c>
      <c r="AV56" s="62">
        <f>SUM(AR52:AR56)/SUM(AQ52:AQ56)</f>
        <v>198.88414956982132</v>
      </c>
      <c r="AW56" s="65">
        <f t="shared" ref="AW56" si="51">AO56</f>
        <v>300513.95</v>
      </c>
      <c r="AX56" s="66">
        <f t="shared" ref="AX56" si="52">AP56</f>
        <v>1511</v>
      </c>
      <c r="AY56" s="65">
        <f t="shared" ref="AY56" si="53">AO56</f>
        <v>300513.95</v>
      </c>
      <c r="AZ56" s="66">
        <f t="shared" ref="AZ56" si="54">AP56</f>
        <v>1511</v>
      </c>
      <c r="BA56" s="60">
        <f t="shared" ref="BA56" si="55">AO56</f>
        <v>300513.95</v>
      </c>
      <c r="BB56" s="60">
        <f t="shared" ref="BB56" si="56">AO56-BA56</f>
        <v>0</v>
      </c>
      <c r="BC56" s="67">
        <f t="shared" ref="BC56" si="57">AP56</f>
        <v>1511</v>
      </c>
      <c r="BD56" s="42">
        <f t="shared" ref="BD56" si="58">AP56-BC56</f>
        <v>0</v>
      </c>
      <c r="BE56" s="60">
        <f t="shared" ref="BE56" si="59">BA56</f>
        <v>300513.95</v>
      </c>
      <c r="BF56" s="60">
        <f t="shared" ref="BF56" si="60">AO56-BE56</f>
        <v>0</v>
      </c>
      <c r="BG56" s="67">
        <f t="shared" ref="BG56" si="61">BC56</f>
        <v>1511</v>
      </c>
      <c r="BH56" s="42">
        <f t="shared" ref="BH56" si="62">AP56-BG56</f>
        <v>0</v>
      </c>
      <c r="BI56" s="112"/>
      <c r="BJ56" s="112"/>
      <c r="BK56" s="112"/>
      <c r="BL56" s="112"/>
      <c r="BM56" s="112"/>
      <c r="BN56" s="112"/>
      <c r="BO56" s="112"/>
      <c r="BP56" s="112"/>
      <c r="BQ56" s="112"/>
      <c r="BR56" s="112"/>
      <c r="BS56" s="112"/>
      <c r="BT56" s="112"/>
      <c r="BU56" s="112"/>
      <c r="BV56" s="112"/>
      <c r="BW56" s="112"/>
      <c r="BX56" s="112"/>
      <c r="BY56" s="112"/>
      <c r="BZ56" s="112"/>
      <c r="CA56" s="112"/>
      <c r="CB56" s="112"/>
      <c r="CC56" s="112"/>
      <c r="CD56" s="112"/>
      <c r="CE56" s="112"/>
      <c r="CF56" s="112"/>
      <c r="CG56" s="112"/>
      <c r="CH56" s="112"/>
      <c r="CI56" s="112"/>
      <c r="CJ56" s="112"/>
      <c r="CK56" s="112"/>
      <c r="CL56" s="112"/>
      <c r="CM56" s="112"/>
      <c r="CN56" s="112"/>
      <c r="CO56" s="112"/>
    </row>
    <row r="57" spans="1:93" s="64" customFormat="1" ht="15.75" thickBot="1" x14ac:dyDescent="0.35">
      <c r="A57" s="104"/>
      <c r="B57" s="112"/>
      <c r="C57" s="164"/>
      <c r="D57" s="112"/>
      <c r="E57" s="164"/>
      <c r="F57" s="164"/>
      <c r="G57" s="108">
        <v>6</v>
      </c>
      <c r="H57" s="129">
        <f t="shared" si="10"/>
        <v>45691.75</v>
      </c>
      <c r="I57" s="229">
        <f t="shared" si="21"/>
        <v>317794.57</v>
      </c>
      <c r="J57" s="219">
        <f t="shared" si="22"/>
        <v>317794.57</v>
      </c>
      <c r="K57" s="220">
        <f t="shared" si="23"/>
        <v>317794.57</v>
      </c>
      <c r="L57" s="229">
        <f t="shared" si="24"/>
        <v>317794.57</v>
      </c>
      <c r="M57" s="230">
        <f t="shared" si="25"/>
        <v>317794.57</v>
      </c>
      <c r="N57" s="434"/>
      <c r="O57" s="219">
        <v>135593</v>
      </c>
      <c r="P57" s="219">
        <v>175946</v>
      </c>
      <c r="Q57" s="219">
        <v>150726</v>
      </c>
      <c r="R57" s="219">
        <v>184821.71</v>
      </c>
      <c r="S57" s="219">
        <v>150957</v>
      </c>
      <c r="T57" s="229">
        <v>46520</v>
      </c>
      <c r="U57" s="220">
        <v>85403</v>
      </c>
      <c r="V57" s="559">
        <v>65148</v>
      </c>
      <c r="W57" s="220">
        <v>123198</v>
      </c>
      <c r="X57" s="431">
        <v>53829</v>
      </c>
      <c r="Y57" s="432">
        <v>45558</v>
      </c>
      <c r="Z57" s="432">
        <v>16237</v>
      </c>
      <c r="AA57" s="480"/>
      <c r="AB57" s="431">
        <v>22571</v>
      </c>
      <c r="AC57" s="432">
        <v>37481</v>
      </c>
      <c r="AD57" s="433"/>
      <c r="AE57" s="40"/>
      <c r="AF57" s="40"/>
      <c r="AG57" s="475"/>
      <c r="AH57" s="68">
        <v>6</v>
      </c>
      <c r="AI57" s="605">
        <f t="shared" si="26"/>
        <v>2</v>
      </c>
      <c r="AJ57" s="436">
        <f t="shared" si="27"/>
        <v>45691</v>
      </c>
      <c r="AK57" s="55">
        <v>0.75</v>
      </c>
      <c r="AL57" s="56">
        <f t="shared" si="16"/>
        <v>45691.75</v>
      </c>
      <c r="AM57" s="57">
        <f t="shared" si="17"/>
        <v>6</v>
      </c>
      <c r="AN57" s="57">
        <f t="shared" si="28"/>
        <v>1</v>
      </c>
      <c r="AO57" s="65">
        <v>317794.57</v>
      </c>
      <c r="AP57" s="66">
        <v>1598</v>
      </c>
      <c r="AQ57" s="502">
        <f t="shared" si="18"/>
        <v>87</v>
      </c>
      <c r="AR57" s="60">
        <f t="shared" si="29"/>
        <v>17280.619999999995</v>
      </c>
      <c r="AS57" s="60">
        <f t="shared" si="19"/>
        <v>52965.761666666665</v>
      </c>
      <c r="AT57" s="61">
        <f t="shared" si="20"/>
        <v>198.87019399249061</v>
      </c>
      <c r="AU57" s="62">
        <f t="shared" si="30"/>
        <v>198.62781609195397</v>
      </c>
      <c r="AV57" s="62">
        <f>SUM(AR53:AR57)/SUM(AQ53:AQ57)</f>
        <v>200.8463826606876</v>
      </c>
      <c r="AW57" s="65">
        <f t="shared" ref="AW57" si="63">AO57</f>
        <v>317794.57</v>
      </c>
      <c r="AX57" s="66">
        <f t="shared" ref="AX57" si="64">AP57</f>
        <v>1598</v>
      </c>
      <c r="AY57" s="65">
        <f t="shared" ref="AY57" si="65">AO57</f>
        <v>317794.57</v>
      </c>
      <c r="AZ57" s="66">
        <f t="shared" ref="AZ57" si="66">AP57</f>
        <v>1598</v>
      </c>
      <c r="BA57" s="60">
        <f t="shared" ref="BA57" si="67">AO57</f>
        <v>317794.57</v>
      </c>
      <c r="BB57" s="60">
        <f t="shared" ref="BB57:BB71" si="68">AO57-BA57</f>
        <v>0</v>
      </c>
      <c r="BC57" s="67">
        <f t="shared" ref="BC57" si="69">AP57</f>
        <v>1598</v>
      </c>
      <c r="BD57" s="42">
        <f t="shared" ref="BD57:BD71" si="70">AP57-BC57</f>
        <v>0</v>
      </c>
      <c r="BE57" s="60">
        <f t="shared" ref="BE57" si="71">BA57</f>
        <v>317794.57</v>
      </c>
      <c r="BF57" s="60">
        <f t="shared" ref="BF57:BF71" si="72">AO57-BE57</f>
        <v>0</v>
      </c>
      <c r="BG57" s="67">
        <f t="shared" ref="BG57" si="73">BC57</f>
        <v>1598</v>
      </c>
      <c r="BH57" s="42">
        <f t="shared" ref="BH57:BH71" si="74">AP57-BG57</f>
        <v>0</v>
      </c>
      <c r="BI57" s="112"/>
      <c r="BJ57" s="112"/>
      <c r="BK57" s="112"/>
      <c r="BL57" s="112"/>
      <c r="BM57" s="112"/>
      <c r="BN57" s="112"/>
      <c r="BO57" s="112"/>
      <c r="BP57" s="112"/>
      <c r="BQ57" s="112"/>
      <c r="BR57" s="112"/>
      <c r="BS57" s="112"/>
      <c r="BT57" s="112"/>
      <c r="BU57" s="112"/>
      <c r="BV57" s="112"/>
      <c r="BW57" s="112"/>
      <c r="BX57" s="112"/>
      <c r="BY57" s="112"/>
      <c r="BZ57" s="112"/>
      <c r="CA57" s="112"/>
      <c r="CB57" s="112"/>
      <c r="CC57" s="112"/>
      <c r="CD57" s="112"/>
      <c r="CE57" s="112"/>
      <c r="CF57" s="112"/>
      <c r="CG57" s="112"/>
      <c r="CH57" s="112"/>
      <c r="CI57" s="112"/>
      <c r="CJ57" s="112"/>
      <c r="CK57" s="112"/>
      <c r="CL57" s="112"/>
      <c r="CM57" s="112"/>
      <c r="CN57" s="112"/>
      <c r="CO57" s="112"/>
    </row>
    <row r="58" spans="1:93" s="64" customFormat="1" ht="15.75" thickBot="1" x14ac:dyDescent="0.35">
      <c r="A58" s="104"/>
      <c r="B58" s="112"/>
      <c r="C58" s="164"/>
      <c r="D58" s="112"/>
      <c r="E58" s="164"/>
      <c r="F58" s="164"/>
      <c r="G58" s="108">
        <v>7</v>
      </c>
      <c r="H58" s="129">
        <f t="shared" si="10"/>
        <v>45692.75</v>
      </c>
      <c r="I58" s="229">
        <f t="shared" si="11"/>
        <v>329589.40000000002</v>
      </c>
      <c r="J58" s="219">
        <f t="shared" si="12"/>
        <v>329589.40000000002</v>
      </c>
      <c r="K58" s="220">
        <f t="shared" si="13"/>
        <v>329589.40000000002</v>
      </c>
      <c r="L58" s="229">
        <f t="shared" si="14"/>
        <v>323733.52039825299</v>
      </c>
      <c r="M58" s="230">
        <f t="shared" si="15"/>
        <v>381131.35969349858</v>
      </c>
      <c r="N58" s="434"/>
      <c r="O58" s="219">
        <v>147297</v>
      </c>
      <c r="P58" s="219">
        <v>184883</v>
      </c>
      <c r="Q58" s="219">
        <v>157770</v>
      </c>
      <c r="R58" s="219">
        <v>192894.71</v>
      </c>
      <c r="S58" s="219">
        <v>164491</v>
      </c>
      <c r="T58" s="229">
        <v>48572</v>
      </c>
      <c r="U58" s="220">
        <v>94449</v>
      </c>
      <c r="V58" s="559">
        <v>69623</v>
      </c>
      <c r="W58" s="220">
        <v>126713</v>
      </c>
      <c r="X58" s="431">
        <v>55981</v>
      </c>
      <c r="Y58" s="432">
        <v>50019</v>
      </c>
      <c r="Z58" s="432">
        <v>16727</v>
      </c>
      <c r="AA58" s="221">
        <v>31356</v>
      </c>
      <c r="AB58" s="431">
        <v>24180</v>
      </c>
      <c r="AC58" s="432">
        <v>40223</v>
      </c>
      <c r="AD58" s="433"/>
      <c r="AE58" s="40"/>
      <c r="AF58" s="40"/>
      <c r="AG58" s="475"/>
      <c r="AH58" s="68">
        <v>7</v>
      </c>
      <c r="AI58" s="658">
        <f t="shared" si="26"/>
        <v>3</v>
      </c>
      <c r="AJ58" s="306">
        <f t="shared" si="27"/>
        <v>45692</v>
      </c>
      <c r="AK58" s="55">
        <v>0.75</v>
      </c>
      <c r="AL58" s="56">
        <f t="shared" si="16"/>
        <v>45692.75</v>
      </c>
      <c r="AM58" s="57">
        <f t="shared" si="17"/>
        <v>7</v>
      </c>
      <c r="AN58" s="57">
        <f t="shared" si="28"/>
        <v>1</v>
      </c>
      <c r="AO58" s="65">
        <v>329589.40000000002</v>
      </c>
      <c r="AP58" s="66">
        <v>1658</v>
      </c>
      <c r="AQ58" s="502">
        <f t="shared" si="18"/>
        <v>60</v>
      </c>
      <c r="AR58" s="60">
        <f t="shared" si="29"/>
        <v>11794.830000000016</v>
      </c>
      <c r="AS58" s="60">
        <f t="shared" si="19"/>
        <v>47084.200000000004</v>
      </c>
      <c r="AT58" s="61">
        <f t="shared" si="20"/>
        <v>198.7873341375151</v>
      </c>
      <c r="AU58" s="62">
        <f t="shared" si="30"/>
        <v>196.58050000000028</v>
      </c>
      <c r="AV58" s="62">
        <f t="shared" ref="AV58:AV62" si="75">SUM(AR54:AR58)/SUM(AQ54:AQ58)</f>
        <v>197.91800335570474</v>
      </c>
      <c r="AW58" s="65">
        <f t="shared" ref="AW58" si="76">AO58</f>
        <v>329589.40000000002</v>
      </c>
      <c r="AX58" s="66">
        <f t="shared" ref="AX58" si="77">AP58</f>
        <v>1658</v>
      </c>
      <c r="AY58" s="65">
        <f t="shared" ref="AY58" si="78">AO58</f>
        <v>329589.40000000002</v>
      </c>
      <c r="AZ58" s="66">
        <f t="shared" ref="AZ58" si="79">AP58</f>
        <v>1658</v>
      </c>
      <c r="BA58" s="60">
        <f>BA57+(AZ$74-$BA$57)*Vergleich!AC85</f>
        <v>323733.52039825299</v>
      </c>
      <c r="BB58" s="60">
        <f t="shared" si="68"/>
        <v>5855.8796017470304</v>
      </c>
      <c r="BC58" s="67">
        <f>ROUND(BC57+(BB$74-$BC$57)*Vergleich!AD85,)</f>
        <v>1631</v>
      </c>
      <c r="BD58" s="42">
        <f t="shared" si="70"/>
        <v>27</v>
      </c>
      <c r="BE58" s="60">
        <f>BE57+(BD$74-$BE$57)*Vergleich!N85</f>
        <v>381131.35969349858</v>
      </c>
      <c r="BF58" s="60">
        <f t="shared" si="72"/>
        <v>-51541.95969349856</v>
      </c>
      <c r="BG58" s="67">
        <f>ROUND(BG57+(BF$74-$BG$57)*Vergleich!O85,)</f>
        <v>2011</v>
      </c>
      <c r="BH58" s="42">
        <f t="shared" si="74"/>
        <v>-353</v>
      </c>
      <c r="BI58" s="112"/>
      <c r="BJ58" s="112"/>
      <c r="BK58" s="112"/>
      <c r="BL58" s="112"/>
      <c r="BM58" s="112"/>
      <c r="BN58" s="112"/>
      <c r="BO58" s="112"/>
      <c r="BP58" s="112"/>
      <c r="BQ58" s="112"/>
      <c r="BR58" s="112"/>
      <c r="BS58" s="112"/>
      <c r="BT58" s="112"/>
      <c r="BU58" s="112"/>
      <c r="BV58" s="112"/>
      <c r="BW58" s="112"/>
      <c r="BX58" s="112"/>
      <c r="BY58" s="112"/>
      <c r="BZ58" s="112"/>
      <c r="CA58" s="112"/>
      <c r="CB58" s="112"/>
      <c r="CC58" s="112"/>
      <c r="CD58" s="112"/>
      <c r="CE58" s="112"/>
      <c r="CF58" s="112"/>
      <c r="CG58" s="112"/>
      <c r="CH58" s="112"/>
      <c r="CI58" s="112"/>
      <c r="CJ58" s="112"/>
      <c r="CK58" s="112"/>
      <c r="CL58" s="112"/>
      <c r="CM58" s="112"/>
      <c r="CN58" s="112"/>
      <c r="CO58" s="112"/>
    </row>
    <row r="59" spans="1:93" s="64" customFormat="1" ht="15.75" thickBot="1" x14ac:dyDescent="0.35">
      <c r="A59" s="104"/>
      <c r="B59" s="112"/>
      <c r="C59" s="164"/>
      <c r="D59" s="112"/>
      <c r="E59" s="164"/>
      <c r="F59" s="164"/>
      <c r="G59" s="108">
        <v>8</v>
      </c>
      <c r="H59" s="129">
        <f t="shared" si="10"/>
        <v>45693.75</v>
      </c>
      <c r="I59" s="229">
        <f t="shared" ref="I59" si="80">AO59</f>
        <v>341743.05</v>
      </c>
      <c r="J59" s="219">
        <f t="shared" ref="J59" si="81">AW59</f>
        <v>341743.05</v>
      </c>
      <c r="K59" s="220">
        <f t="shared" ref="K59" si="82">AY59</f>
        <v>341743.05</v>
      </c>
      <c r="L59" s="229">
        <f t="shared" ref="L59" si="83">BA59</f>
        <v>335187.21045202663</v>
      </c>
      <c r="M59" s="230">
        <f t="shared" ref="M59" si="84">BE59</f>
        <v>418238.36301956826</v>
      </c>
      <c r="N59" s="434"/>
      <c r="O59" s="219">
        <v>154154</v>
      </c>
      <c r="P59" s="219">
        <v>193287</v>
      </c>
      <c r="Q59" s="219">
        <v>165131</v>
      </c>
      <c r="R59" s="219">
        <v>201017.49</v>
      </c>
      <c r="S59" s="219">
        <v>182858</v>
      </c>
      <c r="T59" s="229">
        <v>50335</v>
      </c>
      <c r="U59" s="220">
        <v>103073</v>
      </c>
      <c r="V59" s="559">
        <v>72783</v>
      </c>
      <c r="W59" s="220">
        <v>130050</v>
      </c>
      <c r="X59" s="431">
        <v>58795</v>
      </c>
      <c r="Y59" s="432">
        <v>54482</v>
      </c>
      <c r="Z59" s="432">
        <v>17672</v>
      </c>
      <c r="AA59" s="221">
        <v>33362</v>
      </c>
      <c r="AB59" s="431">
        <v>26679</v>
      </c>
      <c r="AC59" s="432">
        <v>43766</v>
      </c>
      <c r="AD59" s="433"/>
      <c r="AE59" s="40"/>
      <c r="AF59" s="40"/>
      <c r="AG59" s="475"/>
      <c r="AH59" s="68">
        <v>8</v>
      </c>
      <c r="AI59" s="605">
        <f t="shared" si="26"/>
        <v>4</v>
      </c>
      <c r="AJ59" s="436">
        <f t="shared" si="27"/>
        <v>45693</v>
      </c>
      <c r="AK59" s="55">
        <v>0.75</v>
      </c>
      <c r="AL59" s="56">
        <f t="shared" si="16"/>
        <v>45693.75</v>
      </c>
      <c r="AM59" s="57">
        <f t="shared" si="17"/>
        <v>8</v>
      </c>
      <c r="AN59" s="57">
        <f t="shared" si="28"/>
        <v>1</v>
      </c>
      <c r="AO59" s="65">
        <v>341743.05</v>
      </c>
      <c r="AP59" s="66">
        <v>1720</v>
      </c>
      <c r="AQ59" s="502">
        <f t="shared" si="18"/>
        <v>62</v>
      </c>
      <c r="AR59" s="438">
        <f t="shared" ref="AR59:AR72" si="85">AO59-AO58</f>
        <v>12153.649999999965</v>
      </c>
      <c r="AS59" s="60">
        <f t="shared" si="19"/>
        <v>42717.881249999999</v>
      </c>
      <c r="AT59" s="61">
        <f t="shared" si="20"/>
        <v>198.68781976744185</v>
      </c>
      <c r="AU59" s="62">
        <f t="shared" si="30"/>
        <v>196.02661290322524</v>
      </c>
      <c r="AV59" s="62">
        <f t="shared" si="75"/>
        <v>196.56976109215012</v>
      </c>
      <c r="AW59" s="65">
        <f t="shared" ref="AW59" si="86">AO59</f>
        <v>341743.05</v>
      </c>
      <c r="AX59" s="66">
        <f t="shared" ref="AX59" si="87">AP59</f>
        <v>1720</v>
      </c>
      <c r="AY59" s="65">
        <f t="shared" ref="AY59" si="88">AO59</f>
        <v>341743.05</v>
      </c>
      <c r="AZ59" s="66">
        <f t="shared" ref="AZ59" si="89">AP59</f>
        <v>1720</v>
      </c>
      <c r="BA59" s="60">
        <f>BA58+(AZ$74-$BA$57)*Vergleich!AC86</f>
        <v>335187.21045202663</v>
      </c>
      <c r="BB59" s="60">
        <f t="shared" si="68"/>
        <v>6555.839547973359</v>
      </c>
      <c r="BC59" s="67">
        <f>ROUND(BC58+(BB$74-$BC$57)*Vergleich!AD86,)</f>
        <v>1688</v>
      </c>
      <c r="BD59" s="42">
        <f t="shared" si="70"/>
        <v>32</v>
      </c>
      <c r="BE59" s="60">
        <f>BE58+(BD$74-$BE$57)*Vergleich!N86</f>
        <v>418238.36301956826</v>
      </c>
      <c r="BF59" s="60">
        <f t="shared" si="72"/>
        <v>-76495.313019568275</v>
      </c>
      <c r="BG59" s="67">
        <f>ROUND(BG58+(BF$74-$BG$57)*Vergleich!O86,)</f>
        <v>2192</v>
      </c>
      <c r="BH59" s="42">
        <f t="shared" si="74"/>
        <v>-472</v>
      </c>
      <c r="BI59" s="112"/>
      <c r="BJ59" s="112"/>
      <c r="BK59" s="112"/>
      <c r="BL59" s="112"/>
      <c r="BM59" s="112"/>
      <c r="BN59" s="112"/>
      <c r="BO59" s="112"/>
      <c r="BP59" s="112"/>
      <c r="BQ59" s="112"/>
      <c r="BR59" s="112"/>
      <c r="BS59" s="112"/>
      <c r="BT59" s="112"/>
      <c r="BU59" s="112"/>
      <c r="BV59" s="112"/>
      <c r="BW59" s="112"/>
      <c r="BX59" s="112"/>
      <c r="BY59" s="112"/>
      <c r="BZ59" s="112"/>
      <c r="CA59" s="112"/>
      <c r="CB59" s="112"/>
      <c r="CC59" s="112"/>
      <c r="CD59" s="112"/>
      <c r="CE59" s="112"/>
      <c r="CF59" s="112"/>
      <c r="CG59" s="112"/>
      <c r="CH59" s="112"/>
      <c r="CI59" s="112"/>
      <c r="CJ59" s="112"/>
      <c r="CK59" s="112"/>
      <c r="CL59" s="112"/>
      <c r="CM59" s="112"/>
      <c r="CN59" s="112"/>
      <c r="CO59" s="112"/>
    </row>
    <row r="60" spans="1:93" s="64" customFormat="1" x14ac:dyDescent="0.3">
      <c r="A60" s="104"/>
      <c r="B60" s="112"/>
      <c r="C60" s="164"/>
      <c r="D60" s="112"/>
      <c r="E60" s="164"/>
      <c r="F60" s="164"/>
      <c r="G60" s="108">
        <v>9</v>
      </c>
      <c r="H60" s="129">
        <f t="shared" si="10"/>
        <v>45694.75</v>
      </c>
      <c r="I60" s="229">
        <f t="shared" si="11"/>
        <v>350397.33</v>
      </c>
      <c r="J60" s="219">
        <f t="shared" si="12"/>
        <v>350397.33</v>
      </c>
      <c r="K60" s="220">
        <f t="shared" si="13"/>
        <v>350397.33</v>
      </c>
      <c r="L60" s="229">
        <f t="shared" si="14"/>
        <v>338944.50560194178</v>
      </c>
      <c r="M60" s="230">
        <f t="shared" si="15"/>
        <v>442525.40267647378</v>
      </c>
      <c r="N60" s="434"/>
      <c r="O60" s="219">
        <v>158642</v>
      </c>
      <c r="P60" s="219">
        <v>202015</v>
      </c>
      <c r="Q60" s="219">
        <v>173440</v>
      </c>
      <c r="R60" s="219">
        <v>206116.1</v>
      </c>
      <c r="S60" s="219">
        <v>195000</v>
      </c>
      <c r="T60" s="229">
        <v>51635</v>
      </c>
      <c r="U60" s="220">
        <v>113149</v>
      </c>
      <c r="V60" s="559">
        <v>76597</v>
      </c>
      <c r="W60" s="220">
        <v>133215</v>
      </c>
      <c r="X60" s="431">
        <v>63300</v>
      </c>
      <c r="Y60" s="432">
        <v>60464</v>
      </c>
      <c r="Z60" s="432">
        <v>17982</v>
      </c>
      <c r="AA60" s="221">
        <v>35984</v>
      </c>
      <c r="AB60" s="431">
        <v>27868</v>
      </c>
      <c r="AC60" s="432">
        <v>45971</v>
      </c>
      <c r="AD60" s="433"/>
      <c r="AE60" s="40"/>
      <c r="AF60" s="40"/>
      <c r="AG60" s="475"/>
      <c r="AH60" s="68">
        <v>9</v>
      </c>
      <c r="AI60" s="605">
        <f t="shared" si="26"/>
        <v>5</v>
      </c>
      <c r="AJ60" s="436">
        <f t="shared" si="27"/>
        <v>45694</v>
      </c>
      <c r="AK60" s="55">
        <v>0.75</v>
      </c>
      <c r="AL60" s="56">
        <f t="shared" si="16"/>
        <v>45694.75</v>
      </c>
      <c r="AM60" s="57">
        <f t="shared" si="17"/>
        <v>9</v>
      </c>
      <c r="AN60" s="57">
        <f t="shared" si="28"/>
        <v>1</v>
      </c>
      <c r="AO60" s="65">
        <v>350397.33</v>
      </c>
      <c r="AP60" s="66">
        <v>1765</v>
      </c>
      <c r="AQ60" s="502">
        <f t="shared" si="18"/>
        <v>45</v>
      </c>
      <c r="AR60" s="60">
        <f t="shared" si="85"/>
        <v>8654.2800000000279</v>
      </c>
      <c r="AS60" s="60">
        <f t="shared" si="19"/>
        <v>38933.036666666667</v>
      </c>
      <c r="AT60" s="61">
        <f t="shared" si="20"/>
        <v>198.52539943342776</v>
      </c>
      <c r="AU60" s="62">
        <f t="shared" si="30"/>
        <v>192.31733333333395</v>
      </c>
      <c r="AV60" s="62">
        <f t="shared" si="75"/>
        <v>193.57763925729449</v>
      </c>
      <c r="AW60" s="65">
        <f t="shared" ref="AW60" si="90">AO60</f>
        <v>350397.33</v>
      </c>
      <c r="AX60" s="66">
        <f t="shared" ref="AX60" si="91">AP60</f>
        <v>1765</v>
      </c>
      <c r="AY60" s="65">
        <f t="shared" ref="AY60" si="92">AO60</f>
        <v>350397.33</v>
      </c>
      <c r="AZ60" s="66">
        <f t="shared" ref="AZ60" si="93">AP60</f>
        <v>1765</v>
      </c>
      <c r="BA60" s="60">
        <f>BA59+(AZ$74-$BA$57)*Vergleich!AC87</f>
        <v>338944.50560194178</v>
      </c>
      <c r="BB60" s="60">
        <f t="shared" si="68"/>
        <v>11452.824398058234</v>
      </c>
      <c r="BC60" s="67">
        <f>ROUND(BC59+(BB$74-$BC$57)*Vergleich!AD87,)</f>
        <v>1721</v>
      </c>
      <c r="BD60" s="42">
        <f t="shared" si="70"/>
        <v>44</v>
      </c>
      <c r="BE60" s="60">
        <f>BE59+(BD$74-$BE$57)*Vergleich!N87</f>
        <v>442525.40267647378</v>
      </c>
      <c r="BF60" s="60">
        <f t="shared" si="72"/>
        <v>-92128.072676473763</v>
      </c>
      <c r="BG60" s="67">
        <f>ROUND(BG59+(BF$74-$BG$57)*Vergleich!O87,)</f>
        <v>2319</v>
      </c>
      <c r="BH60" s="42">
        <f t="shared" si="74"/>
        <v>-554</v>
      </c>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row>
    <row r="61" spans="1:93" s="64" customFormat="1" x14ac:dyDescent="0.3">
      <c r="A61" s="104"/>
      <c r="B61" s="112"/>
      <c r="C61" s="164"/>
      <c r="D61" s="112"/>
      <c r="E61" s="164"/>
      <c r="F61" s="164"/>
      <c r="G61" s="108">
        <v>10</v>
      </c>
      <c r="H61" s="129">
        <f t="shared" si="10"/>
        <v>45695.75</v>
      </c>
      <c r="I61" s="229">
        <f t="shared" si="11"/>
        <v>355633</v>
      </c>
      <c r="J61" s="219">
        <f t="shared" si="12"/>
        <v>355633</v>
      </c>
      <c r="K61" s="220">
        <f t="shared" si="13"/>
        <v>355633</v>
      </c>
      <c r="L61" s="229">
        <f t="shared" si="14"/>
        <v>345586.43380243692</v>
      </c>
      <c r="M61" s="230">
        <f t="shared" si="15"/>
        <v>467158.78157982347</v>
      </c>
      <c r="N61" s="434"/>
      <c r="O61" s="219">
        <v>163194</v>
      </c>
      <c r="P61" s="219">
        <v>209016</v>
      </c>
      <c r="Q61" s="219">
        <v>180535</v>
      </c>
      <c r="R61" s="219">
        <v>217511.64</v>
      </c>
      <c r="S61" s="219">
        <v>203877</v>
      </c>
      <c r="T61" s="229">
        <v>53657</v>
      </c>
      <c r="U61" s="220">
        <v>120667</v>
      </c>
      <c r="V61" s="559">
        <v>81327</v>
      </c>
      <c r="W61" s="220">
        <v>136715</v>
      </c>
      <c r="X61" s="431">
        <v>66650</v>
      </c>
      <c r="Y61" s="432">
        <v>62608</v>
      </c>
      <c r="Z61" s="432">
        <v>18530</v>
      </c>
      <c r="AA61" s="221">
        <v>37454</v>
      </c>
      <c r="AB61" s="431">
        <v>31587</v>
      </c>
      <c r="AC61" s="432">
        <v>48853</v>
      </c>
      <c r="AD61" s="433"/>
      <c r="AE61" s="40"/>
      <c r="AF61" s="40"/>
      <c r="AG61" s="475"/>
      <c r="AH61" s="68">
        <v>10</v>
      </c>
      <c r="AI61" s="605">
        <f t="shared" si="26"/>
        <v>6</v>
      </c>
      <c r="AJ61" s="436">
        <f t="shared" si="27"/>
        <v>45695</v>
      </c>
      <c r="AK61" s="55">
        <v>0.75</v>
      </c>
      <c r="AL61" s="56">
        <f t="shared" si="16"/>
        <v>45695.75</v>
      </c>
      <c r="AM61" s="57">
        <f t="shared" si="17"/>
        <v>10</v>
      </c>
      <c r="AN61" s="57">
        <f t="shared" si="28"/>
        <v>1</v>
      </c>
      <c r="AO61" s="65">
        <v>355633</v>
      </c>
      <c r="AP61" s="66">
        <v>1797</v>
      </c>
      <c r="AQ61" s="502">
        <f t="shared" si="18"/>
        <v>32</v>
      </c>
      <c r="AR61" s="60">
        <f t="shared" si="85"/>
        <v>5235.6699999999837</v>
      </c>
      <c r="AS61" s="60">
        <f t="shared" si="19"/>
        <v>35563.300000000003</v>
      </c>
      <c r="AT61" s="61">
        <f t="shared" si="20"/>
        <v>197.90372843628271</v>
      </c>
      <c r="AU61" s="62">
        <f t="shared" si="30"/>
        <v>163.61468749999949</v>
      </c>
      <c r="AV61" s="62">
        <f t="shared" si="75"/>
        <v>192.72395104895102</v>
      </c>
      <c r="AW61" s="65">
        <f t="shared" ref="AW61:AW65" si="94">AO61</f>
        <v>355633</v>
      </c>
      <c r="AX61" s="66">
        <f t="shared" ref="AX61:AX65" si="95">AP61</f>
        <v>1797</v>
      </c>
      <c r="AY61" s="65">
        <f t="shared" ref="AY61:AY65" si="96">AO61</f>
        <v>355633</v>
      </c>
      <c r="AZ61" s="66">
        <f t="shared" ref="AZ61:AZ65" si="97">AP61</f>
        <v>1797</v>
      </c>
      <c r="BA61" s="60">
        <f>BA60+(AZ$74-$BA$57)*Vergleich!AC88</f>
        <v>345586.43380243692</v>
      </c>
      <c r="BB61" s="60">
        <f t="shared" si="68"/>
        <v>10046.566197563079</v>
      </c>
      <c r="BC61" s="67">
        <f>ROUND(BC60+(BB$74-$BC$57)*Vergleich!AD88,)</f>
        <v>1762</v>
      </c>
      <c r="BD61" s="42">
        <f t="shared" si="70"/>
        <v>35</v>
      </c>
      <c r="BE61" s="60">
        <f>BE60+(BD$74-$BE$57)*Vergleich!N88</f>
        <v>467158.78157982347</v>
      </c>
      <c r="BF61" s="60">
        <f t="shared" si="72"/>
        <v>-111525.78157982347</v>
      </c>
      <c r="BG61" s="67">
        <f>ROUND(BG60+(BF$74-$BG$57)*Vergleich!O88,)</f>
        <v>2446</v>
      </c>
      <c r="BH61" s="42">
        <f t="shared" si="74"/>
        <v>-649</v>
      </c>
      <c r="BI61" s="112"/>
      <c r="BJ61" s="112"/>
      <c r="BK61" s="112"/>
      <c r="BL61" s="112"/>
      <c r="BM61" s="112"/>
      <c r="BN61" s="112"/>
      <c r="BO61" s="112"/>
      <c r="BP61" s="112"/>
      <c r="BQ61" s="112"/>
      <c r="BR61" s="112"/>
      <c r="BS61" s="112"/>
      <c r="BT61" s="112"/>
      <c r="BU61" s="112"/>
      <c r="BV61" s="112"/>
      <c r="BW61" s="112"/>
      <c r="BX61" s="112"/>
      <c r="BY61" s="112"/>
      <c r="BZ61" s="112"/>
      <c r="CA61" s="112"/>
      <c r="CB61" s="112"/>
      <c r="CC61" s="112"/>
      <c r="CD61" s="112"/>
      <c r="CE61" s="112"/>
      <c r="CF61" s="112"/>
      <c r="CG61" s="112"/>
      <c r="CH61" s="112"/>
      <c r="CI61" s="112"/>
      <c r="CJ61" s="112"/>
      <c r="CK61" s="112"/>
      <c r="CL61" s="112"/>
      <c r="CM61" s="112"/>
      <c r="CN61" s="112"/>
      <c r="CO61" s="112"/>
    </row>
    <row r="62" spans="1:93" s="64" customFormat="1" x14ac:dyDescent="0.3">
      <c r="A62" s="104"/>
      <c r="B62" s="112"/>
      <c r="C62" s="164"/>
      <c r="D62" s="112"/>
      <c r="E62" s="164"/>
      <c r="F62" s="164"/>
      <c r="G62" s="108">
        <v>11</v>
      </c>
      <c r="H62" s="129">
        <f t="shared" si="10"/>
        <v>45696.75</v>
      </c>
      <c r="I62" s="229">
        <f t="shared" si="11"/>
        <v>375515</v>
      </c>
      <c r="J62" s="219">
        <f t="shared" si="12"/>
        <v>375515</v>
      </c>
      <c r="K62" s="220">
        <f t="shared" si="13"/>
        <v>375515</v>
      </c>
      <c r="L62" s="229">
        <f t="shared" si="14"/>
        <v>357852.18442086963</v>
      </c>
      <c r="M62" s="230">
        <f t="shared" si="15"/>
        <v>484535.27096002031</v>
      </c>
      <c r="N62" s="434"/>
      <c r="O62" s="219">
        <v>166405</v>
      </c>
      <c r="P62" s="219">
        <v>214911</v>
      </c>
      <c r="Q62" s="219">
        <v>184785</v>
      </c>
      <c r="R62" s="219">
        <v>224693.2</v>
      </c>
      <c r="S62" s="219">
        <v>212794</v>
      </c>
      <c r="T62" s="229">
        <v>55502</v>
      </c>
      <c r="U62" s="220">
        <v>127353</v>
      </c>
      <c r="V62" s="559">
        <v>83062</v>
      </c>
      <c r="W62" s="220">
        <v>139670</v>
      </c>
      <c r="X62" s="431">
        <v>69668</v>
      </c>
      <c r="Y62" s="432">
        <v>63707</v>
      </c>
      <c r="Z62" s="432">
        <v>19542</v>
      </c>
      <c r="AA62" s="221">
        <v>38542</v>
      </c>
      <c r="AB62" s="431">
        <v>34703</v>
      </c>
      <c r="AC62" s="432">
        <v>50284</v>
      </c>
      <c r="AD62" s="433"/>
      <c r="AE62" s="40"/>
      <c r="AF62" s="40"/>
      <c r="AG62" s="475"/>
      <c r="AH62" s="68">
        <v>11</v>
      </c>
      <c r="AI62" s="605">
        <f t="shared" si="26"/>
        <v>7</v>
      </c>
      <c r="AJ62" s="436">
        <f t="shared" si="27"/>
        <v>45696</v>
      </c>
      <c r="AK62" s="55">
        <v>0.75</v>
      </c>
      <c r="AL62" s="56">
        <f t="shared" si="16"/>
        <v>45696.75</v>
      </c>
      <c r="AM62" s="57">
        <f t="shared" si="17"/>
        <v>11</v>
      </c>
      <c r="AN62" s="57">
        <f t="shared" si="28"/>
        <v>1</v>
      </c>
      <c r="AO62" s="65">
        <f>(375648+375382)/2</f>
        <v>375515</v>
      </c>
      <c r="AP62" s="66">
        <v>1830</v>
      </c>
      <c r="AQ62" s="502">
        <f t="shared" si="18"/>
        <v>33</v>
      </c>
      <c r="AR62" s="60">
        <f t="shared" si="85"/>
        <v>19882</v>
      </c>
      <c r="AS62" s="60">
        <f t="shared" si="19"/>
        <v>34137.727272727272</v>
      </c>
      <c r="AT62" s="61">
        <f t="shared" si="20"/>
        <v>205.19945355191257</v>
      </c>
      <c r="AU62" s="62">
        <f t="shared" si="30"/>
        <v>602.4848484848485</v>
      </c>
      <c r="AV62" s="62">
        <f t="shared" si="75"/>
        <v>248.7949568965517</v>
      </c>
      <c r="AW62" s="65">
        <f t="shared" si="94"/>
        <v>375515</v>
      </c>
      <c r="AX62" s="66">
        <f t="shared" si="95"/>
        <v>1830</v>
      </c>
      <c r="AY62" s="65">
        <f t="shared" si="96"/>
        <v>375515</v>
      </c>
      <c r="AZ62" s="66">
        <f t="shared" si="97"/>
        <v>1830</v>
      </c>
      <c r="BA62" s="60">
        <f>BA61+(AZ$74-$BA$57)*Vergleich!AC89</f>
        <v>357852.18442086963</v>
      </c>
      <c r="BB62" s="60">
        <f t="shared" si="68"/>
        <v>17662.815579130372</v>
      </c>
      <c r="BC62" s="67">
        <f>ROUND(BC61+(BB$74-$BC$57)*Vergleich!AD89,)</f>
        <v>1819</v>
      </c>
      <c r="BD62" s="42">
        <f t="shared" si="70"/>
        <v>11</v>
      </c>
      <c r="BE62" s="60">
        <f>BE61+(BD$74-$BE$57)*Vergleich!N89</f>
        <v>484535.27096002031</v>
      </c>
      <c r="BF62" s="60">
        <f t="shared" si="72"/>
        <v>-109020.27096002031</v>
      </c>
      <c r="BG62" s="67">
        <f>ROUND(BG61+(BF$74-$BG$57)*Vergleich!O89,)</f>
        <v>2550</v>
      </c>
      <c r="BH62" s="42">
        <f t="shared" si="74"/>
        <v>-720</v>
      </c>
      <c r="BI62" s="112"/>
      <c r="BJ62" s="112"/>
      <c r="BK62" s="112"/>
      <c r="BL62" s="112"/>
      <c r="BM62" s="112"/>
      <c r="BN62" s="112"/>
      <c r="BO62" s="112"/>
      <c r="BP62" s="112"/>
      <c r="BQ62" s="112"/>
      <c r="BR62" s="112"/>
      <c r="BS62" s="112"/>
      <c r="BT62" s="112"/>
      <c r="BU62" s="112"/>
      <c r="BV62" s="112"/>
      <c r="BW62" s="112"/>
      <c r="BX62" s="112"/>
      <c r="BY62" s="112"/>
      <c r="BZ62" s="112"/>
      <c r="CA62" s="112"/>
      <c r="CB62" s="112"/>
      <c r="CC62" s="112"/>
      <c r="CD62" s="112"/>
      <c r="CE62" s="112"/>
      <c r="CF62" s="112"/>
      <c r="CG62" s="112"/>
      <c r="CH62" s="112"/>
      <c r="CI62" s="112"/>
      <c r="CJ62" s="112"/>
      <c r="CK62" s="112"/>
      <c r="CL62" s="112"/>
      <c r="CM62" s="112"/>
      <c r="CN62" s="112"/>
      <c r="CO62" s="112"/>
    </row>
    <row r="63" spans="1:93" s="64" customFormat="1" ht="15.75" thickBot="1" x14ac:dyDescent="0.35">
      <c r="A63" s="104"/>
      <c r="B63" s="112"/>
      <c r="C63" s="164"/>
      <c r="D63" s="112"/>
      <c r="E63" s="164"/>
      <c r="F63" s="164"/>
      <c r="G63" s="108">
        <v>12</v>
      </c>
      <c r="H63" s="129">
        <f t="shared" si="10"/>
        <v>45697.75</v>
      </c>
      <c r="I63" s="229">
        <f t="shared" si="11"/>
        <v>383107</v>
      </c>
      <c r="J63" s="219">
        <f t="shared" si="12"/>
        <v>383107</v>
      </c>
      <c r="K63" s="220">
        <f t="shared" si="13"/>
        <v>383107</v>
      </c>
      <c r="L63" s="229">
        <f t="shared" si="14"/>
        <v>370602.74731671077</v>
      </c>
      <c r="M63" s="230">
        <f t="shared" si="15"/>
        <v>502799.25465923065</v>
      </c>
      <c r="N63" s="434">
        <v>125000</v>
      </c>
      <c r="O63" s="219">
        <v>169780</v>
      </c>
      <c r="P63" s="219">
        <v>220698</v>
      </c>
      <c r="Q63" s="219">
        <v>189297</v>
      </c>
      <c r="R63" s="219">
        <v>232990.67</v>
      </c>
      <c r="S63" s="219">
        <v>221864</v>
      </c>
      <c r="T63" s="229">
        <v>57013</v>
      </c>
      <c r="U63" s="220">
        <v>134068</v>
      </c>
      <c r="V63" s="559">
        <v>86154</v>
      </c>
      <c r="W63" s="220">
        <v>143057</v>
      </c>
      <c r="X63" s="431">
        <v>71286</v>
      </c>
      <c r="Y63" s="432">
        <v>66094</v>
      </c>
      <c r="Z63" s="432">
        <v>20594</v>
      </c>
      <c r="AA63" s="221">
        <v>40462</v>
      </c>
      <c r="AB63" s="431">
        <v>36986</v>
      </c>
      <c r="AC63" s="432">
        <v>54218</v>
      </c>
      <c r="AD63" s="433"/>
      <c r="AE63" s="40"/>
      <c r="AF63" s="40"/>
      <c r="AG63" s="475"/>
      <c r="AH63" s="68">
        <v>12</v>
      </c>
      <c r="AI63" s="605">
        <f t="shared" si="26"/>
        <v>1</v>
      </c>
      <c r="AJ63" s="436">
        <f t="shared" si="27"/>
        <v>45697</v>
      </c>
      <c r="AK63" s="55">
        <v>0.75</v>
      </c>
      <c r="AL63" s="56">
        <f t="shared" si="16"/>
        <v>45697.75</v>
      </c>
      <c r="AM63" s="57">
        <f t="shared" si="17"/>
        <v>12</v>
      </c>
      <c r="AN63" s="57">
        <f t="shared" si="28"/>
        <v>1</v>
      </c>
      <c r="AO63" s="65">
        <v>383107</v>
      </c>
      <c r="AP63" s="66">
        <v>1863</v>
      </c>
      <c r="AQ63" s="502">
        <f t="shared" si="18"/>
        <v>33</v>
      </c>
      <c r="AR63" s="60">
        <f t="shared" si="85"/>
        <v>7592</v>
      </c>
      <c r="AS63" s="60">
        <f t="shared" si="19"/>
        <v>31925.583333333332</v>
      </c>
      <c r="AT63" s="61">
        <f t="shared" si="20"/>
        <v>205.63982823403114</v>
      </c>
      <c r="AU63" s="62">
        <f t="shared" si="30"/>
        <v>230.06060606060606</v>
      </c>
      <c r="AV63" s="62">
        <f>AV61</f>
        <v>192.72395104895102</v>
      </c>
      <c r="AW63" s="65">
        <f t="shared" si="94"/>
        <v>383107</v>
      </c>
      <c r="AX63" s="66">
        <f t="shared" si="95"/>
        <v>1863</v>
      </c>
      <c r="AY63" s="65">
        <f t="shared" si="96"/>
        <v>383107</v>
      </c>
      <c r="AZ63" s="66">
        <f t="shared" si="97"/>
        <v>1863</v>
      </c>
      <c r="BA63" s="60">
        <f>BA62+(AZ$74-$BA$57)*Vergleich!AC90</f>
        <v>370602.74731671077</v>
      </c>
      <c r="BB63" s="60">
        <f t="shared" si="68"/>
        <v>12504.252683289233</v>
      </c>
      <c r="BC63" s="67">
        <f>ROUND(BC62+(BB$74-$BC$57)*Vergleich!AD90,)</f>
        <v>1852</v>
      </c>
      <c r="BD63" s="42">
        <f t="shared" si="70"/>
        <v>11</v>
      </c>
      <c r="BE63" s="60">
        <f>BE62+(BD$74-$BE$57)*Vergleich!N90</f>
        <v>502799.25465923065</v>
      </c>
      <c r="BF63" s="60">
        <f t="shared" si="72"/>
        <v>-119692.25465923065</v>
      </c>
      <c r="BG63" s="67">
        <f>ROUND(BG62+(BF$74-$BG$57)*Vergleich!O90,)</f>
        <v>2668</v>
      </c>
      <c r="BH63" s="42">
        <f t="shared" si="74"/>
        <v>-805</v>
      </c>
      <c r="BI63" s="112"/>
      <c r="BJ63" s="112"/>
      <c r="BK63" s="112"/>
      <c r="BL63" s="112"/>
      <c r="BM63" s="112"/>
      <c r="BN63" s="112"/>
      <c r="BO63" s="112"/>
      <c r="BP63" s="112"/>
      <c r="BQ63" s="112"/>
      <c r="BR63" s="112"/>
      <c r="BS63" s="112"/>
      <c r="BT63" s="112"/>
      <c r="BU63" s="112"/>
      <c r="BV63" s="112"/>
      <c r="BW63" s="112"/>
      <c r="BX63" s="112"/>
      <c r="BY63" s="112"/>
      <c r="BZ63" s="112"/>
      <c r="CA63" s="112"/>
      <c r="CB63" s="112"/>
      <c r="CC63" s="112"/>
      <c r="CD63" s="112"/>
      <c r="CE63" s="112"/>
      <c r="CF63" s="112"/>
      <c r="CG63" s="112"/>
      <c r="CH63" s="112"/>
      <c r="CI63" s="112"/>
      <c r="CJ63" s="112"/>
      <c r="CK63" s="112"/>
      <c r="CL63" s="112"/>
      <c r="CM63" s="112"/>
      <c r="CN63" s="112"/>
      <c r="CO63" s="112"/>
    </row>
    <row r="64" spans="1:93" s="64" customFormat="1" ht="15.75" thickBot="1" x14ac:dyDescent="0.35">
      <c r="A64" s="104"/>
      <c r="B64" s="112"/>
      <c r="C64" s="164"/>
      <c r="D64" s="112"/>
      <c r="E64" s="164"/>
      <c r="F64" s="164"/>
      <c r="G64" s="108">
        <v>13</v>
      </c>
      <c r="H64" s="129">
        <f t="shared" si="10"/>
        <v>45698.75</v>
      </c>
      <c r="I64" s="853">
        <f t="shared" si="11"/>
        <v>390522</v>
      </c>
      <c r="J64" s="219">
        <f t="shared" si="12"/>
        <v>390522</v>
      </c>
      <c r="K64" s="220">
        <f t="shared" si="13"/>
        <v>390522</v>
      </c>
      <c r="L64" s="229">
        <f t="shared" si="14"/>
        <v>373208.61330778094</v>
      </c>
      <c r="M64" s="230">
        <f t="shared" si="15"/>
        <v>517172.33338666847</v>
      </c>
      <c r="N64" s="434"/>
      <c r="O64" s="219">
        <v>172436</v>
      </c>
      <c r="P64" s="219">
        <v>224732</v>
      </c>
      <c r="Q64" s="219">
        <v>195413</v>
      </c>
      <c r="R64" s="219">
        <v>241976.2</v>
      </c>
      <c r="S64" s="219">
        <v>229701</v>
      </c>
      <c r="T64" s="229">
        <v>57853</v>
      </c>
      <c r="U64" s="220">
        <v>139930</v>
      </c>
      <c r="V64" s="559">
        <v>89062</v>
      </c>
      <c r="W64" s="220">
        <v>149744</v>
      </c>
      <c r="X64" s="431">
        <v>74079</v>
      </c>
      <c r="Y64" s="432">
        <v>68288</v>
      </c>
      <c r="Z64" s="432">
        <v>20809</v>
      </c>
      <c r="AA64" s="221">
        <v>42073</v>
      </c>
      <c r="AB64" s="431">
        <v>37704</v>
      </c>
      <c r="AC64" s="432">
        <v>55585</v>
      </c>
      <c r="AD64" s="433"/>
      <c r="AE64" s="40"/>
      <c r="AF64" s="40"/>
      <c r="AG64" s="475"/>
      <c r="AH64" s="68">
        <v>13</v>
      </c>
      <c r="AI64" s="605">
        <f t="shared" si="26"/>
        <v>2</v>
      </c>
      <c r="AJ64" s="436">
        <f t="shared" si="27"/>
        <v>45698</v>
      </c>
      <c r="AK64" s="55">
        <v>0.75</v>
      </c>
      <c r="AL64" s="56">
        <f t="shared" si="16"/>
        <v>45698.75</v>
      </c>
      <c r="AM64" s="57">
        <f t="shared" si="17"/>
        <v>13</v>
      </c>
      <c r="AN64" s="57">
        <f t="shared" si="28"/>
        <v>1</v>
      </c>
      <c r="AO64" s="65">
        <v>390522</v>
      </c>
      <c r="AP64" s="66">
        <v>1895</v>
      </c>
      <c r="AQ64" s="502">
        <f t="shared" si="18"/>
        <v>32</v>
      </c>
      <c r="AR64" s="60">
        <f t="shared" si="85"/>
        <v>7415</v>
      </c>
      <c r="AS64" s="60">
        <f t="shared" si="19"/>
        <v>30040.153846153848</v>
      </c>
      <c r="AT64" s="61">
        <f t="shared" si="20"/>
        <v>206.0802110817942</v>
      </c>
      <c r="AU64" s="62">
        <f t="shared" si="30"/>
        <v>231.71875</v>
      </c>
      <c r="AV64" s="62">
        <f>AV63</f>
        <v>192.72395104895102</v>
      </c>
      <c r="AW64" s="65">
        <f t="shared" si="94"/>
        <v>390522</v>
      </c>
      <c r="AX64" s="66">
        <f t="shared" si="95"/>
        <v>1895</v>
      </c>
      <c r="AY64" s="65">
        <f t="shared" si="96"/>
        <v>390522</v>
      </c>
      <c r="AZ64" s="66">
        <f t="shared" si="97"/>
        <v>1895</v>
      </c>
      <c r="BA64" s="60">
        <f>BA63+(AZ$74-$BA$57)*Vergleich!AC91</f>
        <v>373208.61330778094</v>
      </c>
      <c r="BB64" s="60">
        <f t="shared" si="68"/>
        <v>17313.386692219065</v>
      </c>
      <c r="BC64" s="67">
        <f>ROUND(BC63+(BB$74-$BC$57)*Vergleich!AD91,)</f>
        <v>1860</v>
      </c>
      <c r="BD64" s="42">
        <f t="shared" si="70"/>
        <v>35</v>
      </c>
      <c r="BE64" s="60">
        <f>BE63+(BD$74-$BE$57)*Vergleich!N91</f>
        <v>517172.33338666847</v>
      </c>
      <c r="BF64" s="60">
        <f t="shared" si="72"/>
        <v>-126650.33338666847</v>
      </c>
      <c r="BG64" s="67">
        <f>ROUND(BG63+(BF$74-$BG$57)*Vergleich!O91,)</f>
        <v>2741</v>
      </c>
      <c r="BH64" s="42">
        <f t="shared" si="74"/>
        <v>-846</v>
      </c>
      <c r="BI64" s="112"/>
      <c r="BJ64" s="112"/>
      <c r="BK64" s="112"/>
      <c r="BL64" s="112"/>
      <c r="BM64" s="112"/>
      <c r="BN64" s="112"/>
      <c r="BO64" s="112"/>
      <c r="BP64" s="112"/>
      <c r="BQ64" s="112"/>
      <c r="BR64" s="112"/>
      <c r="BS64" s="112"/>
      <c r="BT64" s="112"/>
      <c r="BU64" s="112"/>
      <c r="BV64" s="112"/>
      <c r="BW64" s="112"/>
      <c r="BX64" s="112"/>
      <c r="BY64" s="112"/>
      <c r="BZ64" s="112"/>
      <c r="CA64" s="112"/>
      <c r="CB64" s="112"/>
      <c r="CC64" s="112"/>
      <c r="CD64" s="112"/>
      <c r="CE64" s="112"/>
      <c r="CF64" s="112"/>
      <c r="CG64" s="112"/>
      <c r="CH64" s="112"/>
      <c r="CI64" s="112"/>
      <c r="CJ64" s="112"/>
      <c r="CK64" s="112"/>
      <c r="CL64" s="112"/>
      <c r="CM64" s="112"/>
      <c r="CN64" s="112"/>
      <c r="CO64" s="112"/>
    </row>
    <row r="65" spans="1:93" s="64" customFormat="1" ht="15.75" thickBot="1" x14ac:dyDescent="0.35">
      <c r="A65" s="104"/>
      <c r="B65" s="112"/>
      <c r="C65" s="164"/>
      <c r="D65" s="112"/>
      <c r="E65" s="164"/>
      <c r="F65" s="164"/>
      <c r="G65" s="108">
        <v>14</v>
      </c>
      <c r="H65" s="129">
        <f t="shared" si="10"/>
        <v>45699.75</v>
      </c>
      <c r="I65" s="229">
        <f t="shared" si="11"/>
        <v>398145</v>
      </c>
      <c r="J65" s="219">
        <f t="shared" si="12"/>
        <v>398145</v>
      </c>
      <c r="K65" s="220">
        <f t="shared" si="13"/>
        <v>398145</v>
      </c>
      <c r="L65" s="229">
        <f t="shared" si="14"/>
        <v>380686.84268680564</v>
      </c>
      <c r="M65" s="230">
        <f t="shared" si="15"/>
        <v>539862.96557949483</v>
      </c>
      <c r="N65" s="434"/>
      <c r="O65" s="219">
        <v>176629</v>
      </c>
      <c r="P65" s="219">
        <v>232641</v>
      </c>
      <c r="Q65" s="219">
        <v>204026</v>
      </c>
      <c r="R65" s="219">
        <v>253405.41</v>
      </c>
      <c r="S65" s="219">
        <v>240791</v>
      </c>
      <c r="T65" s="229">
        <v>59064</v>
      </c>
      <c r="U65" s="220">
        <v>148846</v>
      </c>
      <c r="V65" s="559">
        <v>93109</v>
      </c>
      <c r="W65" s="220">
        <v>155980</v>
      </c>
      <c r="X65" s="431">
        <v>75411</v>
      </c>
      <c r="Y65" s="432">
        <v>71648</v>
      </c>
      <c r="Z65" s="432">
        <v>21426</v>
      </c>
      <c r="AA65" s="221">
        <v>43611</v>
      </c>
      <c r="AB65" s="431">
        <v>38541</v>
      </c>
      <c r="AC65" s="432">
        <v>57658</v>
      </c>
      <c r="AD65" s="433"/>
      <c r="AE65" s="40"/>
      <c r="AF65" s="40"/>
      <c r="AG65" s="475"/>
      <c r="AH65" s="68">
        <v>14</v>
      </c>
      <c r="AI65" s="658">
        <f t="shared" si="26"/>
        <v>3</v>
      </c>
      <c r="AJ65" s="306">
        <f t="shared" si="27"/>
        <v>45699</v>
      </c>
      <c r="AK65" s="55">
        <v>0.75</v>
      </c>
      <c r="AL65" s="56">
        <f t="shared" si="16"/>
        <v>45699.75</v>
      </c>
      <c r="AM65" s="57">
        <f t="shared" si="17"/>
        <v>14</v>
      </c>
      <c r="AN65" s="57">
        <f t="shared" si="28"/>
        <v>1</v>
      </c>
      <c r="AO65" s="65">
        <v>398145</v>
      </c>
      <c r="AP65" s="66">
        <v>1928</v>
      </c>
      <c r="AQ65" s="502">
        <f t="shared" si="18"/>
        <v>33</v>
      </c>
      <c r="AR65" s="60">
        <f t="shared" si="85"/>
        <v>7623</v>
      </c>
      <c r="AS65" s="60">
        <f t="shared" si="19"/>
        <v>28438.928571428572</v>
      </c>
      <c r="AT65" s="61">
        <f t="shared" si="20"/>
        <v>206.50674273858922</v>
      </c>
      <c r="AU65" s="62">
        <f t="shared" si="30"/>
        <v>231</v>
      </c>
      <c r="AV65" s="62">
        <f>AV63</f>
        <v>192.72395104895102</v>
      </c>
      <c r="AW65" s="65">
        <f t="shared" si="94"/>
        <v>398145</v>
      </c>
      <c r="AX65" s="66">
        <f t="shared" si="95"/>
        <v>1928</v>
      </c>
      <c r="AY65" s="65">
        <f t="shared" si="96"/>
        <v>398145</v>
      </c>
      <c r="AZ65" s="66">
        <f t="shared" si="97"/>
        <v>1928</v>
      </c>
      <c r="BA65" s="60">
        <f>BA64+(AZ$74-$BA$57)*Vergleich!AC92</f>
        <v>380686.84268680564</v>
      </c>
      <c r="BB65" s="60">
        <f t="shared" si="68"/>
        <v>17458.157313194359</v>
      </c>
      <c r="BC65" s="67">
        <f>ROUND(BC64+(BB$74-$BC$57)*Vergleich!AD92,)</f>
        <v>1893</v>
      </c>
      <c r="BD65" s="42">
        <f t="shared" si="70"/>
        <v>35</v>
      </c>
      <c r="BE65" s="60">
        <f>BE64+(BD$74-$BE$57)*Vergleich!N92</f>
        <v>539862.96557949483</v>
      </c>
      <c r="BF65" s="60">
        <f t="shared" si="72"/>
        <v>-141717.96557949483</v>
      </c>
      <c r="BG65" s="67">
        <f>ROUND(BG64+(BF$74-$BG$57)*Vergleich!O92,)</f>
        <v>2863</v>
      </c>
      <c r="BH65" s="42">
        <f t="shared" si="74"/>
        <v>-935</v>
      </c>
      <c r="BI65" s="112"/>
      <c r="BJ65" s="112"/>
      <c r="BK65" s="112"/>
      <c r="BL65" s="112"/>
      <c r="BM65" s="112"/>
      <c r="BN65" s="112"/>
      <c r="BO65" s="112"/>
      <c r="BP65" s="112"/>
      <c r="BQ65" s="112"/>
      <c r="BR65" s="112"/>
      <c r="BS65" s="112"/>
      <c r="BT65" s="112"/>
      <c r="BU65" s="112"/>
      <c r="BV65" s="112"/>
      <c r="BW65" s="112"/>
      <c r="BX65" s="112"/>
      <c r="BY65" s="112"/>
      <c r="BZ65" s="112"/>
      <c r="CA65" s="112"/>
      <c r="CB65" s="112"/>
      <c r="CC65" s="112"/>
      <c r="CD65" s="112"/>
      <c r="CE65" s="112"/>
      <c r="CF65" s="112"/>
      <c r="CG65" s="112"/>
      <c r="CH65" s="112"/>
      <c r="CI65" s="112"/>
      <c r="CJ65" s="112"/>
      <c r="CK65" s="112"/>
      <c r="CL65" s="112"/>
      <c r="CM65" s="112"/>
      <c r="CN65" s="112"/>
      <c r="CO65" s="112"/>
    </row>
    <row r="66" spans="1:93" s="64" customFormat="1" ht="15.75" thickBot="1" x14ac:dyDescent="0.35">
      <c r="A66" s="104"/>
      <c r="B66" s="112"/>
      <c r="C66" s="164"/>
      <c r="D66" s="112"/>
      <c r="E66" s="164"/>
      <c r="F66" s="164"/>
      <c r="G66" s="108">
        <v>15</v>
      </c>
      <c r="H66" s="129">
        <f t="shared" si="10"/>
        <v>45700.75</v>
      </c>
      <c r="I66" s="229">
        <f t="shared" si="11"/>
        <v>412178</v>
      </c>
      <c r="J66" s="219">
        <f t="shared" si="12"/>
        <v>412178</v>
      </c>
      <c r="K66" s="220">
        <f t="shared" si="13"/>
        <v>412178</v>
      </c>
      <c r="L66" s="229">
        <f t="shared" si="14"/>
        <v>393982.8193947312</v>
      </c>
      <c r="M66" s="230">
        <f t="shared" si="15"/>
        <v>602875.06222945184</v>
      </c>
      <c r="N66" s="434"/>
      <c r="O66" s="219">
        <v>188273</v>
      </c>
      <c r="P66" s="219">
        <v>242719</v>
      </c>
      <c r="Q66" s="219">
        <v>214753</v>
      </c>
      <c r="R66" s="219">
        <v>264609.71999999997</v>
      </c>
      <c r="S66" s="219">
        <v>249000</v>
      </c>
      <c r="T66" s="229">
        <v>60362</v>
      </c>
      <c r="U66" s="220">
        <v>159815</v>
      </c>
      <c r="V66" s="559">
        <v>97466</v>
      </c>
      <c r="W66" s="220">
        <v>165152</v>
      </c>
      <c r="X66" s="431">
        <v>77016</v>
      </c>
      <c r="Y66" s="432">
        <v>75191</v>
      </c>
      <c r="Z66" s="432">
        <v>22523</v>
      </c>
      <c r="AA66" s="221">
        <v>45951</v>
      </c>
      <c r="AB66" s="431">
        <v>40401</v>
      </c>
      <c r="AC66" s="432">
        <v>59154</v>
      </c>
      <c r="AD66" s="433"/>
      <c r="AE66" s="40"/>
      <c r="AF66" s="40"/>
      <c r="AG66" s="475"/>
      <c r="AH66" s="68">
        <v>15</v>
      </c>
      <c r="AI66" s="605">
        <f t="shared" si="26"/>
        <v>4</v>
      </c>
      <c r="AJ66" s="436">
        <f t="shared" si="27"/>
        <v>45700</v>
      </c>
      <c r="AK66" s="55">
        <v>0.75</v>
      </c>
      <c r="AL66" s="56">
        <f t="shared" si="16"/>
        <v>45700.75</v>
      </c>
      <c r="AM66" s="57">
        <f t="shared" si="17"/>
        <v>15</v>
      </c>
      <c r="AN66" s="57">
        <f t="shared" si="28"/>
        <v>1</v>
      </c>
      <c r="AO66" s="65">
        <v>412178</v>
      </c>
      <c r="AP66" s="66">
        <v>1974</v>
      </c>
      <c r="AQ66" s="502">
        <f t="shared" si="18"/>
        <v>46</v>
      </c>
      <c r="AR66" s="438">
        <f t="shared" si="85"/>
        <v>14033</v>
      </c>
      <c r="AS66" s="60">
        <f t="shared" si="19"/>
        <v>27478.533333333333</v>
      </c>
      <c r="AT66" s="61">
        <f t="shared" si="20"/>
        <v>208.80344478216819</v>
      </c>
      <c r="AU66" s="62">
        <f t="shared" si="30"/>
        <v>305.06521739130437</v>
      </c>
      <c r="AV66" s="62">
        <f t="shared" ref="AV66:AV68" si="98">AV64</f>
        <v>192.72395104895102</v>
      </c>
      <c r="AW66" s="65">
        <f t="shared" ref="AW66:AW68" si="99">AO66</f>
        <v>412178</v>
      </c>
      <c r="AX66" s="66">
        <f t="shared" ref="AX66:AX68" si="100">AP66</f>
        <v>1974</v>
      </c>
      <c r="AY66" s="65">
        <f t="shared" ref="AY66:AY68" si="101">AO66</f>
        <v>412178</v>
      </c>
      <c r="AZ66" s="66">
        <f t="shared" ref="AZ66:AZ68" si="102">AP66</f>
        <v>1974</v>
      </c>
      <c r="BA66" s="60">
        <f>BA65+(AZ$74-$BA$57)*Vergleich!AC93</f>
        <v>393982.8193947312</v>
      </c>
      <c r="BB66" s="60">
        <f t="shared" si="68"/>
        <v>18195.180605268804</v>
      </c>
      <c r="BC66" s="67">
        <f>ROUND(BC65+(BB$74-$BC$57)*Vergleich!AD93,)</f>
        <v>1934</v>
      </c>
      <c r="BD66" s="42">
        <f t="shared" si="70"/>
        <v>40</v>
      </c>
      <c r="BE66" s="60">
        <f>BE65+(BD$74-$BE$57)*Vergleich!N93</f>
        <v>602875.06222945184</v>
      </c>
      <c r="BF66" s="60">
        <f t="shared" si="72"/>
        <v>-190697.06222945184</v>
      </c>
      <c r="BG66" s="67">
        <f>ROUND(BG65+(BF$74-$BG$57)*Vergleich!O93,)</f>
        <v>3230</v>
      </c>
      <c r="BH66" s="42">
        <f t="shared" si="74"/>
        <v>-1256</v>
      </c>
      <c r="BI66" s="112"/>
      <c r="BJ66" s="112"/>
      <c r="BK66" s="112"/>
      <c r="BL66" s="112"/>
      <c r="BM66" s="112"/>
      <c r="BN66" s="112"/>
      <c r="BO66" s="112"/>
      <c r="BP66" s="112"/>
      <c r="BQ66" s="112"/>
      <c r="BR66" s="112"/>
      <c r="BS66" s="112"/>
      <c r="BT66" s="112"/>
      <c r="BU66" s="112"/>
      <c r="BV66" s="112"/>
      <c r="BW66" s="112"/>
      <c r="BX66" s="112"/>
      <c r="BY66" s="112"/>
      <c r="BZ66" s="112"/>
      <c r="CA66" s="112"/>
      <c r="CB66" s="112"/>
      <c r="CC66" s="112"/>
      <c r="CD66" s="112"/>
      <c r="CE66" s="112"/>
      <c r="CF66" s="112"/>
      <c r="CG66" s="112"/>
      <c r="CH66" s="112"/>
      <c r="CI66" s="112"/>
      <c r="CJ66" s="112"/>
      <c r="CK66" s="112"/>
      <c r="CL66" s="112"/>
      <c r="CM66" s="112"/>
      <c r="CN66" s="112"/>
      <c r="CO66" s="112"/>
    </row>
    <row r="67" spans="1:93" s="64" customFormat="1" x14ac:dyDescent="0.3">
      <c r="A67" s="104"/>
      <c r="B67" s="112"/>
      <c r="C67" s="164"/>
      <c r="D67" s="112"/>
      <c r="E67" s="164"/>
      <c r="F67" s="164"/>
      <c r="G67" s="108">
        <v>16</v>
      </c>
      <c r="H67" s="129">
        <f t="shared" si="10"/>
        <v>45701.75</v>
      </c>
      <c r="I67" s="229">
        <f t="shared" si="11"/>
        <v>427537</v>
      </c>
      <c r="J67" s="219">
        <f t="shared" si="12"/>
        <v>427537</v>
      </c>
      <c r="K67" s="220">
        <f t="shared" si="13"/>
        <v>427537</v>
      </c>
      <c r="L67" s="229">
        <f t="shared" si="14"/>
        <v>405860.72019123717</v>
      </c>
      <c r="M67" s="230">
        <f t="shared" si="15"/>
        <v>629884.11190138035</v>
      </c>
      <c r="N67" s="434"/>
      <c r="O67" s="219">
        <v>193264</v>
      </c>
      <c r="P67" s="219">
        <v>251181</v>
      </c>
      <c r="Q67" s="219">
        <v>222938</v>
      </c>
      <c r="R67" s="219">
        <v>272847.35999999999</v>
      </c>
      <c r="S67" s="219">
        <v>257666</v>
      </c>
      <c r="T67" s="229">
        <v>61360</v>
      </c>
      <c r="U67" s="220">
        <v>167089</v>
      </c>
      <c r="V67" s="559">
        <v>103452</v>
      </c>
      <c r="W67" s="220">
        <v>174081</v>
      </c>
      <c r="X67" s="431">
        <v>80049</v>
      </c>
      <c r="Y67" s="432">
        <v>78668</v>
      </c>
      <c r="Z67" s="432">
        <v>23503</v>
      </c>
      <c r="AA67" s="221">
        <v>47979</v>
      </c>
      <c r="AB67" s="431">
        <v>42277</v>
      </c>
      <c r="AC67" s="432">
        <v>61842</v>
      </c>
      <c r="AD67" s="433"/>
      <c r="AE67" s="40"/>
      <c r="AF67" s="40"/>
      <c r="AG67" s="475"/>
      <c r="AH67" s="68">
        <v>16</v>
      </c>
      <c r="AI67" s="605">
        <f t="shared" si="26"/>
        <v>5</v>
      </c>
      <c r="AJ67" s="436">
        <f t="shared" si="27"/>
        <v>45701</v>
      </c>
      <c r="AK67" s="55">
        <v>0.75</v>
      </c>
      <c r="AL67" s="56">
        <f t="shared" si="16"/>
        <v>45701.75</v>
      </c>
      <c r="AM67" s="57">
        <f t="shared" si="17"/>
        <v>16</v>
      </c>
      <c r="AN67" s="57">
        <f t="shared" si="28"/>
        <v>1</v>
      </c>
      <c r="AO67" s="65">
        <v>427537</v>
      </c>
      <c r="AP67" s="66">
        <v>2039</v>
      </c>
      <c r="AQ67" s="502">
        <f t="shared" si="18"/>
        <v>65</v>
      </c>
      <c r="AR67" s="60">
        <f t="shared" si="85"/>
        <v>15359</v>
      </c>
      <c r="AS67" s="60">
        <f t="shared" si="19"/>
        <v>26721.0625</v>
      </c>
      <c r="AT67" s="61">
        <f t="shared" si="20"/>
        <v>209.679744973026</v>
      </c>
      <c r="AU67" s="62">
        <f t="shared" si="30"/>
        <v>236.2923076923077</v>
      </c>
      <c r="AV67" s="62">
        <f t="shared" si="98"/>
        <v>192.72395104895102</v>
      </c>
      <c r="AW67" s="65">
        <f t="shared" si="99"/>
        <v>427537</v>
      </c>
      <c r="AX67" s="66">
        <f t="shared" si="100"/>
        <v>2039</v>
      </c>
      <c r="AY67" s="65">
        <f t="shared" si="101"/>
        <v>427537</v>
      </c>
      <c r="AZ67" s="66">
        <f t="shared" si="102"/>
        <v>2039</v>
      </c>
      <c r="BA67" s="60">
        <f>BA66+(AZ$74-$BA$57)*Vergleich!AC94</f>
        <v>405860.72019123717</v>
      </c>
      <c r="BB67" s="60">
        <f t="shared" si="68"/>
        <v>21676.279808762833</v>
      </c>
      <c r="BC67" s="67">
        <f>ROUND(BC66+(BB$74-$BC$57)*Vergleich!AD94,)</f>
        <v>1999</v>
      </c>
      <c r="BD67" s="42">
        <f t="shared" si="70"/>
        <v>40</v>
      </c>
      <c r="BE67" s="60">
        <f>BE66+(BD$74-$BE$57)*Vergleich!N94</f>
        <v>629884.11190138035</v>
      </c>
      <c r="BF67" s="60">
        <f t="shared" si="72"/>
        <v>-202347.11190138035</v>
      </c>
      <c r="BG67" s="67">
        <f>ROUND(BG66+(BF$74-$BG$57)*Vergleich!O94,)</f>
        <v>3398</v>
      </c>
      <c r="BH67" s="42">
        <f t="shared" si="74"/>
        <v>-1359</v>
      </c>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row>
    <row r="68" spans="1:93" s="64" customFormat="1" x14ac:dyDescent="0.3">
      <c r="A68" s="104"/>
      <c r="B68" s="112"/>
      <c r="C68" s="164"/>
      <c r="D68" s="112"/>
      <c r="E68" s="164"/>
      <c r="F68" s="164"/>
      <c r="G68" s="108">
        <v>17</v>
      </c>
      <c r="H68" s="129">
        <f t="shared" si="10"/>
        <v>45702.75</v>
      </c>
      <c r="I68" s="229">
        <f t="shared" si="11"/>
        <v>439430</v>
      </c>
      <c r="J68" s="219">
        <f t="shared" si="12"/>
        <v>439430</v>
      </c>
      <c r="K68" s="220">
        <f t="shared" si="13"/>
        <v>439430</v>
      </c>
      <c r="L68" s="229">
        <f t="shared" si="14"/>
        <v>411217.89585660008</v>
      </c>
      <c r="M68" s="230">
        <f t="shared" si="15"/>
        <v>656925.63087766303</v>
      </c>
      <c r="N68" s="434"/>
      <c r="O68" s="219">
        <v>198261</v>
      </c>
      <c r="P68" s="219">
        <v>258252</v>
      </c>
      <c r="Q68" s="219">
        <v>228929</v>
      </c>
      <c r="R68" s="219">
        <v>281181.88</v>
      </c>
      <c r="S68" s="219">
        <v>268894</v>
      </c>
      <c r="T68" s="229">
        <v>63787</v>
      </c>
      <c r="U68" s="220">
        <v>174268</v>
      </c>
      <c r="V68" s="559">
        <v>109547</v>
      </c>
      <c r="W68" s="220">
        <v>181054</v>
      </c>
      <c r="X68" s="431">
        <v>86833</v>
      </c>
      <c r="Y68" s="432">
        <v>83940</v>
      </c>
      <c r="Z68" s="432">
        <v>23945</v>
      </c>
      <c r="AA68" s="221">
        <v>49387</v>
      </c>
      <c r="AB68" s="431">
        <v>44039</v>
      </c>
      <c r="AC68" s="432">
        <v>64258</v>
      </c>
      <c r="AD68" s="433"/>
      <c r="AE68" s="40"/>
      <c r="AF68" s="40"/>
      <c r="AG68" s="475"/>
      <c r="AH68" s="68">
        <v>17</v>
      </c>
      <c r="AI68" s="605">
        <f t="shared" si="26"/>
        <v>6</v>
      </c>
      <c r="AJ68" s="436">
        <f t="shared" si="27"/>
        <v>45702</v>
      </c>
      <c r="AK68" s="55">
        <v>0.75</v>
      </c>
      <c r="AL68" s="56">
        <f t="shared" si="16"/>
        <v>45702.75</v>
      </c>
      <c r="AM68" s="57">
        <f t="shared" si="17"/>
        <v>17</v>
      </c>
      <c r="AN68" s="57">
        <f t="shared" si="28"/>
        <v>1</v>
      </c>
      <c r="AO68" s="65">
        <v>439430</v>
      </c>
      <c r="AP68" s="66">
        <v>2089</v>
      </c>
      <c r="AQ68" s="502">
        <f t="shared" si="18"/>
        <v>50</v>
      </c>
      <c r="AR68" s="60">
        <f t="shared" si="85"/>
        <v>11893</v>
      </c>
      <c r="AS68" s="60">
        <f t="shared" si="19"/>
        <v>25848.823529411766</v>
      </c>
      <c r="AT68" s="61">
        <f t="shared" si="20"/>
        <v>210.35423647678314</v>
      </c>
      <c r="AU68" s="62">
        <f t="shared" si="30"/>
        <v>237.86</v>
      </c>
      <c r="AV68" s="62">
        <f t="shared" si="98"/>
        <v>192.72395104895102</v>
      </c>
      <c r="AW68" s="65">
        <f t="shared" si="99"/>
        <v>439430</v>
      </c>
      <c r="AX68" s="66">
        <f t="shared" si="100"/>
        <v>2089</v>
      </c>
      <c r="AY68" s="65">
        <f t="shared" si="101"/>
        <v>439430</v>
      </c>
      <c r="AZ68" s="66">
        <f t="shared" si="102"/>
        <v>2089</v>
      </c>
      <c r="BA68" s="60">
        <f>BA67+(AZ$74-$BA$57)*Vergleich!AC95</f>
        <v>411217.89585660008</v>
      </c>
      <c r="BB68" s="60">
        <f t="shared" si="68"/>
        <v>28212.10414339992</v>
      </c>
      <c r="BC68" s="67">
        <f>ROUND(BC67+(BB$74-$BC$57)*Vergleich!AD95,)</f>
        <v>2023</v>
      </c>
      <c r="BD68" s="42">
        <f t="shared" si="70"/>
        <v>66</v>
      </c>
      <c r="BE68" s="60">
        <f>BE67+(BD$74-$BE$57)*Vergleich!N95</f>
        <v>656925.63087766303</v>
      </c>
      <c r="BF68" s="60">
        <f t="shared" si="72"/>
        <v>-217495.63087766303</v>
      </c>
      <c r="BG68" s="67">
        <f>ROUND(BG67+(BF$74-$BG$57)*Vergleich!O95,)</f>
        <v>3552</v>
      </c>
      <c r="BH68" s="42">
        <f t="shared" si="74"/>
        <v>-1463</v>
      </c>
      <c r="BI68" s="112"/>
      <c r="BJ68" s="112"/>
      <c r="BK68" s="112"/>
      <c r="BL68" s="112"/>
      <c r="BM68" s="112"/>
      <c r="BN68" s="112"/>
      <c r="BO68" s="112"/>
      <c r="BP68" s="112"/>
      <c r="BQ68" s="112"/>
      <c r="BR68" s="112"/>
      <c r="BS68" s="112"/>
      <c r="BT68" s="112"/>
      <c r="BU68" s="112"/>
      <c r="BV68" s="112"/>
      <c r="BW68" s="112"/>
      <c r="BX68" s="112"/>
      <c r="BY68" s="112"/>
      <c r="BZ68" s="112"/>
      <c r="CA68" s="112"/>
      <c r="CB68" s="112"/>
      <c r="CC68" s="112"/>
      <c r="CD68" s="112"/>
      <c r="CE68" s="112"/>
      <c r="CF68" s="112"/>
      <c r="CG68" s="112"/>
      <c r="CH68" s="112"/>
      <c r="CI68" s="112"/>
      <c r="CJ68" s="112"/>
      <c r="CK68" s="112"/>
      <c r="CL68" s="112"/>
      <c r="CM68" s="112"/>
      <c r="CN68" s="112"/>
      <c r="CO68" s="112"/>
    </row>
    <row r="69" spans="1:93" s="64" customFormat="1" x14ac:dyDescent="0.3">
      <c r="A69" s="104"/>
      <c r="B69" s="112"/>
      <c r="C69" s="164"/>
      <c r="D69" s="112"/>
      <c r="E69" s="164"/>
      <c r="F69" s="164"/>
      <c r="G69" s="108">
        <v>18</v>
      </c>
      <c r="H69" s="129">
        <f t="shared" si="10"/>
        <v>45703.75</v>
      </c>
      <c r="I69" s="229">
        <f t="shared" si="11"/>
        <v>454034</v>
      </c>
      <c r="J69" s="219">
        <f t="shared" si="12"/>
        <v>454034</v>
      </c>
      <c r="K69" s="220">
        <f t="shared" si="13"/>
        <v>454034</v>
      </c>
      <c r="L69" s="229">
        <f t="shared" si="14"/>
        <v>427192.46039720712</v>
      </c>
      <c r="M69" s="230">
        <f t="shared" si="15"/>
        <v>683214.9443030745</v>
      </c>
      <c r="N69" s="434"/>
      <c r="O69" s="219">
        <v>203119</v>
      </c>
      <c r="P69" s="219">
        <v>267342</v>
      </c>
      <c r="Q69" s="219">
        <v>237425</v>
      </c>
      <c r="R69" s="219">
        <v>290671.17</v>
      </c>
      <c r="S69" s="219">
        <v>280832</v>
      </c>
      <c r="T69" s="229">
        <v>66341</v>
      </c>
      <c r="U69" s="220">
        <v>180234</v>
      </c>
      <c r="V69" s="559">
        <v>115420</v>
      </c>
      <c r="W69" s="220">
        <v>187527</v>
      </c>
      <c r="X69" s="431">
        <v>91974</v>
      </c>
      <c r="Y69" s="432">
        <v>87091</v>
      </c>
      <c r="Z69" s="432">
        <v>25263</v>
      </c>
      <c r="AA69" s="221">
        <v>51996</v>
      </c>
      <c r="AB69" s="431">
        <v>46661</v>
      </c>
      <c r="AC69" s="432">
        <v>66749</v>
      </c>
      <c r="AD69" s="433"/>
      <c r="AE69" s="40"/>
      <c r="AF69" s="40"/>
      <c r="AG69" s="475"/>
      <c r="AH69" s="68">
        <v>18</v>
      </c>
      <c r="AI69" s="605">
        <f t="shared" si="26"/>
        <v>7</v>
      </c>
      <c r="AJ69" s="436">
        <f t="shared" si="27"/>
        <v>45703</v>
      </c>
      <c r="AK69" s="55">
        <v>0.75</v>
      </c>
      <c r="AL69" s="56">
        <f t="shared" si="16"/>
        <v>45703.75</v>
      </c>
      <c r="AM69" s="57">
        <f t="shared" si="17"/>
        <v>18</v>
      </c>
      <c r="AN69" s="57">
        <f t="shared" si="28"/>
        <v>1</v>
      </c>
      <c r="AO69" s="65">
        <v>454034</v>
      </c>
      <c r="AP69" s="66">
        <v>2148</v>
      </c>
      <c r="AQ69" s="502">
        <f t="shared" si="18"/>
        <v>59</v>
      </c>
      <c r="AR69" s="60">
        <f t="shared" si="85"/>
        <v>14604</v>
      </c>
      <c r="AS69" s="60">
        <f t="shared" si="19"/>
        <v>25224.111111111109</v>
      </c>
      <c r="AT69" s="61">
        <f t="shared" si="20"/>
        <v>211.37523277467412</v>
      </c>
      <c r="AU69" s="62">
        <f t="shared" si="30"/>
        <v>247.52542372881356</v>
      </c>
      <c r="AV69" s="861">
        <f>AT69</f>
        <v>211.37523277467412</v>
      </c>
      <c r="AW69" s="65">
        <f t="shared" ref="AW69" si="103">AO69</f>
        <v>454034</v>
      </c>
      <c r="AX69" s="66">
        <f t="shared" ref="AX69" si="104">AP69</f>
        <v>2148</v>
      </c>
      <c r="AY69" s="65">
        <f t="shared" ref="AY69" si="105">AO69</f>
        <v>454034</v>
      </c>
      <c r="AZ69" s="66">
        <f t="shared" ref="AZ69" si="106">AP69</f>
        <v>2148</v>
      </c>
      <c r="BA69" s="60">
        <f>BA68+(AZ$74-$BA$57)*Vergleich!AC96</f>
        <v>427192.46039720712</v>
      </c>
      <c r="BB69" s="60">
        <f t="shared" si="68"/>
        <v>26841.53960279288</v>
      </c>
      <c r="BC69" s="67">
        <f>ROUND(BC68+(BB$74-$BC$57)*Vergleich!AD96,)</f>
        <v>2113</v>
      </c>
      <c r="BD69" s="42">
        <f t="shared" si="70"/>
        <v>35</v>
      </c>
      <c r="BE69" s="60">
        <f>BE68+(BD$74-$BE$57)*Vergleich!N96</f>
        <v>683214.9443030745</v>
      </c>
      <c r="BF69" s="60">
        <f t="shared" si="72"/>
        <v>-229180.9443030745</v>
      </c>
      <c r="BG69" s="67">
        <f>ROUND(BG68+(BF$74-$BG$57)*Vergleich!O96,)</f>
        <v>3711</v>
      </c>
      <c r="BH69" s="42">
        <f t="shared" si="74"/>
        <v>-1563</v>
      </c>
      <c r="BI69" s="112"/>
      <c r="BJ69" s="112"/>
      <c r="BK69" s="112"/>
      <c r="BL69" s="112"/>
      <c r="BM69" s="112"/>
      <c r="BN69" s="112"/>
      <c r="BO69" s="112"/>
      <c r="BP69" s="112"/>
      <c r="BQ69" s="112"/>
      <c r="BR69" s="112"/>
      <c r="BS69" s="112"/>
      <c r="BT69" s="112"/>
      <c r="BU69" s="112"/>
      <c r="BV69" s="112"/>
      <c r="BW69" s="112"/>
      <c r="BX69" s="112"/>
      <c r="BY69" s="112"/>
      <c r="BZ69" s="112"/>
      <c r="CA69" s="112"/>
      <c r="CB69" s="112"/>
      <c r="CC69" s="112"/>
      <c r="CD69" s="112"/>
      <c r="CE69" s="112"/>
      <c r="CF69" s="112"/>
      <c r="CG69" s="112"/>
      <c r="CH69" s="112"/>
      <c r="CI69" s="112"/>
      <c r="CJ69" s="112"/>
      <c r="CK69" s="112"/>
      <c r="CL69" s="112"/>
      <c r="CM69" s="112"/>
      <c r="CN69" s="112"/>
      <c r="CO69" s="112"/>
    </row>
    <row r="70" spans="1:93" s="64" customFormat="1" x14ac:dyDescent="0.3">
      <c r="A70" s="104"/>
      <c r="B70" s="112"/>
      <c r="C70" s="164"/>
      <c r="D70" s="112"/>
      <c r="E70" s="164"/>
      <c r="F70" s="164"/>
      <c r="G70" s="108">
        <v>19</v>
      </c>
      <c r="H70" s="129">
        <f t="shared" si="10"/>
        <v>45704.75</v>
      </c>
      <c r="I70" s="229">
        <f t="shared" si="11"/>
        <v>470532</v>
      </c>
      <c r="J70" s="219">
        <f t="shared" si="12"/>
        <v>470532</v>
      </c>
      <c r="K70" s="220">
        <f t="shared" si="13"/>
        <v>470532</v>
      </c>
      <c r="L70" s="229">
        <f t="shared" si="14"/>
        <v>444706.30391858582</v>
      </c>
      <c r="M70" s="230">
        <f t="shared" si="15"/>
        <v>732281.47473292344</v>
      </c>
      <c r="N70" s="434"/>
      <c r="O70" s="219">
        <v>212186</v>
      </c>
      <c r="P70" s="219">
        <v>279921</v>
      </c>
      <c r="Q70" s="219">
        <v>255462.76086956522</v>
      </c>
      <c r="R70" s="219">
        <v>300668.59000000003</v>
      </c>
      <c r="S70" s="219">
        <v>299641</v>
      </c>
      <c r="T70" s="229">
        <v>71736</v>
      </c>
      <c r="U70" s="220">
        <v>197561</v>
      </c>
      <c r="V70" s="559">
        <v>123542</v>
      </c>
      <c r="W70" s="220">
        <v>197700</v>
      </c>
      <c r="X70" s="431">
        <v>101170</v>
      </c>
      <c r="Y70" s="432">
        <v>91598</v>
      </c>
      <c r="Z70" s="432">
        <v>26708</v>
      </c>
      <c r="AA70" s="221">
        <v>55221</v>
      </c>
      <c r="AB70" s="431">
        <v>49576</v>
      </c>
      <c r="AC70" s="432">
        <v>71433</v>
      </c>
      <c r="AD70" s="433"/>
      <c r="AE70" s="40"/>
      <c r="AF70" s="40"/>
      <c r="AG70" s="475"/>
      <c r="AH70" s="68">
        <v>19</v>
      </c>
      <c r="AI70" s="605">
        <f t="shared" si="26"/>
        <v>1</v>
      </c>
      <c r="AJ70" s="436">
        <f t="shared" si="27"/>
        <v>45704</v>
      </c>
      <c r="AK70" s="55">
        <v>0.75</v>
      </c>
      <c r="AL70" s="56">
        <f t="shared" si="16"/>
        <v>45704.75</v>
      </c>
      <c r="AM70" s="57">
        <f t="shared" si="17"/>
        <v>19</v>
      </c>
      <c r="AN70" s="57">
        <f t="shared" si="28"/>
        <v>1</v>
      </c>
      <c r="AO70" s="65">
        <v>470532</v>
      </c>
      <c r="AP70" s="66">
        <v>2221</v>
      </c>
      <c r="AQ70" s="502">
        <f t="shared" si="18"/>
        <v>73</v>
      </c>
      <c r="AR70" s="60">
        <f t="shared" si="85"/>
        <v>16498</v>
      </c>
      <c r="AS70" s="60">
        <f t="shared" si="19"/>
        <v>24764.842105263157</v>
      </c>
      <c r="AT70" s="61">
        <f t="shared" si="20"/>
        <v>211.85592075641603</v>
      </c>
      <c r="AU70" s="62">
        <f t="shared" si="30"/>
        <v>226</v>
      </c>
      <c r="AV70" s="861">
        <f t="shared" ref="AV70:AV72" si="107">AT70</f>
        <v>211.85592075641603</v>
      </c>
      <c r="AW70" s="65">
        <f t="shared" ref="AW70" si="108">AO70</f>
        <v>470532</v>
      </c>
      <c r="AX70" s="66">
        <f t="shared" ref="AX70" si="109">AP70</f>
        <v>2221</v>
      </c>
      <c r="AY70" s="65">
        <f t="shared" ref="AY70" si="110">AO70</f>
        <v>470532</v>
      </c>
      <c r="AZ70" s="66">
        <f t="shared" ref="AZ70" si="111">AP70</f>
        <v>2221</v>
      </c>
      <c r="BA70" s="60">
        <f>BA69+(AZ$74-$BA$57)*Vergleich!AC97</f>
        <v>444706.30391858582</v>
      </c>
      <c r="BB70" s="60">
        <f t="shared" si="68"/>
        <v>25825.696081414178</v>
      </c>
      <c r="BC70" s="67">
        <f>ROUND(BC69+(BB$74-$BC$57)*Vergleich!AD97,)</f>
        <v>2211</v>
      </c>
      <c r="BD70" s="42">
        <f t="shared" si="70"/>
        <v>10</v>
      </c>
      <c r="BE70" s="60">
        <f>BE69+(BD$74-$BE$57)*Vergleich!N97</f>
        <v>732281.47473292344</v>
      </c>
      <c r="BF70" s="60">
        <f t="shared" si="72"/>
        <v>-261749.47473292344</v>
      </c>
      <c r="BG70" s="67">
        <f>ROUND(BG69+(BF$74-$BG$57)*Vergleich!O97,)</f>
        <v>4001</v>
      </c>
      <c r="BH70" s="42">
        <f t="shared" si="74"/>
        <v>-1780</v>
      </c>
      <c r="BI70" s="112"/>
      <c r="BJ70" s="112"/>
      <c r="BK70" s="112"/>
      <c r="BL70" s="112"/>
      <c r="BM70" s="112"/>
      <c r="BN70" s="112"/>
      <c r="BO70" s="112"/>
      <c r="BP70" s="112"/>
      <c r="BQ70" s="112"/>
      <c r="BR70" s="112"/>
      <c r="BS70" s="112"/>
      <c r="BT70" s="112"/>
      <c r="BU70" s="112"/>
      <c r="BV70" s="112"/>
      <c r="BW70" s="112"/>
      <c r="BX70" s="112"/>
      <c r="BY70" s="112"/>
      <c r="BZ70" s="112"/>
      <c r="CA70" s="112"/>
      <c r="CB70" s="112"/>
      <c r="CC70" s="112"/>
      <c r="CD70" s="112"/>
      <c r="CE70" s="112"/>
      <c r="CF70" s="112"/>
      <c r="CG70" s="112"/>
      <c r="CH70" s="112"/>
      <c r="CI70" s="112"/>
      <c r="CJ70" s="112"/>
      <c r="CK70" s="112"/>
      <c r="CL70" s="112"/>
      <c r="CM70" s="112"/>
      <c r="CN70" s="112"/>
      <c r="CO70" s="112"/>
    </row>
    <row r="71" spans="1:93" s="64" customFormat="1" ht="15.75" thickBot="1" x14ac:dyDescent="0.35">
      <c r="A71" s="104"/>
      <c r="B71" s="112"/>
      <c r="C71" s="164"/>
      <c r="D71" s="112"/>
      <c r="E71" s="164"/>
      <c r="F71" s="164"/>
      <c r="G71" s="108">
        <v>20</v>
      </c>
      <c r="H71" s="129">
        <f t="shared" si="10"/>
        <v>45705.75</v>
      </c>
      <c r="I71" s="229">
        <f t="shared" si="11"/>
        <v>507150</v>
      </c>
      <c r="J71" s="219">
        <f t="shared" si="12"/>
        <v>507150</v>
      </c>
      <c r="K71" s="220">
        <f t="shared" si="13"/>
        <v>507150</v>
      </c>
      <c r="L71" s="229">
        <f t="shared" si="14"/>
        <v>486278.95670635672</v>
      </c>
      <c r="M71" s="230">
        <f t="shared" si="15"/>
        <v>779421.49310442596</v>
      </c>
      <c r="N71" s="434"/>
      <c r="O71" s="219">
        <v>220897</v>
      </c>
      <c r="P71" s="219">
        <v>295660</v>
      </c>
      <c r="Q71" s="219">
        <v>276856.81185071182</v>
      </c>
      <c r="R71" s="219">
        <v>314352.75</v>
      </c>
      <c r="S71" s="219">
        <v>330836</v>
      </c>
      <c r="T71" s="229">
        <v>76619</v>
      </c>
      <c r="U71" s="220">
        <v>214259</v>
      </c>
      <c r="V71" s="559">
        <v>130324</v>
      </c>
      <c r="W71" s="220">
        <v>205967</v>
      </c>
      <c r="X71" s="431">
        <v>108862</v>
      </c>
      <c r="Y71" s="432">
        <v>99702</v>
      </c>
      <c r="Z71" s="432">
        <v>30138</v>
      </c>
      <c r="AA71" s="221">
        <v>58568</v>
      </c>
      <c r="AB71" s="431">
        <v>54612</v>
      </c>
      <c r="AC71" s="432">
        <v>78993</v>
      </c>
      <c r="AD71" s="433"/>
      <c r="AE71" s="40"/>
      <c r="AF71" s="40"/>
      <c r="AG71" s="475"/>
      <c r="AH71" s="68">
        <v>20</v>
      </c>
      <c r="AI71" s="605">
        <f t="shared" si="26"/>
        <v>2</v>
      </c>
      <c r="AJ71" s="436">
        <f t="shared" si="27"/>
        <v>45705</v>
      </c>
      <c r="AK71" s="55">
        <v>0.75</v>
      </c>
      <c r="AL71" s="56">
        <f t="shared" si="16"/>
        <v>45705.75</v>
      </c>
      <c r="AM71" s="57">
        <f t="shared" si="17"/>
        <v>20</v>
      </c>
      <c r="AN71" s="57">
        <f t="shared" si="28"/>
        <v>1</v>
      </c>
      <c r="AO71" s="65">
        <v>507150</v>
      </c>
      <c r="AP71" s="66">
        <v>2404</v>
      </c>
      <c r="AQ71" s="502">
        <f t="shared" si="18"/>
        <v>183</v>
      </c>
      <c r="AR71" s="60">
        <f t="shared" si="85"/>
        <v>36618</v>
      </c>
      <c r="AS71" s="60">
        <f t="shared" si="19"/>
        <v>25357.5</v>
      </c>
      <c r="AT71" s="61">
        <f t="shared" si="20"/>
        <v>210.96089850249584</v>
      </c>
      <c r="AU71" s="62">
        <f t="shared" si="30"/>
        <v>200.09836065573771</v>
      </c>
      <c r="AV71" s="861">
        <f t="shared" si="107"/>
        <v>210.96089850249584</v>
      </c>
      <c r="AW71" s="65">
        <f t="shared" ref="AW71" si="112">AO71</f>
        <v>507150</v>
      </c>
      <c r="AX71" s="66">
        <f t="shared" ref="AX71" si="113">AP71</f>
        <v>2404</v>
      </c>
      <c r="AY71" s="65">
        <f t="shared" ref="AY71" si="114">AO71</f>
        <v>507150</v>
      </c>
      <c r="AZ71" s="66">
        <f t="shared" ref="AZ71" si="115">AP71</f>
        <v>2404</v>
      </c>
      <c r="BA71" s="60">
        <f>BA70+(AZ$74-$BA$57)*Vergleich!AC98</f>
        <v>486278.95670635672</v>
      </c>
      <c r="BB71" s="60">
        <f t="shared" si="68"/>
        <v>20871.043293643277</v>
      </c>
      <c r="BC71" s="67">
        <f>ROUND(BC70+(BB$74-$BC$57)*Vergleich!AD98,)</f>
        <v>2448</v>
      </c>
      <c r="BD71" s="42">
        <f t="shared" si="70"/>
        <v>-44</v>
      </c>
      <c r="BE71" s="60">
        <f>BE70+(BD$74-$BE$57)*Vergleich!N98</f>
        <v>779421.49310442596</v>
      </c>
      <c r="BF71" s="60">
        <f t="shared" si="72"/>
        <v>-272271.49310442596</v>
      </c>
      <c r="BG71" s="67">
        <f>ROUND(BG70+(BF$74-$BG$57)*Vergleich!O98,)</f>
        <v>4282</v>
      </c>
      <c r="BH71" s="42">
        <f t="shared" si="74"/>
        <v>-1878</v>
      </c>
      <c r="BI71" s="112"/>
      <c r="BJ71" s="112"/>
      <c r="BK71" s="112"/>
      <c r="BL71" s="112"/>
      <c r="BM71" s="112"/>
      <c r="BN71" s="112"/>
      <c r="BO71" s="112"/>
      <c r="BP71" s="112"/>
      <c r="BQ71" s="112"/>
      <c r="BR71" s="112"/>
      <c r="BS71" s="112"/>
      <c r="BT71" s="112"/>
      <c r="BU71" s="112"/>
      <c r="BV71" s="112"/>
      <c r="BW71" s="112"/>
      <c r="BX71" s="112"/>
      <c r="BY71" s="112"/>
      <c r="BZ71" s="112"/>
      <c r="CA71" s="112"/>
      <c r="CB71" s="112"/>
      <c r="CC71" s="112"/>
      <c r="CD71" s="112"/>
      <c r="CE71" s="112"/>
      <c r="CF71" s="112"/>
      <c r="CG71" s="112"/>
      <c r="CH71" s="112"/>
      <c r="CI71" s="112"/>
      <c r="CJ71" s="112"/>
      <c r="CK71" s="112"/>
      <c r="CL71" s="112"/>
      <c r="CM71" s="112"/>
      <c r="CN71" s="112"/>
      <c r="CO71" s="112"/>
    </row>
    <row r="72" spans="1:93" s="80" customFormat="1" ht="15.75" thickBot="1" x14ac:dyDescent="0.35">
      <c r="A72" s="105"/>
      <c r="B72" s="106"/>
      <c r="C72" s="165"/>
      <c r="D72" s="106"/>
      <c r="E72" s="165"/>
      <c r="F72" s="165"/>
      <c r="G72" s="111">
        <v>21</v>
      </c>
      <c r="H72" s="130">
        <f t="shared" si="10"/>
        <v>45706.75</v>
      </c>
      <c r="I72" s="705">
        <f t="shared" si="11"/>
        <v>560576.43999999994</v>
      </c>
      <c r="J72" s="125">
        <f t="shared" si="12"/>
        <v>560576.43999999994</v>
      </c>
      <c r="K72" s="221">
        <f t="shared" si="13"/>
        <v>560576.43999999994</v>
      </c>
      <c r="L72" s="231">
        <f t="shared" si="14"/>
        <v>560334.03208049084</v>
      </c>
      <c r="M72" s="221">
        <f>BD74</f>
        <v>877803.48529750574</v>
      </c>
      <c r="N72" s="243">
        <v>266116</v>
      </c>
      <c r="O72" s="560">
        <v>239077</v>
      </c>
      <c r="P72" s="561">
        <v>324435</v>
      </c>
      <c r="Q72" s="562">
        <v>323946.51534191088</v>
      </c>
      <c r="R72" s="615">
        <v>342006.6</v>
      </c>
      <c r="S72" s="708">
        <v>390507</v>
      </c>
      <c r="T72" s="707">
        <v>84047</v>
      </c>
      <c r="U72" s="317">
        <v>249219</v>
      </c>
      <c r="V72" s="563">
        <v>170701</v>
      </c>
      <c r="W72" s="464">
        <v>231430</v>
      </c>
      <c r="X72" s="236">
        <v>123694</v>
      </c>
      <c r="Y72" s="241">
        <v>115113</v>
      </c>
      <c r="Z72" s="323">
        <v>36248</v>
      </c>
      <c r="AA72" s="446">
        <v>62627</v>
      </c>
      <c r="AB72" s="329">
        <v>62345</v>
      </c>
      <c r="AC72" s="594">
        <v>89991</v>
      </c>
      <c r="AD72" s="352">
        <v>58410</v>
      </c>
      <c r="AE72" s="69"/>
      <c r="AF72" s="69"/>
      <c r="AG72" s="476"/>
      <c r="AH72" s="70">
        <v>21</v>
      </c>
      <c r="AI72" s="307">
        <f t="shared" si="26"/>
        <v>3</v>
      </c>
      <c r="AJ72" s="308">
        <f t="shared" si="27"/>
        <v>45706</v>
      </c>
      <c r="AK72" s="73">
        <v>0.75</v>
      </c>
      <c r="AL72" s="74">
        <f t="shared" si="16"/>
        <v>45706.75</v>
      </c>
      <c r="AM72" s="75">
        <f t="shared" si="17"/>
        <v>21</v>
      </c>
      <c r="AN72" s="75">
        <f t="shared" si="28"/>
        <v>1</v>
      </c>
      <c r="AO72" s="65">
        <v>560576.43999999994</v>
      </c>
      <c r="AP72" s="66">
        <v>2679</v>
      </c>
      <c r="AQ72" s="502">
        <f t="shared" si="18"/>
        <v>275</v>
      </c>
      <c r="AR72" s="309">
        <f t="shared" si="85"/>
        <v>53426.439999999944</v>
      </c>
      <c r="AS72" s="78">
        <f t="shared" si="19"/>
        <v>26694.116190476187</v>
      </c>
      <c r="AT72" s="76">
        <f t="shared" si="20"/>
        <v>209.24839119074278</v>
      </c>
      <c r="AU72" s="77">
        <f t="shared" si="30"/>
        <v>194.27796363636344</v>
      </c>
      <c r="AV72" s="819">
        <f t="shared" si="107"/>
        <v>209.24839119074278</v>
      </c>
      <c r="AW72" s="65">
        <f t="shared" ref="AW72" si="116">AO72</f>
        <v>560576.43999999994</v>
      </c>
      <c r="AX72" s="66">
        <f t="shared" ref="AX72" si="117">AP72</f>
        <v>2679</v>
      </c>
      <c r="AY72" s="65">
        <f t="shared" ref="AY72" si="118">AO72</f>
        <v>560576.43999999994</v>
      </c>
      <c r="AZ72" s="66">
        <f t="shared" ref="AZ72" si="119">AP72</f>
        <v>2679</v>
      </c>
      <c r="BA72" s="60">
        <f>BA71+(AZ$74-$BA$57)*Vergleich!AC99</f>
        <v>560334.03208049084</v>
      </c>
      <c r="BB72" s="60">
        <f t="shared" ref="BB72" si="120">AO72-BA72</f>
        <v>242.40791950910352</v>
      </c>
      <c r="BC72" s="67">
        <f>ROUND(BC71+(BB$74-$BC$57)*Vergleich!AD99,)</f>
        <v>2791</v>
      </c>
      <c r="BD72" s="42">
        <f t="shared" ref="BD72" si="121">AP72-BC72</f>
        <v>-112</v>
      </c>
      <c r="BE72" s="60">
        <f>BE71+(BD$74-$BE$57)*Vergleich!N99</f>
        <v>877803.48529750563</v>
      </c>
      <c r="BF72" s="60">
        <f t="shared" ref="BF72" si="122">AO72-BE72</f>
        <v>-317227.04529750568</v>
      </c>
      <c r="BG72" s="67">
        <f>ROUND(BG71+(BF$74-$BG$57)*Vergleich!O99,)</f>
        <v>4822</v>
      </c>
      <c r="BH72" s="42">
        <f t="shared" ref="BH72" si="123">AP72-BG72</f>
        <v>-2143</v>
      </c>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row>
    <row r="73" spans="1:93" s="80" customFormat="1" ht="15.75" thickBot="1" x14ac:dyDescent="0.35">
      <c r="A73" s="105"/>
      <c r="B73" s="106"/>
      <c r="C73" s="165"/>
      <c r="D73" s="106"/>
      <c r="E73" s="165"/>
      <c r="F73" s="165"/>
      <c r="G73" s="111" t="s">
        <v>1106</v>
      </c>
      <c r="H73" s="130"/>
      <c r="I73" s="705"/>
      <c r="J73" s="125"/>
      <c r="K73" s="221"/>
      <c r="L73" s="231"/>
      <c r="M73" s="221"/>
      <c r="N73" s="243">
        <v>285417</v>
      </c>
      <c r="O73" s="560"/>
      <c r="P73" s="561"/>
      <c r="Q73" s="562"/>
      <c r="R73" s="615">
        <v>355866</v>
      </c>
      <c r="S73" s="241"/>
      <c r="T73" s="707"/>
      <c r="U73" s="317"/>
      <c r="V73" s="563">
        <v>183514</v>
      </c>
      <c r="W73" s="464"/>
      <c r="X73" s="236"/>
      <c r="Y73" s="241"/>
      <c r="Z73" s="323"/>
      <c r="AA73" s="446"/>
      <c r="AB73" s="329">
        <v>67364</v>
      </c>
      <c r="AC73" s="594"/>
      <c r="AD73" s="352"/>
      <c r="AE73" s="69"/>
      <c r="AF73" s="477"/>
      <c r="AG73" s="70"/>
      <c r="AH73" s="71"/>
      <c r="AI73" s="72"/>
      <c r="AJ73" s="73"/>
      <c r="AK73" s="74"/>
      <c r="AL73" s="75"/>
      <c r="AM73" s="75"/>
      <c r="AN73" s="78"/>
      <c r="AO73" s="85"/>
      <c r="AP73" s="85"/>
      <c r="AQ73" s="85"/>
      <c r="AR73" s="85"/>
      <c r="AS73" s="78"/>
      <c r="AT73" s="85"/>
      <c r="AU73" s="85"/>
      <c r="AV73" s="85"/>
      <c r="AW73" s="76">
        <f>AW72/AX72</f>
        <v>209.24839119074278</v>
      </c>
      <c r="AX73" s="85"/>
      <c r="AY73" s="76">
        <f>AY72/AZ72</f>
        <v>209.24839119074278</v>
      </c>
      <c r="AZ73" s="85"/>
      <c r="BA73" s="76">
        <f>BA72/BC72</f>
        <v>200.76461199587632</v>
      </c>
      <c r="BB73" s="76"/>
      <c r="BC73" s="48"/>
      <c r="BD73" s="48"/>
      <c r="BE73" s="76">
        <f>BE72/BG72</f>
        <v>182.04136982528112</v>
      </c>
      <c r="BF73" s="79"/>
      <c r="BG73" s="48"/>
      <c r="BH73" s="78"/>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row>
    <row r="74" spans="1:93" s="80" customFormat="1" ht="15.75" thickBot="1" x14ac:dyDescent="0.35">
      <c r="A74" s="105"/>
      <c r="B74" s="106"/>
      <c r="C74" s="165"/>
      <c r="D74" s="106"/>
      <c r="E74" s="165"/>
      <c r="F74" s="165"/>
      <c r="G74" s="111"/>
      <c r="H74" s="130"/>
      <c r="I74" s="222"/>
      <c r="J74" s="125"/>
      <c r="K74" s="221"/>
      <c r="L74" s="232"/>
      <c r="M74" s="233"/>
      <c r="N74" s="236"/>
      <c r="O74" s="445"/>
      <c r="P74" s="445"/>
      <c r="Q74" s="241"/>
      <c r="R74" s="241"/>
      <c r="S74" s="241"/>
      <c r="T74" s="353"/>
      <c r="U74" s="315"/>
      <c r="V74" s="315"/>
      <c r="W74" s="315"/>
      <c r="X74" s="241"/>
      <c r="Y74" s="241"/>
      <c r="Z74" s="241"/>
      <c r="AA74" s="315"/>
      <c r="AB74" s="236"/>
      <c r="AC74" s="445"/>
      <c r="AD74" s="315"/>
      <c r="AE74" s="69"/>
      <c r="AF74" s="477"/>
      <c r="AG74" s="70"/>
      <c r="AH74" s="71"/>
      <c r="AI74" s="72"/>
      <c r="AJ74" s="73"/>
      <c r="AK74" s="74"/>
      <c r="AL74" s="75"/>
      <c r="AM74" s="75"/>
      <c r="AN74" s="78"/>
      <c r="AO74" s="85"/>
      <c r="AP74" s="85"/>
      <c r="AQ74" s="85"/>
      <c r="AR74" s="85"/>
      <c r="AS74" s="78"/>
      <c r="AT74" s="85"/>
      <c r="AU74" s="85"/>
      <c r="AV74" s="85"/>
      <c r="AW74" s="85"/>
      <c r="AX74" s="85"/>
      <c r="AY74" s="286" t="s">
        <v>146</v>
      </c>
      <c r="AZ74" s="310">
        <f>Vergleich!BI11</f>
        <v>560334.03208049084</v>
      </c>
      <c r="BA74" s="310"/>
      <c r="BB74" s="312">
        <f>Vergleich!BJ11</f>
        <v>2790.2119622245541</v>
      </c>
      <c r="BC74" s="311"/>
      <c r="BD74" s="313">
        <f>Vergleich!BL11</f>
        <v>877803.48529750574</v>
      </c>
      <c r="BE74" s="313"/>
      <c r="BF74" s="355">
        <f>Vergleich!BM11</f>
        <v>4821.7913043478266</v>
      </c>
      <c r="BG74" s="356"/>
      <c r="BH74" s="78"/>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row>
    <row r="75" spans="1:93" s="80" customFormat="1" x14ac:dyDescent="0.3">
      <c r="A75" s="105"/>
      <c r="B75" s="106"/>
      <c r="C75" s="165"/>
      <c r="D75" s="106"/>
      <c r="E75" s="165"/>
      <c r="F75" s="165"/>
      <c r="G75" s="111"/>
      <c r="H75" s="130"/>
      <c r="I75" s="222"/>
      <c r="J75" s="125"/>
      <c r="K75" s="221"/>
      <c r="L75" s="232"/>
      <c r="M75" s="233"/>
      <c r="N75" s="236"/>
      <c r="O75" s="445"/>
      <c r="P75" s="445"/>
      <c r="Q75" s="241"/>
      <c r="R75" s="241"/>
      <c r="S75" s="241"/>
      <c r="T75" s="353"/>
      <c r="U75" s="315"/>
      <c r="V75" s="315"/>
      <c r="W75" s="315"/>
      <c r="X75" s="241"/>
      <c r="Y75" s="241"/>
      <c r="Z75" s="241"/>
      <c r="AA75" s="315"/>
      <c r="AB75" s="236"/>
      <c r="AC75" s="445"/>
      <c r="AD75" s="315"/>
      <c r="AE75" s="69"/>
      <c r="AF75" s="477"/>
      <c r="AG75" s="70"/>
      <c r="AH75" s="71"/>
      <c r="AI75" s="72"/>
      <c r="AJ75" s="73"/>
      <c r="AK75" s="74"/>
      <c r="AL75" s="75"/>
      <c r="AM75" s="75"/>
      <c r="AN75" s="78"/>
      <c r="AO75" s="85"/>
      <c r="AP75" s="85"/>
      <c r="AQ75" s="85"/>
      <c r="AR75" s="85"/>
      <c r="AS75" s="78"/>
      <c r="AT75" s="85"/>
      <c r="AU75" s="85"/>
      <c r="AV75" s="85"/>
      <c r="AW75" s="85"/>
      <c r="AX75" s="85"/>
      <c r="AY75" s="85"/>
      <c r="AZ75" s="542" t="s">
        <v>154</v>
      </c>
      <c r="BA75" s="542"/>
      <c r="BB75" s="542"/>
      <c r="BC75" s="542"/>
      <c r="BD75" s="542" t="s">
        <v>155</v>
      </c>
      <c r="BE75" s="542"/>
      <c r="BF75" s="542"/>
      <c r="BG75" s="542"/>
      <c r="BH75" s="78"/>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row>
    <row r="76" spans="1:93" s="80" customFormat="1" x14ac:dyDescent="0.3">
      <c r="A76" s="105"/>
      <c r="B76" s="106"/>
      <c r="C76" s="165"/>
      <c r="D76" s="106"/>
      <c r="E76" s="165"/>
      <c r="F76" s="165"/>
      <c r="G76" s="111"/>
      <c r="H76" s="130"/>
      <c r="I76" s="222"/>
      <c r="J76" s="125"/>
      <c r="K76" s="221"/>
      <c r="L76" s="232"/>
      <c r="M76" s="233"/>
      <c r="N76" s="236"/>
      <c r="O76" s="445"/>
      <c r="P76" s="445"/>
      <c r="Q76" s="241"/>
      <c r="R76" s="241"/>
      <c r="S76" s="241"/>
      <c r="T76" s="353"/>
      <c r="U76" s="315"/>
      <c r="V76" s="315"/>
      <c r="W76" s="315"/>
      <c r="X76" s="241"/>
      <c r="Y76" s="241"/>
      <c r="Z76" s="241"/>
      <c r="AA76" s="315"/>
      <c r="AB76" s="236"/>
      <c r="AC76" s="445"/>
      <c r="AD76" s="315"/>
      <c r="AE76" s="69"/>
      <c r="AF76" s="477"/>
      <c r="AG76" s="70"/>
      <c r="AH76" s="71"/>
      <c r="AI76" s="72"/>
      <c r="AJ76" s="73"/>
      <c r="AK76" s="74"/>
      <c r="AL76" s="75"/>
      <c r="AM76" s="75"/>
      <c r="AN76" s="78"/>
      <c r="AO76" s="85"/>
      <c r="AP76" s="85"/>
      <c r="AQ76" s="85"/>
      <c r="AR76" s="85"/>
      <c r="AS76" s="78"/>
      <c r="AT76" s="85"/>
      <c r="AU76" s="85"/>
      <c r="AV76" s="85"/>
      <c r="AW76" s="85"/>
      <c r="AX76" s="85"/>
      <c r="AY76" s="85"/>
      <c r="AZ76" s="507"/>
      <c r="BA76" s="507"/>
      <c r="BB76" s="507"/>
      <c r="BC76" s="507"/>
      <c r="BD76" s="507"/>
      <c r="BE76" s="507"/>
      <c r="BF76" s="507"/>
      <c r="BG76" s="507"/>
      <c r="BH76" s="78"/>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row>
    <row r="77" spans="1:93" s="80" customFormat="1" x14ac:dyDescent="0.3">
      <c r="A77" s="105"/>
      <c r="B77" s="106"/>
      <c r="C77" s="165"/>
      <c r="D77" s="106"/>
      <c r="E77" s="165"/>
      <c r="F77" s="165"/>
      <c r="G77" s="111"/>
      <c r="H77" s="130"/>
      <c r="I77" s="222"/>
      <c r="J77" s="125"/>
      <c r="K77" s="221"/>
      <c r="L77" s="232"/>
      <c r="M77" s="233"/>
      <c r="N77" s="236"/>
      <c r="O77" s="445"/>
      <c r="P77" s="445"/>
      <c r="Q77" s="241"/>
      <c r="R77" s="241"/>
      <c r="S77" s="241"/>
      <c r="T77" s="353"/>
      <c r="U77" s="315"/>
      <c r="V77" s="315"/>
      <c r="W77" s="315"/>
      <c r="X77" s="241"/>
      <c r="Y77" s="241"/>
      <c r="Z77" s="241"/>
      <c r="AA77" s="315"/>
      <c r="AB77" s="236"/>
      <c r="AC77" s="445"/>
      <c r="AD77" s="315"/>
      <c r="AE77" s="69"/>
      <c r="AF77" s="477"/>
      <c r="AG77" s="70"/>
      <c r="AH77" s="71"/>
      <c r="AI77" s="72"/>
      <c r="AJ77" s="73"/>
      <c r="AK77" s="74"/>
      <c r="AL77" s="75"/>
      <c r="AM77" s="75"/>
      <c r="AN77" s="78"/>
      <c r="AO77" s="85"/>
      <c r="AP77" s="85"/>
      <c r="AQ77" s="85"/>
      <c r="AR77" s="85"/>
      <c r="AS77" s="78"/>
      <c r="AT77" s="85"/>
      <c r="AU77" s="85"/>
      <c r="AV77" s="85"/>
      <c r="AW77" s="85"/>
      <c r="AX77" s="85"/>
      <c r="AY77" s="85"/>
      <c r="AZ77" s="507"/>
      <c r="BA77" s="507"/>
      <c r="BB77" s="507"/>
      <c r="BC77" s="507"/>
      <c r="BD77" s="507"/>
      <c r="BE77" s="507"/>
      <c r="BF77" s="507"/>
      <c r="BG77" s="507"/>
      <c r="BH77" s="78"/>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row>
    <row r="78" spans="1:93" s="80" customFormat="1" x14ac:dyDescent="0.3">
      <c r="A78" s="105"/>
      <c r="B78" s="106"/>
      <c r="C78" s="165"/>
      <c r="D78" s="106"/>
      <c r="E78" s="165"/>
      <c r="F78" s="165"/>
      <c r="G78" s="111"/>
      <c r="H78" s="130"/>
      <c r="I78" s="222"/>
      <c r="J78" s="125"/>
      <c r="K78" s="221"/>
      <c r="L78" s="232"/>
      <c r="M78" s="233"/>
      <c r="N78" s="236"/>
      <c r="O78" s="445"/>
      <c r="P78" s="445"/>
      <c r="Q78" s="241"/>
      <c r="R78" s="241"/>
      <c r="S78" s="241"/>
      <c r="T78" s="353"/>
      <c r="U78" s="315"/>
      <c r="V78" s="315"/>
      <c r="W78" s="315"/>
      <c r="X78" s="241"/>
      <c r="Y78" s="241"/>
      <c r="Z78" s="241"/>
      <c r="AA78" s="315"/>
      <c r="AB78" s="236"/>
      <c r="AC78" s="445"/>
      <c r="AD78" s="315"/>
      <c r="AE78" s="69"/>
      <c r="AF78" s="477"/>
      <c r="AG78" s="70"/>
      <c r="AH78" s="71"/>
      <c r="AI78" s="72"/>
      <c r="AJ78" s="73"/>
      <c r="AK78" s="74"/>
      <c r="AL78" s="75"/>
      <c r="AM78" s="75"/>
      <c r="AN78" s="78"/>
      <c r="AO78" s="85"/>
      <c r="AP78" s="85"/>
      <c r="AQ78" s="85"/>
      <c r="AR78" s="85"/>
      <c r="AS78" s="78"/>
      <c r="AT78" s="85"/>
      <c r="AU78" s="85"/>
      <c r="AV78" s="85"/>
      <c r="AW78" s="85"/>
      <c r="AX78" s="85"/>
      <c r="AY78" s="85"/>
      <c r="AZ78" s="78"/>
      <c r="BA78" s="63"/>
      <c r="BB78" s="79"/>
      <c r="BC78" s="48"/>
      <c r="BD78" s="78"/>
      <c r="BE78" s="63"/>
      <c r="BF78" s="79"/>
      <c r="BG78" s="48"/>
      <c r="BH78" s="78"/>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row>
    <row r="79" spans="1:93" s="80" customFormat="1" x14ac:dyDescent="0.3">
      <c r="A79" s="105"/>
      <c r="B79" s="855" t="s">
        <v>1083</v>
      </c>
      <c r="C79" s="165"/>
      <c r="D79" s="106"/>
      <c r="E79" s="165"/>
      <c r="F79" s="165"/>
      <c r="G79" s="111"/>
      <c r="H79" s="130"/>
      <c r="I79" s="222"/>
      <c r="J79" s="125"/>
      <c r="K79" s="221"/>
      <c r="L79" s="232"/>
      <c r="M79" s="233"/>
      <c r="N79" s="236"/>
      <c r="O79" s="445"/>
      <c r="P79" s="445"/>
      <c r="Q79" s="241"/>
      <c r="R79" s="241"/>
      <c r="S79" s="241"/>
      <c r="T79" s="353"/>
      <c r="U79" s="315"/>
      <c r="V79" s="315"/>
      <c r="W79" s="315"/>
      <c r="X79" s="241"/>
      <c r="Y79" s="241"/>
      <c r="Z79" s="241"/>
      <c r="AA79" s="315"/>
      <c r="AB79" s="236"/>
      <c r="AC79" s="445"/>
      <c r="AD79" s="315"/>
      <c r="AE79" s="69"/>
      <c r="AF79" s="477"/>
      <c r="AG79" s="70"/>
      <c r="AH79" s="71"/>
      <c r="AI79" s="72"/>
      <c r="AJ79" s="73"/>
      <c r="AK79" s="74"/>
      <c r="AL79" s="75"/>
      <c r="AM79" s="75"/>
      <c r="AN79" s="78"/>
      <c r="AO79" s="85"/>
      <c r="AP79" s="85"/>
      <c r="AQ79" s="85"/>
      <c r="AR79" s="85"/>
      <c r="AS79" s="78"/>
      <c r="AT79" s="85"/>
      <c r="AU79" s="85"/>
      <c r="AV79" s="85"/>
      <c r="AW79" s="85"/>
      <c r="AX79" s="85"/>
      <c r="AY79" s="85"/>
      <c r="AZ79" s="78"/>
      <c r="BA79" s="63"/>
      <c r="BB79" s="79"/>
      <c r="BC79" s="48"/>
      <c r="BD79" s="78"/>
      <c r="BE79" s="63"/>
      <c r="BF79" s="79"/>
      <c r="BG79" s="48"/>
      <c r="BH79" s="78"/>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row>
    <row r="80" spans="1:93" s="80" customFormat="1" ht="16.5" x14ac:dyDescent="0.3">
      <c r="A80" s="105"/>
      <c r="B80" s="106"/>
      <c r="C80" s="165"/>
      <c r="D80" s="106"/>
      <c r="E80" s="165"/>
      <c r="F80" s="165"/>
      <c r="G80" s="111"/>
      <c r="H80" s="130"/>
      <c r="I80" s="934" t="s">
        <v>754</v>
      </c>
      <c r="J80" s="935"/>
      <c r="K80" s="936"/>
      <c r="L80" s="937" t="s">
        <v>755</v>
      </c>
      <c r="M80" s="938"/>
      <c r="N80" s="892" t="s">
        <v>756</v>
      </c>
      <c r="O80" s="892"/>
      <c r="P80" s="892"/>
      <c r="Q80" s="892"/>
      <c r="R80" s="892"/>
      <c r="S80" s="892"/>
      <c r="T80" s="892"/>
      <c r="U80" s="892"/>
      <c r="V80" s="892"/>
      <c r="W80" s="892"/>
      <c r="X80" s="892" t="s">
        <v>757</v>
      </c>
      <c r="Y80" s="892"/>
      <c r="Z80" s="892"/>
      <c r="AA80" s="892"/>
      <c r="AB80" s="892"/>
      <c r="AC80" s="892"/>
      <c r="AD80" s="892"/>
      <c r="AE80" s="69"/>
      <c r="AF80" s="69"/>
      <c r="AG80" s="477"/>
      <c r="AH80" s="70"/>
      <c r="AI80" s="71"/>
      <c r="AJ80" s="72"/>
      <c r="AK80" s="73"/>
      <c r="AL80" s="74"/>
      <c r="AM80" s="75"/>
      <c r="AN80" s="75"/>
      <c r="AO80" s="78"/>
      <c r="AP80" s="85"/>
      <c r="AQ80" s="85"/>
      <c r="AR80" s="85"/>
      <c r="AS80" s="78"/>
      <c r="AT80" s="85"/>
      <c r="AU80" s="85"/>
      <c r="AV80" s="85"/>
      <c r="AW80" s="85"/>
      <c r="AX80" s="85"/>
      <c r="AY80" s="85"/>
      <c r="AZ80" s="85"/>
      <c r="BA80" s="78"/>
      <c r="BB80" s="63"/>
      <c r="BC80" s="79"/>
      <c r="BD80" s="48"/>
      <c r="BE80" s="78"/>
      <c r="BF80" s="63"/>
      <c r="BG80" s="79"/>
      <c r="BH80" s="48"/>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row>
    <row r="81" spans="1:93" s="80" customFormat="1" ht="30" x14ac:dyDescent="0.3">
      <c r="A81" s="106"/>
      <c r="B81" s="126"/>
      <c r="C81" s="165"/>
      <c r="D81" s="106"/>
      <c r="E81" s="165"/>
      <c r="F81" s="165"/>
      <c r="G81" s="113"/>
      <c r="H81" s="113"/>
      <c r="I81" s="704" t="s">
        <v>758</v>
      </c>
      <c r="J81" s="216" t="s">
        <v>759</v>
      </c>
      <c r="K81" s="217" t="s">
        <v>760</v>
      </c>
      <c r="L81" s="216" t="s">
        <v>761</v>
      </c>
      <c r="M81" s="217" t="s">
        <v>762</v>
      </c>
      <c r="N81" s="242" t="s">
        <v>758</v>
      </c>
      <c r="O81" s="547" t="s">
        <v>758</v>
      </c>
      <c r="P81" s="548" t="s">
        <v>758</v>
      </c>
      <c r="Q81" s="549" t="s">
        <v>758</v>
      </c>
      <c r="R81" s="613" t="s">
        <v>758</v>
      </c>
      <c r="S81" s="469" t="s">
        <v>758</v>
      </c>
      <c r="T81" s="564" t="s">
        <v>758</v>
      </c>
      <c r="U81" s="316" t="s">
        <v>758</v>
      </c>
      <c r="V81" s="551" t="s">
        <v>758</v>
      </c>
      <c r="W81" s="463" t="s">
        <v>758</v>
      </c>
      <c r="X81" s="322" t="s">
        <v>758</v>
      </c>
      <c r="Y81" s="350" t="s">
        <v>758</v>
      </c>
      <c r="Z81" s="444" t="s">
        <v>758</v>
      </c>
      <c r="AA81" s="447" t="s">
        <v>758</v>
      </c>
      <c r="AB81" s="609" t="s">
        <v>758</v>
      </c>
      <c r="AC81" s="610" t="s">
        <v>758</v>
      </c>
      <c r="AD81" s="611" t="s">
        <v>758</v>
      </c>
      <c r="AE81" s="81"/>
      <c r="AF81" s="81"/>
      <c r="AG81" s="473"/>
      <c r="AH81" s="81"/>
      <c r="AI81" s="81"/>
      <c r="AJ81" s="81"/>
      <c r="AK81" s="81"/>
      <c r="AL81" s="81"/>
      <c r="AM81" s="69"/>
      <c r="AN81" s="81"/>
      <c r="AO81" s="78"/>
      <c r="AP81" s="85"/>
      <c r="AQ81" s="85"/>
      <c r="AR81" s="85"/>
      <c r="AS81" s="78"/>
      <c r="AT81" s="85"/>
      <c r="AU81" s="85"/>
      <c r="AV81" s="85"/>
      <c r="AW81" s="85"/>
      <c r="AX81" s="85"/>
      <c r="AY81" s="85"/>
      <c r="AZ81" s="85"/>
      <c r="BA81" s="78"/>
      <c r="BB81" s="63"/>
      <c r="BC81" s="79"/>
      <c r="BD81" s="48"/>
      <c r="BE81" s="78"/>
      <c r="BF81" s="63"/>
      <c r="BG81" s="79"/>
      <c r="BH81" s="48"/>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row>
    <row r="82" spans="1:93" s="80" customFormat="1" ht="60" x14ac:dyDescent="0.25">
      <c r="A82" s="106"/>
      <c r="B82" s="126"/>
      <c r="C82" s="165"/>
      <c r="D82" s="106"/>
      <c r="E82" s="165"/>
      <c r="F82" s="165"/>
      <c r="G82" s="207" t="s">
        <v>764</v>
      </c>
      <c r="H82" s="207" t="s">
        <v>624</v>
      </c>
      <c r="I82" s="704" t="str">
        <f t="shared" ref="I82:M82" si="124">I50</f>
        <v>Status actual / Forecast</v>
      </c>
      <c r="J82" s="216" t="str">
        <f t="shared" si="124"/>
        <v>Status actual / Forecast</v>
      </c>
      <c r="K82" s="217" t="str">
        <f t="shared" si="124"/>
        <v>Status actual / Forecast</v>
      </c>
      <c r="L82" s="228" t="str">
        <f t="shared" si="124"/>
        <v>1st estimate</v>
      </c>
      <c r="M82" s="217" t="str">
        <f t="shared" si="124"/>
        <v>1st estimate</v>
      </c>
      <c r="N82" s="466" t="str">
        <f>N50</f>
        <v>Thorwal</v>
      </c>
      <c r="O82" s="552" t="str">
        <f t="shared" ref="O82:Q82" si="125">O50</f>
        <v>Sonnen-küste</v>
      </c>
      <c r="P82" s="553" t="str">
        <f t="shared" si="125"/>
        <v>Winter-wacht</v>
      </c>
      <c r="Q82" s="554" t="str">
        <f t="shared" si="125"/>
        <v>Echsen-sümpfe</v>
      </c>
      <c r="R82" s="614" t="str">
        <f t="shared" ref="R82" si="126">R50</f>
        <v>Wolfsfrost</v>
      </c>
      <c r="S82" s="470" t="str">
        <f t="shared" ref="S82:AD82" si="127">S50</f>
        <v>Rohals Erben</v>
      </c>
      <c r="T82" s="565" t="str">
        <f t="shared" si="127"/>
        <v>Mosaik der Märchen</v>
      </c>
      <c r="U82" s="467" t="str">
        <f t="shared" si="127"/>
        <v>Ära des Goldenen Kaisers</v>
      </c>
      <c r="V82" s="556" t="str">
        <f t="shared" si="127"/>
        <v>Werkzeuge</v>
      </c>
      <c r="W82" s="468" t="str">
        <f t="shared" si="127"/>
        <v>Gunst der Göttin</v>
      </c>
      <c r="X82" s="322" t="str">
        <f t="shared" si="127"/>
        <v>DSK Fasar</v>
      </c>
      <c r="Y82" s="350" t="str">
        <f t="shared" si="127"/>
        <v>DSK Schleich-ender Verfall</v>
      </c>
      <c r="Z82" s="444" t="str">
        <f t="shared" si="127"/>
        <v>DSK Refurbished</v>
      </c>
      <c r="AA82" s="447" t="str">
        <f t="shared" si="127"/>
        <v>DSK Ewige Suche</v>
      </c>
      <c r="AB82" s="328" t="str">
        <f t="shared" si="127"/>
        <v>AVENTURIA
Nedime &amp; Borbarad</v>
      </c>
      <c r="AC82" s="593" t="str">
        <f t="shared" si="127"/>
        <v>AVENTURIA
Mythen &amp; Legenden</v>
      </c>
      <c r="AD82" s="351" t="str">
        <f t="shared" si="127"/>
        <v>AVENTURIA
Stories &amp; Legends</v>
      </c>
      <c r="AE82" s="81"/>
      <c r="AF82" s="81"/>
      <c r="AG82" s="473"/>
      <c r="AH82" s="81"/>
      <c r="AI82" s="81"/>
      <c r="AJ82" s="81"/>
      <c r="AK82" s="81"/>
      <c r="AL82" s="81"/>
      <c r="AM82" s="69"/>
      <c r="AN82" s="81"/>
      <c r="AO82" s="78"/>
      <c r="AP82" s="85"/>
      <c r="AQ82" s="85"/>
      <c r="AR82" s="85"/>
      <c r="AS82" s="78"/>
      <c r="AT82" s="85"/>
      <c r="AU82" s="85"/>
      <c r="AV82" s="85"/>
      <c r="AW82" s="85"/>
      <c r="AX82" s="85"/>
      <c r="AY82" s="85"/>
      <c r="AZ82" s="85"/>
      <c r="BA82" s="78"/>
      <c r="BB82" s="63"/>
      <c r="BC82" s="79"/>
      <c r="BD82" s="48"/>
      <c r="BE82" s="78"/>
      <c r="BF82" s="63"/>
      <c r="BG82" s="79"/>
      <c r="BH82" s="48"/>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row>
    <row r="83" spans="1:93" s="80" customFormat="1" x14ac:dyDescent="0.3">
      <c r="A83" s="106"/>
      <c r="B83" s="126"/>
      <c r="C83" s="165"/>
      <c r="D83" s="106"/>
      <c r="E83" s="165"/>
      <c r="F83" s="165"/>
      <c r="G83" s="108">
        <v>0</v>
      </c>
      <c r="H83" s="129">
        <f t="shared" ref="H83:H104" si="128">H51</f>
        <v>45685.75</v>
      </c>
      <c r="I83" s="505">
        <f t="shared" ref="I83:I104" si="129">AP51</f>
        <v>0</v>
      </c>
      <c r="J83" s="112">
        <f t="shared" ref="J83:J104" si="130">AX51</f>
        <v>0</v>
      </c>
      <c r="K83" s="224">
        <f t="shared" ref="K83:K104" si="131">AZ51</f>
        <v>0</v>
      </c>
      <c r="L83" s="505">
        <f>BA82</f>
        <v>0</v>
      </c>
      <c r="M83" s="506">
        <f>BE82</f>
        <v>0</v>
      </c>
      <c r="N83" s="505">
        <v>0</v>
      </c>
      <c r="O83" s="566">
        <v>0</v>
      </c>
      <c r="P83" s="566">
        <v>0</v>
      </c>
      <c r="Q83" s="566">
        <v>0</v>
      </c>
      <c r="R83" s="566">
        <v>0</v>
      </c>
      <c r="S83" s="506">
        <v>0</v>
      </c>
      <c r="T83" s="566">
        <v>0</v>
      </c>
      <c r="U83" s="506">
        <v>0</v>
      </c>
      <c r="V83" s="567">
        <v>0</v>
      </c>
      <c r="W83" s="506">
        <v>0</v>
      </c>
      <c r="X83" s="223">
        <v>0</v>
      </c>
      <c r="Y83" s="136">
        <v>0</v>
      </c>
      <c r="Z83" s="136">
        <v>0</v>
      </c>
      <c r="AA83" s="234">
        <v>0</v>
      </c>
      <c r="AB83" s="223">
        <v>0</v>
      </c>
      <c r="AC83" s="136">
        <v>0</v>
      </c>
      <c r="AD83" s="234">
        <v>0</v>
      </c>
      <c r="AE83" s="81"/>
      <c r="AF83" s="81"/>
      <c r="AG83" s="478"/>
      <c r="AH83" s="81"/>
      <c r="AI83" s="81"/>
      <c r="AJ83" s="81"/>
      <c r="AK83" s="81"/>
      <c r="AL83" s="81"/>
      <c r="AM83" s="69"/>
      <c r="AN83" s="81"/>
      <c r="AO83" s="78"/>
      <c r="AP83" s="85"/>
      <c r="AQ83" s="85"/>
      <c r="AR83" s="85"/>
      <c r="AS83" s="78"/>
      <c r="AT83" s="85"/>
      <c r="AU83" s="85"/>
      <c r="AV83" s="85"/>
      <c r="AW83" s="85"/>
      <c r="AX83" s="85"/>
      <c r="AY83" s="85"/>
      <c r="AZ83" s="85"/>
      <c r="BA83" s="78"/>
      <c r="BB83" s="63"/>
      <c r="BC83" s="79"/>
      <c r="BD83" s="48"/>
      <c r="BE83" s="78"/>
      <c r="BF83" s="63"/>
      <c r="BG83" s="79"/>
      <c r="BH83" s="48"/>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row>
    <row r="84" spans="1:93" s="64" customFormat="1" x14ac:dyDescent="0.3">
      <c r="A84" s="112"/>
      <c r="B84" s="449"/>
      <c r="C84" s="164"/>
      <c r="D84" s="112"/>
      <c r="E84" s="164"/>
      <c r="F84" s="164"/>
      <c r="G84" s="108">
        <v>1</v>
      </c>
      <c r="H84" s="129">
        <f t="shared" si="128"/>
        <v>45686.75</v>
      </c>
      <c r="I84" s="505">
        <f t="shared" si="129"/>
        <v>929</v>
      </c>
      <c r="J84" s="503">
        <f t="shared" si="130"/>
        <v>929</v>
      </c>
      <c r="K84" s="504">
        <f t="shared" si="131"/>
        <v>929</v>
      </c>
      <c r="L84" s="505">
        <f t="shared" ref="L84:L104" si="132">BC52</f>
        <v>929</v>
      </c>
      <c r="M84" s="506">
        <f t="shared" ref="M84:M104" si="133">BG52</f>
        <v>929</v>
      </c>
      <c r="N84" s="505">
        <v>500</v>
      </c>
      <c r="O84" s="566">
        <v>625</v>
      </c>
      <c r="P84" s="566">
        <v>489</v>
      </c>
      <c r="Q84" s="566">
        <v>396</v>
      </c>
      <c r="R84" s="566">
        <v>504</v>
      </c>
      <c r="S84" s="506">
        <v>341</v>
      </c>
      <c r="T84" s="566">
        <v>347</v>
      </c>
      <c r="U84" s="506">
        <v>180</v>
      </c>
      <c r="V84" s="567">
        <v>179</v>
      </c>
      <c r="W84" s="506">
        <v>317</v>
      </c>
      <c r="X84" s="223">
        <v>195</v>
      </c>
      <c r="Y84" s="136">
        <v>136</v>
      </c>
      <c r="Z84" s="136">
        <v>67</v>
      </c>
      <c r="AA84" s="234">
        <v>121</v>
      </c>
      <c r="AB84" s="223">
        <v>73</v>
      </c>
      <c r="AC84" s="136">
        <v>115</v>
      </c>
      <c r="AD84" s="234"/>
      <c r="AE84" s="440"/>
      <c r="AF84" s="440"/>
      <c r="AG84" s="478"/>
      <c r="AH84" s="440"/>
      <c r="AI84" s="440"/>
      <c r="AJ84" s="440"/>
      <c r="AK84" s="440"/>
      <c r="AL84" s="440"/>
      <c r="AM84" s="40"/>
      <c r="AN84" s="450"/>
      <c r="AO84" s="60"/>
      <c r="AP84" s="451"/>
      <c r="AQ84" s="451"/>
      <c r="AR84" s="451"/>
      <c r="AS84" s="60"/>
      <c r="AT84" s="451"/>
      <c r="AU84" s="451"/>
      <c r="AV84" s="451"/>
      <c r="AW84" s="451"/>
      <c r="AX84" s="451"/>
      <c r="AY84" s="451"/>
      <c r="AZ84" s="451"/>
      <c r="BA84" s="60"/>
      <c r="BB84" s="60"/>
      <c r="BC84" s="67"/>
      <c r="BD84" s="42"/>
      <c r="BE84" s="60"/>
      <c r="BF84" s="60"/>
      <c r="BG84" s="67"/>
      <c r="BH84" s="42"/>
      <c r="BI84" s="112"/>
      <c r="BJ84" s="112"/>
      <c r="BK84" s="112"/>
      <c r="BL84" s="112"/>
      <c r="BM84" s="112"/>
      <c r="BN84" s="112"/>
      <c r="BO84" s="112"/>
      <c r="BP84" s="112"/>
      <c r="BQ84" s="112"/>
      <c r="BR84" s="112"/>
      <c r="BS84" s="112"/>
      <c r="BT84" s="112"/>
      <c r="BU84" s="112"/>
      <c r="BV84" s="112"/>
      <c r="BW84" s="112"/>
      <c r="BX84" s="112"/>
      <c r="BY84" s="112"/>
      <c r="BZ84" s="112"/>
      <c r="CA84" s="112"/>
      <c r="CB84" s="112"/>
      <c r="CC84" s="112"/>
      <c r="CD84" s="112"/>
      <c r="CE84" s="112"/>
      <c r="CF84" s="112"/>
      <c r="CG84" s="112"/>
      <c r="CH84" s="112"/>
      <c r="CI84" s="112"/>
      <c r="CJ84" s="112"/>
      <c r="CK84" s="112"/>
      <c r="CL84" s="112"/>
      <c r="CM84" s="112"/>
      <c r="CN84" s="112"/>
      <c r="CO84" s="112"/>
    </row>
    <row r="85" spans="1:93" s="64" customFormat="1" x14ac:dyDescent="0.3">
      <c r="A85" s="112"/>
      <c r="B85" s="449"/>
      <c r="C85" s="164"/>
      <c r="D85" s="112"/>
      <c r="E85" s="164"/>
      <c r="F85" s="164"/>
      <c r="G85" s="108">
        <v>2</v>
      </c>
      <c r="H85" s="129">
        <f t="shared" si="128"/>
        <v>45687.75</v>
      </c>
      <c r="I85" s="505">
        <f t="shared" ref="I85:I92" si="134">AP53</f>
        <v>1062</v>
      </c>
      <c r="J85" s="503">
        <f t="shared" ref="J85:J89" si="135">AX53</f>
        <v>1062</v>
      </c>
      <c r="K85" s="504">
        <f t="shared" ref="K85:K89" si="136">AZ53</f>
        <v>1062</v>
      </c>
      <c r="L85" s="505">
        <f t="shared" ref="L85:L89" si="137">BC53</f>
        <v>1062</v>
      </c>
      <c r="M85" s="506">
        <f t="shared" ref="M85:M89" si="138">BG53</f>
        <v>1062</v>
      </c>
      <c r="N85" s="505"/>
      <c r="O85" s="566">
        <v>789</v>
      </c>
      <c r="P85" s="566">
        <v>618</v>
      </c>
      <c r="Q85" s="566">
        <v>516</v>
      </c>
      <c r="R85" s="566">
        <v>617</v>
      </c>
      <c r="S85" s="506">
        <v>404</v>
      </c>
      <c r="T85" s="566">
        <v>483</v>
      </c>
      <c r="U85" s="506">
        <v>256</v>
      </c>
      <c r="V85" s="567">
        <v>206</v>
      </c>
      <c r="W85" s="506">
        <v>417</v>
      </c>
      <c r="X85" s="223">
        <v>233</v>
      </c>
      <c r="Y85" s="136">
        <v>172</v>
      </c>
      <c r="Z85" s="136">
        <v>89</v>
      </c>
      <c r="AA85" s="481"/>
      <c r="AB85" s="223">
        <v>82</v>
      </c>
      <c r="AC85" s="136">
        <v>145</v>
      </c>
      <c r="AD85" s="234"/>
      <c r="AE85" s="440"/>
      <c r="AF85" s="440"/>
      <c r="AG85" s="478"/>
      <c r="AH85" s="440"/>
      <c r="AI85" s="440"/>
      <c r="AJ85" s="440"/>
      <c r="AK85" s="440"/>
      <c r="AL85" s="440"/>
      <c r="AM85" s="40"/>
      <c r="AN85" s="440"/>
      <c r="AO85" s="60"/>
      <c r="AP85" s="451"/>
      <c r="AQ85" s="451"/>
      <c r="AR85" s="451"/>
      <c r="AS85" s="60"/>
      <c r="AT85" s="451"/>
      <c r="AU85" s="451"/>
      <c r="AV85" s="451"/>
      <c r="AW85" s="451"/>
      <c r="AX85" s="451"/>
      <c r="AY85" s="451"/>
      <c r="AZ85" s="451"/>
      <c r="BA85" s="60"/>
      <c r="BB85" s="60"/>
      <c r="BC85" s="67"/>
      <c r="BD85" s="42"/>
      <c r="BE85" s="60"/>
      <c r="BF85" s="60"/>
      <c r="BG85" s="67"/>
      <c r="BH85" s="42"/>
      <c r="BI85" s="112"/>
      <c r="BJ85" s="112"/>
      <c r="BK85" s="112"/>
      <c r="BL85" s="112"/>
      <c r="BM85" s="112"/>
      <c r="BN85" s="112"/>
      <c r="BO85" s="112"/>
      <c r="BP85" s="112"/>
      <c r="BQ85" s="112"/>
      <c r="BR85" s="112"/>
      <c r="BS85" s="112"/>
      <c r="BT85" s="112"/>
      <c r="BU85" s="112"/>
      <c r="BV85" s="112"/>
      <c r="BW85" s="112"/>
      <c r="BX85" s="112"/>
      <c r="BY85" s="112"/>
      <c r="BZ85" s="112"/>
      <c r="CA85" s="112"/>
      <c r="CB85" s="112"/>
      <c r="CC85" s="112"/>
      <c r="CD85" s="112"/>
      <c r="CE85" s="112"/>
      <c r="CF85" s="112"/>
      <c r="CG85" s="112"/>
      <c r="CH85" s="112"/>
      <c r="CI85" s="112"/>
      <c r="CJ85" s="112"/>
      <c r="CK85" s="112"/>
      <c r="CL85" s="112"/>
      <c r="CM85" s="112"/>
      <c r="CN85" s="112"/>
      <c r="CO85" s="112"/>
    </row>
    <row r="86" spans="1:93" s="64" customFormat="1" x14ac:dyDescent="0.3">
      <c r="A86" s="112"/>
      <c r="B86" s="449"/>
      <c r="C86" s="164"/>
      <c r="D86" s="112"/>
      <c r="E86" s="164"/>
      <c r="F86" s="164"/>
      <c r="G86" s="108">
        <v>3</v>
      </c>
      <c r="H86" s="129">
        <f t="shared" si="128"/>
        <v>45688.75</v>
      </c>
      <c r="I86" s="505">
        <f t="shared" si="134"/>
        <v>1134</v>
      </c>
      <c r="J86" s="503">
        <f t="shared" si="135"/>
        <v>1134</v>
      </c>
      <c r="K86" s="504">
        <f t="shared" si="136"/>
        <v>1134</v>
      </c>
      <c r="L86" s="505">
        <f t="shared" si="137"/>
        <v>1134</v>
      </c>
      <c r="M86" s="506">
        <f t="shared" si="138"/>
        <v>1134</v>
      </c>
      <c r="N86" s="505"/>
      <c r="O86" s="566">
        <v>852</v>
      </c>
      <c r="P86" s="566">
        <v>731</v>
      </c>
      <c r="Q86" s="566">
        <v>580</v>
      </c>
      <c r="R86" s="566">
        <v>696</v>
      </c>
      <c r="S86" s="506">
        <v>480</v>
      </c>
      <c r="T86" s="566">
        <v>536</v>
      </c>
      <c r="U86" s="506">
        <v>301</v>
      </c>
      <c r="V86" s="567">
        <v>224</v>
      </c>
      <c r="W86" s="506">
        <v>458</v>
      </c>
      <c r="X86" s="223">
        <v>248</v>
      </c>
      <c r="Y86" s="136">
        <v>199</v>
      </c>
      <c r="Z86" s="136">
        <v>101</v>
      </c>
      <c r="AA86" s="481"/>
      <c r="AB86" s="223">
        <v>90</v>
      </c>
      <c r="AC86" s="136">
        <v>162</v>
      </c>
      <c r="AD86" s="234"/>
      <c r="AE86" s="440"/>
      <c r="AF86" s="440"/>
      <c r="AG86" s="478"/>
      <c r="AH86" s="440"/>
      <c r="AI86" s="440"/>
      <c r="AJ86" s="440"/>
      <c r="AK86" s="440"/>
      <c r="AL86" s="440"/>
      <c r="AM86" s="40"/>
      <c r="AN86" s="440"/>
      <c r="AO86" s="60"/>
      <c r="AP86" s="451"/>
      <c r="AQ86" s="451"/>
      <c r="AR86" s="451"/>
      <c r="AS86" s="60"/>
      <c r="AT86" s="451"/>
      <c r="AU86" s="451"/>
      <c r="AV86" s="451"/>
      <c r="AW86" s="451"/>
      <c r="AX86" s="451"/>
      <c r="AY86" s="451"/>
      <c r="AZ86" s="451"/>
      <c r="BA86" s="60"/>
      <c r="BB86" s="60"/>
      <c r="BC86" s="67"/>
      <c r="BD86" s="42"/>
      <c r="BE86" s="60"/>
      <c r="BF86" s="60"/>
      <c r="BG86" s="67"/>
      <c r="BH86" s="42"/>
      <c r="BI86" s="112"/>
      <c r="BJ86" s="112"/>
      <c r="BK86" s="112"/>
      <c r="BL86" s="112"/>
      <c r="BM86" s="112"/>
      <c r="BN86" s="112"/>
      <c r="BO86" s="112"/>
      <c r="BP86" s="112"/>
      <c r="BQ86" s="112"/>
      <c r="BR86" s="112"/>
      <c r="BS86" s="112"/>
      <c r="BT86" s="112"/>
      <c r="BU86" s="112"/>
      <c r="BV86" s="112"/>
      <c r="BW86" s="112"/>
      <c r="BX86" s="112"/>
      <c r="BY86" s="112"/>
      <c r="BZ86" s="112"/>
      <c r="CA86" s="112"/>
      <c r="CB86" s="112"/>
      <c r="CC86" s="112"/>
      <c r="CD86" s="112"/>
      <c r="CE86" s="112"/>
      <c r="CF86" s="112"/>
      <c r="CG86" s="112"/>
      <c r="CH86" s="112"/>
      <c r="CI86" s="112"/>
      <c r="CJ86" s="112"/>
      <c r="CK86" s="112"/>
      <c r="CL86" s="112"/>
      <c r="CM86" s="112"/>
      <c r="CN86" s="112"/>
      <c r="CO86" s="112"/>
    </row>
    <row r="87" spans="1:93" s="64" customFormat="1" x14ac:dyDescent="0.3">
      <c r="A87" s="112"/>
      <c r="B87" s="449"/>
      <c r="C87" s="164"/>
      <c r="D87" s="112"/>
      <c r="E87" s="164"/>
      <c r="F87" s="164"/>
      <c r="G87" s="108">
        <v>4</v>
      </c>
      <c r="H87" s="129">
        <f t="shared" si="128"/>
        <v>45689.75</v>
      </c>
      <c r="I87" s="505">
        <f t="shared" si="134"/>
        <v>1388</v>
      </c>
      <c r="J87" s="503">
        <f t="shared" si="135"/>
        <v>1388</v>
      </c>
      <c r="K87" s="504">
        <f t="shared" si="136"/>
        <v>1388</v>
      </c>
      <c r="L87" s="505">
        <f t="shared" si="137"/>
        <v>1388</v>
      </c>
      <c r="M87" s="506">
        <f t="shared" si="138"/>
        <v>1388</v>
      </c>
      <c r="N87" s="505"/>
      <c r="O87" s="566">
        <v>891</v>
      </c>
      <c r="P87" s="566">
        <v>797</v>
      </c>
      <c r="Q87" s="566">
        <v>622</v>
      </c>
      <c r="R87" s="566">
        <v>759</v>
      </c>
      <c r="S87" s="506">
        <v>520</v>
      </c>
      <c r="T87" s="566">
        <v>585</v>
      </c>
      <c r="U87" s="506">
        <v>323</v>
      </c>
      <c r="V87" s="567">
        <v>247</v>
      </c>
      <c r="W87" s="506">
        <v>486</v>
      </c>
      <c r="X87" s="223">
        <v>264</v>
      </c>
      <c r="Y87" s="136">
        <v>218</v>
      </c>
      <c r="Z87" s="136">
        <v>110</v>
      </c>
      <c r="AA87" s="481"/>
      <c r="AB87" s="223">
        <v>95</v>
      </c>
      <c r="AC87" s="136">
        <v>178</v>
      </c>
      <c r="AD87" s="234"/>
      <c r="AE87" s="440"/>
      <c r="AF87" s="440"/>
      <c r="AG87" s="478"/>
      <c r="AH87" s="440"/>
      <c r="AI87" s="440"/>
      <c r="AJ87" s="440"/>
      <c r="AK87" s="440"/>
      <c r="AL87" s="440"/>
      <c r="AM87" s="40"/>
      <c r="AN87" s="440"/>
      <c r="AO87" s="60"/>
      <c r="AP87" s="451"/>
      <c r="AQ87" s="451"/>
      <c r="AR87" s="451"/>
      <c r="AS87" s="60"/>
      <c r="AT87" s="451"/>
      <c r="AU87" s="451"/>
      <c r="AV87" s="451"/>
      <c r="AW87" s="451"/>
      <c r="AX87" s="451"/>
      <c r="AY87" s="451"/>
      <c r="AZ87" s="451"/>
      <c r="BA87" s="60"/>
      <c r="BB87" s="60"/>
      <c r="BC87" s="67"/>
      <c r="BD87" s="42"/>
      <c r="BE87" s="60"/>
      <c r="BF87" s="60"/>
      <c r="BG87" s="67"/>
      <c r="BH87" s="42"/>
      <c r="BI87" s="112"/>
      <c r="BJ87" s="112"/>
      <c r="BK87" s="112"/>
      <c r="BL87" s="112"/>
      <c r="BM87" s="112"/>
      <c r="BN87" s="112"/>
      <c r="BO87" s="112"/>
      <c r="BP87" s="112"/>
      <c r="BQ87" s="112"/>
      <c r="BR87" s="112"/>
      <c r="BS87" s="112"/>
      <c r="BT87" s="112"/>
      <c r="BU87" s="112"/>
      <c r="BV87" s="112"/>
      <c r="BW87" s="112"/>
      <c r="BX87" s="112"/>
      <c r="BY87" s="112"/>
      <c r="BZ87" s="112"/>
      <c r="CA87" s="112"/>
      <c r="CB87" s="112"/>
      <c r="CC87" s="112"/>
      <c r="CD87" s="112"/>
      <c r="CE87" s="112"/>
      <c r="CF87" s="112"/>
      <c r="CG87" s="112"/>
      <c r="CH87" s="112"/>
      <c r="CI87" s="112"/>
      <c r="CJ87" s="112"/>
      <c r="CK87" s="112"/>
      <c r="CL87" s="112"/>
      <c r="CM87" s="112"/>
      <c r="CN87" s="112"/>
      <c r="CO87" s="112"/>
    </row>
    <row r="88" spans="1:93" s="64" customFormat="1" x14ac:dyDescent="0.3">
      <c r="A88" s="112"/>
      <c r="B88" s="449"/>
      <c r="C88" s="164"/>
      <c r="D88" s="112"/>
      <c r="E88" s="164"/>
      <c r="F88" s="164"/>
      <c r="G88" s="108">
        <v>5</v>
      </c>
      <c r="H88" s="129">
        <f t="shared" si="128"/>
        <v>45690.75</v>
      </c>
      <c r="I88" s="505">
        <f t="shared" si="134"/>
        <v>1511</v>
      </c>
      <c r="J88" s="503">
        <f t="shared" si="135"/>
        <v>1511</v>
      </c>
      <c r="K88" s="504">
        <f t="shared" si="136"/>
        <v>1511</v>
      </c>
      <c r="L88" s="505">
        <f t="shared" si="137"/>
        <v>1511</v>
      </c>
      <c r="M88" s="506">
        <f t="shared" si="138"/>
        <v>1511</v>
      </c>
      <c r="N88" s="505"/>
      <c r="O88" s="566">
        <v>918</v>
      </c>
      <c r="P88" s="566">
        <v>847</v>
      </c>
      <c r="Q88" s="566">
        <v>661</v>
      </c>
      <c r="R88" s="566">
        <v>790</v>
      </c>
      <c r="S88" s="506">
        <v>564</v>
      </c>
      <c r="T88" s="566">
        <v>611</v>
      </c>
      <c r="U88" s="506">
        <v>351</v>
      </c>
      <c r="V88" s="567">
        <v>264</v>
      </c>
      <c r="W88" s="506">
        <v>497</v>
      </c>
      <c r="X88" s="223">
        <v>280</v>
      </c>
      <c r="Y88" s="136">
        <v>235</v>
      </c>
      <c r="Z88" s="136">
        <v>116</v>
      </c>
      <c r="AA88" s="234"/>
      <c r="AB88" s="223">
        <v>111</v>
      </c>
      <c r="AC88" s="136">
        <v>191</v>
      </c>
      <c r="AD88" s="234"/>
      <c r="AE88" s="440"/>
      <c r="AF88" s="440"/>
      <c r="AG88" s="478"/>
      <c r="AH88" s="440"/>
      <c r="AI88" s="440"/>
      <c r="AJ88" s="440"/>
      <c r="AK88" s="440"/>
      <c r="AL88" s="440"/>
      <c r="AM88" s="40"/>
      <c r="AN88" s="440"/>
      <c r="AO88" s="440"/>
      <c r="AP88" s="546"/>
      <c r="AQ88" s="619"/>
      <c r="AR88" s="450"/>
      <c r="AS88" s="60"/>
      <c r="AT88" s="546"/>
      <c r="AU88" s="62"/>
      <c r="AV88" s="62"/>
      <c r="AW88" s="60"/>
      <c r="AX88" s="67"/>
      <c r="AY88" s="60"/>
      <c r="AZ88" s="451"/>
      <c r="BA88" s="60"/>
      <c r="BB88" s="60"/>
      <c r="BC88" s="67"/>
      <c r="BD88" s="42"/>
      <c r="BE88" s="60"/>
      <c r="BF88" s="60"/>
      <c r="BG88" s="67"/>
      <c r="BH88" s="42"/>
      <c r="BI88" s="112"/>
      <c r="BJ88" s="112"/>
      <c r="BK88" s="112"/>
      <c r="BL88" s="112"/>
      <c r="BM88" s="112"/>
      <c r="BN88" s="112"/>
      <c r="BO88" s="112"/>
      <c r="BP88" s="112"/>
      <c r="BQ88" s="112"/>
      <c r="BR88" s="112"/>
      <c r="BS88" s="112"/>
      <c r="BT88" s="112"/>
      <c r="BU88" s="112"/>
      <c r="BV88" s="112"/>
      <c r="BW88" s="112"/>
      <c r="BX88" s="112"/>
      <c r="BY88" s="112"/>
      <c r="BZ88" s="112"/>
      <c r="CA88" s="112"/>
      <c r="CB88" s="112"/>
      <c r="CC88" s="112"/>
      <c r="CD88" s="112"/>
      <c r="CE88" s="112"/>
      <c r="CF88" s="112"/>
      <c r="CG88" s="112"/>
      <c r="CH88" s="112"/>
      <c r="CI88" s="112"/>
      <c r="CJ88" s="112"/>
      <c r="CK88" s="112"/>
      <c r="CL88" s="112"/>
      <c r="CM88" s="112"/>
      <c r="CN88" s="112"/>
      <c r="CO88" s="112"/>
    </row>
    <row r="89" spans="1:93" s="64" customFormat="1" x14ac:dyDescent="0.3">
      <c r="A89" s="112"/>
      <c r="B89" s="449"/>
      <c r="C89" s="164"/>
      <c r="D89" s="112"/>
      <c r="E89" s="164"/>
      <c r="F89" s="164"/>
      <c r="G89" s="108">
        <v>6</v>
      </c>
      <c r="H89" s="129">
        <f t="shared" si="128"/>
        <v>45691.75</v>
      </c>
      <c r="I89" s="505">
        <f t="shared" si="134"/>
        <v>1598</v>
      </c>
      <c r="J89" s="503">
        <f t="shared" si="135"/>
        <v>1598</v>
      </c>
      <c r="K89" s="504">
        <f t="shared" si="136"/>
        <v>1598</v>
      </c>
      <c r="L89" s="505">
        <f t="shared" si="137"/>
        <v>1598</v>
      </c>
      <c r="M89" s="506">
        <f t="shared" si="138"/>
        <v>1598</v>
      </c>
      <c r="N89" s="505"/>
      <c r="O89" s="566">
        <v>953</v>
      </c>
      <c r="P89" s="566">
        <v>901</v>
      </c>
      <c r="Q89" s="566">
        <v>706</v>
      </c>
      <c r="R89" s="566">
        <v>821</v>
      </c>
      <c r="S89" s="506">
        <v>652</v>
      </c>
      <c r="T89" s="566">
        <v>633</v>
      </c>
      <c r="U89" s="506">
        <v>395</v>
      </c>
      <c r="V89" s="567">
        <v>274</v>
      </c>
      <c r="W89" s="506">
        <v>508</v>
      </c>
      <c r="X89" s="223">
        <v>294</v>
      </c>
      <c r="Y89" s="136">
        <v>241</v>
      </c>
      <c r="Z89" s="136">
        <v>123</v>
      </c>
      <c r="AA89" s="234"/>
      <c r="AB89" s="223">
        <v>114.99999999999999</v>
      </c>
      <c r="AC89" s="136">
        <v>220</v>
      </c>
      <c r="AD89" s="234"/>
      <c r="AE89" s="440"/>
      <c r="AF89" s="440"/>
      <c r="AG89" s="478"/>
      <c r="AH89" s="440"/>
      <c r="AI89" s="440"/>
      <c r="AJ89" s="440"/>
      <c r="AK89" s="440"/>
      <c r="AL89" s="440"/>
      <c r="AM89" s="40"/>
      <c r="AN89" s="440"/>
      <c r="AO89" s="440"/>
      <c r="AP89" s="546"/>
      <c r="AQ89" s="619"/>
      <c r="AR89" s="450"/>
      <c r="AS89" s="60"/>
      <c r="AT89" s="546"/>
      <c r="AU89" s="62"/>
      <c r="AV89" s="62"/>
      <c r="AW89" s="60"/>
      <c r="AX89" s="67"/>
      <c r="AY89" s="60"/>
      <c r="AZ89" s="451"/>
      <c r="BA89" s="60"/>
      <c r="BB89" s="60"/>
      <c r="BC89" s="67"/>
      <c r="BD89" s="42"/>
      <c r="BE89" s="60"/>
      <c r="BF89" s="60"/>
      <c r="BG89" s="67"/>
      <c r="BH89" s="42"/>
      <c r="BI89" s="112"/>
      <c r="BJ89" s="112"/>
      <c r="BK89" s="112"/>
      <c r="BL89" s="112"/>
      <c r="BM89" s="112"/>
      <c r="BN89" s="112"/>
      <c r="BO89" s="112"/>
      <c r="BP89" s="112"/>
      <c r="BQ89" s="112"/>
      <c r="BR89" s="112"/>
      <c r="BS89" s="112"/>
      <c r="BT89" s="112"/>
      <c r="BU89" s="112"/>
      <c r="BV89" s="112"/>
      <c r="BW89" s="112"/>
      <c r="BX89" s="112"/>
      <c r="BY89" s="112"/>
      <c r="BZ89" s="112"/>
      <c r="CA89" s="112"/>
      <c r="CB89" s="112"/>
      <c r="CC89" s="112"/>
      <c r="CD89" s="112"/>
      <c r="CE89" s="112"/>
      <c r="CF89" s="112"/>
      <c r="CG89" s="112"/>
      <c r="CH89" s="112"/>
      <c r="CI89" s="112"/>
      <c r="CJ89" s="112"/>
      <c r="CK89" s="112"/>
      <c r="CL89" s="112"/>
      <c r="CM89" s="112"/>
      <c r="CN89" s="112"/>
      <c r="CO89" s="112"/>
    </row>
    <row r="90" spans="1:93" s="64" customFormat="1" x14ac:dyDescent="0.3">
      <c r="A90" s="112"/>
      <c r="B90" s="449"/>
      <c r="C90" s="164"/>
      <c r="D90" s="112"/>
      <c r="E90" s="164"/>
      <c r="F90" s="164"/>
      <c r="G90" s="108">
        <v>7</v>
      </c>
      <c r="H90" s="129">
        <f t="shared" si="128"/>
        <v>45692.75</v>
      </c>
      <c r="I90" s="505">
        <f t="shared" si="134"/>
        <v>1658</v>
      </c>
      <c r="J90" s="503">
        <f t="shared" si="130"/>
        <v>1658</v>
      </c>
      <c r="K90" s="504">
        <f t="shared" si="131"/>
        <v>1658</v>
      </c>
      <c r="L90" s="505">
        <f t="shared" si="132"/>
        <v>1631</v>
      </c>
      <c r="M90" s="506">
        <f t="shared" si="133"/>
        <v>2011</v>
      </c>
      <c r="N90" s="505"/>
      <c r="O90" s="566">
        <v>1044</v>
      </c>
      <c r="P90" s="566">
        <v>953</v>
      </c>
      <c r="Q90" s="566">
        <v>746</v>
      </c>
      <c r="R90" s="566">
        <v>855</v>
      </c>
      <c r="S90" s="506">
        <v>709</v>
      </c>
      <c r="T90" s="566">
        <v>661</v>
      </c>
      <c r="U90" s="506">
        <v>435</v>
      </c>
      <c r="V90" s="567">
        <v>295</v>
      </c>
      <c r="W90" s="506">
        <v>523</v>
      </c>
      <c r="X90" s="223">
        <v>308</v>
      </c>
      <c r="Y90" s="136">
        <v>262</v>
      </c>
      <c r="Z90" s="136">
        <v>127</v>
      </c>
      <c r="AA90" s="234">
        <v>220</v>
      </c>
      <c r="AB90" s="223">
        <v>124</v>
      </c>
      <c r="AC90" s="136">
        <v>236</v>
      </c>
      <c r="AD90" s="234"/>
      <c r="AE90" s="440"/>
      <c r="AF90" s="440"/>
      <c r="AG90" s="478"/>
      <c r="AH90" s="440"/>
      <c r="AI90" s="440"/>
      <c r="AJ90" s="440"/>
      <c r="AK90" s="440"/>
      <c r="AL90" s="440"/>
      <c r="AM90" s="40"/>
      <c r="AN90" s="440"/>
      <c r="AO90" s="440"/>
      <c r="AP90" s="546"/>
      <c r="AQ90" s="619"/>
      <c r="AR90" s="450"/>
      <c r="AS90" s="60"/>
      <c r="AT90" s="546"/>
      <c r="AU90" s="62"/>
      <c r="AV90" s="62"/>
      <c r="AW90" s="60"/>
      <c r="AX90" s="67"/>
      <c r="AY90" s="60"/>
      <c r="AZ90" s="451"/>
      <c r="BA90" s="60"/>
      <c r="BB90" s="60"/>
      <c r="BC90" s="67"/>
      <c r="BD90" s="42"/>
      <c r="BE90" s="60"/>
      <c r="BF90" s="60"/>
      <c r="BG90" s="67"/>
      <c r="BH90" s="42"/>
      <c r="BI90" s="112"/>
      <c r="BJ90" s="112"/>
      <c r="BK90" s="112"/>
      <c r="BL90" s="112"/>
      <c r="BM90" s="112"/>
      <c r="BN90" s="112"/>
      <c r="BO90" s="112"/>
      <c r="BP90" s="112"/>
      <c r="BQ90" s="112"/>
      <c r="BR90" s="112"/>
      <c r="BS90" s="112"/>
      <c r="BT90" s="112"/>
      <c r="BU90" s="112"/>
      <c r="BV90" s="112"/>
      <c r="BW90" s="112"/>
      <c r="BX90" s="112"/>
      <c r="BY90" s="112"/>
      <c r="BZ90" s="112"/>
      <c r="CA90" s="112"/>
      <c r="CB90" s="112"/>
      <c r="CC90" s="112"/>
      <c r="CD90" s="112"/>
      <c r="CE90" s="112"/>
      <c r="CF90" s="112"/>
      <c r="CG90" s="112"/>
      <c r="CH90" s="112"/>
      <c r="CI90" s="112"/>
      <c r="CJ90" s="112"/>
      <c r="CK90" s="112"/>
      <c r="CL90" s="112"/>
      <c r="CM90" s="112"/>
      <c r="CN90" s="112"/>
      <c r="CO90" s="112"/>
    </row>
    <row r="91" spans="1:93" s="64" customFormat="1" x14ac:dyDescent="0.3">
      <c r="A91" s="112"/>
      <c r="B91" s="449"/>
      <c r="C91" s="164"/>
      <c r="D91" s="112"/>
      <c r="E91" s="164"/>
      <c r="F91" s="164"/>
      <c r="G91" s="108">
        <v>8</v>
      </c>
      <c r="H91" s="129">
        <f t="shared" si="128"/>
        <v>45693.75</v>
      </c>
      <c r="I91" s="505">
        <f t="shared" si="134"/>
        <v>1720</v>
      </c>
      <c r="J91" s="503">
        <f t="shared" ref="J91" si="139">AX59</f>
        <v>1720</v>
      </c>
      <c r="K91" s="504">
        <f t="shared" ref="K91" si="140">AZ59</f>
        <v>1720</v>
      </c>
      <c r="L91" s="505">
        <f t="shared" ref="L91" si="141">BC59</f>
        <v>1688</v>
      </c>
      <c r="M91" s="506">
        <f t="shared" ref="M91" si="142">BG59</f>
        <v>2192</v>
      </c>
      <c r="N91" s="505"/>
      <c r="O91" s="566">
        <v>1084</v>
      </c>
      <c r="P91" s="566">
        <v>994</v>
      </c>
      <c r="Q91" s="566">
        <v>781</v>
      </c>
      <c r="R91" s="566">
        <v>882</v>
      </c>
      <c r="S91" s="506">
        <v>792</v>
      </c>
      <c r="T91" s="566">
        <v>687</v>
      </c>
      <c r="U91" s="506">
        <v>476</v>
      </c>
      <c r="V91" s="567">
        <v>308</v>
      </c>
      <c r="W91" s="506">
        <v>539</v>
      </c>
      <c r="X91" s="223">
        <v>325</v>
      </c>
      <c r="Y91" s="136">
        <v>287</v>
      </c>
      <c r="Z91" s="136">
        <v>134</v>
      </c>
      <c r="AA91" s="234">
        <v>234</v>
      </c>
      <c r="AB91" s="223">
        <v>136</v>
      </c>
      <c r="AC91" s="136">
        <v>253</v>
      </c>
      <c r="AD91" s="234"/>
      <c r="AE91" s="440"/>
      <c r="AF91" s="440"/>
      <c r="AG91" s="478"/>
      <c r="AH91" s="440"/>
      <c r="AI91" s="440"/>
      <c r="AJ91" s="440"/>
      <c r="AK91" s="440"/>
      <c r="AL91" s="440"/>
      <c r="AM91" s="40"/>
      <c r="AN91" s="440"/>
      <c r="AO91" s="440"/>
      <c r="AP91" s="546"/>
      <c r="AQ91" s="619"/>
      <c r="AR91" s="450"/>
      <c r="AS91" s="60"/>
      <c r="AT91" s="546"/>
      <c r="AU91" s="62"/>
      <c r="AV91" s="62"/>
      <c r="AW91" s="60"/>
      <c r="AX91" s="67"/>
      <c r="AY91" s="60"/>
      <c r="AZ91" s="451"/>
      <c r="BA91" s="60"/>
      <c r="BB91" s="60"/>
      <c r="BC91" s="67"/>
      <c r="BD91" s="42"/>
      <c r="BE91" s="60"/>
      <c r="BF91" s="60"/>
      <c r="BG91" s="67"/>
      <c r="BH91" s="42"/>
      <c r="BI91" s="112"/>
      <c r="BJ91" s="112"/>
      <c r="BK91" s="112"/>
      <c r="BL91" s="112"/>
      <c r="BM91" s="112"/>
      <c r="BN91" s="112"/>
      <c r="BO91" s="112"/>
      <c r="BP91" s="112"/>
      <c r="BQ91" s="112"/>
      <c r="BR91" s="112"/>
      <c r="BS91" s="112"/>
      <c r="BT91" s="112"/>
      <c r="BU91" s="112"/>
      <c r="BV91" s="112"/>
      <c r="BW91" s="112"/>
      <c r="BX91" s="112"/>
      <c r="BY91" s="112"/>
      <c r="BZ91" s="112"/>
      <c r="CA91" s="112"/>
      <c r="CB91" s="112"/>
      <c r="CC91" s="112"/>
      <c r="CD91" s="112"/>
      <c r="CE91" s="112"/>
      <c r="CF91" s="112"/>
      <c r="CG91" s="112"/>
      <c r="CH91" s="112"/>
      <c r="CI91" s="112"/>
      <c r="CJ91" s="112"/>
      <c r="CK91" s="112"/>
      <c r="CL91" s="112"/>
      <c r="CM91" s="112"/>
      <c r="CN91" s="112"/>
      <c r="CO91" s="112"/>
    </row>
    <row r="92" spans="1:93" s="64" customFormat="1" x14ac:dyDescent="0.3">
      <c r="A92" s="112"/>
      <c r="B92" s="449"/>
      <c r="C92" s="164"/>
      <c r="D92" s="112"/>
      <c r="E92" s="164"/>
      <c r="F92" s="164"/>
      <c r="G92" s="108">
        <v>9</v>
      </c>
      <c r="H92" s="129">
        <f t="shared" si="128"/>
        <v>45694.75</v>
      </c>
      <c r="I92" s="505">
        <f t="shared" si="134"/>
        <v>1765</v>
      </c>
      <c r="J92" s="503">
        <f t="shared" si="130"/>
        <v>1765</v>
      </c>
      <c r="K92" s="504">
        <f t="shared" si="131"/>
        <v>1765</v>
      </c>
      <c r="L92" s="505">
        <f t="shared" si="132"/>
        <v>1721</v>
      </c>
      <c r="M92" s="506">
        <f t="shared" si="133"/>
        <v>2319</v>
      </c>
      <c r="N92" s="505"/>
      <c r="O92" s="566">
        <v>1112</v>
      </c>
      <c r="P92" s="566">
        <v>1040</v>
      </c>
      <c r="Q92" s="566">
        <v>821</v>
      </c>
      <c r="R92" s="566">
        <v>905</v>
      </c>
      <c r="S92" s="506">
        <v>851</v>
      </c>
      <c r="T92" s="566">
        <v>705</v>
      </c>
      <c r="U92" s="506">
        <v>524</v>
      </c>
      <c r="V92" s="567">
        <v>329</v>
      </c>
      <c r="W92" s="506">
        <v>551</v>
      </c>
      <c r="X92" s="223">
        <v>350</v>
      </c>
      <c r="Y92" s="136">
        <v>324</v>
      </c>
      <c r="Z92" s="136">
        <v>138</v>
      </c>
      <c r="AA92" s="234">
        <v>240</v>
      </c>
      <c r="AB92" s="223">
        <v>142</v>
      </c>
      <c r="AC92" s="136">
        <v>267</v>
      </c>
      <c r="AD92" s="234"/>
      <c r="AE92" s="440"/>
      <c r="AF92" s="440"/>
      <c r="AG92" s="478"/>
      <c r="AH92" s="440"/>
      <c r="AI92" s="440"/>
      <c r="AJ92" s="440"/>
      <c r="AK92" s="440"/>
      <c r="AL92" s="440"/>
      <c r="AM92" s="40"/>
      <c r="AN92" s="440"/>
      <c r="AO92" s="440"/>
      <c r="AP92" s="546"/>
      <c r="AQ92" s="619"/>
      <c r="AR92" s="450"/>
      <c r="AS92" s="60"/>
      <c r="AT92" s="546"/>
      <c r="AU92" s="62"/>
      <c r="AV92" s="62"/>
      <c r="AW92" s="60"/>
      <c r="AX92" s="67"/>
      <c r="AY92" s="60"/>
      <c r="AZ92" s="451"/>
      <c r="BA92" s="60"/>
      <c r="BB92" s="60"/>
      <c r="BC92" s="67"/>
      <c r="BD92" s="42"/>
      <c r="BE92" s="60"/>
      <c r="BF92" s="60"/>
      <c r="BG92" s="67"/>
      <c r="BH92" s="42"/>
      <c r="BI92" s="112"/>
      <c r="BJ92" s="112"/>
      <c r="BK92" s="112"/>
      <c r="BL92" s="112"/>
      <c r="BM92" s="112"/>
      <c r="BN92" s="112"/>
      <c r="BO92" s="112"/>
      <c r="BP92" s="112"/>
      <c r="BQ92" s="112"/>
      <c r="BR92" s="112"/>
      <c r="BS92" s="112"/>
      <c r="BT92" s="112"/>
      <c r="BU92" s="112"/>
      <c r="BV92" s="112"/>
      <c r="BW92" s="112"/>
      <c r="BX92" s="112"/>
      <c r="BY92" s="112"/>
      <c r="BZ92" s="112"/>
      <c r="CA92" s="112"/>
      <c r="CB92" s="112"/>
      <c r="CC92" s="112"/>
      <c r="CD92" s="112"/>
      <c r="CE92" s="112"/>
      <c r="CF92" s="112"/>
      <c r="CG92" s="112"/>
      <c r="CH92" s="112"/>
      <c r="CI92" s="112"/>
      <c r="CJ92" s="112"/>
      <c r="CK92" s="112"/>
      <c r="CL92" s="112"/>
      <c r="CM92" s="112"/>
      <c r="CN92" s="112"/>
      <c r="CO92" s="112"/>
    </row>
    <row r="93" spans="1:93" s="64" customFormat="1" ht="15.75" thickBot="1" x14ac:dyDescent="0.35">
      <c r="A93" s="112"/>
      <c r="B93" s="449"/>
      <c r="C93" s="164"/>
      <c r="D93" s="112"/>
      <c r="E93" s="164"/>
      <c r="F93" s="164"/>
      <c r="G93" s="108">
        <v>10</v>
      </c>
      <c r="H93" s="129">
        <f t="shared" si="128"/>
        <v>45695.75</v>
      </c>
      <c r="I93" s="505">
        <f t="shared" si="129"/>
        <v>1797</v>
      </c>
      <c r="J93" s="503">
        <f t="shared" si="130"/>
        <v>1797</v>
      </c>
      <c r="K93" s="504">
        <f t="shared" si="131"/>
        <v>1797</v>
      </c>
      <c r="L93" s="505">
        <f t="shared" si="132"/>
        <v>1762</v>
      </c>
      <c r="M93" s="506">
        <f t="shared" si="133"/>
        <v>2446</v>
      </c>
      <c r="N93" s="505"/>
      <c r="O93" s="566">
        <v>1140</v>
      </c>
      <c r="P93" s="566">
        <v>1073</v>
      </c>
      <c r="Q93" s="566">
        <v>858</v>
      </c>
      <c r="R93" s="566">
        <v>957</v>
      </c>
      <c r="S93" s="506">
        <v>893</v>
      </c>
      <c r="T93" s="566">
        <v>727</v>
      </c>
      <c r="U93" s="506">
        <v>564</v>
      </c>
      <c r="V93" s="567">
        <v>350</v>
      </c>
      <c r="W93" s="506">
        <v>565</v>
      </c>
      <c r="X93" s="223">
        <v>369</v>
      </c>
      <c r="Y93" s="136">
        <v>336</v>
      </c>
      <c r="Z93" s="136">
        <v>143</v>
      </c>
      <c r="AA93" s="234">
        <v>250</v>
      </c>
      <c r="AB93" s="223">
        <v>161</v>
      </c>
      <c r="AC93" s="136">
        <v>282</v>
      </c>
      <c r="AD93" s="234"/>
      <c r="AE93" s="440"/>
      <c r="AF93" s="440"/>
      <c r="AG93" s="478"/>
      <c r="AH93" s="440"/>
      <c r="AI93" s="440"/>
      <c r="AJ93" s="440"/>
      <c r="AK93" s="440"/>
      <c r="AL93" s="440"/>
      <c r="AM93" s="40"/>
      <c r="AN93" s="440"/>
      <c r="AO93" s="440"/>
      <c r="AP93" s="546"/>
      <c r="AQ93" s="619"/>
      <c r="AR93" s="450"/>
      <c r="AS93" s="60"/>
      <c r="AT93" s="546"/>
      <c r="AU93" s="62"/>
      <c r="AV93" s="62"/>
      <c r="AW93" s="60"/>
      <c r="AX93" s="67"/>
      <c r="AY93" s="60"/>
      <c r="AZ93" s="451"/>
      <c r="BA93" s="60"/>
      <c r="BB93" s="60"/>
      <c r="BC93" s="67"/>
      <c r="BD93" s="42"/>
      <c r="BE93" s="60"/>
      <c r="BF93" s="60"/>
      <c r="BG93" s="67"/>
      <c r="BH93" s="42"/>
      <c r="BI93" s="112"/>
      <c r="BJ93" s="112"/>
      <c r="BK93" s="112"/>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c r="CI93" s="112"/>
      <c r="CJ93" s="112"/>
      <c r="CK93" s="112"/>
      <c r="CL93" s="112"/>
      <c r="CM93" s="112"/>
      <c r="CN93" s="112"/>
      <c r="CO93" s="112"/>
    </row>
    <row r="94" spans="1:93" s="64" customFormat="1" ht="15.75" thickBot="1" x14ac:dyDescent="0.35">
      <c r="A94" s="112"/>
      <c r="B94" s="449"/>
      <c r="C94" s="164"/>
      <c r="D94" s="112"/>
      <c r="E94" s="164"/>
      <c r="F94" s="164"/>
      <c r="G94" s="108">
        <v>11</v>
      </c>
      <c r="H94" s="129">
        <f t="shared" si="128"/>
        <v>45696.75</v>
      </c>
      <c r="I94" s="854">
        <f t="shared" si="129"/>
        <v>1830</v>
      </c>
      <c r="J94" s="503">
        <f t="shared" si="130"/>
        <v>1830</v>
      </c>
      <c r="K94" s="504">
        <f t="shared" si="131"/>
        <v>1830</v>
      </c>
      <c r="L94" s="505">
        <f t="shared" si="132"/>
        <v>1819</v>
      </c>
      <c r="M94" s="506">
        <f t="shared" si="133"/>
        <v>2550</v>
      </c>
      <c r="N94" s="505">
        <v>900</v>
      </c>
      <c r="O94" s="566">
        <v>1163</v>
      </c>
      <c r="P94" s="566">
        <v>1104</v>
      </c>
      <c r="Q94" s="566">
        <v>877</v>
      </c>
      <c r="R94" s="566">
        <v>989</v>
      </c>
      <c r="S94" s="506">
        <v>935</v>
      </c>
      <c r="T94" s="566">
        <v>753</v>
      </c>
      <c r="U94" s="506">
        <v>596</v>
      </c>
      <c r="V94" s="567">
        <v>356</v>
      </c>
      <c r="W94" s="506">
        <v>582</v>
      </c>
      <c r="X94" s="223">
        <v>386</v>
      </c>
      <c r="Y94" s="136">
        <v>345</v>
      </c>
      <c r="Z94" s="136">
        <v>150</v>
      </c>
      <c r="AA94" s="234">
        <v>256</v>
      </c>
      <c r="AB94" s="223">
        <v>178</v>
      </c>
      <c r="AC94" s="136">
        <v>291</v>
      </c>
      <c r="AD94" s="234"/>
      <c r="AE94" s="440"/>
      <c r="AF94" s="440"/>
      <c r="AG94" s="478"/>
      <c r="AH94" s="440"/>
      <c r="AI94" s="440"/>
      <c r="AJ94" s="440"/>
      <c r="AK94" s="440"/>
      <c r="AL94" s="440"/>
      <c r="AM94" s="40"/>
      <c r="AN94" s="440"/>
      <c r="AO94" s="440"/>
      <c r="AP94" s="546"/>
      <c r="AQ94" s="619"/>
      <c r="AR94" s="450"/>
      <c r="AS94" s="60"/>
      <c r="AT94" s="546"/>
      <c r="AU94" s="62"/>
      <c r="AV94" s="62"/>
      <c r="AW94" s="60"/>
      <c r="AX94" s="67"/>
      <c r="AY94" s="60"/>
      <c r="AZ94" s="451"/>
      <c r="BA94" s="60"/>
      <c r="BB94" s="60"/>
      <c r="BC94" s="67"/>
      <c r="BD94" s="42"/>
      <c r="BE94" s="60"/>
      <c r="BF94" s="60"/>
      <c r="BG94" s="67"/>
      <c r="BH94" s="42"/>
      <c r="BI94" s="112"/>
      <c r="BJ94" s="112"/>
      <c r="BK94" s="112"/>
      <c r="BL94" s="112"/>
      <c r="BM94" s="112"/>
      <c r="BN94" s="112"/>
      <c r="BO94" s="112"/>
      <c r="BP94" s="112"/>
      <c r="BQ94" s="112"/>
      <c r="BR94" s="112"/>
      <c r="BS94" s="112"/>
      <c r="BT94" s="112"/>
      <c r="BU94" s="112"/>
      <c r="BV94" s="112"/>
      <c r="BW94" s="112"/>
      <c r="BX94" s="112"/>
      <c r="BY94" s="112"/>
      <c r="BZ94" s="112"/>
      <c r="CA94" s="112"/>
      <c r="CB94" s="112"/>
      <c r="CC94" s="112"/>
      <c r="CD94" s="112"/>
      <c r="CE94" s="112"/>
      <c r="CF94" s="112"/>
      <c r="CG94" s="112"/>
      <c r="CH94" s="112"/>
      <c r="CI94" s="112"/>
      <c r="CJ94" s="112"/>
      <c r="CK94" s="112"/>
      <c r="CL94" s="112"/>
      <c r="CM94" s="112"/>
      <c r="CN94" s="112"/>
      <c r="CO94" s="112"/>
    </row>
    <row r="95" spans="1:93" s="64" customFormat="1" x14ac:dyDescent="0.3">
      <c r="A95" s="112"/>
      <c r="B95" s="449"/>
      <c r="C95" s="164"/>
      <c r="D95" s="112"/>
      <c r="E95" s="164"/>
      <c r="F95" s="164"/>
      <c r="G95" s="108">
        <v>12</v>
      </c>
      <c r="H95" s="129">
        <f t="shared" si="128"/>
        <v>45697.75</v>
      </c>
      <c r="I95" s="505">
        <f t="shared" si="129"/>
        <v>1863</v>
      </c>
      <c r="J95" s="503">
        <f t="shared" si="130"/>
        <v>1863</v>
      </c>
      <c r="K95" s="504">
        <f t="shared" si="131"/>
        <v>1863</v>
      </c>
      <c r="L95" s="505">
        <f t="shared" si="132"/>
        <v>1852</v>
      </c>
      <c r="M95" s="506">
        <f t="shared" si="133"/>
        <v>2668</v>
      </c>
      <c r="N95" s="505"/>
      <c r="O95" s="566">
        <v>1189</v>
      </c>
      <c r="P95" s="566">
        <v>1137</v>
      </c>
      <c r="Q95" s="566">
        <v>901</v>
      </c>
      <c r="R95" s="566">
        <v>1026</v>
      </c>
      <c r="S95" s="506">
        <v>976</v>
      </c>
      <c r="T95" s="566">
        <v>775</v>
      </c>
      <c r="U95" s="506">
        <v>624</v>
      </c>
      <c r="V95" s="567">
        <v>371</v>
      </c>
      <c r="W95" s="506">
        <v>598</v>
      </c>
      <c r="X95" s="223">
        <v>395</v>
      </c>
      <c r="Y95" s="136">
        <v>361</v>
      </c>
      <c r="Z95" s="136">
        <v>154</v>
      </c>
      <c r="AA95" s="234">
        <v>270</v>
      </c>
      <c r="AB95" s="223">
        <v>193</v>
      </c>
      <c r="AC95" s="136">
        <v>311</v>
      </c>
      <c r="AD95" s="234"/>
      <c r="AE95" s="440"/>
      <c r="AF95" s="440"/>
      <c r="AG95" s="478"/>
      <c r="AH95" s="440"/>
      <c r="AI95" s="440"/>
      <c r="AJ95" s="440"/>
      <c r="AK95" s="440"/>
      <c r="AL95" s="440"/>
      <c r="AM95" s="40"/>
      <c r="AN95" s="440"/>
      <c r="AO95" s="440"/>
      <c r="AP95" s="546"/>
      <c r="AQ95" s="619"/>
      <c r="AR95" s="450"/>
      <c r="AS95" s="60"/>
      <c r="AT95" s="546"/>
      <c r="AU95" s="62"/>
      <c r="AV95" s="62"/>
      <c r="AW95" s="60"/>
      <c r="AX95" s="67"/>
      <c r="AY95" s="60"/>
      <c r="AZ95" s="451"/>
      <c r="BA95" s="60"/>
      <c r="BB95" s="60"/>
      <c r="BC95" s="67"/>
      <c r="BD95" s="42"/>
      <c r="BE95" s="60"/>
      <c r="BF95" s="60"/>
      <c r="BG95" s="67"/>
      <c r="BH95" s="42"/>
      <c r="BI95" s="112"/>
      <c r="BJ95" s="112"/>
      <c r="BK95" s="112"/>
      <c r="BL95" s="112"/>
      <c r="BM95" s="112"/>
      <c r="BN95" s="112"/>
      <c r="BO95" s="112"/>
      <c r="BP95" s="112"/>
      <c r="BQ95" s="112"/>
      <c r="BR95" s="112"/>
      <c r="BS95" s="112"/>
      <c r="BT95" s="112"/>
      <c r="BU95" s="112"/>
      <c r="BV95" s="112"/>
      <c r="BW95" s="112"/>
      <c r="BX95" s="112"/>
      <c r="BY95" s="112"/>
      <c r="BZ95" s="112"/>
      <c r="CA95" s="112"/>
      <c r="CB95" s="112"/>
      <c r="CC95" s="112"/>
      <c r="CD95" s="112"/>
      <c r="CE95" s="112"/>
      <c r="CF95" s="112"/>
      <c r="CG95" s="112"/>
      <c r="CH95" s="112"/>
      <c r="CI95" s="112"/>
      <c r="CJ95" s="112"/>
      <c r="CK95" s="112"/>
      <c r="CL95" s="112"/>
      <c r="CM95" s="112"/>
      <c r="CN95" s="112"/>
      <c r="CO95" s="112"/>
    </row>
    <row r="96" spans="1:93" s="64" customFormat="1" x14ac:dyDescent="0.3">
      <c r="A96" s="112"/>
      <c r="B96" s="449"/>
      <c r="C96" s="164"/>
      <c r="D96" s="112"/>
      <c r="E96" s="164"/>
      <c r="F96" s="164"/>
      <c r="G96" s="108">
        <v>13</v>
      </c>
      <c r="H96" s="129">
        <f t="shared" si="128"/>
        <v>45698.75</v>
      </c>
      <c r="I96" s="505">
        <f t="shared" si="129"/>
        <v>1895</v>
      </c>
      <c r="J96" s="503">
        <f t="shared" si="130"/>
        <v>1895</v>
      </c>
      <c r="K96" s="504">
        <f t="shared" si="131"/>
        <v>1895</v>
      </c>
      <c r="L96" s="505">
        <f t="shared" si="132"/>
        <v>1860</v>
      </c>
      <c r="M96" s="506">
        <f t="shared" si="133"/>
        <v>2741</v>
      </c>
      <c r="N96" s="505"/>
      <c r="O96" s="566">
        <v>1205</v>
      </c>
      <c r="P96" s="566">
        <v>1159</v>
      </c>
      <c r="Q96" s="566">
        <v>929</v>
      </c>
      <c r="R96" s="566">
        <v>1068</v>
      </c>
      <c r="S96" s="506">
        <v>1011</v>
      </c>
      <c r="T96" s="566">
        <v>789</v>
      </c>
      <c r="U96" s="506">
        <v>656</v>
      </c>
      <c r="V96" s="567">
        <v>386</v>
      </c>
      <c r="W96" s="506">
        <v>624</v>
      </c>
      <c r="X96" s="223">
        <v>410</v>
      </c>
      <c r="Y96" s="136">
        <v>375</v>
      </c>
      <c r="Z96" s="136">
        <v>155</v>
      </c>
      <c r="AA96" s="234">
        <v>282</v>
      </c>
      <c r="AB96" s="223">
        <v>197</v>
      </c>
      <c r="AC96" s="136">
        <v>319</v>
      </c>
      <c r="AD96" s="234"/>
      <c r="AE96" s="440"/>
      <c r="AF96" s="440"/>
      <c r="AG96" s="478"/>
      <c r="AH96" s="440"/>
      <c r="AI96" s="440"/>
      <c r="AJ96" s="440"/>
      <c r="AK96" s="440"/>
      <c r="AL96" s="440"/>
      <c r="AM96" s="40"/>
      <c r="AN96" s="440"/>
      <c r="AO96" s="440"/>
      <c r="AP96" s="546"/>
      <c r="AQ96" s="619"/>
      <c r="AR96" s="450"/>
      <c r="AS96" s="60"/>
      <c r="AT96" s="546"/>
      <c r="AU96" s="62"/>
      <c r="AV96" s="62"/>
      <c r="AW96" s="60"/>
      <c r="AX96" s="67"/>
      <c r="AY96" s="60"/>
      <c r="AZ96" s="451"/>
      <c r="BA96" s="60"/>
      <c r="BB96" s="60"/>
      <c r="BC96" s="67"/>
      <c r="BD96" s="42"/>
      <c r="BE96" s="60"/>
      <c r="BF96" s="60"/>
      <c r="BG96" s="67"/>
      <c r="BH96" s="42"/>
      <c r="BI96" s="112"/>
      <c r="BJ96" s="112"/>
      <c r="BK96" s="112"/>
      <c r="BL96" s="112"/>
      <c r="BM96" s="112"/>
      <c r="BN96" s="112"/>
      <c r="BO96" s="112"/>
      <c r="BP96" s="112"/>
      <c r="BQ96" s="112"/>
      <c r="BR96" s="112"/>
      <c r="BS96" s="112"/>
      <c r="BT96" s="112"/>
      <c r="BU96" s="112"/>
      <c r="BV96" s="112"/>
      <c r="BW96" s="112"/>
      <c r="BX96" s="112"/>
      <c r="BY96" s="112"/>
      <c r="BZ96" s="112"/>
      <c r="CA96" s="112"/>
      <c r="CB96" s="112"/>
      <c r="CC96" s="112"/>
      <c r="CD96" s="112"/>
      <c r="CE96" s="112"/>
      <c r="CF96" s="112"/>
      <c r="CG96" s="112"/>
      <c r="CH96" s="112"/>
      <c r="CI96" s="112"/>
      <c r="CJ96" s="112"/>
      <c r="CK96" s="112"/>
      <c r="CL96" s="112"/>
      <c r="CM96" s="112"/>
      <c r="CN96" s="112"/>
      <c r="CO96" s="112"/>
    </row>
    <row r="97" spans="1:93" s="64" customFormat="1" x14ac:dyDescent="0.3">
      <c r="A97" s="112"/>
      <c r="B97" s="449"/>
      <c r="C97" s="164"/>
      <c r="D97" s="112"/>
      <c r="E97" s="164"/>
      <c r="F97" s="164"/>
      <c r="G97" s="108">
        <v>14</v>
      </c>
      <c r="H97" s="129">
        <f t="shared" si="128"/>
        <v>45699.75</v>
      </c>
      <c r="I97" s="505">
        <f t="shared" si="129"/>
        <v>1928</v>
      </c>
      <c r="J97" s="503">
        <f t="shared" si="130"/>
        <v>1928</v>
      </c>
      <c r="K97" s="504">
        <f t="shared" si="131"/>
        <v>1928</v>
      </c>
      <c r="L97" s="505">
        <f t="shared" si="132"/>
        <v>1893</v>
      </c>
      <c r="M97" s="506">
        <f t="shared" si="133"/>
        <v>2863</v>
      </c>
      <c r="N97" s="505"/>
      <c r="O97" s="566">
        <v>1232</v>
      </c>
      <c r="P97" s="566">
        <v>1207</v>
      </c>
      <c r="Q97" s="566">
        <v>966</v>
      </c>
      <c r="R97" s="566">
        <v>1115</v>
      </c>
      <c r="S97" s="506">
        <v>1060</v>
      </c>
      <c r="T97" s="566">
        <v>806</v>
      </c>
      <c r="U97" s="506">
        <v>696</v>
      </c>
      <c r="V97" s="567">
        <v>403</v>
      </c>
      <c r="W97" s="506">
        <v>650</v>
      </c>
      <c r="X97" s="223">
        <v>417</v>
      </c>
      <c r="Y97" s="136">
        <v>395</v>
      </c>
      <c r="Z97" s="136">
        <v>159</v>
      </c>
      <c r="AA97" s="234">
        <v>294</v>
      </c>
      <c r="AB97" s="223">
        <v>205</v>
      </c>
      <c r="AC97" s="136">
        <v>330</v>
      </c>
      <c r="AD97" s="234"/>
      <c r="AE97" s="440"/>
      <c r="AF97" s="440"/>
      <c r="AG97" s="478"/>
      <c r="AH97" s="440"/>
      <c r="AI97" s="440"/>
      <c r="AJ97" s="440"/>
      <c r="AK97" s="440"/>
      <c r="AL97" s="440"/>
      <c r="AM97" s="40"/>
      <c r="AN97" s="440"/>
      <c r="AO97" s="440"/>
      <c r="AP97" s="546"/>
      <c r="AQ97" s="619"/>
      <c r="AR97" s="450"/>
      <c r="AS97" s="60"/>
      <c r="AT97" s="546"/>
      <c r="AU97" s="62"/>
      <c r="AV97" s="62"/>
      <c r="AW97" s="60"/>
      <c r="AX97" s="67"/>
      <c r="AY97" s="60"/>
      <c r="AZ97" s="451"/>
      <c r="BA97" s="60"/>
      <c r="BB97" s="60"/>
      <c r="BC97" s="67"/>
      <c r="BD97" s="42"/>
      <c r="BE97" s="60"/>
      <c r="BF97" s="60"/>
      <c r="BG97" s="67"/>
      <c r="BH97" s="42"/>
      <c r="BI97" s="112"/>
      <c r="BJ97" s="112"/>
      <c r="BK97" s="112"/>
      <c r="BL97" s="112"/>
      <c r="BM97" s="112"/>
      <c r="BN97" s="112"/>
      <c r="BO97" s="112"/>
      <c r="BP97" s="112"/>
      <c r="BQ97" s="112"/>
      <c r="BR97" s="112"/>
      <c r="BS97" s="112"/>
      <c r="BT97" s="112"/>
      <c r="BU97" s="112"/>
      <c r="BV97" s="112"/>
      <c r="BW97" s="112"/>
      <c r="BX97" s="112"/>
      <c r="BY97" s="112"/>
      <c r="BZ97" s="112"/>
      <c r="CA97" s="112"/>
      <c r="CB97" s="112"/>
      <c r="CC97" s="112"/>
      <c r="CD97" s="112"/>
      <c r="CE97" s="112"/>
      <c r="CF97" s="112"/>
      <c r="CG97" s="112"/>
      <c r="CH97" s="112"/>
      <c r="CI97" s="112"/>
      <c r="CJ97" s="112"/>
      <c r="CK97" s="112"/>
      <c r="CL97" s="112"/>
      <c r="CM97" s="112"/>
      <c r="CN97" s="112"/>
      <c r="CO97" s="112"/>
    </row>
    <row r="98" spans="1:93" s="64" customFormat="1" x14ac:dyDescent="0.3">
      <c r="A98" s="112"/>
      <c r="B98" s="449"/>
      <c r="C98" s="164"/>
      <c r="D98" s="112"/>
      <c r="E98" s="164"/>
      <c r="F98" s="164"/>
      <c r="G98" s="108">
        <v>15</v>
      </c>
      <c r="H98" s="129">
        <f t="shared" si="128"/>
        <v>45700.75</v>
      </c>
      <c r="I98" s="505">
        <f t="shared" si="129"/>
        <v>1974</v>
      </c>
      <c r="J98" s="503">
        <f t="shared" si="130"/>
        <v>1974</v>
      </c>
      <c r="K98" s="504">
        <f t="shared" si="131"/>
        <v>1974</v>
      </c>
      <c r="L98" s="505">
        <f t="shared" si="132"/>
        <v>1934</v>
      </c>
      <c r="M98" s="506">
        <f t="shared" si="133"/>
        <v>3230</v>
      </c>
      <c r="N98" s="505"/>
      <c r="O98" s="566">
        <v>1313</v>
      </c>
      <c r="P98" s="566">
        <v>1257</v>
      </c>
      <c r="Q98" s="566">
        <v>1013</v>
      </c>
      <c r="R98" s="566">
        <v>1170</v>
      </c>
      <c r="S98" s="506">
        <v>1096</v>
      </c>
      <c r="T98" s="566">
        <v>825</v>
      </c>
      <c r="U98" s="506">
        <v>727</v>
      </c>
      <c r="V98" s="567">
        <v>422</v>
      </c>
      <c r="W98" s="506">
        <v>690</v>
      </c>
      <c r="X98" s="223">
        <v>427</v>
      </c>
      <c r="Y98" s="136">
        <v>415</v>
      </c>
      <c r="Z98" s="136">
        <v>164</v>
      </c>
      <c r="AA98" s="234">
        <v>308</v>
      </c>
      <c r="AB98" s="223">
        <v>214</v>
      </c>
      <c r="AC98" s="136">
        <v>337</v>
      </c>
      <c r="AD98" s="234"/>
      <c r="AE98" s="440"/>
      <c r="AF98" s="440"/>
      <c r="AG98" s="478"/>
      <c r="AH98" s="440"/>
      <c r="AI98" s="440"/>
      <c r="AJ98" s="440"/>
      <c r="AK98" s="440"/>
      <c r="AL98" s="440"/>
      <c r="AM98" s="40"/>
      <c r="AN98" s="440"/>
      <c r="AO98" s="440"/>
      <c r="AP98" s="546"/>
      <c r="AQ98" s="619"/>
      <c r="AR98" s="450"/>
      <c r="AS98" s="60"/>
      <c r="AT98" s="546"/>
      <c r="AU98" s="62"/>
      <c r="AV98" s="62"/>
      <c r="AW98" s="60"/>
      <c r="AX98" s="67"/>
      <c r="AY98" s="60"/>
      <c r="AZ98" s="451"/>
      <c r="BA98" s="60"/>
      <c r="BB98" s="60"/>
      <c r="BC98" s="67"/>
      <c r="BD98" s="42"/>
      <c r="BE98" s="60"/>
      <c r="BF98" s="60"/>
      <c r="BG98" s="67"/>
      <c r="BH98" s="42"/>
      <c r="BI98" s="112"/>
      <c r="BJ98" s="112"/>
      <c r="BK98" s="112"/>
      <c r="BL98" s="112"/>
      <c r="BM98" s="112"/>
      <c r="BN98" s="112"/>
      <c r="BO98" s="112"/>
      <c r="BP98" s="112"/>
      <c r="BQ98" s="112"/>
      <c r="BR98" s="112"/>
      <c r="BS98" s="112"/>
      <c r="BT98" s="112"/>
      <c r="BU98" s="112"/>
      <c r="BV98" s="112"/>
      <c r="BW98" s="112"/>
      <c r="BX98" s="112"/>
      <c r="BY98" s="112"/>
      <c r="BZ98" s="112"/>
      <c r="CA98" s="112"/>
      <c r="CB98" s="112"/>
      <c r="CC98" s="112"/>
      <c r="CD98" s="112"/>
      <c r="CE98" s="112"/>
      <c r="CF98" s="112"/>
      <c r="CG98" s="112"/>
      <c r="CH98" s="112"/>
      <c r="CI98" s="112"/>
      <c r="CJ98" s="112"/>
      <c r="CK98" s="112"/>
      <c r="CL98" s="112"/>
      <c r="CM98" s="112"/>
      <c r="CN98" s="112"/>
      <c r="CO98" s="112"/>
    </row>
    <row r="99" spans="1:93" s="64" customFormat="1" x14ac:dyDescent="0.3">
      <c r="A99" s="112"/>
      <c r="B99" s="449"/>
      <c r="C99" s="164"/>
      <c r="D99" s="112"/>
      <c r="E99" s="164"/>
      <c r="F99" s="164"/>
      <c r="G99" s="108">
        <v>16</v>
      </c>
      <c r="H99" s="129">
        <f t="shared" si="128"/>
        <v>45701.75</v>
      </c>
      <c r="I99" s="505">
        <f t="shared" si="129"/>
        <v>2039</v>
      </c>
      <c r="J99" s="503">
        <f t="shared" si="130"/>
        <v>2039</v>
      </c>
      <c r="K99" s="504">
        <f t="shared" si="131"/>
        <v>2039</v>
      </c>
      <c r="L99" s="505">
        <f t="shared" si="132"/>
        <v>1999</v>
      </c>
      <c r="M99" s="506">
        <f t="shared" si="133"/>
        <v>3398</v>
      </c>
      <c r="N99" s="505"/>
      <c r="O99" s="566">
        <v>1350</v>
      </c>
      <c r="P99" s="566">
        <v>1301</v>
      </c>
      <c r="Q99" s="566">
        <v>1049</v>
      </c>
      <c r="R99" s="566">
        <v>1216</v>
      </c>
      <c r="S99" s="506">
        <v>1134</v>
      </c>
      <c r="T99" s="566">
        <v>836</v>
      </c>
      <c r="U99" s="506">
        <v>758</v>
      </c>
      <c r="V99" s="567">
        <v>445</v>
      </c>
      <c r="W99" s="506">
        <v>729</v>
      </c>
      <c r="X99" s="223">
        <v>444</v>
      </c>
      <c r="Y99" s="136">
        <v>438</v>
      </c>
      <c r="Z99" s="136">
        <v>172</v>
      </c>
      <c r="AA99" s="234">
        <v>319</v>
      </c>
      <c r="AB99" s="223">
        <v>224</v>
      </c>
      <c r="AC99" s="136">
        <v>349</v>
      </c>
      <c r="AD99" s="234"/>
      <c r="AE99" s="440"/>
      <c r="AF99" s="440"/>
      <c r="AG99" s="478"/>
      <c r="AH99" s="440"/>
      <c r="AI99" s="440"/>
      <c r="AJ99" s="440"/>
      <c r="AK99" s="440"/>
      <c r="AL99" s="440"/>
      <c r="AM99" s="40"/>
      <c r="AN99" s="440"/>
      <c r="AO99" s="440"/>
      <c r="AP99" s="546"/>
      <c r="AQ99" s="619"/>
      <c r="AR99" s="450"/>
      <c r="AS99" s="60"/>
      <c r="AT99" s="546"/>
      <c r="AU99" s="62"/>
      <c r="AV99" s="62"/>
      <c r="AW99" s="60"/>
      <c r="AX99" s="67"/>
      <c r="AY99" s="60"/>
      <c r="AZ99" s="451"/>
      <c r="BA99" s="60"/>
      <c r="BB99" s="60"/>
      <c r="BC99" s="67"/>
      <c r="BD99" s="42"/>
      <c r="BE99" s="60"/>
      <c r="BF99" s="60"/>
      <c r="BG99" s="67"/>
      <c r="BH99" s="42"/>
      <c r="BI99" s="112"/>
      <c r="BJ99" s="112"/>
      <c r="BK99" s="112"/>
      <c r="BL99" s="112"/>
      <c r="BM99" s="112"/>
      <c r="BN99" s="112"/>
      <c r="BO99" s="112"/>
      <c r="BP99" s="112"/>
      <c r="BQ99" s="112"/>
      <c r="BR99" s="112"/>
      <c r="BS99" s="112"/>
      <c r="BT99" s="112"/>
      <c r="BU99" s="112"/>
      <c r="BV99" s="112"/>
      <c r="BW99" s="112"/>
      <c r="BX99" s="112"/>
      <c r="BY99" s="112"/>
      <c r="BZ99" s="112"/>
      <c r="CA99" s="112"/>
      <c r="CB99" s="112"/>
      <c r="CC99" s="112"/>
      <c r="CD99" s="112"/>
      <c r="CE99" s="112"/>
      <c r="CF99" s="112"/>
      <c r="CG99" s="112"/>
      <c r="CH99" s="112"/>
      <c r="CI99" s="112"/>
      <c r="CJ99" s="112"/>
      <c r="CK99" s="112"/>
      <c r="CL99" s="112"/>
      <c r="CM99" s="112"/>
      <c r="CN99" s="112"/>
      <c r="CO99" s="112"/>
    </row>
    <row r="100" spans="1:93" s="64" customFormat="1" x14ac:dyDescent="0.3">
      <c r="A100" s="112"/>
      <c r="B100" s="449"/>
      <c r="C100" s="164"/>
      <c r="D100" s="112"/>
      <c r="E100" s="164"/>
      <c r="F100" s="164"/>
      <c r="G100" s="108">
        <v>17</v>
      </c>
      <c r="H100" s="129">
        <f t="shared" si="128"/>
        <v>45702.75</v>
      </c>
      <c r="I100" s="505">
        <f t="shared" si="129"/>
        <v>2089</v>
      </c>
      <c r="J100" s="503">
        <f t="shared" si="130"/>
        <v>2089</v>
      </c>
      <c r="K100" s="504">
        <f t="shared" si="131"/>
        <v>2089</v>
      </c>
      <c r="L100" s="505">
        <f t="shared" si="132"/>
        <v>2023</v>
      </c>
      <c r="M100" s="506">
        <f t="shared" si="133"/>
        <v>3552</v>
      </c>
      <c r="N100" s="505"/>
      <c r="O100" s="566">
        <v>1384</v>
      </c>
      <c r="P100" s="566">
        <v>1341</v>
      </c>
      <c r="Q100" s="566">
        <v>1075</v>
      </c>
      <c r="R100" s="566">
        <v>1256</v>
      </c>
      <c r="S100" s="506">
        <v>1160</v>
      </c>
      <c r="T100" s="566">
        <v>865</v>
      </c>
      <c r="U100" s="506">
        <v>790</v>
      </c>
      <c r="V100" s="567">
        <v>471</v>
      </c>
      <c r="W100" s="506">
        <v>757</v>
      </c>
      <c r="X100" s="223">
        <v>487</v>
      </c>
      <c r="Y100" s="136">
        <v>471</v>
      </c>
      <c r="Z100" s="136">
        <v>175</v>
      </c>
      <c r="AA100" s="234">
        <v>329</v>
      </c>
      <c r="AB100" s="223">
        <v>233</v>
      </c>
      <c r="AC100" s="136">
        <v>363</v>
      </c>
      <c r="AD100" s="234"/>
      <c r="AE100" s="440"/>
      <c r="AF100" s="440"/>
      <c r="AG100" s="478"/>
      <c r="AH100" s="440"/>
      <c r="AI100" s="440"/>
      <c r="AJ100" s="440"/>
      <c r="AK100" s="440"/>
      <c r="AL100" s="440"/>
      <c r="AM100" s="40"/>
      <c r="AN100" s="440"/>
      <c r="AO100" s="440"/>
      <c r="AP100" s="546"/>
      <c r="AQ100" s="619"/>
      <c r="AR100" s="450"/>
      <c r="AS100" s="60"/>
      <c r="AT100" s="546"/>
      <c r="AU100" s="62"/>
      <c r="AV100" s="62"/>
      <c r="AW100" s="60"/>
      <c r="AX100" s="67"/>
      <c r="AY100" s="60"/>
      <c r="AZ100" s="451"/>
      <c r="BA100" s="60"/>
      <c r="BB100" s="60"/>
      <c r="BC100" s="67"/>
      <c r="BD100" s="42"/>
      <c r="BE100" s="60"/>
      <c r="BF100" s="60"/>
      <c r="BG100" s="67"/>
      <c r="BH100" s="42"/>
      <c r="BI100" s="112"/>
      <c r="BJ100" s="112"/>
      <c r="BK100" s="112"/>
      <c r="BL100" s="112"/>
      <c r="BM100" s="112"/>
      <c r="BN100" s="112"/>
      <c r="BO100" s="112"/>
      <c r="BP100" s="112"/>
      <c r="BQ100" s="112"/>
      <c r="BR100" s="112"/>
      <c r="BS100" s="112"/>
      <c r="BT100" s="112"/>
      <c r="BU100" s="112"/>
      <c r="BV100" s="112"/>
      <c r="BW100" s="112"/>
      <c r="BX100" s="112"/>
      <c r="BY100" s="112"/>
      <c r="BZ100" s="112"/>
      <c r="CA100" s="112"/>
      <c r="CB100" s="112"/>
      <c r="CC100" s="112"/>
      <c r="CD100" s="112"/>
      <c r="CE100" s="112"/>
      <c r="CF100" s="112"/>
      <c r="CG100" s="112"/>
      <c r="CH100" s="112"/>
      <c r="CI100" s="112"/>
      <c r="CJ100" s="112"/>
      <c r="CK100" s="112"/>
      <c r="CL100" s="112"/>
      <c r="CM100" s="112"/>
      <c r="CN100" s="112"/>
      <c r="CO100" s="112"/>
    </row>
    <row r="101" spans="1:93" s="64" customFormat="1" x14ac:dyDescent="0.3">
      <c r="A101" s="112"/>
      <c r="B101" s="449"/>
      <c r="C101" s="164"/>
      <c r="D101" s="112"/>
      <c r="E101" s="164"/>
      <c r="F101" s="164"/>
      <c r="G101" s="108">
        <v>18</v>
      </c>
      <c r="H101" s="129">
        <f t="shared" si="128"/>
        <v>45703.75</v>
      </c>
      <c r="I101" s="505">
        <f t="shared" si="129"/>
        <v>2148</v>
      </c>
      <c r="J101" s="503">
        <f t="shared" si="130"/>
        <v>2148</v>
      </c>
      <c r="K101" s="504">
        <f t="shared" si="131"/>
        <v>2148</v>
      </c>
      <c r="L101" s="505">
        <f t="shared" si="132"/>
        <v>2113</v>
      </c>
      <c r="M101" s="506">
        <f t="shared" si="133"/>
        <v>3711</v>
      </c>
      <c r="N101" s="505"/>
      <c r="O101" s="566">
        <v>1419</v>
      </c>
      <c r="P101" s="566">
        <v>1386</v>
      </c>
      <c r="Q101" s="566">
        <v>1113</v>
      </c>
      <c r="R101" s="566">
        <v>1296</v>
      </c>
      <c r="S101" s="506">
        <v>1210</v>
      </c>
      <c r="T101" s="566">
        <v>892</v>
      </c>
      <c r="U101" s="506">
        <v>821</v>
      </c>
      <c r="V101" s="567">
        <v>501</v>
      </c>
      <c r="W101" s="506">
        <v>781</v>
      </c>
      <c r="X101" s="223">
        <v>514</v>
      </c>
      <c r="Y101" s="136">
        <v>491</v>
      </c>
      <c r="Z101" s="136">
        <v>186</v>
      </c>
      <c r="AA101" s="234">
        <v>347</v>
      </c>
      <c r="AB101" s="223">
        <v>250</v>
      </c>
      <c r="AC101" s="136">
        <v>377</v>
      </c>
      <c r="AD101" s="234"/>
      <c r="AE101" s="440"/>
      <c r="AF101" s="440"/>
      <c r="AG101" s="478"/>
      <c r="AH101" s="440"/>
      <c r="AI101" s="440"/>
      <c r="AJ101" s="440"/>
      <c r="AK101" s="440"/>
      <c r="AL101" s="440"/>
      <c r="AM101" s="40"/>
      <c r="AN101" s="440"/>
      <c r="AO101" s="440"/>
      <c r="AP101" s="546"/>
      <c r="AQ101" s="619"/>
      <c r="AR101" s="450"/>
      <c r="AS101" s="60"/>
      <c r="AT101" s="546"/>
      <c r="AU101" s="62"/>
      <c r="AV101" s="62"/>
      <c r="AW101" s="60"/>
      <c r="AX101" s="67"/>
      <c r="AY101" s="60"/>
      <c r="AZ101" s="451"/>
      <c r="BA101" s="60"/>
      <c r="BB101" s="60"/>
      <c r="BC101" s="67"/>
      <c r="BD101" s="42"/>
      <c r="BE101" s="60"/>
      <c r="BF101" s="60"/>
      <c r="BG101" s="67"/>
      <c r="BH101" s="42"/>
      <c r="BI101" s="112"/>
      <c r="BJ101" s="112"/>
      <c r="BK101" s="112"/>
      <c r="BL101" s="112"/>
      <c r="BM101" s="112"/>
      <c r="BN101" s="112"/>
      <c r="BO101" s="112"/>
      <c r="BP101" s="112"/>
      <c r="BQ101" s="112"/>
      <c r="BR101" s="112"/>
      <c r="BS101" s="112"/>
      <c r="BT101" s="112"/>
      <c r="BU101" s="112"/>
      <c r="BV101" s="112"/>
      <c r="BW101" s="112"/>
      <c r="BX101" s="112"/>
      <c r="BY101" s="112"/>
      <c r="BZ101" s="112"/>
      <c r="CA101" s="112"/>
      <c r="CB101" s="112"/>
      <c r="CC101" s="112"/>
      <c r="CD101" s="112"/>
      <c r="CE101" s="112"/>
      <c r="CF101" s="112"/>
      <c r="CG101" s="112"/>
      <c r="CH101" s="112"/>
      <c r="CI101" s="112"/>
      <c r="CJ101" s="112"/>
      <c r="CK101" s="112"/>
      <c r="CL101" s="112"/>
      <c r="CM101" s="112"/>
      <c r="CN101" s="112"/>
      <c r="CO101" s="112"/>
    </row>
    <row r="102" spans="1:93" s="64" customFormat="1" x14ac:dyDescent="0.3">
      <c r="A102" s="112"/>
      <c r="B102" s="449"/>
      <c r="C102" s="164"/>
      <c r="D102" s="112"/>
      <c r="E102" s="164"/>
      <c r="F102" s="164"/>
      <c r="G102" s="108">
        <v>19</v>
      </c>
      <c r="H102" s="129">
        <f t="shared" si="128"/>
        <v>45704.75</v>
      </c>
      <c r="I102" s="505">
        <f t="shared" si="129"/>
        <v>2221</v>
      </c>
      <c r="J102" s="503">
        <f t="shared" si="130"/>
        <v>2221</v>
      </c>
      <c r="K102" s="504">
        <f t="shared" si="131"/>
        <v>2221</v>
      </c>
      <c r="L102" s="505">
        <f t="shared" si="132"/>
        <v>2211</v>
      </c>
      <c r="M102" s="506">
        <f t="shared" si="133"/>
        <v>4001</v>
      </c>
      <c r="N102" s="505"/>
      <c r="O102" s="566">
        <v>1483</v>
      </c>
      <c r="P102" s="566">
        <v>1454</v>
      </c>
      <c r="Q102" s="566">
        <v>1192</v>
      </c>
      <c r="R102" s="566">
        <v>1340</v>
      </c>
      <c r="S102" s="506">
        <v>1290</v>
      </c>
      <c r="T102" s="566">
        <v>973</v>
      </c>
      <c r="U102" s="506">
        <v>900</v>
      </c>
      <c r="V102" s="567">
        <v>537</v>
      </c>
      <c r="W102" s="506">
        <v>827</v>
      </c>
      <c r="X102" s="223">
        <v>549</v>
      </c>
      <c r="Y102" s="136">
        <v>519</v>
      </c>
      <c r="Z102" s="136">
        <v>198</v>
      </c>
      <c r="AA102" s="234">
        <v>368</v>
      </c>
      <c r="AB102" s="223">
        <v>267</v>
      </c>
      <c r="AC102" s="136">
        <v>401</v>
      </c>
      <c r="AD102" s="234"/>
      <c r="AE102" s="440"/>
      <c r="AF102" s="440"/>
      <c r="AG102" s="478"/>
      <c r="AH102" s="440"/>
      <c r="AI102" s="440"/>
      <c r="AJ102" s="440"/>
      <c r="AK102" s="440"/>
      <c r="AL102" s="440"/>
      <c r="AM102" s="40"/>
      <c r="AN102" s="440"/>
      <c r="AO102" s="440"/>
      <c r="AP102" s="546"/>
      <c r="AQ102" s="619"/>
      <c r="AR102" s="450"/>
      <c r="AS102" s="60"/>
      <c r="AT102" s="546"/>
      <c r="AU102" s="62"/>
      <c r="AV102" s="62"/>
      <c r="AW102" s="60"/>
      <c r="AX102" s="67"/>
      <c r="AY102" s="60"/>
      <c r="AZ102" s="451"/>
      <c r="BA102" s="60"/>
      <c r="BB102" s="60"/>
      <c r="BC102" s="67"/>
      <c r="BD102" s="42"/>
      <c r="BE102" s="60"/>
      <c r="BF102" s="60"/>
      <c r="BG102" s="67"/>
      <c r="BH102" s="42"/>
      <c r="BI102" s="112"/>
      <c r="BJ102" s="112"/>
      <c r="BK102" s="112"/>
      <c r="BL102" s="112"/>
      <c r="BM102" s="112"/>
      <c r="BN102" s="112"/>
      <c r="BO102" s="112"/>
      <c r="BP102" s="112"/>
      <c r="BQ102" s="112"/>
      <c r="BR102" s="112"/>
      <c r="BS102" s="112"/>
      <c r="BT102" s="112"/>
      <c r="BU102" s="112"/>
      <c r="BV102" s="112"/>
      <c r="BW102" s="112"/>
      <c r="BX102" s="112"/>
      <c r="BY102" s="112"/>
      <c r="BZ102" s="112"/>
      <c r="CA102" s="112"/>
      <c r="CB102" s="112"/>
      <c r="CC102" s="112"/>
      <c r="CD102" s="112"/>
      <c r="CE102" s="112"/>
      <c r="CF102" s="112"/>
      <c r="CG102" s="112"/>
      <c r="CH102" s="112"/>
      <c r="CI102" s="112"/>
      <c r="CJ102" s="112"/>
      <c r="CK102" s="112"/>
      <c r="CL102" s="112"/>
      <c r="CM102" s="112"/>
      <c r="CN102" s="112"/>
      <c r="CO102" s="112"/>
    </row>
    <row r="103" spans="1:93" s="64" customFormat="1" x14ac:dyDescent="0.3">
      <c r="A103" s="112"/>
      <c r="B103" s="449"/>
      <c r="C103" s="164"/>
      <c r="D103" s="112"/>
      <c r="E103" s="164"/>
      <c r="F103" s="164"/>
      <c r="G103" s="108">
        <v>20</v>
      </c>
      <c r="H103" s="129">
        <f t="shared" si="128"/>
        <v>45705.75</v>
      </c>
      <c r="I103" s="505">
        <f t="shared" si="129"/>
        <v>2404</v>
      </c>
      <c r="J103" s="503">
        <f t="shared" si="130"/>
        <v>2404</v>
      </c>
      <c r="K103" s="504">
        <f t="shared" si="131"/>
        <v>2404</v>
      </c>
      <c r="L103" s="505">
        <f t="shared" si="132"/>
        <v>2448</v>
      </c>
      <c r="M103" s="506">
        <f t="shared" si="133"/>
        <v>4282</v>
      </c>
      <c r="N103" s="505"/>
      <c r="O103" s="1086">
        <v>1545</v>
      </c>
      <c r="P103" s="1086">
        <v>1533</v>
      </c>
      <c r="Q103" s="1086">
        <v>1286</v>
      </c>
      <c r="R103" s="566">
        <v>1403</v>
      </c>
      <c r="S103" s="506">
        <v>1421</v>
      </c>
      <c r="T103" s="566">
        <v>1053</v>
      </c>
      <c r="U103" s="506">
        <v>985</v>
      </c>
      <c r="V103" s="567">
        <v>576</v>
      </c>
      <c r="W103" s="506">
        <v>863</v>
      </c>
      <c r="X103" s="223">
        <v>584</v>
      </c>
      <c r="Y103" s="136">
        <v>558</v>
      </c>
      <c r="Z103" s="136">
        <v>227</v>
      </c>
      <c r="AA103" s="234">
        <v>392</v>
      </c>
      <c r="AB103" s="223">
        <v>300</v>
      </c>
      <c r="AC103" s="136">
        <v>440</v>
      </c>
      <c r="AD103" s="234"/>
      <c r="AE103" s="440"/>
      <c r="AF103" s="440"/>
      <c r="AG103" s="478"/>
      <c r="AH103" s="440"/>
      <c r="AI103" s="440"/>
      <c r="AJ103" s="440"/>
      <c r="AK103" s="440"/>
      <c r="AL103" s="440"/>
      <c r="AM103" s="40"/>
      <c r="AN103" s="440"/>
      <c r="AO103" s="440"/>
      <c r="AP103" s="546"/>
      <c r="AQ103" s="619"/>
      <c r="AR103" s="450"/>
      <c r="AS103" s="60"/>
      <c r="AT103" s="546"/>
      <c r="AU103" s="62"/>
      <c r="AV103" s="62"/>
      <c r="AW103" s="60"/>
      <c r="AX103" s="67"/>
      <c r="AY103" s="60"/>
      <c r="AZ103" s="451"/>
      <c r="BA103" s="60"/>
      <c r="BB103" s="60"/>
      <c r="BC103" s="67"/>
      <c r="BD103" s="42"/>
      <c r="BE103" s="60"/>
      <c r="BF103" s="60"/>
      <c r="BG103" s="67"/>
      <c r="BH103" s="42"/>
      <c r="BI103" s="112"/>
      <c r="BJ103" s="112"/>
      <c r="BK103" s="112"/>
      <c r="BL103" s="112"/>
      <c r="BM103" s="112"/>
      <c r="BN103" s="112"/>
      <c r="BO103" s="112"/>
      <c r="BP103" s="112"/>
      <c r="BQ103" s="112"/>
      <c r="BR103" s="112"/>
      <c r="BS103" s="112"/>
      <c r="BT103" s="112"/>
      <c r="BU103" s="112"/>
      <c r="BV103" s="112"/>
      <c r="BW103" s="112"/>
      <c r="BX103" s="112"/>
      <c r="BY103" s="112"/>
      <c r="BZ103" s="112"/>
      <c r="CA103" s="112"/>
      <c r="CB103" s="112"/>
      <c r="CC103" s="112"/>
      <c r="CD103" s="112"/>
      <c r="CE103" s="112"/>
      <c r="CF103" s="112"/>
      <c r="CG103" s="112"/>
      <c r="CH103" s="112"/>
      <c r="CI103" s="112"/>
      <c r="CJ103" s="112"/>
      <c r="CK103" s="112"/>
      <c r="CL103" s="112"/>
      <c r="CM103" s="112"/>
      <c r="CN103" s="112"/>
      <c r="CO103" s="112"/>
    </row>
    <row r="104" spans="1:93" s="2" customFormat="1" x14ac:dyDescent="0.3">
      <c r="A104" s="96"/>
      <c r="B104" s="96"/>
      <c r="C104" s="113"/>
      <c r="D104" s="96"/>
      <c r="E104" s="113"/>
      <c r="F104" s="113"/>
      <c r="G104" s="111">
        <v>21</v>
      </c>
      <c r="H104" s="130">
        <f t="shared" si="128"/>
        <v>45706.75</v>
      </c>
      <c r="I104" s="1066">
        <f t="shared" si="129"/>
        <v>2679</v>
      </c>
      <c r="J104" s="1067">
        <f t="shared" si="130"/>
        <v>2679</v>
      </c>
      <c r="K104" s="234">
        <f t="shared" si="131"/>
        <v>2679</v>
      </c>
      <c r="L104" s="1068">
        <f t="shared" si="132"/>
        <v>2791</v>
      </c>
      <c r="M104" s="234">
        <f t="shared" si="133"/>
        <v>4822</v>
      </c>
      <c r="N104" s="1069">
        <v>1572</v>
      </c>
      <c r="O104" s="1070">
        <v>1664</v>
      </c>
      <c r="P104" s="1087">
        <v>1680</v>
      </c>
      <c r="Q104" s="1071">
        <v>1493</v>
      </c>
      <c r="R104" s="1072">
        <v>1546</v>
      </c>
      <c r="S104" s="1073">
        <v>1658</v>
      </c>
      <c r="T104" s="1074">
        <v>1157</v>
      </c>
      <c r="U104" s="1075">
        <v>1136</v>
      </c>
      <c r="V104" s="1076">
        <v>756</v>
      </c>
      <c r="W104" s="1077">
        <v>975</v>
      </c>
      <c r="X104" s="1078">
        <v>658</v>
      </c>
      <c r="Y104" s="1079">
        <v>645</v>
      </c>
      <c r="Z104" s="1080">
        <v>269</v>
      </c>
      <c r="AA104" s="1081">
        <v>425</v>
      </c>
      <c r="AB104" s="1082">
        <v>347</v>
      </c>
      <c r="AC104" s="1083">
        <v>497</v>
      </c>
      <c r="AD104" s="1084">
        <v>352</v>
      </c>
      <c r="AE104" s="23"/>
      <c r="AF104" s="23"/>
      <c r="AG104" s="479"/>
      <c r="AH104" s="23"/>
      <c r="AI104" s="23"/>
      <c r="AJ104" s="23"/>
      <c r="AK104" s="23"/>
      <c r="AL104" s="23"/>
      <c r="AM104" s="23"/>
      <c r="AN104" s="23"/>
      <c r="AO104" s="23"/>
      <c r="AP104" s="82"/>
      <c r="AQ104" s="153"/>
      <c r="AR104" s="83"/>
      <c r="AS104" s="78"/>
      <c r="AT104" s="82"/>
      <c r="AU104" s="77"/>
      <c r="AV104" s="77"/>
      <c r="AW104" s="78"/>
      <c r="AX104" s="79"/>
      <c r="AY104" s="78"/>
      <c r="AZ104" s="85"/>
      <c r="BA104" s="78"/>
      <c r="BB104" s="63"/>
      <c r="BC104" s="79"/>
      <c r="BD104" s="48"/>
      <c r="BE104" s="78"/>
      <c r="BF104" s="63"/>
      <c r="BG104" s="79"/>
      <c r="BH104" s="48"/>
      <c r="BI104" s="96"/>
      <c r="BJ104" s="96"/>
      <c r="BK104" s="96"/>
      <c r="BL104" s="96"/>
      <c r="BM104" s="96"/>
      <c r="BN104" s="96"/>
      <c r="BO104" s="96"/>
      <c r="BP104" s="96"/>
      <c r="BQ104" s="96"/>
      <c r="BR104" s="96"/>
      <c r="BS104" s="96"/>
      <c r="BT104" s="96"/>
      <c r="BU104" s="96"/>
      <c r="BV104" s="96"/>
      <c r="BW104" s="96"/>
      <c r="BX104" s="96"/>
      <c r="BY104" s="96"/>
      <c r="BZ104" s="96"/>
      <c r="CA104" s="96"/>
      <c r="CB104" s="96"/>
      <c r="CC104" s="96"/>
      <c r="CD104" s="96"/>
      <c r="CE104" s="96"/>
      <c r="CF104" s="96"/>
      <c r="CG104" s="96"/>
      <c r="CH104" s="96"/>
      <c r="CI104" s="96"/>
      <c r="CJ104" s="96"/>
      <c r="CK104" s="96"/>
      <c r="CL104" s="96"/>
      <c r="CM104" s="96"/>
      <c r="CN104" s="96"/>
      <c r="CO104" s="96"/>
    </row>
    <row r="105" spans="1:93" s="2" customFormat="1" x14ac:dyDescent="0.3">
      <c r="A105" s="96"/>
      <c r="B105" s="96"/>
      <c r="C105" s="113"/>
      <c r="D105" s="96"/>
      <c r="E105" s="113"/>
      <c r="F105" s="113"/>
      <c r="G105" s="111" t="s">
        <v>1106</v>
      </c>
      <c r="H105" s="130"/>
      <c r="I105" s="706"/>
      <c r="J105" s="225"/>
      <c r="K105" s="226"/>
      <c r="L105" s="235"/>
      <c r="M105" s="226"/>
      <c r="N105" s="244">
        <v>1642</v>
      </c>
      <c r="O105" s="251"/>
      <c r="P105" s="1085"/>
      <c r="Q105" s="527"/>
      <c r="R105" s="616">
        <v>1606</v>
      </c>
      <c r="S105" s="471"/>
      <c r="T105" s="393"/>
      <c r="U105" s="318"/>
      <c r="V105" s="568">
        <v>828</v>
      </c>
      <c r="W105" s="465"/>
      <c r="X105" s="324"/>
      <c r="Y105" s="325"/>
      <c r="Z105" s="326"/>
      <c r="AA105" s="448"/>
      <c r="AB105" s="330">
        <v>378</v>
      </c>
      <c r="AC105" s="612"/>
      <c r="AD105" s="354"/>
      <c r="AE105" s="23"/>
      <c r="AF105" s="23"/>
      <c r="AG105" s="238"/>
      <c r="AH105" s="23"/>
      <c r="AI105" s="23"/>
      <c r="AJ105" s="23"/>
      <c r="AK105" s="23"/>
      <c r="AL105" s="23"/>
      <c r="AM105" s="23"/>
      <c r="AN105" s="23"/>
      <c r="AO105" s="23"/>
      <c r="AP105" s="82"/>
      <c r="AQ105" s="153"/>
      <c r="AR105" s="83"/>
      <c r="AS105" s="78"/>
      <c r="AT105" s="82"/>
      <c r="AU105" s="77"/>
      <c r="AV105" s="77"/>
      <c r="AW105" s="78"/>
      <c r="AX105" s="79"/>
      <c r="AY105" s="78"/>
      <c r="AZ105" s="85"/>
      <c r="BA105" s="78"/>
      <c r="BB105" s="63"/>
      <c r="BC105" s="79"/>
      <c r="BD105" s="48"/>
      <c r="BE105" s="78"/>
      <c r="BF105" s="63"/>
      <c r="BG105" s="79"/>
      <c r="BH105" s="48"/>
      <c r="BI105" s="96"/>
      <c r="BJ105" s="96"/>
      <c r="BK105" s="96"/>
      <c r="BL105" s="96"/>
      <c r="BM105" s="96"/>
      <c r="BN105" s="96"/>
      <c r="BO105" s="96"/>
      <c r="BP105" s="96"/>
      <c r="BQ105" s="96"/>
      <c r="BR105" s="96"/>
      <c r="BS105" s="96"/>
      <c r="BT105" s="96"/>
      <c r="BU105" s="96"/>
      <c r="BV105" s="96"/>
      <c r="BW105" s="96"/>
      <c r="BX105" s="96"/>
      <c r="BY105" s="96"/>
      <c r="BZ105" s="96"/>
      <c r="CA105" s="96"/>
      <c r="CB105" s="96"/>
      <c r="CC105" s="96"/>
      <c r="CD105" s="96"/>
      <c r="CE105" s="96"/>
      <c r="CF105" s="96"/>
      <c r="CG105" s="96"/>
      <c r="CH105" s="96"/>
      <c r="CI105" s="96"/>
      <c r="CJ105" s="96"/>
      <c r="CK105" s="96"/>
      <c r="CL105" s="96"/>
      <c r="CM105" s="96"/>
      <c r="CN105" s="96"/>
      <c r="CO105" s="96"/>
    </row>
    <row r="106" spans="1:93" s="2" customFormat="1" x14ac:dyDescent="0.3">
      <c r="A106" s="96"/>
      <c r="B106" s="96"/>
      <c r="C106" s="113"/>
      <c r="D106" s="96"/>
      <c r="E106" s="113"/>
      <c r="F106" s="113"/>
      <c r="G106" s="111"/>
      <c r="H106" s="130"/>
      <c r="I106" s="170"/>
      <c r="J106" s="154"/>
      <c r="K106" s="136"/>
      <c r="L106" s="154"/>
      <c r="M106" s="136"/>
      <c r="N106" s="96"/>
      <c r="O106" s="96"/>
      <c r="P106" s="96"/>
      <c r="Q106" s="96"/>
      <c r="R106" s="96"/>
      <c r="S106" s="96"/>
      <c r="T106" s="175"/>
      <c r="U106" s="187"/>
      <c r="V106" s="187"/>
      <c r="W106" s="175"/>
      <c r="X106" s="187"/>
      <c r="Y106" s="187"/>
      <c r="Z106" s="187"/>
      <c r="AA106" s="175"/>
      <c r="AB106" s="187"/>
      <c r="AC106" s="187"/>
      <c r="AD106" s="187"/>
      <c r="AE106" s="23"/>
      <c r="AF106" s="23"/>
      <c r="AG106" s="238"/>
      <c r="AH106" s="23"/>
      <c r="AI106" s="23"/>
      <c r="AJ106" s="23"/>
      <c r="AK106" s="23"/>
      <c r="AL106" s="23"/>
      <c r="AM106" s="23"/>
      <c r="AN106" s="23"/>
      <c r="AO106" s="23"/>
      <c r="AP106" s="82"/>
      <c r="AQ106" s="153"/>
      <c r="AR106" s="83"/>
      <c r="AS106" s="78"/>
      <c r="AT106" s="82"/>
      <c r="AU106" s="77"/>
      <c r="AV106" s="77"/>
      <c r="AW106" s="78"/>
      <c r="AX106" s="79"/>
      <c r="AY106" s="78"/>
      <c r="AZ106" s="85"/>
      <c r="BA106" s="78"/>
      <c r="BB106" s="63"/>
      <c r="BC106" s="79"/>
      <c r="BD106" s="48"/>
      <c r="BE106" s="78"/>
      <c r="BF106" s="63"/>
      <c r="BG106" s="79"/>
      <c r="BH106" s="48"/>
      <c r="BI106" s="96"/>
      <c r="BJ106" s="96"/>
      <c r="BK106" s="96"/>
      <c r="BL106" s="96"/>
      <c r="BM106" s="96"/>
      <c r="BN106" s="96"/>
      <c r="BO106" s="96"/>
      <c r="BP106" s="96"/>
      <c r="BQ106" s="96"/>
      <c r="BR106" s="96"/>
      <c r="BS106" s="96"/>
      <c r="BT106" s="96"/>
      <c r="BU106" s="96"/>
      <c r="BV106" s="96"/>
      <c r="BW106" s="96"/>
      <c r="BX106" s="96"/>
      <c r="BY106" s="96"/>
      <c r="BZ106" s="96"/>
      <c r="CA106" s="96"/>
      <c r="CB106" s="96"/>
      <c r="CC106" s="96"/>
      <c r="CD106" s="96"/>
      <c r="CE106" s="96"/>
      <c r="CF106" s="96"/>
      <c r="CG106" s="96"/>
      <c r="CH106" s="96"/>
      <c r="CI106" s="96"/>
      <c r="CJ106" s="96"/>
      <c r="CK106" s="96"/>
      <c r="CL106" s="96"/>
      <c r="CM106" s="96"/>
      <c r="CN106" s="96"/>
      <c r="CO106" s="96"/>
    </row>
    <row r="107" spans="1:93" s="2" customFormat="1" x14ac:dyDescent="0.3">
      <c r="A107" s="96"/>
      <c r="B107" s="96"/>
      <c r="C107" s="113"/>
      <c r="D107" s="96"/>
      <c r="E107" s="113"/>
      <c r="F107" s="113"/>
      <c r="G107" s="111"/>
      <c r="H107" s="130"/>
      <c r="I107" s="170"/>
      <c r="J107" s="154"/>
      <c r="K107" s="136"/>
      <c r="L107" s="154"/>
      <c r="M107" s="136"/>
      <c r="N107" s="96"/>
      <c r="O107" s="96"/>
      <c r="P107" s="96"/>
      <c r="Q107" s="96"/>
      <c r="R107" s="96"/>
      <c r="S107" s="96"/>
      <c r="T107" s="175"/>
      <c r="U107" s="187"/>
      <c r="V107" s="187"/>
      <c r="W107" s="175"/>
      <c r="X107" s="187"/>
      <c r="Y107" s="187"/>
      <c r="Z107" s="187"/>
      <c r="AA107" s="175"/>
      <c r="AB107" s="187"/>
      <c r="AC107" s="187"/>
      <c r="AD107" s="187"/>
      <c r="AE107" s="23"/>
      <c r="AF107" s="23"/>
      <c r="AG107" s="238"/>
      <c r="AH107" s="23"/>
      <c r="AI107" s="23"/>
      <c r="AJ107" s="23"/>
      <c r="AK107" s="23"/>
      <c r="AL107" s="23"/>
      <c r="AM107" s="23"/>
      <c r="AN107" s="23"/>
      <c r="AO107" s="23"/>
      <c r="AP107" s="82"/>
      <c r="AQ107" s="153"/>
      <c r="AR107" s="83"/>
      <c r="AS107" s="78"/>
      <c r="AT107" s="82"/>
      <c r="AU107" s="77"/>
      <c r="AV107" s="77"/>
      <c r="AW107" s="78"/>
      <c r="AX107" s="79"/>
      <c r="AY107" s="78"/>
      <c r="AZ107" s="85"/>
      <c r="BA107" s="78"/>
      <c r="BB107" s="63"/>
      <c r="BC107" s="79"/>
      <c r="BD107" s="48"/>
      <c r="BE107" s="78"/>
      <c r="BF107" s="63"/>
      <c r="BG107" s="79"/>
      <c r="BH107" s="48"/>
      <c r="BI107" s="96"/>
      <c r="BJ107" s="96"/>
      <c r="BK107" s="96"/>
      <c r="BL107" s="96"/>
      <c r="BM107" s="96"/>
      <c r="BN107" s="96"/>
      <c r="BO107" s="96"/>
      <c r="BP107" s="96"/>
      <c r="BQ107" s="96"/>
      <c r="BR107" s="96"/>
      <c r="BS107" s="96"/>
      <c r="BT107" s="96"/>
      <c r="BU107" s="96"/>
      <c r="BV107" s="96"/>
      <c r="BW107" s="96"/>
      <c r="BX107" s="96"/>
      <c r="BY107" s="96"/>
      <c r="BZ107" s="96"/>
      <c r="CA107" s="96"/>
      <c r="CB107" s="96"/>
      <c r="CC107" s="96"/>
      <c r="CD107" s="96"/>
      <c r="CE107" s="96"/>
      <c r="CF107" s="96"/>
      <c r="CG107" s="96"/>
      <c r="CH107" s="96"/>
      <c r="CI107" s="96"/>
      <c r="CJ107" s="96"/>
      <c r="CK107" s="96"/>
      <c r="CL107" s="96"/>
      <c r="CM107" s="96"/>
      <c r="CN107" s="96"/>
      <c r="CO107" s="96"/>
    </row>
    <row r="108" spans="1:93" s="2" customFormat="1" x14ac:dyDescent="0.3">
      <c r="A108" s="96"/>
      <c r="B108" s="96"/>
      <c r="C108" s="113"/>
      <c r="D108" s="96"/>
      <c r="E108" s="113"/>
      <c r="F108" s="113"/>
      <c r="G108" s="111"/>
      <c r="H108" s="130"/>
      <c r="I108" s="170"/>
      <c r="J108" s="154"/>
      <c r="K108" s="136"/>
      <c r="L108" s="154"/>
      <c r="M108" s="136"/>
      <c r="N108" s="96"/>
      <c r="O108" s="96"/>
      <c r="P108" s="96"/>
      <c r="Q108" s="96"/>
      <c r="R108" s="96"/>
      <c r="S108" s="96"/>
      <c r="T108" s="175"/>
      <c r="U108" s="187"/>
      <c r="V108" s="187"/>
      <c r="W108" s="175"/>
      <c r="X108" s="187"/>
      <c r="Y108" s="187"/>
      <c r="Z108" s="187"/>
      <c r="AA108" s="175"/>
      <c r="AB108" s="187"/>
      <c r="AC108" s="187"/>
      <c r="AD108" s="187"/>
      <c r="AE108" s="23"/>
      <c r="AF108" s="23"/>
      <c r="AG108" s="238"/>
      <c r="AH108" s="23"/>
      <c r="AI108" s="23"/>
      <c r="AJ108" s="23"/>
      <c r="AK108" s="23"/>
      <c r="AL108" s="23"/>
      <c r="AM108" s="23"/>
      <c r="AN108" s="23"/>
      <c r="AO108" s="23"/>
      <c r="AP108" s="82"/>
      <c r="AQ108" s="153"/>
      <c r="AR108" s="83"/>
      <c r="AS108" s="78"/>
      <c r="AT108" s="82"/>
      <c r="AU108" s="77"/>
      <c r="AV108" s="77"/>
      <c r="AW108" s="78"/>
      <c r="AX108" s="79"/>
      <c r="AY108" s="78"/>
      <c r="AZ108" s="85"/>
      <c r="BA108" s="78"/>
      <c r="BB108" s="63"/>
      <c r="BC108" s="79"/>
      <c r="BD108" s="48"/>
      <c r="BE108" s="78"/>
      <c r="BF108" s="63"/>
      <c r="BG108" s="79"/>
      <c r="BH108" s="48"/>
      <c r="BI108" s="96"/>
      <c r="BJ108" s="96"/>
      <c r="BK108" s="96"/>
      <c r="BL108" s="96"/>
      <c r="BM108" s="96"/>
      <c r="BN108" s="96"/>
      <c r="BO108" s="96"/>
      <c r="BP108" s="96"/>
      <c r="BQ108" s="96"/>
      <c r="BR108" s="96"/>
      <c r="BS108" s="96"/>
      <c r="BT108" s="96"/>
      <c r="BU108" s="96"/>
      <c r="BV108" s="96"/>
      <c r="BW108" s="96"/>
      <c r="BX108" s="96"/>
      <c r="BY108" s="96"/>
      <c r="BZ108" s="96"/>
      <c r="CA108" s="96"/>
      <c r="CB108" s="96"/>
      <c r="CC108" s="96"/>
      <c r="CD108" s="96"/>
      <c r="CE108" s="96"/>
      <c r="CF108" s="96"/>
      <c r="CG108" s="96"/>
      <c r="CH108" s="96"/>
      <c r="CI108" s="96"/>
      <c r="CJ108" s="96"/>
      <c r="CK108" s="96"/>
      <c r="CL108" s="96"/>
      <c r="CM108" s="96"/>
      <c r="CN108" s="96"/>
      <c r="CO108" s="96"/>
    </row>
    <row r="109" spans="1:93" s="2" customFormat="1" x14ac:dyDescent="0.3">
      <c r="A109" s="96"/>
      <c r="B109" s="96"/>
      <c r="C109" s="113"/>
      <c r="D109" s="96"/>
      <c r="E109" s="113"/>
      <c r="F109" s="113"/>
      <c r="G109" s="111"/>
      <c r="H109" s="130"/>
      <c r="I109" s="170"/>
      <c r="J109" s="154"/>
      <c r="K109" s="136"/>
      <c r="L109" s="154"/>
      <c r="M109" s="136"/>
      <c r="N109" s="96"/>
      <c r="O109" s="96"/>
      <c r="P109" s="96"/>
      <c r="Q109" s="96"/>
      <c r="R109" s="96"/>
      <c r="S109" s="96"/>
      <c r="T109" s="175"/>
      <c r="U109" s="187"/>
      <c r="V109" s="187"/>
      <c r="W109" s="175"/>
      <c r="X109" s="187"/>
      <c r="Y109" s="187"/>
      <c r="Z109" s="187"/>
      <c r="AA109" s="175"/>
      <c r="AB109" s="187"/>
      <c r="AC109" s="187"/>
      <c r="AD109" s="187"/>
      <c r="AE109" s="23"/>
      <c r="AF109" s="23"/>
      <c r="AG109" s="238"/>
      <c r="AH109" s="23"/>
      <c r="AI109" s="23"/>
      <c r="AJ109" s="23"/>
      <c r="AK109" s="23"/>
      <c r="AL109" s="23"/>
      <c r="AM109" s="23"/>
      <c r="AN109" s="23"/>
      <c r="AO109" s="23"/>
      <c r="AP109" s="82"/>
      <c r="AQ109" s="153"/>
      <c r="AR109" s="83"/>
      <c r="AS109" s="78"/>
      <c r="AT109" s="82"/>
      <c r="AU109" s="77"/>
      <c r="AV109" s="77"/>
      <c r="AW109" s="78"/>
      <c r="AX109" s="79"/>
      <c r="AY109" s="78"/>
      <c r="AZ109" s="85"/>
      <c r="BA109" s="78"/>
      <c r="BB109" s="63"/>
      <c r="BC109" s="79"/>
      <c r="BD109" s="48"/>
      <c r="BE109" s="78"/>
      <c r="BF109" s="63"/>
      <c r="BG109" s="79"/>
      <c r="BH109" s="48"/>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c r="CK109" s="96"/>
      <c r="CL109" s="96"/>
      <c r="CM109" s="96"/>
      <c r="CN109" s="96"/>
      <c r="CO109" s="96"/>
    </row>
    <row r="110" spans="1:93" s="2" customFormat="1" x14ac:dyDescent="0.3">
      <c r="A110" s="96"/>
      <c r="B110" s="96"/>
      <c r="C110" s="113"/>
      <c r="D110" s="96"/>
      <c r="E110" s="113"/>
      <c r="F110" s="113"/>
      <c r="G110" s="96"/>
      <c r="H110" s="96"/>
      <c r="I110" s="96"/>
      <c r="J110" s="96"/>
      <c r="K110" s="96"/>
      <c r="L110" s="96"/>
      <c r="M110" s="96"/>
      <c r="N110" s="96"/>
      <c r="O110" s="96"/>
      <c r="P110" s="96"/>
      <c r="Q110" s="96"/>
      <c r="R110" s="96"/>
      <c r="S110" s="96"/>
      <c r="T110" s="96"/>
      <c r="U110" s="112"/>
      <c r="V110" s="112"/>
      <c r="W110" s="96"/>
      <c r="X110" s="112"/>
      <c r="Y110" s="112"/>
      <c r="Z110" s="112"/>
      <c r="AA110" s="96"/>
      <c r="AB110" s="112"/>
      <c r="AC110" s="112"/>
      <c r="AD110" s="112"/>
      <c r="AE110" s="23"/>
      <c r="AF110" s="23"/>
      <c r="AG110" s="23"/>
      <c r="AH110" s="23"/>
      <c r="AI110" s="23"/>
      <c r="AJ110" s="23"/>
      <c r="AK110" s="23"/>
      <c r="AL110" s="23"/>
      <c r="AM110" s="23"/>
      <c r="AN110" s="23"/>
      <c r="AO110" s="23"/>
      <c r="AP110" s="82"/>
      <c r="AQ110" s="153"/>
      <c r="AR110" s="83"/>
      <c r="AS110" s="78"/>
      <c r="AT110" s="82"/>
      <c r="AU110" s="77"/>
      <c r="AV110" s="77"/>
      <c r="AW110" s="78"/>
      <c r="AX110" s="79"/>
      <c r="AY110" s="78"/>
      <c r="AZ110" s="85"/>
      <c r="BA110" s="78"/>
      <c r="BB110" s="63"/>
      <c r="BC110" s="79"/>
      <c r="BD110" s="48"/>
      <c r="BE110" s="78"/>
      <c r="BF110" s="63"/>
      <c r="BG110" s="79"/>
      <c r="BH110" s="48"/>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c r="CJ110" s="96"/>
      <c r="CK110" s="96"/>
      <c r="CL110" s="96"/>
      <c r="CM110" s="96"/>
      <c r="CN110" s="96"/>
      <c r="CO110" s="96"/>
    </row>
    <row r="111" spans="1:93" s="2" customFormat="1" x14ac:dyDescent="0.3">
      <c r="A111" s="96"/>
      <c r="B111" s="96"/>
      <c r="C111" s="113"/>
      <c r="D111" s="96"/>
      <c r="E111" s="113"/>
      <c r="F111" s="113"/>
      <c r="G111" s="96"/>
      <c r="H111" s="96"/>
      <c r="I111" s="96"/>
      <c r="J111" s="96"/>
      <c r="K111" s="96"/>
      <c r="L111" s="122"/>
      <c r="M111" s="96"/>
      <c r="N111" s="96"/>
      <c r="O111" s="96"/>
      <c r="P111" s="96"/>
      <c r="Q111" s="96"/>
      <c r="R111" s="96"/>
      <c r="S111" s="96"/>
      <c r="T111" s="96"/>
      <c r="U111" s="96"/>
      <c r="V111" s="96"/>
      <c r="W111" s="96"/>
      <c r="X111" s="96"/>
      <c r="Y111" s="96"/>
      <c r="Z111" s="96"/>
      <c r="AA111" s="96"/>
      <c r="AB111" s="96"/>
      <c r="AC111" s="96"/>
      <c r="AD111" s="96"/>
      <c r="AE111" s="23"/>
      <c r="AF111" s="23"/>
      <c r="AG111" s="23"/>
      <c r="AH111" s="23"/>
      <c r="AI111" s="23"/>
      <c r="AJ111" s="23"/>
      <c r="AK111" s="23"/>
      <c r="AL111" s="23"/>
      <c r="AM111" s="23"/>
      <c r="AN111" s="23"/>
      <c r="AO111" s="23"/>
      <c r="AP111" s="82"/>
      <c r="AQ111" s="153"/>
      <c r="AR111" s="83"/>
      <c r="AS111" s="78"/>
      <c r="AT111" s="82"/>
      <c r="AU111" s="77"/>
      <c r="AV111" s="77"/>
      <c r="AW111" s="78"/>
      <c r="AX111" s="79"/>
      <c r="AY111" s="78"/>
      <c r="AZ111" s="85"/>
      <c r="BA111" s="78"/>
      <c r="BB111" s="63"/>
      <c r="BC111" s="79"/>
      <c r="BD111" s="48"/>
      <c r="BE111" s="78"/>
      <c r="BF111" s="63"/>
      <c r="BG111" s="79"/>
      <c r="BH111" s="48"/>
      <c r="BI111" s="96"/>
      <c r="BJ111" s="96"/>
      <c r="BK111" s="96"/>
      <c r="BL111" s="96"/>
      <c r="BM111" s="96"/>
      <c r="BN111" s="96"/>
      <c r="BO111" s="96"/>
      <c r="BP111" s="96"/>
      <c r="BQ111" s="96"/>
      <c r="BR111" s="96"/>
      <c r="BS111" s="96"/>
      <c r="BT111" s="96"/>
      <c r="BU111" s="96"/>
      <c r="BV111" s="96"/>
      <c r="BW111" s="96"/>
      <c r="BX111" s="96"/>
      <c r="BY111" s="96"/>
      <c r="BZ111" s="96"/>
      <c r="CA111" s="96"/>
      <c r="CB111" s="96"/>
      <c r="CC111" s="96"/>
      <c r="CD111" s="96"/>
      <c r="CE111" s="96"/>
      <c r="CF111" s="96"/>
      <c r="CG111" s="96"/>
      <c r="CH111" s="96"/>
      <c r="CI111" s="96"/>
      <c r="CJ111" s="96"/>
      <c r="CK111" s="96"/>
      <c r="CL111" s="96"/>
      <c r="CM111" s="96"/>
      <c r="CN111" s="96"/>
      <c r="CO111" s="96"/>
    </row>
    <row r="112" spans="1:93" s="2" customFormat="1" x14ac:dyDescent="0.3">
      <c r="A112" s="96"/>
      <c r="B112" s="96"/>
      <c r="C112" s="113"/>
      <c r="D112" s="96"/>
      <c r="E112" s="113"/>
      <c r="F112" s="113"/>
      <c r="G112" s="96"/>
      <c r="H112" s="96"/>
      <c r="I112" s="96"/>
      <c r="J112" s="96"/>
      <c r="K112" s="96"/>
      <c r="L112" s="122"/>
      <c r="M112" s="96"/>
      <c r="N112" s="96"/>
      <c r="O112" s="96"/>
      <c r="P112" s="96"/>
      <c r="Q112" s="96"/>
      <c r="R112" s="96"/>
      <c r="S112" s="96"/>
      <c r="T112" s="96"/>
      <c r="U112" s="96"/>
      <c r="V112" s="96"/>
      <c r="W112" s="96"/>
      <c r="X112" s="96"/>
      <c r="Y112" s="96"/>
      <c r="Z112" s="96"/>
      <c r="AA112" s="96"/>
      <c r="AB112" s="96"/>
      <c r="AC112" s="96"/>
      <c r="AD112" s="96"/>
      <c r="AE112" s="23"/>
      <c r="AF112" s="23"/>
      <c r="AG112" s="23"/>
      <c r="AH112" s="23"/>
      <c r="AI112" s="23"/>
      <c r="AJ112" s="23"/>
      <c r="AK112" s="23"/>
      <c r="AL112" s="23"/>
      <c r="AM112" s="23"/>
      <c r="AN112" s="23"/>
      <c r="AO112" s="23"/>
      <c r="AP112" s="82"/>
      <c r="AQ112" s="153"/>
      <c r="AR112" s="83"/>
      <c r="AS112" s="78"/>
      <c r="AT112" s="82"/>
      <c r="AU112" s="77"/>
      <c r="AV112" s="77"/>
      <c r="AW112" s="78"/>
      <c r="AX112" s="79"/>
      <c r="AY112" s="78"/>
      <c r="AZ112" s="85"/>
      <c r="BA112" s="78"/>
      <c r="BB112" s="63"/>
      <c r="BC112" s="79"/>
      <c r="BD112" s="48"/>
      <c r="BE112" s="78"/>
      <c r="BF112" s="63"/>
      <c r="BG112" s="79"/>
      <c r="BH112" s="48"/>
      <c r="BI112" s="96"/>
      <c r="BJ112" s="96"/>
      <c r="BK112" s="96"/>
      <c r="BL112" s="96"/>
      <c r="BM112" s="96"/>
      <c r="BN112" s="96"/>
      <c r="BO112" s="96"/>
      <c r="BP112" s="96"/>
      <c r="BQ112" s="96"/>
      <c r="BR112" s="96"/>
      <c r="BS112" s="96"/>
      <c r="BT112" s="96"/>
      <c r="BU112" s="96"/>
      <c r="BV112" s="96"/>
      <c r="BW112" s="96"/>
      <c r="BX112" s="96"/>
      <c r="BY112" s="96"/>
      <c r="BZ112" s="96"/>
      <c r="CA112" s="96"/>
      <c r="CB112" s="96"/>
      <c r="CC112" s="96"/>
      <c r="CD112" s="96"/>
      <c r="CE112" s="96"/>
      <c r="CF112" s="96"/>
      <c r="CG112" s="96"/>
      <c r="CH112" s="96"/>
      <c r="CI112" s="96"/>
      <c r="CJ112" s="96"/>
      <c r="CK112" s="96"/>
      <c r="CL112" s="96"/>
      <c r="CM112" s="96"/>
      <c r="CN112" s="96"/>
      <c r="CO112" s="96"/>
    </row>
    <row r="113" spans="1:93" s="2" customFormat="1" x14ac:dyDescent="0.3">
      <c r="A113" s="96"/>
      <c r="B113" s="96"/>
      <c r="C113" s="113"/>
      <c r="D113" s="96"/>
      <c r="E113" s="113"/>
      <c r="F113" s="113"/>
      <c r="G113" s="96"/>
      <c r="H113" s="96"/>
      <c r="I113" s="96"/>
      <c r="J113" s="96"/>
      <c r="K113" s="96"/>
      <c r="L113" s="122"/>
      <c r="M113" s="96"/>
      <c r="N113" s="96"/>
      <c r="O113" s="96"/>
      <c r="P113" s="96"/>
      <c r="Q113" s="96"/>
      <c r="R113" s="96"/>
      <c r="S113" s="96"/>
      <c r="T113" s="122"/>
      <c r="U113" s="96"/>
      <c r="V113" s="96"/>
      <c r="W113" s="122"/>
      <c r="X113" s="96"/>
      <c r="Y113" s="96"/>
      <c r="Z113" s="96"/>
      <c r="AA113" s="122"/>
      <c r="AB113" s="96"/>
      <c r="AC113" s="96"/>
      <c r="AD113" s="96"/>
      <c r="AE113" s="23"/>
      <c r="AF113" s="23"/>
      <c r="AG113" s="91"/>
      <c r="AH113" s="23"/>
      <c r="AI113" s="23"/>
      <c r="AJ113" s="23"/>
      <c r="AK113" s="23"/>
      <c r="AL113" s="23"/>
      <c r="AM113" s="23"/>
      <c r="AN113" s="23"/>
      <c r="AO113" s="23"/>
      <c r="AP113" s="82"/>
      <c r="AQ113" s="153"/>
      <c r="AR113" s="83"/>
      <c r="AS113" s="78"/>
      <c r="AT113" s="82"/>
      <c r="AU113" s="77"/>
      <c r="AV113" s="77"/>
      <c r="AW113" s="78"/>
      <c r="AX113" s="79"/>
      <c r="AY113" s="78"/>
      <c r="AZ113" s="85"/>
      <c r="BA113" s="78"/>
      <c r="BB113" s="63"/>
      <c r="BC113" s="79"/>
      <c r="BD113" s="48"/>
      <c r="BE113" s="78"/>
      <c r="BF113" s="63"/>
      <c r="BG113" s="79"/>
      <c r="BH113" s="48"/>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c r="CK113" s="96"/>
      <c r="CL113" s="96"/>
      <c r="CM113" s="96"/>
      <c r="CN113" s="96"/>
      <c r="CO113" s="96"/>
    </row>
    <row r="114" spans="1:93" s="2" customFormat="1" x14ac:dyDescent="0.3">
      <c r="A114" s="96"/>
      <c r="B114" s="96"/>
      <c r="C114" s="113"/>
      <c r="D114" s="96"/>
      <c r="E114" s="113"/>
      <c r="F114" s="113"/>
      <c r="G114" s="96"/>
      <c r="H114" s="96"/>
      <c r="I114" s="96"/>
      <c r="J114" s="96"/>
      <c r="K114" s="96"/>
      <c r="L114" s="122"/>
      <c r="M114" s="96"/>
      <c r="N114" s="96"/>
      <c r="O114" s="96"/>
      <c r="P114" s="96"/>
      <c r="Q114" s="96"/>
      <c r="R114" s="96"/>
      <c r="S114" s="96"/>
      <c r="T114" s="122"/>
      <c r="U114" s="96"/>
      <c r="V114" s="96"/>
      <c r="W114" s="122"/>
      <c r="X114" s="96"/>
      <c r="Y114" s="96"/>
      <c r="Z114" s="96"/>
      <c r="AA114" s="122"/>
      <c r="AB114" s="96"/>
      <c r="AC114" s="96"/>
      <c r="AD114" s="96"/>
      <c r="AE114" s="23"/>
      <c r="AF114" s="23"/>
      <c r="AG114" s="91"/>
      <c r="AH114" s="23"/>
      <c r="AI114" s="23"/>
      <c r="AJ114" s="23"/>
      <c r="AK114" s="23"/>
      <c r="AL114" s="23"/>
      <c r="AM114" s="23"/>
      <c r="AN114" s="23"/>
      <c r="AO114" s="23"/>
      <c r="AP114" s="82"/>
      <c r="AQ114" s="153"/>
      <c r="AR114" s="83"/>
      <c r="AS114" s="78"/>
      <c r="AT114" s="82"/>
      <c r="AU114" s="77"/>
      <c r="AV114" s="77"/>
      <c r="AW114" s="78"/>
      <c r="AX114" s="79"/>
      <c r="AY114" s="78"/>
      <c r="AZ114" s="85"/>
      <c r="BA114" s="78"/>
      <c r="BB114" s="63"/>
      <c r="BC114" s="79"/>
      <c r="BD114" s="48"/>
      <c r="BE114" s="78"/>
      <c r="BF114" s="63"/>
      <c r="BG114" s="79"/>
      <c r="BH114" s="48"/>
      <c r="BI114" s="96"/>
      <c r="BJ114" s="96"/>
      <c r="BK114" s="96"/>
      <c r="BL114" s="96"/>
      <c r="BM114" s="96"/>
      <c r="BN114" s="96"/>
      <c r="BO114" s="96"/>
      <c r="BP114" s="96"/>
      <c r="BQ114" s="96"/>
      <c r="BR114" s="96"/>
      <c r="BS114" s="96"/>
      <c r="BT114" s="96"/>
      <c r="BU114" s="96"/>
      <c r="BV114" s="96"/>
      <c r="BW114" s="96"/>
      <c r="BX114" s="96"/>
      <c r="BY114" s="96"/>
      <c r="BZ114" s="96"/>
      <c r="CA114" s="96"/>
      <c r="CB114" s="96"/>
      <c r="CC114" s="96"/>
      <c r="CD114" s="96"/>
      <c r="CE114" s="96"/>
      <c r="CF114" s="96"/>
      <c r="CG114" s="96"/>
      <c r="CH114" s="96"/>
      <c r="CI114" s="96"/>
      <c r="CJ114" s="96"/>
      <c r="CK114" s="96"/>
      <c r="CL114" s="96"/>
      <c r="CM114" s="96"/>
      <c r="CN114" s="96"/>
      <c r="CO114" s="96"/>
    </row>
    <row r="115" spans="1:93" s="2" customFormat="1" x14ac:dyDescent="0.3">
      <c r="A115" s="96"/>
      <c r="B115" s="96"/>
      <c r="C115" s="113"/>
      <c r="D115" s="96"/>
      <c r="E115" s="113"/>
      <c r="F115" s="113"/>
      <c r="G115" s="96"/>
      <c r="H115" s="96"/>
      <c r="I115" s="96"/>
      <c r="J115" s="96"/>
      <c r="K115" s="96"/>
      <c r="L115" s="96"/>
      <c r="M115" s="96"/>
      <c r="N115" s="96"/>
      <c r="O115" s="96"/>
      <c r="P115" s="96"/>
      <c r="Q115" s="96"/>
      <c r="R115" s="96"/>
      <c r="S115" s="96"/>
      <c r="T115" s="122"/>
      <c r="U115" s="96"/>
      <c r="V115" s="96"/>
      <c r="W115" s="122"/>
      <c r="X115" s="96"/>
      <c r="Y115" s="96"/>
      <c r="Z115" s="96"/>
      <c r="AA115" s="122"/>
      <c r="AB115" s="96"/>
      <c r="AC115" s="96"/>
      <c r="AD115" s="96"/>
      <c r="AE115" s="23"/>
      <c r="AF115" s="23"/>
      <c r="AG115" s="91"/>
      <c r="AH115" s="23"/>
      <c r="AI115" s="23"/>
      <c r="AJ115" s="23"/>
      <c r="AK115" s="23"/>
      <c r="AL115" s="23"/>
      <c r="AM115" s="23"/>
      <c r="AN115" s="23"/>
      <c r="AO115" s="23"/>
      <c r="AP115" s="82"/>
      <c r="AQ115" s="153"/>
      <c r="AR115" s="83"/>
      <c r="AS115" s="78"/>
      <c r="AT115" s="82"/>
      <c r="AU115" s="77"/>
      <c r="AV115" s="77"/>
      <c r="AW115" s="78"/>
      <c r="AX115" s="79"/>
      <c r="AY115" s="78"/>
      <c r="AZ115" s="85"/>
      <c r="BA115" s="78"/>
      <c r="BB115" s="63"/>
      <c r="BC115" s="79"/>
      <c r="BD115" s="48"/>
      <c r="BE115" s="78"/>
      <c r="BF115" s="63"/>
      <c r="BG115" s="79"/>
      <c r="BH115" s="48"/>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c r="CJ115" s="96"/>
      <c r="CK115" s="96"/>
      <c r="CL115" s="96"/>
      <c r="CM115" s="96"/>
      <c r="CN115" s="96"/>
      <c r="CO115" s="96"/>
    </row>
    <row r="116" spans="1:93" s="2" customFormat="1" x14ac:dyDescent="0.3">
      <c r="A116" s="96"/>
      <c r="B116" s="96"/>
      <c r="C116" s="113"/>
      <c r="D116" s="96"/>
      <c r="E116" s="113"/>
      <c r="F116" s="113"/>
      <c r="G116" s="96"/>
      <c r="H116" s="96"/>
      <c r="I116" s="96"/>
      <c r="J116" s="96"/>
      <c r="K116" s="96"/>
      <c r="L116" s="96"/>
      <c r="M116" s="96"/>
      <c r="N116" s="96"/>
      <c r="O116" s="96"/>
      <c r="P116" s="96"/>
      <c r="Q116" s="96"/>
      <c r="R116" s="96"/>
      <c r="S116" s="96"/>
      <c r="T116" s="122"/>
      <c r="U116" s="96"/>
      <c r="V116" s="96"/>
      <c r="W116" s="122"/>
      <c r="X116" s="96"/>
      <c r="Y116" s="96"/>
      <c r="Z116" s="96"/>
      <c r="AA116" s="122"/>
      <c r="AB116" s="96"/>
      <c r="AC116" s="96"/>
      <c r="AD116" s="96"/>
      <c r="AE116" s="23"/>
      <c r="AF116" s="23"/>
      <c r="AG116" s="91"/>
      <c r="AH116" s="23"/>
      <c r="AI116" s="23"/>
      <c r="AJ116" s="23"/>
      <c r="AK116" s="23"/>
      <c r="AL116" s="23"/>
      <c r="AM116" s="69"/>
      <c r="AN116" s="81"/>
      <c r="AO116" s="81"/>
      <c r="AP116" s="82"/>
      <c r="AQ116" s="153"/>
      <c r="AR116" s="83"/>
      <c r="AS116" s="78"/>
      <c r="AT116" s="82"/>
      <c r="AU116" s="23"/>
      <c r="AV116" s="23"/>
      <c r="AW116" s="135"/>
      <c r="AX116" s="35"/>
      <c r="AY116" s="135"/>
      <c r="AZ116" s="85"/>
      <c r="BA116" s="78"/>
      <c r="BB116" s="63"/>
      <c r="BC116" s="79"/>
      <c r="BD116" s="48"/>
      <c r="BE116" s="78"/>
      <c r="BF116" s="63"/>
      <c r="BG116" s="79"/>
      <c r="BH116" s="48"/>
      <c r="BI116" s="96"/>
      <c r="BJ116" s="96"/>
      <c r="BK116" s="96"/>
      <c r="BL116" s="96"/>
      <c r="BM116" s="96"/>
      <c r="BN116" s="96"/>
      <c r="BO116" s="96"/>
      <c r="BP116" s="96"/>
      <c r="BQ116" s="96"/>
      <c r="BR116" s="96"/>
      <c r="BS116" s="96"/>
      <c r="BT116" s="96"/>
      <c r="BU116" s="96"/>
      <c r="BV116" s="96"/>
      <c r="BW116" s="96"/>
      <c r="BX116" s="96"/>
      <c r="BY116" s="96"/>
      <c r="BZ116" s="96"/>
      <c r="CA116" s="96"/>
      <c r="CB116" s="96"/>
      <c r="CC116" s="96"/>
      <c r="CD116" s="96"/>
      <c r="CE116" s="96"/>
      <c r="CF116" s="96"/>
      <c r="CG116" s="96"/>
      <c r="CH116" s="96"/>
      <c r="CI116" s="96"/>
      <c r="CJ116" s="96"/>
      <c r="CK116" s="96"/>
      <c r="CL116" s="96"/>
      <c r="CM116" s="96"/>
      <c r="CN116" s="96"/>
      <c r="CO116" s="96"/>
    </row>
    <row r="117" spans="1:93" s="2" customFormat="1" ht="18.75" customHeight="1" x14ac:dyDescent="0.3">
      <c r="A117" s="96"/>
      <c r="B117" s="124"/>
      <c r="C117" s="113"/>
      <c r="D117" s="96"/>
      <c r="E117" s="113"/>
      <c r="F117" s="113"/>
      <c r="G117" s="113"/>
      <c r="H117" s="113"/>
      <c r="I117" s="113"/>
      <c r="J117" s="113"/>
      <c r="K117" s="113"/>
      <c r="L117" s="113"/>
      <c r="M117" s="113"/>
      <c r="N117" s="96"/>
      <c r="O117" s="96"/>
      <c r="P117" s="96"/>
      <c r="Q117" s="96"/>
      <c r="R117" s="96"/>
      <c r="S117" s="96"/>
      <c r="T117" s="109"/>
      <c r="U117" s="96"/>
      <c r="V117" s="96"/>
      <c r="W117" s="109"/>
      <c r="X117" s="96"/>
      <c r="Y117" s="96"/>
      <c r="Z117" s="96"/>
      <c r="AA117" s="109"/>
      <c r="AB117" s="96"/>
      <c r="AC117" s="96"/>
      <c r="AD117" s="96"/>
      <c r="AE117" s="23"/>
      <c r="AF117" s="23"/>
      <c r="AG117" s="239"/>
      <c r="AH117" s="23"/>
      <c r="AI117" s="23"/>
      <c r="AJ117" s="23"/>
      <c r="AK117" s="23"/>
      <c r="AL117" s="23"/>
      <c r="AM117" s="69"/>
      <c r="AN117" s="81"/>
      <c r="AO117" s="81"/>
      <c r="AP117" s="82"/>
      <c r="AQ117" s="153"/>
      <c r="AR117" s="83"/>
      <c r="AS117" s="23"/>
      <c r="AT117" s="82"/>
      <c r="AU117" s="23"/>
      <c r="AV117" s="23"/>
      <c r="AW117" s="135"/>
      <c r="AX117" s="35"/>
      <c r="AY117" s="135"/>
      <c r="AZ117" s="35"/>
      <c r="BA117" s="23"/>
      <c r="BB117" s="28"/>
      <c r="BC117" s="28"/>
      <c r="BD117" s="28"/>
      <c r="BE117" s="23"/>
      <c r="BF117" s="28"/>
      <c r="BG117" s="28"/>
      <c r="BH117" s="28"/>
      <c r="BI117" s="96"/>
      <c r="BJ117" s="96"/>
      <c r="BK117" s="96"/>
      <c r="BL117" s="96"/>
      <c r="BM117" s="96"/>
      <c r="BN117" s="96"/>
      <c r="BO117" s="96"/>
      <c r="BP117" s="96"/>
      <c r="BQ117" s="96"/>
      <c r="BR117" s="96"/>
      <c r="BS117" s="96"/>
      <c r="BT117" s="96"/>
      <c r="BU117" s="96"/>
      <c r="BV117" s="96"/>
      <c r="BW117" s="96"/>
      <c r="BX117" s="96"/>
      <c r="BY117" s="96"/>
      <c r="BZ117" s="96"/>
      <c r="CA117" s="96"/>
      <c r="CB117" s="96"/>
      <c r="CC117" s="96"/>
      <c r="CD117" s="96"/>
      <c r="CE117" s="96"/>
      <c r="CF117" s="96"/>
      <c r="CG117" s="96"/>
      <c r="CH117" s="96"/>
      <c r="CI117" s="96"/>
      <c r="CJ117" s="96"/>
      <c r="CK117" s="96"/>
      <c r="CL117" s="96"/>
      <c r="CM117" s="96"/>
      <c r="CN117" s="96"/>
      <c r="CO117" s="96"/>
    </row>
    <row r="118" spans="1:93" s="2" customFormat="1" ht="19.5" customHeight="1" x14ac:dyDescent="0.3">
      <c r="A118" s="96"/>
      <c r="B118" s="102"/>
      <c r="C118" s="113"/>
      <c r="D118" s="96"/>
      <c r="E118" s="113"/>
      <c r="F118" s="113"/>
      <c r="G118" s="113"/>
      <c r="H118" s="113"/>
      <c r="I118" s="113"/>
      <c r="J118" s="113"/>
      <c r="K118" s="113"/>
      <c r="L118" s="113"/>
      <c r="M118" s="113"/>
      <c r="N118" s="96"/>
      <c r="O118" s="96"/>
      <c r="P118" s="96"/>
      <c r="Q118" s="96"/>
      <c r="R118" s="96"/>
      <c r="S118" s="96"/>
      <c r="T118" s="109"/>
      <c r="U118" s="96"/>
      <c r="V118" s="96"/>
      <c r="W118" s="109"/>
      <c r="X118" s="109"/>
      <c r="Y118" s="96"/>
      <c r="Z118" s="96"/>
      <c r="AA118" s="109"/>
      <c r="AB118" s="96"/>
      <c r="AC118" s="96"/>
      <c r="AD118" s="96"/>
      <c r="AE118" s="23"/>
      <c r="AF118" s="23"/>
      <c r="AG118" s="239"/>
      <c r="AH118" s="23"/>
      <c r="AI118" s="23"/>
      <c r="AJ118" s="23"/>
      <c r="AK118" s="23"/>
      <c r="AL118" s="23"/>
      <c r="AM118" s="69"/>
      <c r="AN118" s="81"/>
      <c r="AO118" s="81"/>
      <c r="AP118" s="82"/>
      <c r="AQ118" s="153"/>
      <c r="AR118" s="83"/>
      <c r="AS118" s="23"/>
      <c r="AT118" s="82"/>
      <c r="AU118" s="23"/>
      <c r="AV118" s="23"/>
      <c r="AW118" s="135"/>
      <c r="AX118" s="35"/>
      <c r="AY118" s="135"/>
      <c r="AZ118" s="35"/>
      <c r="BA118" s="23"/>
      <c r="BB118" s="28"/>
      <c r="BC118" s="28"/>
      <c r="BD118" s="28"/>
      <c r="BE118" s="23"/>
      <c r="BF118" s="28"/>
      <c r="BG118" s="28"/>
      <c r="BH118" s="28"/>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c r="CJ118" s="96"/>
      <c r="CK118" s="96"/>
      <c r="CL118" s="96"/>
      <c r="CM118" s="96"/>
      <c r="CN118" s="96"/>
      <c r="CO118" s="96"/>
    </row>
    <row r="119" spans="1:93" s="2" customFormat="1" x14ac:dyDescent="0.3">
      <c r="A119" s="96"/>
      <c r="B119" s="102"/>
      <c r="C119" s="113"/>
      <c r="D119" s="96"/>
      <c r="E119" s="113"/>
      <c r="F119" s="113"/>
      <c r="G119" s="113"/>
      <c r="H119" s="113"/>
      <c r="I119" s="113"/>
      <c r="J119" s="113"/>
      <c r="K119" s="113"/>
      <c r="L119" s="113"/>
      <c r="M119" s="113"/>
      <c r="N119" s="96"/>
      <c r="O119" s="96"/>
      <c r="P119" s="96"/>
      <c r="Q119" s="96"/>
      <c r="R119" s="96"/>
      <c r="S119" s="96"/>
      <c r="T119" s="109"/>
      <c r="U119" s="96"/>
      <c r="V119" s="96"/>
      <c r="W119" s="109"/>
      <c r="X119" s="109"/>
      <c r="Y119" s="96"/>
      <c r="Z119" s="96"/>
      <c r="AA119" s="109"/>
      <c r="AB119" s="96"/>
      <c r="AC119" s="96"/>
      <c r="AD119" s="96"/>
      <c r="AE119" s="23"/>
      <c r="AF119" s="23"/>
      <c r="AG119" s="239"/>
      <c r="AH119" s="23"/>
      <c r="AI119" s="23"/>
      <c r="AJ119" s="23"/>
      <c r="AK119" s="23"/>
      <c r="AL119" s="23"/>
      <c r="AM119" s="23"/>
      <c r="AN119" s="23"/>
      <c r="AO119" s="23"/>
      <c r="AP119" s="23"/>
      <c r="AQ119" s="23"/>
      <c r="AR119" s="23"/>
      <c r="AS119" s="23"/>
      <c r="AT119" s="24"/>
      <c r="AU119" s="23"/>
      <c r="AV119" s="23"/>
      <c r="AW119" s="135"/>
      <c r="AX119" s="35"/>
      <c r="AY119" s="135"/>
      <c r="AZ119" s="35"/>
      <c r="BA119" s="82"/>
      <c r="BB119" s="48"/>
      <c r="BC119" s="84"/>
      <c r="BD119" s="28"/>
      <c r="BE119" s="23"/>
      <c r="BF119" s="28"/>
      <c r="BG119" s="28"/>
      <c r="BH119" s="28"/>
      <c r="BI119" s="96"/>
      <c r="BJ119" s="96"/>
      <c r="BK119" s="96"/>
      <c r="BL119" s="96"/>
      <c r="BM119" s="96"/>
      <c r="BN119" s="96"/>
      <c r="BO119" s="96"/>
      <c r="BP119" s="96"/>
      <c r="BQ119" s="96"/>
      <c r="BR119" s="96"/>
      <c r="BS119" s="96"/>
      <c r="BT119" s="96"/>
      <c r="BU119" s="96"/>
      <c r="BV119" s="96"/>
      <c r="BW119" s="96"/>
      <c r="BX119" s="96"/>
      <c r="BY119" s="96"/>
      <c r="BZ119" s="96"/>
      <c r="CA119" s="96"/>
      <c r="CB119" s="96"/>
      <c r="CC119" s="96"/>
      <c r="CD119" s="96"/>
      <c r="CE119" s="96"/>
      <c r="CF119" s="96"/>
      <c r="CG119" s="96"/>
      <c r="CH119" s="96"/>
      <c r="CI119" s="96"/>
      <c r="CJ119" s="96"/>
      <c r="CK119" s="96"/>
      <c r="CL119" s="96"/>
      <c r="CM119" s="96"/>
      <c r="CN119" s="96"/>
      <c r="CO119" s="96"/>
    </row>
    <row r="120" spans="1:93" s="2" customFormat="1" x14ac:dyDescent="0.3">
      <c r="A120" s="96"/>
      <c r="B120" s="102"/>
      <c r="C120" s="113"/>
      <c r="D120" s="96"/>
      <c r="E120" s="113"/>
      <c r="F120" s="113"/>
      <c r="G120" s="113"/>
      <c r="H120" s="113"/>
      <c r="I120" s="113"/>
      <c r="J120" s="113"/>
      <c r="K120" s="113"/>
      <c r="L120" s="113"/>
      <c r="M120" s="113"/>
      <c r="N120" s="96"/>
      <c r="O120" s="96"/>
      <c r="P120" s="96"/>
      <c r="Q120" s="96"/>
      <c r="R120" s="96"/>
      <c r="S120" s="96"/>
      <c r="T120" s="109"/>
      <c r="U120" s="96"/>
      <c r="V120" s="96"/>
      <c r="W120" s="109"/>
      <c r="X120" s="109"/>
      <c r="Y120" s="96"/>
      <c r="Z120" s="96"/>
      <c r="AA120" s="109"/>
      <c r="AB120" s="96"/>
      <c r="AC120" s="96"/>
      <c r="AD120" s="96"/>
      <c r="AE120" s="23"/>
      <c r="AF120" s="23"/>
      <c r="AG120" s="239"/>
      <c r="AH120" s="23"/>
      <c r="AI120" s="23"/>
      <c r="AJ120" s="23"/>
      <c r="AK120" s="23"/>
      <c r="AL120" s="23"/>
      <c r="AM120" s="23"/>
      <c r="AN120" s="23"/>
      <c r="AO120" s="23"/>
      <c r="AP120" s="23"/>
      <c r="AQ120" s="23"/>
      <c r="AR120" s="23"/>
      <c r="AS120" s="23"/>
      <c r="AT120" s="24"/>
      <c r="AU120" s="23"/>
      <c r="AV120" s="23"/>
      <c r="AW120" s="135"/>
      <c r="AX120" s="35"/>
      <c r="AY120" s="135"/>
      <c r="AZ120" s="35"/>
      <c r="BA120" s="78"/>
      <c r="BB120" s="92"/>
      <c r="BC120" s="35"/>
      <c r="BD120" s="28"/>
      <c r="BE120" s="23"/>
      <c r="BF120" s="28"/>
      <c r="BG120" s="28"/>
      <c r="BH120" s="28"/>
      <c r="BI120" s="96"/>
      <c r="BJ120" s="96"/>
      <c r="BK120" s="96"/>
      <c r="BL120" s="96"/>
      <c r="BM120" s="96"/>
      <c r="BN120" s="96"/>
      <c r="BO120" s="96"/>
      <c r="BP120" s="96"/>
      <c r="BQ120" s="96"/>
      <c r="BR120" s="96"/>
      <c r="BS120" s="96"/>
      <c r="BT120" s="96"/>
      <c r="BU120" s="96"/>
      <c r="BV120" s="96"/>
      <c r="BW120" s="96"/>
      <c r="BX120" s="96"/>
      <c r="BY120" s="96"/>
      <c r="BZ120" s="96"/>
      <c r="CA120" s="96"/>
      <c r="CB120" s="96"/>
      <c r="CC120" s="96"/>
      <c r="CD120" s="96"/>
      <c r="CE120" s="96"/>
      <c r="CF120" s="96"/>
      <c r="CG120" s="96"/>
      <c r="CH120" s="96"/>
      <c r="CI120" s="96"/>
      <c r="CJ120" s="96"/>
      <c r="CK120" s="96"/>
      <c r="CL120" s="96"/>
      <c r="CM120" s="96"/>
      <c r="CN120" s="96"/>
      <c r="CO120" s="96"/>
    </row>
    <row r="121" spans="1:93" s="2" customFormat="1" ht="18.75" customHeight="1" x14ac:dyDescent="0.3">
      <c r="A121" s="96"/>
      <c r="B121" s="102"/>
      <c r="C121" s="113"/>
      <c r="D121" s="96"/>
      <c r="E121" s="113"/>
      <c r="F121" s="113"/>
      <c r="G121" s="113"/>
      <c r="H121" s="113"/>
      <c r="I121" s="113"/>
      <c r="J121" s="113"/>
      <c r="K121" s="113"/>
      <c r="L121" s="113"/>
      <c r="M121" s="113"/>
      <c r="N121" s="96"/>
      <c r="O121" s="96"/>
      <c r="P121" s="96"/>
      <c r="Q121" s="96"/>
      <c r="R121" s="96"/>
      <c r="S121" s="96"/>
      <c r="T121" s="109"/>
      <c r="U121" s="96"/>
      <c r="V121" s="96"/>
      <c r="W121" s="109"/>
      <c r="X121" s="109"/>
      <c r="Y121" s="96"/>
      <c r="Z121" s="96"/>
      <c r="AA121" s="109"/>
      <c r="AB121" s="96"/>
      <c r="AC121" s="96"/>
      <c r="AD121" s="96"/>
      <c r="AE121" s="23"/>
      <c r="AF121" s="23"/>
      <c r="AG121" s="239"/>
      <c r="AH121" s="23"/>
      <c r="AI121" s="23"/>
      <c r="AJ121" s="23"/>
      <c r="AK121" s="23"/>
      <c r="AL121" s="23"/>
      <c r="AM121" s="23"/>
      <c r="AN121" s="23"/>
      <c r="AO121" s="23"/>
      <c r="AP121" s="23"/>
      <c r="AQ121" s="23"/>
      <c r="AR121" s="23"/>
      <c r="AS121" s="23"/>
      <c r="AT121" s="24"/>
      <c r="AU121" s="23"/>
      <c r="AV121" s="23"/>
      <c r="AW121" s="135"/>
      <c r="AX121" s="35"/>
      <c r="AY121" s="135"/>
      <c r="AZ121" s="35"/>
      <c r="BA121" s="78"/>
      <c r="BB121" s="92"/>
      <c r="BC121" s="35"/>
      <c r="BD121" s="28"/>
      <c r="BE121" s="23"/>
      <c r="BF121" s="28"/>
      <c r="BG121" s="28"/>
      <c r="BH121" s="28"/>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c r="CO121" s="96"/>
    </row>
    <row r="122" spans="1:93" s="2" customFormat="1" x14ac:dyDescent="0.3">
      <c r="A122" s="96"/>
      <c r="B122" s="102"/>
      <c r="C122" s="113"/>
      <c r="D122" s="96"/>
      <c r="E122" s="113"/>
      <c r="F122" s="113"/>
      <c r="G122" s="113"/>
      <c r="H122" s="113"/>
      <c r="I122" s="113"/>
      <c r="J122" s="113"/>
      <c r="K122" s="113"/>
      <c r="L122" s="113"/>
      <c r="M122" s="113"/>
      <c r="N122" s="96"/>
      <c r="O122" s="96"/>
      <c r="P122" s="96"/>
      <c r="Q122" s="96"/>
      <c r="R122" s="96"/>
      <c r="S122" s="96"/>
      <c r="T122" s="109"/>
      <c r="U122" s="96"/>
      <c r="V122" s="96"/>
      <c r="W122" s="109"/>
      <c r="X122" s="109"/>
      <c r="Y122" s="96"/>
      <c r="Z122" s="96"/>
      <c r="AA122" s="109"/>
      <c r="AB122" s="96"/>
      <c r="AC122" s="96"/>
      <c r="AD122" s="96"/>
      <c r="AE122" s="23"/>
      <c r="AF122" s="23"/>
      <c r="AG122" s="239"/>
      <c r="AH122" s="23"/>
      <c r="AI122" s="23"/>
      <c r="AJ122" s="23"/>
      <c r="AK122" s="23"/>
      <c r="AL122" s="23"/>
      <c r="AM122" s="23"/>
      <c r="AN122" s="23"/>
      <c r="AO122" s="23"/>
      <c r="AP122" s="23"/>
      <c r="AQ122" s="23"/>
      <c r="AR122" s="23"/>
      <c r="AS122" s="23"/>
      <c r="AT122" s="24"/>
      <c r="AU122" s="23"/>
      <c r="AV122" s="23"/>
      <c r="AW122" s="135"/>
      <c r="AX122" s="35"/>
      <c r="AY122" s="135"/>
      <c r="AZ122" s="35"/>
      <c r="BA122" s="78"/>
      <c r="BB122" s="92"/>
      <c r="BC122" s="35"/>
      <c r="BD122" s="28"/>
      <c r="BE122" s="23"/>
      <c r="BF122" s="28"/>
      <c r="BG122" s="28"/>
      <c r="BH122" s="28"/>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c r="CJ122" s="96"/>
      <c r="CK122" s="96"/>
      <c r="CL122" s="96"/>
      <c r="CM122" s="96"/>
      <c r="CN122" s="96"/>
      <c r="CO122" s="96"/>
    </row>
    <row r="123" spans="1:93" s="2" customFormat="1" x14ac:dyDescent="0.3">
      <c r="A123" s="96"/>
      <c r="B123" s="102"/>
      <c r="C123" s="113"/>
      <c r="D123" s="96"/>
      <c r="E123" s="113"/>
      <c r="F123" s="113"/>
      <c r="G123" s="113"/>
      <c r="H123" s="113"/>
      <c r="I123" s="113"/>
      <c r="J123" s="113"/>
      <c r="K123" s="113"/>
      <c r="L123" s="113"/>
      <c r="M123" s="113"/>
      <c r="N123" s="96"/>
      <c r="O123" s="96"/>
      <c r="P123" s="96"/>
      <c r="Q123" s="96"/>
      <c r="R123" s="96"/>
      <c r="S123" s="96"/>
      <c r="T123" s="109"/>
      <c r="U123" s="96"/>
      <c r="V123" s="96"/>
      <c r="W123" s="109"/>
      <c r="X123" s="109"/>
      <c r="Y123" s="96"/>
      <c r="Z123" s="96"/>
      <c r="AA123" s="109"/>
      <c r="AB123" s="96"/>
      <c r="AC123" s="96"/>
      <c r="AD123" s="96"/>
      <c r="AE123" s="23"/>
      <c r="AF123" s="23"/>
      <c r="AG123" s="239"/>
      <c r="AH123" s="23"/>
      <c r="AI123" s="23"/>
      <c r="AJ123" s="23"/>
      <c r="AK123" s="23"/>
      <c r="AL123" s="23"/>
      <c r="AM123" s="23"/>
      <c r="AN123" s="23"/>
      <c r="AO123" s="23"/>
      <c r="AP123" s="23"/>
      <c r="AQ123" s="23"/>
      <c r="AR123" s="23"/>
      <c r="AS123" s="23"/>
      <c r="AT123" s="24"/>
      <c r="AU123" s="23"/>
      <c r="AV123" s="23"/>
      <c r="AW123" s="135"/>
      <c r="AX123" s="35"/>
      <c r="AY123" s="135"/>
      <c r="AZ123" s="35"/>
      <c r="BA123" s="78"/>
      <c r="BB123" s="92"/>
      <c r="BC123" s="35"/>
      <c r="BD123" s="28"/>
      <c r="BE123" s="23"/>
      <c r="BF123" s="28"/>
      <c r="BG123" s="28"/>
      <c r="BH123" s="28"/>
      <c r="BI123" s="96"/>
      <c r="BJ123" s="96"/>
      <c r="BK123" s="96"/>
      <c r="BL123" s="96"/>
      <c r="BM123" s="96"/>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c r="CJ123" s="96"/>
      <c r="CK123" s="96"/>
      <c r="CL123" s="96"/>
      <c r="CM123" s="96"/>
      <c r="CN123" s="96"/>
      <c r="CO123" s="96"/>
    </row>
    <row r="124" spans="1:93" s="2" customFormat="1" x14ac:dyDescent="0.3">
      <c r="A124" s="96"/>
      <c r="B124" s="102"/>
      <c r="C124" s="113"/>
      <c r="D124" s="96"/>
      <c r="E124" s="113"/>
      <c r="F124" s="113"/>
      <c r="G124" s="113"/>
      <c r="H124" s="113"/>
      <c r="I124" s="113"/>
      <c r="J124" s="113"/>
      <c r="K124" s="113"/>
      <c r="L124" s="113"/>
      <c r="M124" s="113"/>
      <c r="N124" s="96"/>
      <c r="O124" s="96"/>
      <c r="P124" s="96"/>
      <c r="Q124" s="96"/>
      <c r="R124" s="96"/>
      <c r="S124" s="96"/>
      <c r="T124" s="109"/>
      <c r="U124" s="96"/>
      <c r="V124" s="96"/>
      <c r="W124" s="109"/>
      <c r="X124" s="109"/>
      <c r="Y124" s="96"/>
      <c r="Z124" s="96"/>
      <c r="AA124" s="109"/>
      <c r="AB124" s="96"/>
      <c r="AC124" s="96"/>
      <c r="AD124" s="96"/>
      <c r="AE124" s="23"/>
      <c r="AF124" s="23"/>
      <c r="AG124" s="239"/>
      <c r="AH124" s="23"/>
      <c r="AI124" s="23"/>
      <c r="AJ124" s="23"/>
      <c r="AK124" s="23"/>
      <c r="AL124" s="23"/>
      <c r="AM124" s="23"/>
      <c r="AN124" s="23"/>
      <c r="AO124" s="23"/>
      <c r="AP124" s="23"/>
      <c r="AQ124" s="23"/>
      <c r="AR124" s="23"/>
      <c r="AS124" s="23"/>
      <c r="AT124" s="24"/>
      <c r="AU124" s="23"/>
      <c r="AV124" s="23"/>
      <c r="AW124" s="135"/>
      <c r="AX124" s="35"/>
      <c r="AY124" s="135"/>
      <c r="AZ124" s="35"/>
      <c r="BA124" s="78">
        <f>BA69*Vergleich!BW29</f>
        <v>0</v>
      </c>
      <c r="BB124" s="92"/>
      <c r="BC124" s="35">
        <f>ROUND(AP69*Vergleich!BX29,)</f>
        <v>0</v>
      </c>
      <c r="BD124" s="28"/>
      <c r="BE124" s="23"/>
      <c r="BF124" s="28"/>
      <c r="BG124" s="28"/>
      <c r="BH124" s="28"/>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c r="CJ124" s="96"/>
      <c r="CK124" s="96"/>
      <c r="CL124" s="96"/>
      <c r="CM124" s="96"/>
      <c r="CN124" s="96"/>
      <c r="CO124" s="96"/>
    </row>
    <row r="125" spans="1:93" s="2" customFormat="1" x14ac:dyDescent="0.3">
      <c r="A125" s="96"/>
      <c r="B125" s="102"/>
      <c r="C125" s="113"/>
      <c r="D125" s="96"/>
      <c r="E125" s="113"/>
      <c r="F125" s="113"/>
      <c r="G125" s="113"/>
      <c r="H125" s="113"/>
      <c r="I125" s="113"/>
      <c r="J125" s="113"/>
      <c r="K125" s="113"/>
      <c r="L125" s="113"/>
      <c r="M125" s="113"/>
      <c r="N125" s="96"/>
      <c r="O125" s="96"/>
      <c r="P125" s="96"/>
      <c r="Q125" s="96"/>
      <c r="R125" s="96"/>
      <c r="S125" s="96"/>
      <c r="T125" s="109"/>
      <c r="U125" s="96"/>
      <c r="V125" s="96"/>
      <c r="W125" s="109"/>
      <c r="X125" s="109"/>
      <c r="Y125" s="96"/>
      <c r="Z125" s="96"/>
      <c r="AA125" s="109"/>
      <c r="AB125" s="96"/>
      <c r="AC125" s="96"/>
      <c r="AD125" s="96"/>
      <c r="AE125" s="23"/>
      <c r="AF125" s="23"/>
      <c r="AG125" s="239"/>
      <c r="AH125" s="23"/>
      <c r="AI125" s="23"/>
      <c r="AJ125" s="23"/>
      <c r="AK125" s="23"/>
      <c r="AL125" s="23"/>
      <c r="AM125" s="23"/>
      <c r="AN125" s="23"/>
      <c r="AO125" s="23"/>
      <c r="AP125" s="23"/>
      <c r="AQ125" s="23"/>
      <c r="AR125" s="23"/>
      <c r="AS125" s="23"/>
      <c r="AT125" s="24"/>
      <c r="AU125" s="23"/>
      <c r="AV125" s="23"/>
      <c r="AW125" s="135"/>
      <c r="AX125" s="35"/>
      <c r="AY125" s="135"/>
      <c r="AZ125" s="35"/>
      <c r="BA125" s="83">
        <f>MIN(BA120:BA124)</f>
        <v>0</v>
      </c>
      <c r="BB125" s="28"/>
      <c r="BC125" s="85">
        <f>MIN(BC120:BC124)</f>
        <v>0</v>
      </c>
      <c r="BD125" s="28"/>
      <c r="BE125" s="23"/>
      <c r="BF125" s="28"/>
      <c r="BG125" s="28"/>
      <c r="BH125" s="28"/>
      <c r="BI125" s="96"/>
      <c r="BJ125" s="96"/>
      <c r="BK125" s="96"/>
      <c r="BL125" s="96"/>
      <c r="BM125" s="96"/>
      <c r="BN125" s="96"/>
      <c r="BO125" s="96"/>
      <c r="BP125" s="96"/>
      <c r="BQ125" s="96"/>
      <c r="BR125" s="96"/>
      <c r="BS125" s="96"/>
      <c r="BT125" s="96"/>
      <c r="BU125" s="96"/>
      <c r="BV125" s="96"/>
      <c r="BW125" s="96"/>
      <c r="BX125" s="96"/>
      <c r="BY125" s="96"/>
      <c r="BZ125" s="96"/>
      <c r="CA125" s="96"/>
      <c r="CB125" s="96"/>
      <c r="CC125" s="96"/>
      <c r="CD125" s="96"/>
      <c r="CE125" s="96"/>
      <c r="CF125" s="96"/>
      <c r="CG125" s="96"/>
      <c r="CH125" s="96"/>
      <c r="CI125" s="96"/>
      <c r="CJ125" s="96"/>
      <c r="CK125" s="96"/>
      <c r="CL125" s="96"/>
      <c r="CM125" s="96"/>
      <c r="CN125" s="96"/>
      <c r="CO125" s="96"/>
    </row>
    <row r="126" spans="1:93" s="2" customFormat="1" x14ac:dyDescent="0.3">
      <c r="A126" s="96"/>
      <c r="B126" s="102"/>
      <c r="C126" s="113"/>
      <c r="D126" s="96"/>
      <c r="E126" s="113"/>
      <c r="F126" s="113"/>
      <c r="G126" s="113"/>
      <c r="H126" s="113"/>
      <c r="I126" s="113"/>
      <c r="J126" s="113"/>
      <c r="K126" s="113"/>
      <c r="L126" s="113"/>
      <c r="M126" s="113"/>
      <c r="N126" s="96"/>
      <c r="O126" s="96"/>
      <c r="P126" s="96"/>
      <c r="Q126" s="96"/>
      <c r="R126" s="96"/>
      <c r="S126" s="96"/>
      <c r="T126" s="109"/>
      <c r="U126" s="96"/>
      <c r="V126" s="96"/>
      <c r="W126" s="109"/>
      <c r="X126" s="109"/>
      <c r="Y126" s="96"/>
      <c r="Z126" s="96"/>
      <c r="AA126" s="109"/>
      <c r="AB126" s="96"/>
      <c r="AC126" s="96"/>
      <c r="AD126" s="96"/>
      <c r="AE126" s="23"/>
      <c r="AF126" s="23"/>
      <c r="AG126" s="239"/>
      <c r="AH126" s="23"/>
      <c r="AI126" s="23"/>
      <c r="AJ126" s="23"/>
      <c r="AK126" s="23"/>
      <c r="AL126" s="23"/>
      <c r="AM126" s="23"/>
      <c r="AN126" s="23"/>
      <c r="AO126" s="23"/>
      <c r="AP126" s="23"/>
      <c r="AQ126" s="23"/>
      <c r="AR126" s="23"/>
      <c r="AS126" s="23"/>
      <c r="AT126" s="24"/>
      <c r="AU126" s="23"/>
      <c r="AV126" s="23"/>
      <c r="AW126" s="135"/>
      <c r="AX126" s="35"/>
      <c r="AY126" s="135"/>
      <c r="AZ126" s="35"/>
      <c r="BA126" s="23"/>
      <c r="BB126" s="28"/>
      <c r="BC126" s="28"/>
      <c r="BD126" s="28"/>
      <c r="BE126" s="23"/>
      <c r="BF126" s="28"/>
      <c r="BG126" s="28"/>
      <c r="BH126" s="28"/>
      <c r="BI126" s="96"/>
      <c r="BJ126" s="96"/>
      <c r="BK126" s="96"/>
      <c r="BL126" s="96"/>
      <c r="BM126" s="96"/>
      <c r="BN126" s="96"/>
      <c r="BO126" s="96"/>
      <c r="BP126" s="96"/>
      <c r="BQ126" s="96"/>
      <c r="BR126" s="96"/>
      <c r="BS126" s="96"/>
      <c r="BT126" s="96"/>
      <c r="BU126" s="96"/>
      <c r="BV126" s="96"/>
      <c r="BW126" s="96"/>
      <c r="BX126" s="96"/>
      <c r="BY126" s="96"/>
      <c r="BZ126" s="96"/>
      <c r="CA126" s="96"/>
      <c r="CB126" s="96"/>
      <c r="CC126" s="96"/>
      <c r="CD126" s="96"/>
      <c r="CE126" s="96"/>
      <c r="CF126" s="96"/>
      <c r="CG126" s="96"/>
      <c r="CH126" s="96"/>
      <c r="CI126" s="96"/>
      <c r="CJ126" s="96"/>
      <c r="CK126" s="96"/>
      <c r="CL126" s="96"/>
      <c r="CM126" s="96"/>
      <c r="CN126" s="96"/>
      <c r="CO126" s="96"/>
    </row>
    <row r="127" spans="1:93" s="2" customFormat="1" x14ac:dyDescent="0.3">
      <c r="A127" s="96"/>
      <c r="B127" s="102"/>
      <c r="C127" s="113"/>
      <c r="D127" s="96"/>
      <c r="E127" s="113"/>
      <c r="F127" s="113"/>
      <c r="G127" s="113"/>
      <c r="H127" s="113"/>
      <c r="I127" s="113"/>
      <c r="J127" s="113"/>
      <c r="K127" s="113"/>
      <c r="L127" s="113"/>
      <c r="M127" s="113"/>
      <c r="N127" s="96"/>
      <c r="O127" s="96"/>
      <c r="P127" s="96"/>
      <c r="Q127" s="96"/>
      <c r="R127" s="96"/>
      <c r="S127" s="96"/>
      <c r="T127" s="109"/>
      <c r="U127" s="96"/>
      <c r="V127" s="96"/>
      <c r="W127" s="109"/>
      <c r="X127" s="109"/>
      <c r="Y127" s="96"/>
      <c r="Z127" s="96"/>
      <c r="AA127" s="109"/>
      <c r="AB127" s="96"/>
      <c r="AC127" s="96"/>
      <c r="AD127" s="96"/>
      <c r="AE127" s="23"/>
      <c r="AF127" s="23"/>
      <c r="AG127" s="239"/>
      <c r="AH127" s="23"/>
      <c r="AI127" s="23"/>
      <c r="AJ127" s="23"/>
      <c r="AK127" s="23"/>
      <c r="AL127" s="23"/>
      <c r="AM127" s="23"/>
      <c r="AN127" s="23"/>
      <c r="AO127" s="23"/>
      <c r="AP127" s="23"/>
      <c r="AQ127" s="23"/>
      <c r="AR127" s="23"/>
      <c r="AS127" s="23"/>
      <c r="AT127" s="24"/>
      <c r="AU127" s="23"/>
      <c r="AV127" s="23"/>
      <c r="AW127" s="135"/>
      <c r="AX127" s="35"/>
      <c r="AY127" s="135"/>
      <c r="AZ127" s="35"/>
      <c r="BA127" s="23"/>
      <c r="BB127" s="28"/>
      <c r="BC127" s="28"/>
      <c r="BD127" s="28"/>
      <c r="BE127" s="23"/>
      <c r="BF127" s="28"/>
      <c r="BG127" s="28"/>
      <c r="BH127" s="28"/>
      <c r="BI127" s="96"/>
      <c r="BJ127" s="96"/>
      <c r="BK127" s="96"/>
      <c r="BL127" s="96"/>
      <c r="BM127" s="96"/>
      <c r="BN127" s="96"/>
      <c r="BO127" s="96"/>
      <c r="BP127" s="96"/>
      <c r="BQ127" s="96"/>
      <c r="BR127" s="96"/>
      <c r="BS127" s="96"/>
      <c r="BT127" s="96"/>
      <c r="BU127" s="96"/>
      <c r="BV127" s="96"/>
      <c r="BW127" s="96"/>
      <c r="BX127" s="96"/>
      <c r="BY127" s="96"/>
      <c r="BZ127" s="96"/>
      <c r="CA127" s="96"/>
      <c r="CB127" s="96"/>
      <c r="CC127" s="96"/>
      <c r="CD127" s="96"/>
      <c r="CE127" s="96"/>
      <c r="CF127" s="96"/>
      <c r="CG127" s="96"/>
      <c r="CH127" s="96"/>
      <c r="CI127" s="96"/>
      <c r="CJ127" s="96"/>
      <c r="CK127" s="96"/>
      <c r="CL127" s="96"/>
      <c r="CM127" s="96"/>
      <c r="CN127" s="96"/>
      <c r="CO127" s="96"/>
    </row>
    <row r="128" spans="1:93" s="2" customFormat="1" x14ac:dyDescent="0.3">
      <c r="A128" s="96"/>
      <c r="B128" s="102"/>
      <c r="C128" s="113"/>
      <c r="D128" s="96"/>
      <c r="E128" s="113"/>
      <c r="F128" s="113"/>
      <c r="G128" s="113"/>
      <c r="H128" s="113"/>
      <c r="I128" s="113"/>
      <c r="J128" s="113"/>
      <c r="K128" s="113"/>
      <c r="L128" s="113"/>
      <c r="M128" s="113"/>
      <c r="N128" s="96"/>
      <c r="O128" s="96"/>
      <c r="P128" s="96"/>
      <c r="Q128" s="96"/>
      <c r="R128" s="96"/>
      <c r="S128" s="96"/>
      <c r="T128" s="109"/>
      <c r="U128" s="96"/>
      <c r="V128" s="96"/>
      <c r="W128" s="109"/>
      <c r="X128" s="109"/>
      <c r="Y128" s="96"/>
      <c r="Z128" s="96"/>
      <c r="AA128" s="109"/>
      <c r="AB128" s="96"/>
      <c r="AC128" s="96"/>
      <c r="AD128" s="96"/>
      <c r="AE128" s="23"/>
      <c r="AF128" s="23"/>
      <c r="AG128" s="239"/>
      <c r="AH128" s="23"/>
      <c r="AI128" s="23"/>
      <c r="AJ128" s="23"/>
      <c r="AK128" s="23"/>
      <c r="AL128" s="23"/>
      <c r="AM128" s="23"/>
      <c r="AN128" s="23"/>
      <c r="AO128" s="23"/>
      <c r="AP128" s="23"/>
      <c r="AQ128" s="23"/>
      <c r="AR128" s="23"/>
      <c r="AS128" s="23"/>
      <c r="AT128" s="24"/>
      <c r="AU128" s="23"/>
      <c r="AV128" s="23"/>
      <c r="AW128" s="135"/>
      <c r="AX128" s="35"/>
      <c r="AY128" s="135"/>
      <c r="AZ128" s="35"/>
      <c r="BA128" s="23"/>
      <c r="BB128" s="28"/>
      <c r="BC128" s="28"/>
      <c r="BD128" s="28"/>
      <c r="BE128" s="23"/>
      <c r="BF128" s="28"/>
      <c r="BG128" s="28"/>
      <c r="BH128" s="28"/>
      <c r="BI128" s="96"/>
      <c r="BJ128" s="96"/>
      <c r="BK128" s="96"/>
      <c r="BL128" s="96"/>
      <c r="BM128" s="96"/>
      <c r="BN128" s="96"/>
      <c r="BO128" s="96"/>
      <c r="BP128" s="96"/>
      <c r="BQ128" s="96"/>
      <c r="BR128" s="96"/>
      <c r="BS128" s="96"/>
      <c r="BT128" s="96"/>
      <c r="BU128" s="96"/>
      <c r="BV128" s="96"/>
      <c r="BW128" s="96"/>
      <c r="BX128" s="96"/>
      <c r="BY128" s="96"/>
      <c r="BZ128" s="96"/>
      <c r="CA128" s="96"/>
      <c r="CB128" s="96"/>
      <c r="CC128" s="96"/>
      <c r="CD128" s="96"/>
      <c r="CE128" s="96"/>
      <c r="CF128" s="96"/>
      <c r="CG128" s="96"/>
      <c r="CH128" s="96"/>
      <c r="CI128" s="96"/>
      <c r="CJ128" s="96"/>
      <c r="CK128" s="96"/>
      <c r="CL128" s="96"/>
      <c r="CM128" s="96"/>
      <c r="CN128" s="96"/>
      <c r="CO128" s="96"/>
    </row>
    <row r="129" spans="1:93" s="2" customFormat="1" x14ac:dyDescent="0.3">
      <c r="A129" s="96"/>
      <c r="B129" s="102"/>
      <c r="C129" s="113"/>
      <c r="D129" s="96"/>
      <c r="E129" s="113"/>
      <c r="F129" s="113"/>
      <c r="G129" s="113"/>
      <c r="H129" s="113"/>
      <c r="I129" s="113"/>
      <c r="J129" s="113"/>
      <c r="K129" s="113"/>
      <c r="L129" s="113"/>
      <c r="M129" s="113"/>
      <c r="N129" s="96"/>
      <c r="O129" s="96"/>
      <c r="P129" s="96"/>
      <c r="Q129" s="96"/>
      <c r="R129" s="96"/>
      <c r="S129" s="96"/>
      <c r="T129" s="109"/>
      <c r="U129" s="96"/>
      <c r="V129" s="96"/>
      <c r="W129" s="109"/>
      <c r="X129" s="109"/>
      <c r="Y129" s="96"/>
      <c r="Z129" s="96"/>
      <c r="AA129" s="109"/>
      <c r="AB129" s="96"/>
      <c r="AC129" s="96"/>
      <c r="AD129" s="96"/>
      <c r="AE129" s="23"/>
      <c r="AF129" s="23"/>
      <c r="AG129" s="239"/>
      <c r="AH129" s="23"/>
      <c r="AI129" s="23"/>
      <c r="AJ129" s="23"/>
      <c r="AK129" s="23"/>
      <c r="AL129" s="23"/>
      <c r="AM129" s="23"/>
      <c r="AN129" s="23"/>
      <c r="AO129" s="23"/>
      <c r="AP129" s="23"/>
      <c r="AQ129" s="23"/>
      <c r="AR129" s="23"/>
      <c r="AS129" s="23"/>
      <c r="AT129" s="24"/>
      <c r="AU129" s="23"/>
      <c r="AV129" s="23"/>
      <c r="AW129" s="135"/>
      <c r="AX129" s="35"/>
      <c r="AY129" s="135"/>
      <c r="AZ129" s="35"/>
      <c r="BA129" s="23"/>
      <c r="BB129" s="28"/>
      <c r="BC129" s="28"/>
      <c r="BD129" s="28"/>
      <c r="BE129" s="23"/>
      <c r="BF129" s="28"/>
      <c r="BG129" s="28"/>
      <c r="BH129" s="28"/>
      <c r="BI129" s="96"/>
      <c r="BJ129" s="96"/>
      <c r="BK129" s="96"/>
      <c r="BL129" s="96"/>
      <c r="BM129" s="96"/>
      <c r="BN129" s="96"/>
      <c r="BO129" s="96"/>
      <c r="BP129" s="96"/>
      <c r="BQ129" s="96"/>
      <c r="BR129" s="96"/>
      <c r="BS129" s="96"/>
      <c r="BT129" s="96"/>
      <c r="BU129" s="96"/>
      <c r="BV129" s="96"/>
      <c r="BW129" s="96"/>
      <c r="BX129" s="96"/>
      <c r="BY129" s="96"/>
      <c r="BZ129" s="96"/>
      <c r="CA129" s="96"/>
      <c r="CB129" s="96"/>
      <c r="CC129" s="96"/>
      <c r="CD129" s="96"/>
      <c r="CE129" s="96"/>
      <c r="CF129" s="96"/>
      <c r="CG129" s="96"/>
      <c r="CH129" s="96"/>
      <c r="CI129" s="96"/>
      <c r="CJ129" s="96"/>
      <c r="CK129" s="96"/>
      <c r="CL129" s="96"/>
      <c r="CM129" s="96"/>
      <c r="CN129" s="96"/>
      <c r="CO129" s="96"/>
    </row>
    <row r="130" spans="1:93" s="2" customFormat="1" x14ac:dyDescent="0.3">
      <c r="A130" s="96"/>
      <c r="B130" s="102"/>
      <c r="C130" s="113"/>
      <c r="D130" s="96"/>
      <c r="E130" s="113"/>
      <c r="F130" s="113"/>
      <c r="G130" s="113"/>
      <c r="H130" s="113"/>
      <c r="I130" s="113"/>
      <c r="J130" s="113"/>
      <c r="K130" s="113"/>
      <c r="L130" s="113"/>
      <c r="M130" s="113"/>
      <c r="N130" s="96"/>
      <c r="O130" s="96"/>
      <c r="P130" s="96"/>
      <c r="Q130" s="96"/>
      <c r="R130" s="96"/>
      <c r="S130" s="96"/>
      <c r="T130" s="109"/>
      <c r="U130" s="96"/>
      <c r="V130" s="96"/>
      <c r="W130" s="109"/>
      <c r="X130" s="109"/>
      <c r="Y130" s="96"/>
      <c r="Z130" s="96"/>
      <c r="AA130" s="109"/>
      <c r="AB130" s="96"/>
      <c r="AC130" s="96"/>
      <c r="AD130" s="96"/>
      <c r="AE130" s="23"/>
      <c r="AF130" s="23"/>
      <c r="AG130" s="239"/>
      <c r="AH130" s="23"/>
      <c r="AI130" s="23"/>
      <c r="AJ130" s="23"/>
      <c r="AK130" s="23"/>
      <c r="AL130" s="23"/>
      <c r="AM130" s="23"/>
      <c r="AN130" s="23"/>
      <c r="AO130" s="23"/>
      <c r="AP130" s="23"/>
      <c r="AQ130" s="23"/>
      <c r="AR130" s="23"/>
      <c r="AS130" s="23"/>
      <c r="AT130" s="24"/>
      <c r="AU130" s="23"/>
      <c r="AV130" s="23"/>
      <c r="AW130" s="135"/>
      <c r="AX130" s="35"/>
      <c r="AY130" s="135"/>
      <c r="AZ130" s="35"/>
      <c r="BA130" s="23"/>
      <c r="BB130" s="28"/>
      <c r="BC130" s="28"/>
      <c r="BD130" s="28"/>
      <c r="BE130" s="23"/>
      <c r="BF130" s="28"/>
      <c r="BG130" s="28"/>
      <c r="BH130" s="28"/>
      <c r="BI130" s="96"/>
      <c r="BJ130" s="96"/>
      <c r="BK130" s="96"/>
      <c r="BL130" s="96"/>
      <c r="BM130" s="96"/>
      <c r="BN130" s="96"/>
      <c r="BO130" s="96"/>
      <c r="BP130" s="96"/>
      <c r="BQ130" s="96"/>
      <c r="BR130" s="96"/>
      <c r="BS130" s="96"/>
      <c r="BT130" s="96"/>
      <c r="BU130" s="96"/>
      <c r="BV130" s="96"/>
      <c r="BW130" s="96"/>
      <c r="BX130" s="96"/>
      <c r="BY130" s="96"/>
      <c r="BZ130" s="96"/>
      <c r="CA130" s="96"/>
      <c r="CB130" s="96"/>
      <c r="CC130" s="96"/>
      <c r="CD130" s="96"/>
      <c r="CE130" s="96"/>
      <c r="CF130" s="96"/>
      <c r="CG130" s="96"/>
      <c r="CH130" s="96"/>
      <c r="CI130" s="96"/>
      <c r="CJ130" s="96"/>
      <c r="CK130" s="96"/>
      <c r="CL130" s="96"/>
      <c r="CM130" s="96"/>
      <c r="CN130" s="96"/>
      <c r="CO130" s="96"/>
    </row>
    <row r="131" spans="1:93" s="2" customFormat="1" x14ac:dyDescent="0.3">
      <c r="A131" s="96"/>
      <c r="B131" s="102"/>
      <c r="C131" s="113"/>
      <c r="D131" s="96"/>
      <c r="E131" s="113"/>
      <c r="F131" s="113"/>
      <c r="G131" s="113"/>
      <c r="H131" s="113"/>
      <c r="I131" s="113"/>
      <c r="J131" s="113"/>
      <c r="K131" s="113"/>
      <c r="L131" s="113"/>
      <c r="M131" s="113"/>
      <c r="N131" s="96"/>
      <c r="O131" s="96"/>
      <c r="P131" s="96"/>
      <c r="Q131" s="96"/>
      <c r="R131" s="96"/>
      <c r="S131" s="96"/>
      <c r="T131" s="109"/>
      <c r="U131" s="96"/>
      <c r="V131" s="96"/>
      <c r="W131" s="109"/>
      <c r="X131" s="109"/>
      <c r="Y131" s="96"/>
      <c r="Z131" s="96"/>
      <c r="AA131" s="109"/>
      <c r="AB131" s="96"/>
      <c r="AC131" s="96"/>
      <c r="AD131" s="96"/>
      <c r="AE131" s="23"/>
      <c r="AF131" s="23"/>
      <c r="AG131" s="239"/>
      <c r="AH131" s="23"/>
      <c r="AI131" s="23"/>
      <c r="AJ131" s="23"/>
      <c r="AK131" s="23"/>
      <c r="AL131" s="23"/>
      <c r="AM131" s="23"/>
      <c r="AN131" s="23"/>
      <c r="AO131" s="23"/>
      <c r="AP131" s="23"/>
      <c r="AQ131" s="23"/>
      <c r="AR131" s="23"/>
      <c r="AS131" s="23"/>
      <c r="AT131" s="24"/>
      <c r="AU131" s="23"/>
      <c r="AV131" s="23"/>
      <c r="AW131" s="135"/>
      <c r="AX131" s="35"/>
      <c r="AY131" s="135"/>
      <c r="AZ131" s="35"/>
      <c r="BA131" s="23"/>
      <c r="BB131" s="28"/>
      <c r="BC131" s="28"/>
      <c r="BD131" s="28"/>
      <c r="BE131" s="23"/>
      <c r="BF131" s="28"/>
      <c r="BG131" s="28"/>
      <c r="BH131" s="28"/>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c r="CJ131" s="96"/>
      <c r="CK131" s="96"/>
      <c r="CL131" s="96"/>
      <c r="CM131" s="96"/>
      <c r="CN131" s="96"/>
      <c r="CO131" s="96"/>
    </row>
    <row r="132" spans="1:93" s="2" customFormat="1" x14ac:dyDescent="0.3">
      <c r="A132" s="96"/>
      <c r="B132" s="102"/>
      <c r="C132" s="113"/>
      <c r="D132" s="96"/>
      <c r="E132" s="113"/>
      <c r="F132" s="113"/>
      <c r="G132" s="113"/>
      <c r="H132" s="113"/>
      <c r="I132" s="113"/>
      <c r="J132" s="113"/>
      <c r="K132" s="113"/>
      <c r="L132" s="113"/>
      <c r="M132" s="113"/>
      <c r="N132" s="96"/>
      <c r="O132" s="96"/>
      <c r="P132" s="96"/>
      <c r="Q132" s="96"/>
      <c r="R132" s="96"/>
      <c r="S132" s="96"/>
      <c r="T132" s="109"/>
      <c r="U132" s="96"/>
      <c r="V132" s="96"/>
      <c r="W132" s="109"/>
      <c r="X132" s="109"/>
      <c r="Y132" s="96"/>
      <c r="Z132" s="96"/>
      <c r="AA132" s="109"/>
      <c r="AB132" s="96"/>
      <c r="AC132" s="96"/>
      <c r="AD132" s="96"/>
      <c r="AE132" s="23"/>
      <c r="AF132" s="23"/>
      <c r="AG132" s="239"/>
      <c r="AH132" s="23"/>
      <c r="AI132" s="23"/>
      <c r="AJ132" s="23"/>
      <c r="AK132" s="23"/>
      <c r="AL132" s="23"/>
      <c r="AM132" s="23"/>
      <c r="AN132" s="23"/>
      <c r="AO132" s="23"/>
      <c r="AP132" s="23"/>
      <c r="AQ132" s="23"/>
      <c r="AR132" s="23"/>
      <c r="AS132" s="23"/>
      <c r="AT132" s="24"/>
      <c r="AU132" s="23"/>
      <c r="AV132" s="23"/>
      <c r="AW132" s="135"/>
      <c r="AX132" s="35"/>
      <c r="AY132" s="135"/>
      <c r="AZ132" s="35"/>
      <c r="BA132" s="23"/>
      <c r="BB132" s="28"/>
      <c r="BC132" s="28"/>
      <c r="BD132" s="28"/>
      <c r="BE132" s="23"/>
      <c r="BF132" s="28"/>
      <c r="BG132" s="28"/>
      <c r="BH132" s="28"/>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c r="CO132" s="96"/>
    </row>
    <row r="133" spans="1:93" s="2" customFormat="1" x14ac:dyDescent="0.3">
      <c r="A133" s="96"/>
      <c r="B133" s="102"/>
      <c r="C133" s="113"/>
      <c r="D133" s="96"/>
      <c r="E133" s="113"/>
      <c r="F133" s="113"/>
      <c r="G133" s="113"/>
      <c r="H133" s="113"/>
      <c r="I133" s="113"/>
      <c r="J133" s="113"/>
      <c r="K133" s="113"/>
      <c r="L133" s="113"/>
      <c r="M133" s="113"/>
      <c r="N133" s="96"/>
      <c r="O133" s="96"/>
      <c r="P133" s="96"/>
      <c r="Q133" s="96"/>
      <c r="R133" s="96"/>
      <c r="S133" s="96"/>
      <c r="T133" s="109"/>
      <c r="U133" s="110"/>
      <c r="V133" s="110"/>
      <c r="W133" s="109"/>
      <c r="X133" s="109"/>
      <c r="Y133" s="110"/>
      <c r="Z133" s="110"/>
      <c r="AA133" s="109"/>
      <c r="AB133" s="110"/>
      <c r="AC133" s="110"/>
      <c r="AD133" s="110"/>
      <c r="AE133" s="23"/>
      <c r="AF133" s="23"/>
      <c r="AG133" s="239"/>
      <c r="AH133" s="23"/>
      <c r="AI133" s="23"/>
      <c r="AJ133" s="23"/>
      <c r="AK133" s="23"/>
      <c r="AL133" s="23"/>
      <c r="AM133" s="23"/>
      <c r="AN133" s="23"/>
      <c r="AO133" s="23"/>
      <c r="AP133" s="23"/>
      <c r="AQ133" s="23"/>
      <c r="AR133" s="23"/>
      <c r="AS133" s="23"/>
      <c r="AT133" s="24"/>
      <c r="AU133" s="23"/>
      <c r="AV133" s="23"/>
      <c r="AW133" s="135"/>
      <c r="AX133" s="35"/>
      <c r="AY133" s="135"/>
      <c r="AZ133" s="35"/>
      <c r="BA133" s="23"/>
      <c r="BB133" s="28"/>
      <c r="BC133" s="28"/>
      <c r="BD133" s="28"/>
      <c r="BE133" s="23"/>
      <c r="BF133" s="28"/>
      <c r="BG133" s="28"/>
      <c r="BH133" s="28"/>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96"/>
      <c r="CJ133" s="96"/>
      <c r="CK133" s="96"/>
      <c r="CL133" s="96"/>
      <c r="CM133" s="96"/>
      <c r="CN133" s="96"/>
      <c r="CO133" s="96"/>
    </row>
    <row r="134" spans="1:93" s="2" customFormat="1" x14ac:dyDescent="0.3">
      <c r="A134" s="96"/>
      <c r="B134" s="102"/>
      <c r="C134" s="113"/>
      <c r="D134" s="96"/>
      <c r="E134" s="113"/>
      <c r="F134" s="113"/>
      <c r="G134" s="113"/>
      <c r="H134" s="113"/>
      <c r="I134" s="113"/>
      <c r="J134" s="113"/>
      <c r="K134" s="113"/>
      <c r="L134" s="113"/>
      <c r="M134" s="113"/>
      <c r="N134" s="96"/>
      <c r="O134" s="96"/>
      <c r="P134" s="96"/>
      <c r="Q134" s="96"/>
      <c r="R134" s="96"/>
      <c r="S134" s="96"/>
      <c r="T134" s="109"/>
      <c r="U134" s="109"/>
      <c r="V134" s="109"/>
      <c r="W134" s="109"/>
      <c r="X134" s="109"/>
      <c r="Y134" s="109"/>
      <c r="Z134" s="109"/>
      <c r="AA134" s="109"/>
      <c r="AB134" s="109"/>
      <c r="AC134" s="109"/>
      <c r="AD134" s="109"/>
      <c r="AE134" s="23"/>
      <c r="AF134" s="23"/>
      <c r="AG134" s="239"/>
      <c r="AH134" s="23"/>
      <c r="AI134" s="23"/>
      <c r="AJ134" s="23"/>
      <c r="AK134" s="23"/>
      <c r="AL134" s="23"/>
      <c r="AM134" s="23"/>
      <c r="AN134" s="23"/>
      <c r="AO134" s="23"/>
      <c r="AP134" s="23"/>
      <c r="AQ134" s="23"/>
      <c r="AR134" s="23"/>
      <c r="AS134" s="23"/>
      <c r="AT134" s="24"/>
      <c r="AU134" s="23"/>
      <c r="AV134" s="23"/>
      <c r="AW134" s="135"/>
      <c r="AX134" s="35"/>
      <c r="AY134" s="135"/>
      <c r="AZ134" s="35"/>
      <c r="BA134" s="23"/>
      <c r="BB134" s="28"/>
      <c r="BC134" s="28"/>
      <c r="BD134" s="28"/>
      <c r="BE134" s="23"/>
      <c r="BF134" s="28"/>
      <c r="BG134" s="28"/>
      <c r="BH134" s="28"/>
      <c r="BI134" s="96"/>
      <c r="BJ134" s="96"/>
      <c r="BK134" s="96"/>
      <c r="BL134" s="96"/>
      <c r="BM134" s="96"/>
      <c r="BN134" s="96"/>
      <c r="BO134" s="96"/>
      <c r="BP134" s="96"/>
      <c r="BQ134" s="96"/>
      <c r="BR134" s="96"/>
      <c r="BS134" s="96"/>
      <c r="BT134" s="96"/>
      <c r="BU134" s="96"/>
      <c r="BV134" s="96"/>
      <c r="BW134" s="96"/>
      <c r="BX134" s="96"/>
      <c r="BY134" s="96"/>
      <c r="BZ134" s="96"/>
      <c r="CA134" s="96"/>
      <c r="CB134" s="96"/>
      <c r="CC134" s="96"/>
      <c r="CD134" s="96"/>
      <c r="CE134" s="96"/>
      <c r="CF134" s="96"/>
      <c r="CG134" s="96"/>
      <c r="CH134" s="96"/>
      <c r="CI134" s="96"/>
      <c r="CJ134" s="96"/>
      <c r="CK134" s="96"/>
      <c r="CL134" s="96"/>
      <c r="CM134" s="96"/>
      <c r="CN134" s="96"/>
      <c r="CO134" s="96"/>
    </row>
    <row r="135" spans="1:93" s="2" customFormat="1" x14ac:dyDescent="0.3">
      <c r="A135" s="96"/>
      <c r="B135" s="102"/>
      <c r="C135" s="113"/>
      <c r="D135" s="96"/>
      <c r="E135" s="113"/>
      <c r="F135" s="113"/>
      <c r="G135" s="113"/>
      <c r="H135" s="113"/>
      <c r="I135" s="113"/>
      <c r="J135" s="113"/>
      <c r="K135" s="113"/>
      <c r="L135" s="113"/>
      <c r="M135" s="113"/>
      <c r="N135" s="96"/>
      <c r="O135" s="96"/>
      <c r="P135" s="96"/>
      <c r="Q135" s="96"/>
      <c r="R135" s="96"/>
      <c r="S135" s="96"/>
      <c r="T135" s="109"/>
      <c r="U135" s="109"/>
      <c r="V135" s="109"/>
      <c r="W135" s="109"/>
      <c r="X135" s="109"/>
      <c r="Y135" s="109"/>
      <c r="Z135" s="109"/>
      <c r="AA135" s="109"/>
      <c r="AB135" s="109"/>
      <c r="AC135" s="109"/>
      <c r="AD135" s="109"/>
      <c r="AE135" s="23"/>
      <c r="AF135" s="23"/>
      <c r="AG135" s="239"/>
      <c r="AH135" s="23"/>
      <c r="AI135" s="23"/>
      <c r="AJ135" s="23"/>
      <c r="AK135" s="23"/>
      <c r="AL135" s="23"/>
      <c r="AM135" s="23"/>
      <c r="AN135" s="23"/>
      <c r="AO135" s="23"/>
      <c r="AP135" s="23"/>
      <c r="AQ135" s="23"/>
      <c r="AR135" s="23"/>
      <c r="AS135" s="23"/>
      <c r="AT135" s="24"/>
      <c r="AU135" s="23"/>
      <c r="AV135" s="23"/>
      <c r="AW135" s="135"/>
      <c r="AX135" s="35"/>
      <c r="AY135" s="135"/>
      <c r="AZ135" s="35"/>
      <c r="BA135" s="23"/>
      <c r="BB135" s="28"/>
      <c r="BC135" s="28"/>
      <c r="BD135" s="28"/>
      <c r="BE135" s="23"/>
      <c r="BF135" s="28"/>
      <c r="BG135" s="28"/>
      <c r="BH135" s="28"/>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c r="CH135" s="96"/>
      <c r="CI135" s="96"/>
      <c r="CJ135" s="96"/>
      <c r="CK135" s="96"/>
      <c r="CL135" s="96"/>
      <c r="CM135" s="96"/>
      <c r="CN135" s="96"/>
      <c r="CO135" s="96"/>
    </row>
    <row r="136" spans="1:93" s="2" customFormat="1" x14ac:dyDescent="0.3">
      <c r="A136" s="96"/>
      <c r="B136" s="102"/>
      <c r="C136" s="113"/>
      <c r="D136" s="96"/>
      <c r="E136" s="113"/>
      <c r="F136" s="113"/>
      <c r="G136" s="113"/>
      <c r="H136" s="113"/>
      <c r="I136" s="113"/>
      <c r="J136" s="113"/>
      <c r="K136" s="113"/>
      <c r="L136" s="113"/>
      <c r="M136" s="113"/>
      <c r="N136" s="96"/>
      <c r="O136" s="96"/>
      <c r="P136" s="96"/>
      <c r="Q136" s="96"/>
      <c r="R136" s="96"/>
      <c r="S136" s="96"/>
      <c r="T136" s="109"/>
      <c r="U136" s="109"/>
      <c r="V136" s="109"/>
      <c r="W136" s="109"/>
      <c r="X136" s="109"/>
      <c r="Y136" s="109"/>
      <c r="Z136" s="109"/>
      <c r="AA136" s="109"/>
      <c r="AB136" s="109"/>
      <c r="AC136" s="109"/>
      <c r="AD136" s="109"/>
      <c r="AE136" s="23"/>
      <c r="AF136" s="23"/>
      <c r="AG136" s="239"/>
      <c r="AH136" s="23"/>
      <c r="AI136" s="23"/>
      <c r="AJ136" s="23"/>
      <c r="AK136" s="23"/>
      <c r="AL136" s="23"/>
      <c r="AM136" s="23"/>
      <c r="AN136" s="23"/>
      <c r="AO136" s="23"/>
      <c r="AP136" s="23"/>
      <c r="AQ136" s="23"/>
      <c r="AR136" s="23"/>
      <c r="AS136" s="23"/>
      <c r="AT136" s="24"/>
      <c r="AU136" s="23"/>
      <c r="AV136" s="23"/>
      <c r="AW136" s="135"/>
      <c r="AX136" s="35"/>
      <c r="AY136" s="135"/>
      <c r="AZ136" s="35"/>
      <c r="BA136" s="23"/>
      <c r="BB136" s="28"/>
      <c r="BC136" s="28"/>
      <c r="BD136" s="28"/>
      <c r="BE136" s="23"/>
      <c r="BF136" s="28"/>
      <c r="BG136" s="28"/>
      <c r="BH136" s="28"/>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row>
    <row r="137" spans="1:93" s="2" customFormat="1" x14ac:dyDescent="0.3">
      <c r="A137" s="96"/>
      <c r="B137" s="102"/>
      <c r="C137" s="113"/>
      <c r="D137" s="96"/>
      <c r="E137" s="113"/>
      <c r="F137" s="113"/>
      <c r="G137" s="113"/>
      <c r="H137" s="113"/>
      <c r="I137" s="113"/>
      <c r="J137" s="113"/>
      <c r="K137" s="113"/>
      <c r="L137" s="113"/>
      <c r="M137" s="113"/>
      <c r="N137" s="96"/>
      <c r="O137" s="96"/>
      <c r="P137" s="96"/>
      <c r="Q137" s="96"/>
      <c r="R137" s="96"/>
      <c r="S137" s="96"/>
      <c r="T137" s="109"/>
      <c r="U137" s="109"/>
      <c r="V137" s="109"/>
      <c r="W137" s="109"/>
      <c r="X137" s="109"/>
      <c r="Y137" s="109"/>
      <c r="Z137" s="109"/>
      <c r="AA137" s="109"/>
      <c r="AB137" s="109"/>
      <c r="AC137" s="109"/>
      <c r="AD137" s="109"/>
      <c r="AE137" s="23"/>
      <c r="AF137" s="23"/>
      <c r="AG137" s="239"/>
      <c r="AH137" s="23"/>
      <c r="AI137" s="23"/>
      <c r="AJ137" s="23"/>
      <c r="AK137" s="23"/>
      <c r="AL137" s="23"/>
      <c r="AM137" s="23"/>
      <c r="AN137" s="23"/>
      <c r="AO137" s="23"/>
      <c r="AP137" s="23"/>
      <c r="AQ137" s="23"/>
      <c r="AR137" s="23"/>
      <c r="AS137" s="23"/>
      <c r="AT137" s="24"/>
      <c r="AU137" s="23"/>
      <c r="AV137" s="23"/>
      <c r="AW137" s="135"/>
      <c r="AX137" s="35"/>
      <c r="AY137" s="135"/>
      <c r="AZ137" s="35"/>
      <c r="BA137" s="23"/>
      <c r="BB137" s="28"/>
      <c r="BC137" s="28"/>
      <c r="BD137" s="28"/>
      <c r="BE137" s="23"/>
      <c r="BF137" s="28"/>
      <c r="BG137" s="28"/>
      <c r="BH137" s="28"/>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96"/>
      <c r="CJ137" s="96"/>
      <c r="CK137" s="96"/>
      <c r="CL137" s="96"/>
      <c r="CM137" s="96"/>
      <c r="CN137" s="96"/>
      <c r="CO137" s="96"/>
    </row>
    <row r="138" spans="1:93" s="2" customFormat="1" x14ac:dyDescent="0.3">
      <c r="A138" s="96"/>
      <c r="B138" s="102"/>
      <c r="C138" s="113"/>
      <c r="D138" s="96"/>
      <c r="E138" s="113"/>
      <c r="F138" s="113"/>
      <c r="G138" s="113"/>
      <c r="H138" s="113"/>
      <c r="I138" s="113"/>
      <c r="J138" s="113"/>
      <c r="K138" s="113"/>
      <c r="L138" s="113"/>
      <c r="M138" s="113"/>
      <c r="N138" s="96"/>
      <c r="O138" s="96"/>
      <c r="P138" s="96"/>
      <c r="Q138" s="96"/>
      <c r="R138" s="96"/>
      <c r="S138" s="96"/>
      <c r="T138" s="109"/>
      <c r="U138" s="109"/>
      <c r="V138" s="109"/>
      <c r="W138" s="109"/>
      <c r="X138" s="109"/>
      <c r="Y138" s="109"/>
      <c r="Z138" s="109"/>
      <c r="AA138" s="109"/>
      <c r="AB138" s="109"/>
      <c r="AC138" s="109"/>
      <c r="AD138" s="109"/>
      <c r="AE138" s="23"/>
      <c r="AF138" s="23"/>
      <c r="AG138" s="239"/>
      <c r="AH138" s="23"/>
      <c r="AI138" s="23"/>
      <c r="AJ138" s="23"/>
      <c r="AK138" s="23"/>
      <c r="AL138" s="23"/>
      <c r="AM138" s="23"/>
      <c r="AN138" s="23"/>
      <c r="AO138" s="23"/>
      <c r="AP138" s="23"/>
      <c r="AQ138" s="23"/>
      <c r="AR138" s="23"/>
      <c r="AS138" s="23"/>
      <c r="AT138" s="24"/>
      <c r="AU138" s="23"/>
      <c r="AV138" s="23"/>
      <c r="AW138" s="135"/>
      <c r="AX138" s="35"/>
      <c r="AY138" s="135"/>
      <c r="AZ138" s="35"/>
      <c r="BA138" s="23"/>
      <c r="BB138" s="28"/>
      <c r="BC138" s="28"/>
      <c r="BD138" s="28"/>
      <c r="BE138" s="23"/>
      <c r="BF138" s="28"/>
      <c r="BG138" s="28"/>
      <c r="BH138" s="28"/>
      <c r="BI138" s="96"/>
      <c r="BJ138" s="96"/>
      <c r="BK138" s="96"/>
      <c r="BL138" s="96"/>
      <c r="BM138" s="96"/>
      <c r="BN138" s="96"/>
      <c r="BO138" s="96"/>
      <c r="BP138" s="96"/>
      <c r="BQ138" s="96"/>
      <c r="BR138" s="96"/>
      <c r="BS138" s="96"/>
      <c r="BT138" s="96"/>
      <c r="BU138" s="96"/>
      <c r="BV138" s="96"/>
      <c r="BW138" s="96"/>
      <c r="BX138" s="96"/>
      <c r="BY138" s="96"/>
      <c r="BZ138" s="96"/>
      <c r="CA138" s="96"/>
      <c r="CB138" s="96"/>
      <c r="CC138" s="96"/>
      <c r="CD138" s="96"/>
      <c r="CE138" s="96"/>
      <c r="CF138" s="96"/>
      <c r="CG138" s="96"/>
      <c r="CH138" s="96"/>
      <c r="CI138" s="96"/>
      <c r="CJ138" s="96"/>
      <c r="CK138" s="96"/>
      <c r="CL138" s="96"/>
      <c r="CM138" s="96"/>
      <c r="CN138" s="96"/>
      <c r="CO138" s="96"/>
    </row>
    <row r="139" spans="1:93" s="2" customFormat="1" x14ac:dyDescent="0.3">
      <c r="A139" s="96"/>
      <c r="B139" s="102"/>
      <c r="C139" s="113"/>
      <c r="D139" s="96"/>
      <c r="E139" s="113"/>
      <c r="F139" s="113"/>
      <c r="G139" s="113"/>
      <c r="H139" s="113"/>
      <c r="I139" s="113"/>
      <c r="J139" s="113"/>
      <c r="K139" s="113"/>
      <c r="L139" s="113"/>
      <c r="M139" s="113"/>
      <c r="N139" s="96"/>
      <c r="O139" s="96"/>
      <c r="P139" s="96"/>
      <c r="Q139" s="96"/>
      <c r="R139" s="96"/>
      <c r="S139" s="96"/>
      <c r="T139" s="109"/>
      <c r="U139" s="109"/>
      <c r="V139" s="109"/>
      <c r="W139" s="109"/>
      <c r="X139" s="109"/>
      <c r="Y139" s="109"/>
      <c r="Z139" s="109"/>
      <c r="AA139" s="109"/>
      <c r="AB139" s="109"/>
      <c r="AC139" s="109"/>
      <c r="AD139" s="109"/>
      <c r="AE139" s="23"/>
      <c r="AF139" s="23"/>
      <c r="AG139" s="239"/>
      <c r="AH139" s="23"/>
      <c r="AI139" s="23"/>
      <c r="AJ139" s="23"/>
      <c r="AK139" s="23"/>
      <c r="AL139" s="23"/>
      <c r="AM139" s="23"/>
      <c r="AN139" s="23"/>
      <c r="AO139" s="23"/>
      <c r="AP139" s="23"/>
      <c r="AQ139" s="23"/>
      <c r="AR139" s="23"/>
      <c r="AS139" s="23"/>
      <c r="AT139" s="24"/>
      <c r="AU139" s="23"/>
      <c r="AV139" s="23"/>
      <c r="AW139" s="135"/>
      <c r="AX139" s="35"/>
      <c r="AY139" s="135"/>
      <c r="AZ139" s="35"/>
      <c r="BA139" s="23"/>
      <c r="BB139" s="28"/>
      <c r="BC139" s="28"/>
      <c r="BD139" s="28"/>
      <c r="BE139" s="23"/>
      <c r="BF139" s="28"/>
      <c r="BG139" s="28"/>
      <c r="BH139" s="28"/>
      <c r="BI139" s="96"/>
      <c r="BJ139" s="96"/>
      <c r="BK139" s="96"/>
      <c r="BL139" s="96"/>
      <c r="BM139" s="96"/>
      <c r="BN139" s="96"/>
      <c r="BO139" s="96"/>
      <c r="BP139" s="96"/>
      <c r="BQ139" s="96"/>
      <c r="BR139" s="96"/>
      <c r="BS139" s="96"/>
      <c r="BT139" s="96"/>
      <c r="BU139" s="96"/>
      <c r="BV139" s="96"/>
      <c r="BW139" s="96"/>
      <c r="BX139" s="96"/>
      <c r="BY139" s="96"/>
      <c r="BZ139" s="96"/>
      <c r="CA139" s="96"/>
      <c r="CB139" s="96"/>
      <c r="CC139" s="96"/>
      <c r="CD139" s="96"/>
      <c r="CE139" s="96"/>
      <c r="CF139" s="96"/>
      <c r="CG139" s="96"/>
      <c r="CH139" s="96"/>
      <c r="CI139" s="96"/>
      <c r="CJ139" s="96"/>
      <c r="CK139" s="96"/>
      <c r="CL139" s="96"/>
      <c r="CM139" s="96"/>
      <c r="CN139" s="96"/>
      <c r="CO139" s="96"/>
    </row>
    <row r="140" spans="1:93" s="2" customFormat="1" x14ac:dyDescent="0.3">
      <c r="A140" s="96"/>
      <c r="B140" s="102"/>
      <c r="C140" s="113"/>
      <c r="D140" s="96"/>
      <c r="E140" s="113"/>
      <c r="F140" s="113"/>
      <c r="G140" s="113"/>
      <c r="H140" s="113"/>
      <c r="I140" s="113"/>
      <c r="J140" s="113"/>
      <c r="K140" s="113"/>
      <c r="L140" s="113"/>
      <c r="M140" s="113"/>
      <c r="N140" s="96"/>
      <c r="O140" s="96"/>
      <c r="P140" s="96"/>
      <c r="Q140" s="96"/>
      <c r="R140" s="96"/>
      <c r="S140" s="96"/>
      <c r="T140" s="109"/>
      <c r="U140" s="109"/>
      <c r="V140" s="109"/>
      <c r="W140" s="109"/>
      <c r="X140" s="109"/>
      <c r="Y140" s="109"/>
      <c r="Z140" s="109"/>
      <c r="AA140" s="109"/>
      <c r="AB140" s="109"/>
      <c r="AC140" s="109"/>
      <c r="AD140" s="109"/>
      <c r="AE140" s="23"/>
      <c r="AF140" s="23"/>
      <c r="AG140" s="239"/>
      <c r="AH140" s="23"/>
      <c r="AI140" s="23"/>
      <c r="AJ140" s="23"/>
      <c r="AK140" s="23"/>
      <c r="AL140" s="23"/>
      <c r="AM140" s="23"/>
      <c r="AN140" s="23"/>
      <c r="AO140" s="23"/>
      <c r="AP140" s="23"/>
      <c r="AQ140" s="23"/>
      <c r="AR140" s="23"/>
      <c r="AS140" s="23"/>
      <c r="AT140" s="24"/>
      <c r="AU140" s="23"/>
      <c r="AV140" s="23"/>
      <c r="AW140" s="135"/>
      <c r="AX140" s="35"/>
      <c r="AY140" s="135"/>
      <c r="AZ140" s="35"/>
      <c r="BA140" s="23"/>
      <c r="BB140" s="28"/>
      <c r="BC140" s="28"/>
      <c r="BD140" s="28"/>
      <c r="BE140" s="23"/>
      <c r="BF140" s="28"/>
      <c r="BG140" s="28"/>
      <c r="BH140" s="28"/>
      <c r="BI140" s="96"/>
      <c r="BJ140" s="96"/>
      <c r="BK140" s="96"/>
      <c r="BL140" s="96"/>
      <c r="BM140" s="96"/>
      <c r="BN140" s="96"/>
      <c r="BO140" s="96"/>
      <c r="BP140" s="96"/>
      <c r="BQ140" s="96"/>
      <c r="BR140" s="96"/>
      <c r="BS140" s="96"/>
      <c r="BT140" s="96"/>
      <c r="BU140" s="96"/>
      <c r="BV140" s="96"/>
      <c r="BW140" s="96"/>
      <c r="BX140" s="96"/>
      <c r="BY140" s="96"/>
      <c r="BZ140" s="96"/>
      <c r="CA140" s="96"/>
      <c r="CB140" s="96"/>
      <c r="CC140" s="96"/>
      <c r="CD140" s="96"/>
      <c r="CE140" s="96"/>
      <c r="CF140" s="96"/>
      <c r="CG140" s="96"/>
      <c r="CH140" s="96"/>
      <c r="CI140" s="96"/>
      <c r="CJ140" s="96"/>
      <c r="CK140" s="96"/>
      <c r="CL140" s="96"/>
      <c r="CM140" s="96"/>
      <c r="CN140" s="96"/>
      <c r="CO140" s="96"/>
    </row>
    <row r="141" spans="1:93" s="2" customFormat="1" x14ac:dyDescent="0.3">
      <c r="A141" s="96"/>
      <c r="B141" s="102"/>
      <c r="C141" s="113"/>
      <c r="D141" s="96"/>
      <c r="E141" s="113"/>
      <c r="F141" s="113"/>
      <c r="G141" s="113"/>
      <c r="H141" s="113"/>
      <c r="I141" s="113"/>
      <c r="J141" s="113"/>
      <c r="K141" s="113"/>
      <c r="L141" s="113"/>
      <c r="M141" s="113"/>
      <c r="N141" s="96"/>
      <c r="O141" s="96"/>
      <c r="P141" s="96"/>
      <c r="Q141" s="96"/>
      <c r="R141" s="96"/>
      <c r="S141" s="96"/>
      <c r="T141" s="109"/>
      <c r="U141" s="109"/>
      <c r="V141" s="109"/>
      <c r="W141" s="109"/>
      <c r="X141" s="109"/>
      <c r="Y141" s="109"/>
      <c r="Z141" s="109"/>
      <c r="AA141" s="109"/>
      <c r="AB141" s="109"/>
      <c r="AC141" s="109"/>
      <c r="AD141" s="109"/>
      <c r="AE141" s="23"/>
      <c r="AF141" s="23"/>
      <c r="AG141" s="239"/>
      <c r="AH141" s="23"/>
      <c r="AI141" s="23"/>
      <c r="AJ141" s="23"/>
      <c r="AK141" s="23"/>
      <c r="AL141" s="23"/>
      <c r="AM141" s="23"/>
      <c r="AN141" s="23"/>
      <c r="AO141" s="23"/>
      <c r="AP141" s="23"/>
      <c r="AQ141" s="23"/>
      <c r="AR141" s="23"/>
      <c r="AS141" s="23"/>
      <c r="AT141" s="24"/>
      <c r="AU141" s="23"/>
      <c r="AV141" s="23"/>
      <c r="AW141" s="135"/>
      <c r="AX141" s="35"/>
      <c r="AY141" s="135"/>
      <c r="AZ141" s="35"/>
      <c r="BA141" s="23"/>
      <c r="BB141" s="28"/>
      <c r="BC141" s="28"/>
      <c r="BD141" s="28"/>
      <c r="BE141" s="23"/>
      <c r="BF141" s="28"/>
      <c r="BG141" s="28"/>
      <c r="BH141" s="28"/>
      <c r="BI141" s="96"/>
      <c r="BJ141" s="96"/>
      <c r="BK141" s="96"/>
      <c r="BL141" s="96"/>
      <c r="BM141" s="96"/>
      <c r="BN141" s="96"/>
      <c r="BO141" s="96"/>
      <c r="BP141" s="96"/>
      <c r="BQ141" s="96"/>
      <c r="BR141" s="96"/>
      <c r="BS141" s="96"/>
      <c r="BT141" s="96"/>
      <c r="BU141" s="96"/>
      <c r="BV141" s="96"/>
      <c r="BW141" s="96"/>
      <c r="BX141" s="96"/>
      <c r="BY141" s="96"/>
      <c r="BZ141" s="96"/>
      <c r="CA141" s="96"/>
      <c r="CB141" s="96"/>
      <c r="CC141" s="96"/>
      <c r="CD141" s="96"/>
      <c r="CE141" s="96"/>
      <c r="CF141" s="96"/>
      <c r="CG141" s="96"/>
      <c r="CH141" s="96"/>
      <c r="CI141" s="96"/>
      <c r="CJ141" s="96"/>
      <c r="CK141" s="96"/>
      <c r="CL141" s="96"/>
      <c r="CM141" s="96"/>
      <c r="CN141" s="96"/>
      <c r="CO141" s="96"/>
    </row>
    <row r="142" spans="1:93" s="2" customFormat="1" x14ac:dyDescent="0.3">
      <c r="A142" s="96"/>
      <c r="B142" s="102"/>
      <c r="C142" s="113"/>
      <c r="D142" s="96"/>
      <c r="E142" s="113"/>
      <c r="F142" s="113"/>
      <c r="G142" s="113"/>
      <c r="H142" s="113"/>
      <c r="I142" s="113"/>
      <c r="J142" s="113"/>
      <c r="K142" s="113"/>
      <c r="L142" s="113"/>
      <c r="M142" s="113"/>
      <c r="N142" s="96"/>
      <c r="O142" s="96"/>
      <c r="P142" s="96"/>
      <c r="Q142" s="96"/>
      <c r="R142" s="96"/>
      <c r="S142" s="96"/>
      <c r="T142" s="109"/>
      <c r="U142" s="109"/>
      <c r="V142" s="109"/>
      <c r="W142" s="109"/>
      <c r="X142" s="109"/>
      <c r="Y142" s="109"/>
      <c r="Z142" s="109"/>
      <c r="AA142" s="109"/>
      <c r="AB142" s="109"/>
      <c r="AC142" s="109"/>
      <c r="AD142" s="109"/>
      <c r="AE142" s="23"/>
      <c r="AF142" s="23"/>
      <c r="AG142" s="239"/>
      <c r="AH142" s="23"/>
      <c r="AI142" s="23"/>
      <c r="AJ142" s="23"/>
      <c r="AK142" s="23"/>
      <c r="AL142" s="23"/>
      <c r="AM142" s="23"/>
      <c r="AN142" s="23"/>
      <c r="AO142" s="23"/>
      <c r="AP142" s="23"/>
      <c r="AQ142" s="23"/>
      <c r="AR142" s="23"/>
      <c r="AS142" s="23"/>
      <c r="AT142" s="24"/>
      <c r="AU142" s="23"/>
      <c r="AV142" s="23"/>
      <c r="AW142" s="135"/>
      <c r="AX142" s="35"/>
      <c r="AY142" s="135"/>
      <c r="AZ142" s="35"/>
      <c r="BA142" s="23"/>
      <c r="BB142" s="28"/>
      <c r="BC142" s="28"/>
      <c r="BD142" s="28"/>
      <c r="BE142" s="23"/>
      <c r="BF142" s="28"/>
      <c r="BG142" s="28"/>
      <c r="BH142" s="28"/>
      <c r="BI142" s="96"/>
      <c r="BJ142" s="96"/>
      <c r="BK142" s="96"/>
      <c r="BL142" s="96"/>
      <c r="BM142" s="96"/>
      <c r="BN142" s="96"/>
      <c r="BO142" s="96"/>
      <c r="BP142" s="96"/>
      <c r="BQ142" s="96"/>
      <c r="BR142" s="96"/>
      <c r="BS142" s="96"/>
      <c r="BT142" s="96"/>
      <c r="BU142" s="96"/>
      <c r="BV142" s="96"/>
      <c r="BW142" s="96"/>
      <c r="BX142" s="96"/>
      <c r="BY142" s="96"/>
      <c r="BZ142" s="96"/>
      <c r="CA142" s="96"/>
      <c r="CB142" s="96"/>
      <c r="CC142" s="96"/>
      <c r="CD142" s="96"/>
      <c r="CE142" s="96"/>
      <c r="CF142" s="96"/>
      <c r="CG142" s="96"/>
      <c r="CH142" s="96"/>
      <c r="CI142" s="96"/>
      <c r="CJ142" s="96"/>
      <c r="CK142" s="96"/>
      <c r="CL142" s="96"/>
      <c r="CM142" s="96"/>
      <c r="CN142" s="96"/>
      <c r="CO142" s="96"/>
    </row>
    <row r="143" spans="1:93" s="2" customFormat="1" x14ac:dyDescent="0.3">
      <c r="A143" s="96"/>
      <c r="B143" s="102"/>
      <c r="C143" s="113"/>
      <c r="D143" s="96"/>
      <c r="E143" s="113"/>
      <c r="F143" s="113"/>
      <c r="G143" s="113"/>
      <c r="H143" s="113"/>
      <c r="I143" s="113"/>
      <c r="J143" s="113"/>
      <c r="K143" s="113"/>
      <c r="L143" s="113"/>
      <c r="M143" s="113"/>
      <c r="N143" s="96"/>
      <c r="O143" s="96"/>
      <c r="P143" s="96"/>
      <c r="Q143" s="96"/>
      <c r="R143" s="96"/>
      <c r="S143" s="96"/>
      <c r="T143" s="109"/>
      <c r="U143" s="109"/>
      <c r="V143" s="109"/>
      <c r="W143" s="109"/>
      <c r="X143" s="109"/>
      <c r="Y143" s="109"/>
      <c r="Z143" s="109"/>
      <c r="AA143" s="109"/>
      <c r="AB143" s="109"/>
      <c r="AC143" s="109"/>
      <c r="AD143" s="109"/>
      <c r="AE143" s="23"/>
      <c r="AF143" s="23"/>
      <c r="AG143" s="239"/>
      <c r="AH143" s="23"/>
      <c r="AI143" s="23"/>
      <c r="AJ143" s="23"/>
      <c r="AK143" s="23"/>
      <c r="AL143" s="23"/>
      <c r="AM143" s="23"/>
      <c r="AN143" s="23"/>
      <c r="AO143" s="23"/>
      <c r="AP143" s="23"/>
      <c r="AQ143" s="23"/>
      <c r="AR143" s="23"/>
      <c r="AS143" s="23"/>
      <c r="AT143" s="24"/>
      <c r="AU143" s="23"/>
      <c r="AV143" s="23"/>
      <c r="AW143" s="135"/>
      <c r="AX143" s="35"/>
      <c r="AY143" s="135"/>
      <c r="AZ143" s="35"/>
      <c r="BA143" s="23"/>
      <c r="BB143" s="28"/>
      <c r="BC143" s="28"/>
      <c r="BD143" s="28"/>
      <c r="BE143" s="23"/>
      <c r="BF143" s="28"/>
      <c r="BG143" s="28"/>
      <c r="BH143" s="28"/>
      <c r="BI143" s="96"/>
      <c r="BJ143" s="96"/>
      <c r="BK143" s="96"/>
      <c r="BL143" s="96"/>
      <c r="BM143" s="96"/>
      <c r="BN143" s="96"/>
      <c r="BO143" s="96"/>
      <c r="BP143" s="96"/>
      <c r="BQ143" s="96"/>
      <c r="BR143" s="96"/>
      <c r="BS143" s="96"/>
      <c r="BT143" s="96"/>
      <c r="BU143" s="96"/>
      <c r="BV143" s="96"/>
      <c r="BW143" s="96"/>
      <c r="BX143" s="96"/>
      <c r="BY143" s="96"/>
      <c r="BZ143" s="96"/>
      <c r="CA143" s="96"/>
      <c r="CB143" s="96"/>
      <c r="CC143" s="96"/>
      <c r="CD143" s="96"/>
      <c r="CE143" s="96"/>
      <c r="CF143" s="96"/>
      <c r="CG143" s="96"/>
      <c r="CH143" s="96"/>
      <c r="CI143" s="96"/>
      <c r="CJ143" s="96"/>
      <c r="CK143" s="96"/>
      <c r="CL143" s="96"/>
      <c r="CM143" s="96"/>
      <c r="CN143" s="96"/>
      <c r="CO143" s="96"/>
    </row>
    <row r="144" spans="1:93" s="2" customFormat="1" x14ac:dyDescent="0.3">
      <c r="A144" s="96"/>
      <c r="B144" s="102"/>
      <c r="C144" s="113"/>
      <c r="D144" s="96"/>
      <c r="E144" s="113"/>
      <c r="F144" s="113"/>
      <c r="G144" s="113"/>
      <c r="H144" s="113"/>
      <c r="I144" s="113"/>
      <c r="J144" s="113"/>
      <c r="K144" s="113"/>
      <c r="L144" s="113"/>
      <c r="M144" s="113"/>
      <c r="N144" s="96"/>
      <c r="O144" s="96"/>
      <c r="P144" s="96"/>
      <c r="Q144" s="96"/>
      <c r="R144" s="96"/>
      <c r="S144" s="96"/>
      <c r="T144" s="109"/>
      <c r="U144" s="109"/>
      <c r="V144" s="109"/>
      <c r="W144" s="109"/>
      <c r="X144" s="109"/>
      <c r="Y144" s="109"/>
      <c r="Z144" s="109"/>
      <c r="AA144" s="109"/>
      <c r="AB144" s="109"/>
      <c r="AC144" s="109"/>
      <c r="AD144" s="109"/>
      <c r="AE144" s="23"/>
      <c r="AF144" s="23"/>
      <c r="AG144" s="239"/>
      <c r="AH144" s="23"/>
      <c r="AI144" s="23"/>
      <c r="AJ144" s="23"/>
      <c r="AK144" s="23"/>
      <c r="AL144" s="23"/>
      <c r="AM144" s="23"/>
      <c r="AN144" s="23"/>
      <c r="AO144" s="23"/>
      <c r="AP144" s="23"/>
      <c r="AQ144" s="23"/>
      <c r="AR144" s="23"/>
      <c r="AS144" s="23"/>
      <c r="AT144" s="24"/>
      <c r="AU144" s="23"/>
      <c r="AV144" s="23"/>
      <c r="AW144" s="135"/>
      <c r="AX144" s="35"/>
      <c r="AY144" s="135"/>
      <c r="AZ144" s="35"/>
      <c r="BA144" s="23"/>
      <c r="BB144" s="28"/>
      <c r="BC144" s="28"/>
      <c r="BD144" s="28"/>
      <c r="BE144" s="23"/>
      <c r="BF144" s="28"/>
      <c r="BG144" s="28"/>
      <c r="BH144" s="28"/>
      <c r="BI144" s="96"/>
      <c r="BJ144" s="96"/>
      <c r="BK144" s="96"/>
      <c r="BL144" s="96"/>
      <c r="BM144" s="96"/>
      <c r="BN144" s="96"/>
      <c r="BO144" s="96"/>
      <c r="BP144" s="96"/>
      <c r="BQ144" s="96"/>
      <c r="BR144" s="96"/>
      <c r="BS144" s="96"/>
      <c r="BT144" s="96"/>
      <c r="BU144" s="96"/>
      <c r="BV144" s="96"/>
      <c r="BW144" s="96"/>
      <c r="BX144" s="96"/>
      <c r="BY144" s="96"/>
      <c r="BZ144" s="96"/>
      <c r="CA144" s="96"/>
      <c r="CB144" s="96"/>
      <c r="CC144" s="96"/>
      <c r="CD144" s="96"/>
      <c r="CE144" s="96"/>
      <c r="CF144" s="96"/>
      <c r="CG144" s="96"/>
      <c r="CH144" s="96"/>
      <c r="CI144" s="96"/>
      <c r="CJ144" s="96"/>
      <c r="CK144" s="96"/>
      <c r="CL144" s="96"/>
      <c r="CM144" s="96"/>
      <c r="CN144" s="96"/>
      <c r="CO144" s="96"/>
    </row>
    <row r="145" spans="1:93" s="2" customFormat="1" x14ac:dyDescent="0.3">
      <c r="A145" s="96"/>
      <c r="B145" s="102"/>
      <c r="C145" s="113"/>
      <c r="D145" s="96"/>
      <c r="E145" s="113"/>
      <c r="F145" s="113"/>
      <c r="G145" s="113"/>
      <c r="H145" s="113"/>
      <c r="I145" s="113"/>
      <c r="J145" s="113"/>
      <c r="K145" s="113"/>
      <c r="L145" s="113"/>
      <c r="M145" s="113"/>
      <c r="N145" s="96"/>
      <c r="O145" s="96"/>
      <c r="P145" s="96"/>
      <c r="Q145" s="96"/>
      <c r="R145" s="96"/>
      <c r="S145" s="96"/>
      <c r="T145" s="109"/>
      <c r="U145" s="109"/>
      <c r="V145" s="109"/>
      <c r="W145" s="109"/>
      <c r="X145" s="109"/>
      <c r="Y145" s="109"/>
      <c r="Z145" s="109"/>
      <c r="AA145" s="109"/>
      <c r="AB145" s="109"/>
      <c r="AC145" s="109"/>
      <c r="AD145" s="109"/>
      <c r="AE145" s="23"/>
      <c r="AF145" s="23"/>
      <c r="AG145" s="239"/>
      <c r="AH145" s="23"/>
      <c r="AI145" s="23"/>
      <c r="AJ145" s="23"/>
      <c r="AK145" s="23"/>
      <c r="AL145" s="23"/>
      <c r="AM145" s="23"/>
      <c r="AN145" s="23"/>
      <c r="AO145" s="23"/>
      <c r="AP145" s="23"/>
      <c r="AQ145" s="23"/>
      <c r="AR145" s="23"/>
      <c r="AS145" s="23"/>
      <c r="AT145" s="24"/>
      <c r="AU145" s="23"/>
      <c r="AV145" s="23"/>
      <c r="AW145" s="135"/>
      <c r="AX145" s="35"/>
      <c r="AY145" s="135"/>
      <c r="AZ145" s="35"/>
      <c r="BA145" s="23"/>
      <c r="BB145" s="28"/>
      <c r="BC145" s="28"/>
      <c r="BD145" s="28"/>
      <c r="BE145" s="23"/>
      <c r="BF145" s="28"/>
      <c r="BG145" s="28"/>
      <c r="BH145" s="28"/>
      <c r="BI145" s="96"/>
      <c r="BJ145" s="96"/>
      <c r="BK145" s="96"/>
      <c r="BL145" s="96"/>
      <c r="BM145" s="96"/>
      <c r="BN145" s="96"/>
      <c r="BO145" s="96"/>
      <c r="BP145" s="96"/>
      <c r="BQ145" s="96"/>
      <c r="BR145" s="96"/>
      <c r="BS145" s="96"/>
      <c r="BT145" s="96"/>
      <c r="BU145" s="96"/>
      <c r="BV145" s="96"/>
      <c r="BW145" s="96"/>
      <c r="BX145" s="96"/>
      <c r="BY145" s="96"/>
      <c r="BZ145" s="96"/>
      <c r="CA145" s="96"/>
      <c r="CB145" s="96"/>
      <c r="CC145" s="96"/>
      <c r="CD145" s="96"/>
      <c r="CE145" s="96"/>
      <c r="CF145" s="96"/>
      <c r="CG145" s="96"/>
      <c r="CH145" s="96"/>
      <c r="CI145" s="96"/>
      <c r="CJ145" s="96"/>
      <c r="CK145" s="96"/>
      <c r="CL145" s="96"/>
      <c r="CM145" s="96"/>
      <c r="CN145" s="96"/>
      <c r="CO145" s="96"/>
    </row>
    <row r="146" spans="1:93" s="2" customFormat="1" x14ac:dyDescent="0.3">
      <c r="A146" s="96"/>
      <c r="B146" s="102"/>
      <c r="C146" s="113"/>
      <c r="D146" s="96"/>
      <c r="E146" s="113"/>
      <c r="F146" s="113"/>
      <c r="G146" s="113"/>
      <c r="H146" s="113"/>
      <c r="I146" s="113"/>
      <c r="J146" s="113"/>
      <c r="K146" s="113"/>
      <c r="L146" s="113"/>
      <c r="M146" s="113"/>
      <c r="N146" s="96"/>
      <c r="O146" s="96"/>
      <c r="P146" s="96"/>
      <c r="Q146" s="96"/>
      <c r="R146" s="96"/>
      <c r="S146" s="96"/>
      <c r="T146" s="109"/>
      <c r="U146" s="109"/>
      <c r="V146" s="109"/>
      <c r="W146" s="109"/>
      <c r="X146" s="109"/>
      <c r="Y146" s="109"/>
      <c r="Z146" s="109"/>
      <c r="AA146" s="109"/>
      <c r="AB146" s="109"/>
      <c r="AC146" s="109"/>
      <c r="AD146" s="109"/>
      <c r="AE146" s="23"/>
      <c r="AF146" s="23"/>
      <c r="AG146" s="239"/>
      <c r="AH146" s="23"/>
      <c r="AI146" s="23"/>
      <c r="AJ146" s="23"/>
      <c r="AK146" s="23"/>
      <c r="AL146" s="23"/>
      <c r="AM146" s="23"/>
      <c r="AN146" s="23"/>
      <c r="AO146" s="23"/>
      <c r="AP146" s="23"/>
      <c r="AQ146" s="23"/>
      <c r="AR146" s="23"/>
      <c r="AS146" s="23"/>
      <c r="AT146" s="24"/>
      <c r="AU146" s="23"/>
      <c r="AV146" s="23"/>
      <c r="AW146" s="135"/>
      <c r="AX146" s="35"/>
      <c r="AY146" s="135"/>
      <c r="AZ146" s="35"/>
      <c r="BA146" s="23"/>
      <c r="BB146" s="28"/>
      <c r="BC146" s="28"/>
      <c r="BD146" s="28"/>
      <c r="BE146" s="23"/>
      <c r="BF146" s="28"/>
      <c r="BG146" s="28"/>
      <c r="BH146" s="28"/>
      <c r="BI146" s="96"/>
      <c r="BJ146" s="96"/>
      <c r="BK146" s="96"/>
      <c r="BL146" s="96"/>
      <c r="BM146" s="96"/>
      <c r="BN146" s="96"/>
      <c r="BO146" s="96"/>
      <c r="BP146" s="96"/>
      <c r="BQ146" s="96"/>
      <c r="BR146" s="96"/>
      <c r="BS146" s="96"/>
      <c r="BT146" s="96"/>
      <c r="BU146" s="96"/>
      <c r="BV146" s="96"/>
      <c r="BW146" s="96"/>
      <c r="BX146" s="96"/>
      <c r="BY146" s="96"/>
      <c r="BZ146" s="96"/>
      <c r="CA146" s="96"/>
      <c r="CB146" s="96"/>
      <c r="CC146" s="96"/>
      <c r="CD146" s="96"/>
      <c r="CE146" s="96"/>
      <c r="CF146" s="96"/>
      <c r="CG146" s="96"/>
      <c r="CH146" s="96"/>
      <c r="CI146" s="96"/>
      <c r="CJ146" s="96"/>
      <c r="CK146" s="96"/>
      <c r="CL146" s="96"/>
      <c r="CM146" s="96"/>
      <c r="CN146" s="96"/>
      <c r="CO146" s="96"/>
    </row>
    <row r="147" spans="1:93" s="2" customFormat="1" x14ac:dyDescent="0.3">
      <c r="A147" s="96"/>
      <c r="B147" s="102"/>
      <c r="C147" s="113"/>
      <c r="D147" s="96"/>
      <c r="E147" s="113"/>
      <c r="F147" s="113"/>
      <c r="G147" s="113"/>
      <c r="H147" s="113"/>
      <c r="I147" s="113"/>
      <c r="J147" s="113"/>
      <c r="K147" s="113"/>
      <c r="L147" s="113"/>
      <c r="M147" s="113"/>
      <c r="N147" s="96"/>
      <c r="O147" s="96"/>
      <c r="P147" s="96"/>
      <c r="Q147" s="96"/>
      <c r="R147" s="96"/>
      <c r="S147" s="96"/>
      <c r="T147" s="109"/>
      <c r="U147" s="109"/>
      <c r="V147" s="109"/>
      <c r="W147" s="109"/>
      <c r="X147" s="109"/>
      <c r="Y147" s="109"/>
      <c r="Z147" s="109"/>
      <c r="AA147" s="109"/>
      <c r="AB147" s="109"/>
      <c r="AC147" s="109"/>
      <c r="AD147" s="109"/>
      <c r="AE147" s="23"/>
      <c r="AF147" s="23"/>
      <c r="AG147" s="239"/>
      <c r="AH147" s="23"/>
      <c r="AI147" s="23"/>
      <c r="AJ147" s="23"/>
      <c r="AK147" s="23"/>
      <c r="AL147" s="23"/>
      <c r="AM147" s="23"/>
      <c r="AN147" s="23"/>
      <c r="AO147" s="23"/>
      <c r="AP147" s="23"/>
      <c r="AQ147" s="23"/>
      <c r="AR147" s="23"/>
      <c r="AS147" s="23"/>
      <c r="AT147" s="24"/>
      <c r="AU147" s="23"/>
      <c r="AV147" s="23"/>
      <c r="AW147" s="135"/>
      <c r="AX147" s="35"/>
      <c r="AY147" s="135"/>
      <c r="AZ147" s="35"/>
      <c r="BA147" s="23"/>
      <c r="BB147" s="28"/>
      <c r="BC147" s="28"/>
      <c r="BD147" s="28"/>
      <c r="BE147" s="23"/>
      <c r="BF147" s="28"/>
      <c r="BG147" s="28"/>
      <c r="BH147" s="28"/>
      <c r="BI147" s="96"/>
      <c r="BJ147" s="96"/>
      <c r="BK147" s="96"/>
      <c r="BL147" s="96"/>
      <c r="BM147" s="96"/>
      <c r="BN147" s="96"/>
      <c r="BO147" s="96"/>
      <c r="BP147" s="96"/>
      <c r="BQ147" s="96"/>
      <c r="BR147" s="96"/>
      <c r="BS147" s="96"/>
      <c r="BT147" s="96"/>
      <c r="BU147" s="96"/>
      <c r="BV147" s="96"/>
      <c r="BW147" s="96"/>
      <c r="BX147" s="96"/>
      <c r="BY147" s="96"/>
      <c r="BZ147" s="96"/>
      <c r="CA147" s="96"/>
      <c r="CB147" s="96"/>
      <c r="CC147" s="96"/>
      <c r="CD147" s="96"/>
      <c r="CE147" s="96"/>
      <c r="CF147" s="96"/>
      <c r="CG147" s="96"/>
      <c r="CH147" s="96"/>
      <c r="CI147" s="96"/>
      <c r="CJ147" s="96"/>
      <c r="CK147" s="96"/>
      <c r="CL147" s="96"/>
      <c r="CM147" s="96"/>
      <c r="CN147" s="96"/>
      <c r="CO147" s="96"/>
    </row>
    <row r="148" spans="1:93" s="2" customFormat="1" x14ac:dyDescent="0.3">
      <c r="A148" s="96"/>
      <c r="B148" s="102"/>
      <c r="C148" s="113"/>
      <c r="D148" s="96"/>
      <c r="E148" s="113"/>
      <c r="F148" s="113"/>
      <c r="G148" s="113"/>
      <c r="H148" s="113"/>
      <c r="I148" s="113"/>
      <c r="J148" s="113"/>
      <c r="K148" s="113"/>
      <c r="L148" s="113"/>
      <c r="M148" s="113"/>
      <c r="N148" s="96"/>
      <c r="O148" s="96"/>
      <c r="P148" s="96"/>
      <c r="Q148" s="96"/>
      <c r="R148" s="96"/>
      <c r="S148" s="96"/>
      <c r="T148" s="109"/>
      <c r="U148" s="109"/>
      <c r="V148" s="109"/>
      <c r="W148" s="109"/>
      <c r="X148" s="109"/>
      <c r="Y148" s="109"/>
      <c r="Z148" s="109"/>
      <c r="AA148" s="109"/>
      <c r="AB148" s="109"/>
      <c r="AC148" s="109"/>
      <c r="AD148" s="109"/>
      <c r="AE148" s="23"/>
      <c r="AF148" s="23"/>
      <c r="AG148" s="239"/>
      <c r="AH148" s="23"/>
      <c r="AI148" s="23"/>
      <c r="AJ148" s="23"/>
      <c r="AK148" s="23"/>
      <c r="AL148" s="23"/>
      <c r="AM148" s="23"/>
      <c r="AN148" s="23"/>
      <c r="AO148" s="23"/>
      <c r="AP148" s="23"/>
      <c r="AQ148" s="23"/>
      <c r="AR148" s="23"/>
      <c r="AS148" s="23"/>
      <c r="AT148" s="24"/>
      <c r="AU148" s="23"/>
      <c r="AV148" s="23"/>
      <c r="AW148" s="135"/>
      <c r="AX148" s="35"/>
      <c r="AY148" s="135"/>
      <c r="AZ148" s="35"/>
      <c r="BA148" s="23"/>
      <c r="BB148" s="28"/>
      <c r="BC148" s="28"/>
      <c r="BD148" s="28"/>
      <c r="BE148" s="23"/>
      <c r="BF148" s="28"/>
      <c r="BG148" s="28"/>
      <c r="BH148" s="28"/>
      <c r="BI148" s="96"/>
      <c r="BJ148" s="96"/>
      <c r="BK148" s="96"/>
      <c r="BL148" s="96"/>
      <c r="BM148" s="96"/>
      <c r="BN148" s="96"/>
      <c r="BO148" s="96"/>
      <c r="BP148" s="96"/>
      <c r="BQ148" s="96"/>
      <c r="BR148" s="96"/>
      <c r="BS148" s="96"/>
      <c r="BT148" s="96"/>
      <c r="BU148" s="96"/>
      <c r="BV148" s="96"/>
      <c r="BW148" s="96"/>
      <c r="BX148" s="96"/>
      <c r="BY148" s="96"/>
      <c r="BZ148" s="96"/>
      <c r="CA148" s="96"/>
      <c r="CB148" s="96"/>
      <c r="CC148" s="96"/>
      <c r="CD148" s="96"/>
      <c r="CE148" s="96"/>
      <c r="CF148" s="96"/>
      <c r="CG148" s="96"/>
      <c r="CH148" s="96"/>
      <c r="CI148" s="96"/>
      <c r="CJ148" s="96"/>
      <c r="CK148" s="96"/>
      <c r="CL148" s="96"/>
      <c r="CM148" s="96"/>
      <c r="CN148" s="96"/>
      <c r="CO148" s="96"/>
    </row>
    <row r="149" spans="1:93" s="2" customFormat="1" x14ac:dyDescent="0.3">
      <c r="A149" s="96"/>
      <c r="B149" s="102"/>
      <c r="C149" s="113"/>
      <c r="D149" s="96"/>
      <c r="E149" s="113"/>
      <c r="F149" s="113"/>
      <c r="G149" s="113"/>
      <c r="H149" s="113"/>
      <c r="I149" s="113"/>
      <c r="J149" s="113"/>
      <c r="K149" s="113"/>
      <c r="L149" s="113"/>
      <c r="M149" s="113"/>
      <c r="N149" s="96"/>
      <c r="O149" s="96"/>
      <c r="P149" s="96"/>
      <c r="Q149" s="96"/>
      <c r="R149" s="96"/>
      <c r="S149" s="96"/>
      <c r="T149" s="109"/>
      <c r="U149" s="109"/>
      <c r="V149" s="109"/>
      <c r="W149" s="109"/>
      <c r="X149" s="109"/>
      <c r="Y149" s="109"/>
      <c r="Z149" s="109"/>
      <c r="AA149" s="109"/>
      <c r="AB149" s="109"/>
      <c r="AC149" s="109"/>
      <c r="AD149" s="109"/>
      <c r="AE149" s="23"/>
      <c r="AF149" s="23"/>
      <c r="AG149" s="239"/>
      <c r="AH149" s="23"/>
      <c r="AI149" s="23"/>
      <c r="AJ149" s="23"/>
      <c r="AK149" s="23"/>
      <c r="AL149" s="23"/>
      <c r="AM149" s="23"/>
      <c r="AN149" s="23"/>
      <c r="AO149" s="23"/>
      <c r="AP149" s="23"/>
      <c r="AQ149" s="23"/>
      <c r="AR149" s="23"/>
      <c r="AS149" s="23"/>
      <c r="AT149" s="24"/>
      <c r="AU149" s="23"/>
      <c r="AV149" s="23"/>
      <c r="AW149" s="135"/>
      <c r="AX149" s="35"/>
      <c r="AY149" s="135"/>
      <c r="AZ149" s="35"/>
      <c r="BA149" s="23"/>
      <c r="BB149" s="28"/>
      <c r="BC149" s="28"/>
      <c r="BD149" s="28"/>
      <c r="BE149" s="23"/>
      <c r="BF149" s="28"/>
      <c r="BG149" s="28"/>
      <c r="BH149" s="28"/>
      <c r="BI149" s="96"/>
      <c r="BJ149" s="96"/>
      <c r="BK149" s="96"/>
      <c r="BL149" s="96"/>
      <c r="BM149" s="96"/>
      <c r="BN149" s="96"/>
      <c r="BO149" s="96"/>
      <c r="BP149" s="96"/>
      <c r="BQ149" s="96"/>
      <c r="BR149" s="96"/>
      <c r="BS149" s="96"/>
      <c r="BT149" s="96"/>
      <c r="BU149" s="96"/>
      <c r="BV149" s="96"/>
      <c r="BW149" s="96"/>
      <c r="BX149" s="96"/>
      <c r="BY149" s="96"/>
      <c r="BZ149" s="96"/>
      <c r="CA149" s="96"/>
      <c r="CB149" s="96"/>
      <c r="CC149" s="96"/>
      <c r="CD149" s="96"/>
      <c r="CE149" s="96"/>
      <c r="CF149" s="96"/>
      <c r="CG149" s="96"/>
      <c r="CH149" s="96"/>
      <c r="CI149" s="96"/>
      <c r="CJ149" s="96"/>
      <c r="CK149" s="96"/>
      <c r="CL149" s="96"/>
      <c r="CM149" s="96"/>
      <c r="CN149" s="96"/>
      <c r="CO149" s="96"/>
    </row>
    <row r="150" spans="1:93" s="2" customFormat="1" x14ac:dyDescent="0.3">
      <c r="A150" s="96"/>
      <c r="B150" s="102"/>
      <c r="C150" s="113"/>
      <c r="D150" s="96"/>
      <c r="E150" s="113"/>
      <c r="F150" s="113"/>
      <c r="G150" s="113"/>
      <c r="H150" s="113"/>
      <c r="I150" s="113"/>
      <c r="J150" s="113"/>
      <c r="K150" s="113"/>
      <c r="L150" s="113"/>
      <c r="M150" s="113"/>
      <c r="N150" s="96"/>
      <c r="O150" s="96"/>
      <c r="P150" s="96"/>
      <c r="Q150" s="96"/>
      <c r="R150" s="96"/>
      <c r="S150" s="96"/>
      <c r="T150" s="109"/>
      <c r="U150" s="109"/>
      <c r="V150" s="109"/>
      <c r="W150" s="109"/>
      <c r="X150" s="109"/>
      <c r="Y150" s="109"/>
      <c r="Z150" s="109"/>
      <c r="AA150" s="109"/>
      <c r="AB150" s="109"/>
      <c r="AC150" s="109"/>
      <c r="AD150" s="109"/>
      <c r="AE150" s="23"/>
      <c r="AF150" s="23"/>
      <c r="AG150" s="239"/>
      <c r="AH150" s="23"/>
      <c r="AI150" s="23"/>
      <c r="AJ150" s="23"/>
      <c r="AK150" s="23"/>
      <c r="AL150" s="23"/>
      <c r="AM150" s="23"/>
      <c r="AN150" s="23"/>
      <c r="AO150" s="23"/>
      <c r="AP150" s="23"/>
      <c r="AQ150" s="23"/>
      <c r="AR150" s="23"/>
      <c r="AS150" s="23"/>
      <c r="AT150" s="24"/>
      <c r="AU150" s="23"/>
      <c r="AV150" s="23"/>
      <c r="AW150" s="135"/>
      <c r="AX150" s="35"/>
      <c r="AY150" s="135"/>
      <c r="AZ150" s="35"/>
      <c r="BA150" s="23"/>
      <c r="BB150" s="28"/>
      <c r="BC150" s="28"/>
      <c r="BD150" s="28"/>
      <c r="BE150" s="23"/>
      <c r="BF150" s="28"/>
      <c r="BG150" s="28"/>
      <c r="BH150" s="28"/>
      <c r="BI150" s="96"/>
      <c r="BJ150" s="96"/>
      <c r="BK150" s="96"/>
      <c r="BL150" s="96"/>
      <c r="BM150" s="96"/>
      <c r="BN150" s="96"/>
      <c r="BO150" s="96"/>
      <c r="BP150" s="96"/>
      <c r="BQ150" s="96"/>
      <c r="BR150" s="96"/>
      <c r="BS150" s="96"/>
      <c r="BT150" s="96"/>
      <c r="BU150" s="96"/>
      <c r="BV150" s="96"/>
      <c r="BW150" s="96"/>
      <c r="BX150" s="96"/>
      <c r="BY150" s="96"/>
      <c r="BZ150" s="96"/>
      <c r="CA150" s="96"/>
      <c r="CB150" s="96"/>
      <c r="CC150" s="96"/>
      <c r="CD150" s="96"/>
      <c r="CE150" s="96"/>
      <c r="CF150" s="96"/>
      <c r="CG150" s="96"/>
      <c r="CH150" s="96"/>
      <c r="CI150" s="96"/>
      <c r="CJ150" s="96"/>
      <c r="CK150" s="96"/>
      <c r="CL150" s="96"/>
      <c r="CM150" s="96"/>
      <c r="CN150" s="96"/>
      <c r="CO150" s="96"/>
    </row>
    <row r="151" spans="1:93" s="2" customFormat="1" x14ac:dyDescent="0.3">
      <c r="A151" s="96"/>
      <c r="B151" s="102"/>
      <c r="C151" s="113"/>
      <c r="D151" s="96"/>
      <c r="E151" s="113"/>
      <c r="F151" s="113"/>
      <c r="G151" s="113"/>
      <c r="H151" s="113"/>
      <c r="I151" s="113"/>
      <c r="J151" s="113"/>
      <c r="K151" s="113"/>
      <c r="L151" s="113"/>
      <c r="M151" s="113"/>
      <c r="N151" s="96"/>
      <c r="O151" s="96"/>
      <c r="P151" s="96"/>
      <c r="Q151" s="96"/>
      <c r="R151" s="96"/>
      <c r="S151" s="96"/>
      <c r="T151" s="109"/>
      <c r="U151" s="109"/>
      <c r="V151" s="109"/>
      <c r="W151" s="109"/>
      <c r="X151" s="109"/>
      <c r="Y151" s="109"/>
      <c r="Z151" s="109"/>
      <c r="AA151" s="109"/>
      <c r="AB151" s="109"/>
      <c r="AC151" s="109"/>
      <c r="AD151" s="109"/>
      <c r="AE151" s="23"/>
      <c r="AF151" s="23"/>
      <c r="AG151" s="239"/>
      <c r="AH151" s="23"/>
      <c r="AI151" s="23"/>
      <c r="AJ151" s="23"/>
      <c r="AK151" s="23"/>
      <c r="AL151" s="23"/>
      <c r="AM151" s="23"/>
      <c r="AN151" s="23"/>
      <c r="AO151" s="23"/>
      <c r="AP151" s="23"/>
      <c r="AQ151" s="23"/>
      <c r="AR151" s="23"/>
      <c r="AS151" s="23"/>
      <c r="AT151" s="24"/>
      <c r="AU151" s="23"/>
      <c r="AV151" s="23"/>
      <c r="AW151" s="135"/>
      <c r="AX151" s="35"/>
      <c r="AY151" s="135"/>
      <c r="AZ151" s="35"/>
      <c r="BA151" s="23"/>
      <c r="BB151" s="28"/>
      <c r="BC151" s="28"/>
      <c r="BD151" s="28"/>
      <c r="BE151" s="23"/>
      <c r="BF151" s="28"/>
      <c r="BG151" s="28"/>
      <c r="BH151" s="28"/>
      <c r="BI151" s="96"/>
      <c r="BJ151" s="96"/>
      <c r="BK151" s="96"/>
      <c r="BL151" s="96"/>
      <c r="BM151" s="96"/>
      <c r="BN151" s="96"/>
      <c r="BO151" s="96"/>
      <c r="BP151" s="96"/>
      <c r="BQ151" s="96"/>
      <c r="BR151" s="96"/>
      <c r="BS151" s="96"/>
      <c r="BT151" s="96"/>
      <c r="BU151" s="96"/>
      <c r="BV151" s="96"/>
      <c r="BW151" s="96"/>
      <c r="BX151" s="96"/>
      <c r="BY151" s="96"/>
      <c r="BZ151" s="96"/>
      <c r="CA151" s="96"/>
      <c r="CB151" s="96"/>
      <c r="CC151" s="96"/>
      <c r="CD151" s="96"/>
      <c r="CE151" s="96"/>
      <c r="CF151" s="96"/>
      <c r="CG151" s="96"/>
      <c r="CH151" s="96"/>
      <c r="CI151" s="96"/>
      <c r="CJ151" s="96"/>
      <c r="CK151" s="96"/>
      <c r="CL151" s="96"/>
      <c r="CM151" s="96"/>
      <c r="CN151" s="96"/>
      <c r="CO151" s="96"/>
    </row>
    <row r="152" spans="1:93" x14ac:dyDescent="0.3">
      <c r="B152" s="102"/>
      <c r="C152" s="113"/>
      <c r="D152" s="96"/>
      <c r="E152" s="113"/>
      <c r="F152" s="113"/>
      <c r="G152" s="113"/>
      <c r="H152" s="113"/>
      <c r="I152" s="113"/>
      <c r="J152" s="113"/>
      <c r="K152" s="113"/>
      <c r="L152" s="113"/>
      <c r="X152" s="109"/>
      <c r="Y152" s="109"/>
      <c r="Z152" s="109"/>
      <c r="AA152" s="109"/>
      <c r="AB152" s="109"/>
      <c r="AC152" s="109"/>
      <c r="AD152" s="109"/>
    </row>
    <row r="153" spans="1:93" x14ac:dyDescent="0.3">
      <c r="B153" s="102"/>
      <c r="C153" s="113"/>
      <c r="D153" s="96"/>
      <c r="E153" s="113"/>
      <c r="F153" s="113"/>
      <c r="G153" s="113"/>
      <c r="H153" s="113"/>
      <c r="I153" s="113"/>
      <c r="J153" s="113"/>
      <c r="K153" s="113"/>
      <c r="L153" s="113"/>
      <c r="X153" s="109"/>
      <c r="Y153" s="109"/>
      <c r="Z153" s="109"/>
      <c r="AA153" s="109"/>
      <c r="AB153" s="109"/>
      <c r="AC153" s="109"/>
      <c r="AD153" s="109"/>
    </row>
    <row r="154" spans="1:93" x14ac:dyDescent="0.3">
      <c r="B154" s="102"/>
      <c r="C154" s="113"/>
      <c r="D154" s="96"/>
      <c r="E154" s="113"/>
      <c r="F154" s="113"/>
      <c r="G154" s="113"/>
      <c r="H154" s="113"/>
      <c r="I154" s="113"/>
      <c r="J154" s="113"/>
      <c r="K154" s="113"/>
      <c r="L154" s="113"/>
      <c r="X154" s="109"/>
      <c r="Y154" s="109"/>
      <c r="Z154" s="109"/>
      <c r="AA154" s="109"/>
      <c r="AB154" s="109"/>
      <c r="AC154" s="109"/>
      <c r="AD154" s="109"/>
    </row>
    <row r="155" spans="1:93" x14ac:dyDescent="0.3">
      <c r="B155" s="102"/>
      <c r="C155" s="113"/>
      <c r="D155" s="96"/>
      <c r="E155" s="113"/>
      <c r="F155" s="113"/>
      <c r="G155" s="113"/>
      <c r="H155" s="113"/>
      <c r="I155" s="113"/>
      <c r="J155" s="113"/>
      <c r="K155" s="113"/>
      <c r="L155" s="113"/>
      <c r="X155" s="109"/>
      <c r="Y155" s="109"/>
      <c r="Z155" s="109"/>
      <c r="AA155" s="109"/>
      <c r="AB155" s="109"/>
      <c r="AC155" s="109"/>
      <c r="AD155" s="109"/>
    </row>
    <row r="156" spans="1:93" x14ac:dyDescent="0.3">
      <c r="B156" s="102"/>
      <c r="C156" s="113"/>
      <c r="D156" s="96"/>
      <c r="E156" s="113"/>
      <c r="F156" s="113"/>
      <c r="G156" s="113"/>
      <c r="H156" s="113"/>
      <c r="I156" s="113"/>
      <c r="J156" s="113"/>
      <c r="K156" s="113"/>
      <c r="L156" s="113"/>
      <c r="X156" s="109"/>
      <c r="Y156" s="109"/>
      <c r="Z156" s="109"/>
      <c r="AA156" s="109"/>
      <c r="AB156" s="109"/>
      <c r="AC156" s="109"/>
      <c r="AD156" s="109"/>
    </row>
    <row r="157" spans="1:93" x14ac:dyDescent="0.3">
      <c r="B157" s="102"/>
      <c r="C157" s="113"/>
      <c r="D157" s="96"/>
      <c r="E157" s="113"/>
      <c r="F157" s="113"/>
      <c r="G157" s="113"/>
      <c r="H157" s="113"/>
      <c r="I157" s="113"/>
      <c r="J157" s="113"/>
      <c r="K157" s="113"/>
      <c r="L157" s="113"/>
      <c r="X157" s="109"/>
      <c r="Y157" s="109"/>
      <c r="Z157" s="109"/>
      <c r="AA157" s="109"/>
      <c r="AB157" s="109"/>
      <c r="AC157" s="109"/>
      <c r="AD157" s="109"/>
    </row>
    <row r="158" spans="1:93" x14ac:dyDescent="0.3">
      <c r="B158" s="102"/>
      <c r="C158" s="113"/>
      <c r="D158" s="96"/>
      <c r="E158" s="113"/>
      <c r="F158" s="113"/>
      <c r="G158" s="113"/>
      <c r="H158" s="113"/>
      <c r="I158" s="113"/>
      <c r="J158" s="113"/>
      <c r="K158" s="113"/>
      <c r="L158" s="113"/>
      <c r="X158" s="109"/>
      <c r="Y158" s="109"/>
      <c r="Z158" s="109"/>
      <c r="AA158" s="109"/>
      <c r="AB158" s="109"/>
      <c r="AC158" s="109"/>
      <c r="AD158" s="109"/>
    </row>
    <row r="159" spans="1:93" x14ac:dyDescent="0.3">
      <c r="B159" s="102"/>
      <c r="C159" s="113"/>
      <c r="D159" s="96"/>
      <c r="E159" s="113"/>
      <c r="F159" s="113"/>
      <c r="G159" s="113"/>
      <c r="H159" s="113"/>
      <c r="I159" s="113"/>
      <c r="J159" s="113"/>
      <c r="K159" s="113"/>
      <c r="L159" s="113"/>
      <c r="X159" s="109"/>
      <c r="Y159" s="109"/>
      <c r="Z159" s="109"/>
      <c r="AA159" s="109"/>
      <c r="AB159" s="109"/>
      <c r="AC159" s="109"/>
      <c r="AD159" s="109"/>
    </row>
    <row r="160" spans="1:93" x14ac:dyDescent="0.3">
      <c r="B160" s="102"/>
      <c r="C160" s="113"/>
      <c r="D160" s="96"/>
      <c r="E160" s="113"/>
      <c r="F160" s="113"/>
      <c r="G160" s="113"/>
      <c r="H160" s="113"/>
      <c r="I160" s="113"/>
      <c r="J160" s="113"/>
      <c r="K160" s="113"/>
      <c r="L160" s="113"/>
      <c r="X160" s="109"/>
      <c r="Y160" s="109"/>
      <c r="Z160" s="109"/>
      <c r="AA160" s="109"/>
      <c r="AB160" s="109"/>
      <c r="AC160" s="109"/>
      <c r="AD160" s="109"/>
    </row>
    <row r="161" spans="2:30" x14ac:dyDescent="0.3">
      <c r="B161" s="102"/>
      <c r="C161" s="113"/>
      <c r="D161" s="96"/>
      <c r="E161" s="113"/>
      <c r="F161" s="113"/>
      <c r="G161" s="113"/>
      <c r="H161" s="113"/>
      <c r="I161" s="113"/>
      <c r="J161" s="113"/>
      <c r="K161" s="113"/>
      <c r="L161" s="113"/>
      <c r="X161" s="109"/>
      <c r="Y161" s="109"/>
      <c r="Z161" s="109"/>
      <c r="AA161" s="109"/>
      <c r="AB161" s="109"/>
      <c r="AC161" s="109"/>
      <c r="AD161" s="109"/>
    </row>
    <row r="162" spans="2:30" x14ac:dyDescent="0.3">
      <c r="B162" s="102"/>
      <c r="C162" s="113"/>
      <c r="D162" s="96"/>
      <c r="E162" s="113"/>
      <c r="F162" s="113"/>
      <c r="G162" s="113"/>
      <c r="H162" s="113"/>
      <c r="I162" s="113"/>
      <c r="J162" s="113"/>
      <c r="K162" s="113"/>
      <c r="L162" s="113"/>
      <c r="X162" s="109"/>
      <c r="Y162" s="109"/>
      <c r="Z162" s="109"/>
      <c r="AA162" s="109"/>
      <c r="AB162" s="109"/>
      <c r="AC162" s="109"/>
      <c r="AD162" s="109"/>
    </row>
    <row r="163" spans="2:30" x14ac:dyDescent="0.3">
      <c r="B163" s="102"/>
      <c r="C163" s="113"/>
      <c r="D163" s="96"/>
      <c r="E163" s="113"/>
      <c r="F163" s="113"/>
      <c r="G163" s="113"/>
      <c r="H163" s="113"/>
      <c r="I163" s="113"/>
      <c r="J163" s="113"/>
      <c r="K163" s="113"/>
      <c r="L163" s="113"/>
      <c r="X163" s="109"/>
      <c r="Y163" s="109"/>
      <c r="Z163" s="109"/>
      <c r="AA163" s="109"/>
      <c r="AB163" s="109"/>
      <c r="AC163" s="109"/>
      <c r="AD163" s="109"/>
    </row>
    <row r="164" spans="2:30" x14ac:dyDescent="0.3">
      <c r="B164" s="102"/>
      <c r="C164" s="113"/>
      <c r="D164" s="96"/>
      <c r="E164" s="113"/>
      <c r="F164" s="113"/>
      <c r="G164" s="113"/>
      <c r="H164" s="113"/>
      <c r="I164" s="113"/>
      <c r="J164" s="113"/>
      <c r="K164" s="113"/>
      <c r="L164" s="113"/>
      <c r="X164" s="109"/>
      <c r="Y164" s="109"/>
      <c r="Z164" s="109"/>
      <c r="AA164" s="109"/>
      <c r="AB164" s="109"/>
      <c r="AC164" s="109"/>
      <c r="AD164" s="109"/>
    </row>
    <row r="165" spans="2:30" x14ac:dyDescent="0.3">
      <c r="B165" s="102"/>
      <c r="C165" s="113"/>
      <c r="D165" s="96"/>
      <c r="E165" s="113"/>
      <c r="F165" s="113"/>
      <c r="G165" s="113"/>
      <c r="H165" s="113"/>
      <c r="I165" s="113"/>
      <c r="J165" s="113"/>
      <c r="K165" s="113"/>
      <c r="L165" s="113"/>
      <c r="X165" s="109"/>
      <c r="Y165" s="109"/>
      <c r="Z165" s="109"/>
      <c r="AA165" s="109"/>
      <c r="AB165" s="109"/>
      <c r="AC165" s="109"/>
      <c r="AD165" s="109"/>
    </row>
    <row r="166" spans="2:30" x14ac:dyDescent="0.3">
      <c r="B166" s="102"/>
      <c r="C166" s="113"/>
      <c r="D166" s="96"/>
      <c r="E166" s="113"/>
      <c r="F166" s="113"/>
      <c r="G166" s="113"/>
      <c r="H166" s="113"/>
      <c r="I166" s="113"/>
      <c r="J166" s="113"/>
      <c r="K166" s="113"/>
      <c r="L166" s="113"/>
      <c r="X166" s="109"/>
      <c r="Y166" s="109"/>
      <c r="Z166" s="109"/>
      <c r="AA166" s="109"/>
      <c r="AB166" s="109"/>
      <c r="AC166" s="109"/>
      <c r="AD166" s="109"/>
    </row>
    <row r="167" spans="2:30" x14ac:dyDescent="0.3">
      <c r="B167" s="102"/>
      <c r="C167" s="113"/>
      <c r="D167" s="96"/>
      <c r="E167" s="113"/>
      <c r="F167" s="113"/>
      <c r="G167" s="113"/>
      <c r="H167" s="113"/>
      <c r="I167" s="113"/>
      <c r="J167" s="113"/>
      <c r="K167" s="113"/>
      <c r="L167" s="113"/>
      <c r="X167" s="109"/>
      <c r="Y167" s="109"/>
      <c r="Z167" s="109"/>
      <c r="AA167" s="109"/>
      <c r="AB167" s="109"/>
      <c r="AC167" s="109"/>
      <c r="AD167" s="109"/>
    </row>
    <row r="168" spans="2:30" x14ac:dyDescent="0.3">
      <c r="B168" s="102"/>
      <c r="C168" s="113"/>
      <c r="D168" s="96"/>
      <c r="E168" s="113"/>
      <c r="F168" s="113"/>
      <c r="G168" s="113"/>
      <c r="H168" s="113"/>
      <c r="I168" s="113"/>
      <c r="J168" s="113"/>
      <c r="K168" s="113"/>
      <c r="L168" s="113"/>
      <c r="X168" s="109"/>
      <c r="Y168" s="109"/>
      <c r="Z168" s="109"/>
      <c r="AA168" s="109"/>
      <c r="AB168" s="109"/>
      <c r="AC168" s="109"/>
      <c r="AD168" s="109"/>
    </row>
    <row r="169" spans="2:30" x14ac:dyDescent="0.3">
      <c r="B169" s="102"/>
      <c r="C169" s="113"/>
      <c r="D169" s="96"/>
      <c r="E169" s="113"/>
      <c r="F169" s="113"/>
      <c r="G169" s="113"/>
      <c r="H169" s="113"/>
      <c r="I169" s="113"/>
      <c r="J169" s="113"/>
      <c r="K169" s="113"/>
      <c r="L169" s="113"/>
      <c r="X169" s="109"/>
      <c r="Y169" s="109"/>
      <c r="Z169" s="109"/>
      <c r="AA169" s="109"/>
      <c r="AB169" s="109"/>
      <c r="AC169" s="109"/>
      <c r="AD169" s="109"/>
    </row>
  </sheetData>
  <sheetProtection algorithmName="SHA-512" hashValue="jz/BwH/CCYF+ZZgcNpGIpB8mnI5JGOGxpSrkPpkRfd37h1SlCZyVao80DhdHZ45Ff15UIfHFbbu7euOvgLu4Pg==" saltValue="uME74ZsC/KnDfYsUbqz3WQ==" spinCount="100000" sheet="1" objects="1" scenarios="1"/>
  <mergeCells count="32">
    <mergeCell ref="X80:AD80"/>
    <mergeCell ref="J15:M15"/>
    <mergeCell ref="I80:K80"/>
    <mergeCell ref="L80:M80"/>
    <mergeCell ref="I48:K48"/>
    <mergeCell ref="L48:M48"/>
    <mergeCell ref="N48:W48"/>
    <mergeCell ref="N80:W80"/>
    <mergeCell ref="B1:R1"/>
    <mergeCell ref="H4:R9"/>
    <mergeCell ref="H11:R11"/>
    <mergeCell ref="H12:R12"/>
    <mergeCell ref="X48:AD48"/>
    <mergeCell ref="H14:O14"/>
    <mergeCell ref="P14:R14"/>
    <mergeCell ref="E3:G3"/>
    <mergeCell ref="B27:B43"/>
    <mergeCell ref="D35:F43"/>
    <mergeCell ref="D31:F33"/>
    <mergeCell ref="D27:F29"/>
    <mergeCell ref="B48:F48"/>
    <mergeCell ref="D21:F22"/>
    <mergeCell ref="D23:F23"/>
    <mergeCell ref="D24:F24"/>
    <mergeCell ref="B5:B17"/>
    <mergeCell ref="BA49:BD49"/>
    <mergeCell ref="BE49:BH49"/>
    <mergeCell ref="AO49:AP49"/>
    <mergeCell ref="AW49:AX49"/>
    <mergeCell ref="AY49:AZ49"/>
    <mergeCell ref="B21:B25"/>
    <mergeCell ref="D25:F25"/>
  </mergeCells>
  <phoneticPr fontId="5" type="noConversion"/>
  <conditionalFormatting sqref="H16:R46">
    <cfRule type="expression" dxfId="31" priority="1">
      <formula>$H16="Secret"</formula>
    </cfRule>
    <cfRule type="expression" dxfId="30" priority="2">
      <formula>$H16="Disclosed"</formula>
    </cfRule>
    <cfRule type="expression" dxfId="29" priority="3">
      <formula>$H16="Achieved"</formula>
    </cfRule>
  </conditionalFormatting>
  <conditionalFormatting sqref="AR52:AR72">
    <cfRule type="colorScale" priority="22">
      <colorScale>
        <cfvo type="min"/>
        <cfvo type="percentile" val="50"/>
        <cfvo type="max"/>
        <color rgb="FFF8696B"/>
        <color rgb="FFFFEB84"/>
        <color rgb="FF63BE7B"/>
      </colorScale>
    </cfRule>
  </conditionalFormatting>
  <hyperlinks>
    <hyperlink ref="D19" r:id="rId1" xr:uid="{83316919-0071-4D35-A8DA-3C048D720234}"/>
    <hyperlink ref="F19" r:id="rId2" xr:uid="{E4D0238C-DB56-4795-B8D5-1183EE7FC27E}"/>
    <hyperlink ref="H12" r:id="rId3" xr:uid="{6AB3FC26-A084-4D58-82CC-61CB4042482B}"/>
    <hyperlink ref="F18" r:id="rId4" xr:uid="{CF32E606-379D-4618-B229-15EA2638EEF8}"/>
  </hyperlinks>
  <pageMargins left="0.15748031496062992" right="3.937007874015748E-2" top="0.35433070866141736" bottom="0.11811023622047245" header="0.11811023622047245" footer="7.874015748031496E-2"/>
  <pageSetup paperSize="9" scale="41" fitToHeight="0" orientation="landscape" r:id="rId5"/>
  <rowBreaks count="1" manualBreakCount="1">
    <brk id="79" max="30" man="1"/>
  </rowBreaks>
  <drawing r:id="rId6"/>
  <legacy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4982B-0226-4FC4-B481-9BD26DD7F965}">
  <sheetPr codeName="Tabelle1">
    <tabColor rgb="FF92D050"/>
  </sheetPr>
  <dimension ref="A1:AZ243"/>
  <sheetViews>
    <sheetView showGridLines="0" zoomScaleNormal="100" workbookViewId="0">
      <pane xSplit="3" ySplit="7" topLeftCell="D8" activePane="bottomRight" state="frozen"/>
      <selection pane="topRight" activeCell="D1" sqref="D1"/>
      <selection pane="bottomLeft" activeCell="A12" sqref="A12"/>
      <selection pane="bottomRight" activeCell="B8" sqref="B8"/>
    </sheetView>
  </sheetViews>
  <sheetFormatPr baseColWidth="10" defaultRowHeight="15" outlineLevelRow="1" outlineLevelCol="1" x14ac:dyDescent="0.3"/>
  <cols>
    <col min="1" max="1" width="1.28515625" style="96" customWidth="1"/>
    <col min="2" max="2" width="18.5703125" style="86" customWidth="1"/>
    <col min="3" max="3" width="63.140625" style="47" customWidth="1"/>
    <col min="4" max="7" width="7.28515625" style="87" customWidth="1"/>
    <col min="8" max="8" width="36.28515625" style="47" customWidth="1"/>
    <col min="9" max="9" width="12.42578125" style="541" customWidth="1"/>
    <col min="10" max="10" width="13.7109375" style="541" customWidth="1"/>
    <col min="11" max="14" width="13.7109375" style="87" customWidth="1"/>
    <col min="15" max="19" width="13.7109375" style="87" hidden="1" customWidth="1" outlineLevel="1"/>
    <col min="20" max="20" width="13.7109375" style="87" customWidth="1" collapsed="1"/>
    <col min="21" max="21" width="10.140625" style="526" customWidth="1"/>
    <col min="22" max="22" width="10.140625" style="88" customWidth="1"/>
    <col min="23" max="23" width="10.140625" style="89" hidden="1" customWidth="1" outlineLevel="1"/>
    <col min="24" max="24" width="49.7109375" style="90" bestFit="1" customWidth="1" collapsed="1"/>
    <col min="25" max="25" width="11.42578125" style="96"/>
    <col min="26" max="26" width="11.42578125" style="2" hidden="1" customWidth="1" outlineLevel="1"/>
    <col min="27" max="27" width="11.42578125" style="843" hidden="1" customWidth="1" outlineLevel="1"/>
    <col min="28" max="28" width="11.42578125" style="2" hidden="1" customWidth="1" outlineLevel="1"/>
    <col min="29" max="29" width="11.42578125" style="96" collapsed="1"/>
    <col min="30" max="52" width="11.42578125" style="96"/>
    <col min="53" max="16384" width="11.42578125" style="47"/>
  </cols>
  <sheetData>
    <row r="1" spans="1:52" s="96" customFormat="1" ht="24" thickBot="1" x14ac:dyDescent="0.35">
      <c r="B1" s="874" t="str">
        <f>'Overview &amp; instructions'!B1:F1</f>
        <v>The “Aventuria: The Adventure Board Game - Chalices of Power and Curse of the Desert” crowdfunding guide       by       Hinter dem Schwarzen Auge (Behind the Dark Eye)</v>
      </c>
      <c r="C1" s="875"/>
      <c r="D1" s="875"/>
      <c r="E1" s="875"/>
      <c r="F1" s="875"/>
      <c r="G1" s="875"/>
      <c r="H1" s="875"/>
      <c r="I1" s="875"/>
      <c r="J1" s="875"/>
      <c r="K1" s="875"/>
      <c r="L1" s="875"/>
      <c r="M1" s="875"/>
      <c r="N1" s="875"/>
      <c r="O1" s="875"/>
      <c r="P1" s="875"/>
      <c r="Q1" s="875"/>
      <c r="R1" s="875"/>
      <c r="S1" s="875"/>
      <c r="T1" s="875"/>
      <c r="U1" s="875"/>
      <c r="V1" s="875"/>
      <c r="W1" s="875"/>
      <c r="X1" s="876"/>
      <c r="Z1" s="458" t="s">
        <v>2</v>
      </c>
      <c r="AA1" s="843"/>
      <c r="AB1" s="2"/>
      <c r="AG1" s="100"/>
      <c r="AH1" s="101"/>
      <c r="AI1" s="101"/>
      <c r="AJ1" s="100"/>
      <c r="AK1" s="101"/>
      <c r="AL1" s="101"/>
      <c r="AM1" s="100"/>
    </row>
    <row r="2" spans="1:52" s="2" customFormat="1" ht="4.5" customHeight="1" thickBot="1" x14ac:dyDescent="0.35">
      <c r="A2" s="96"/>
      <c r="B2" s="96"/>
      <c r="C2" s="96"/>
      <c r="D2" s="113"/>
      <c r="E2" s="113"/>
      <c r="F2" s="113"/>
      <c r="G2" s="113"/>
      <c r="H2" s="96"/>
      <c r="I2" s="524"/>
      <c r="J2" s="529"/>
      <c r="K2" s="114"/>
      <c r="L2" s="114"/>
      <c r="M2" s="114"/>
      <c r="N2" s="114"/>
      <c r="O2" s="114"/>
      <c r="P2" s="114"/>
      <c r="Q2" s="114"/>
      <c r="R2" s="114"/>
      <c r="S2" s="114"/>
      <c r="T2" s="114"/>
      <c r="U2" s="100"/>
      <c r="V2" s="96"/>
      <c r="W2" s="96"/>
      <c r="X2" s="96"/>
      <c r="Y2" s="96"/>
      <c r="AA2" s="843"/>
      <c r="AC2" s="96"/>
      <c r="AD2" s="96"/>
      <c r="AE2" s="96"/>
      <c r="AF2" s="96"/>
      <c r="AG2" s="100"/>
      <c r="AH2" s="101"/>
      <c r="AI2" s="101"/>
      <c r="AJ2" s="100"/>
      <c r="AK2" s="101"/>
      <c r="AL2" s="101"/>
      <c r="AM2" s="100"/>
      <c r="AN2" s="96"/>
      <c r="AO2" s="96"/>
      <c r="AP2" s="96"/>
      <c r="AQ2" s="96"/>
      <c r="AR2" s="96"/>
      <c r="AS2" s="96"/>
      <c r="AT2" s="96"/>
      <c r="AU2" s="96"/>
      <c r="AV2" s="96"/>
      <c r="AW2" s="96"/>
      <c r="AX2" s="96"/>
      <c r="AY2" s="96"/>
      <c r="AZ2" s="96"/>
    </row>
    <row r="3" spans="1:52" s="36" customFormat="1" ht="50.25" customHeight="1" thickBot="1" x14ac:dyDescent="0.35">
      <c r="A3" s="97"/>
      <c r="B3" s="947" t="s">
        <v>702</v>
      </c>
      <c r="C3" s="948"/>
      <c r="D3" s="951"/>
      <c r="E3" s="951"/>
      <c r="F3" s="951"/>
      <c r="G3" s="951"/>
      <c r="H3" s="951"/>
      <c r="I3" s="939" t="s">
        <v>704</v>
      </c>
      <c r="J3" s="530" t="s">
        <v>705</v>
      </c>
      <c r="K3" s="485" t="s">
        <v>826</v>
      </c>
      <c r="L3" s="485" t="s">
        <v>706</v>
      </c>
      <c r="M3" s="485" t="s">
        <v>415</v>
      </c>
      <c r="N3" s="485" t="s">
        <v>416</v>
      </c>
      <c r="O3" s="485"/>
      <c r="P3" s="485"/>
      <c r="Q3" s="485"/>
      <c r="R3" s="485"/>
      <c r="S3" s="485"/>
      <c r="T3" s="517" t="s">
        <v>417</v>
      </c>
      <c r="U3" s="952" t="s">
        <v>941</v>
      </c>
      <c r="V3" s="953"/>
      <c r="W3" s="953"/>
      <c r="X3" s="954"/>
      <c r="Y3" s="97"/>
      <c r="Z3" s="458" t="s">
        <v>2</v>
      </c>
      <c r="AA3" s="844"/>
      <c r="AC3" s="97"/>
      <c r="AD3" s="97"/>
      <c r="AE3" s="97"/>
      <c r="AF3" s="97"/>
      <c r="AG3" s="100"/>
      <c r="AH3" s="101"/>
      <c r="AI3" s="101"/>
      <c r="AJ3" s="100"/>
      <c r="AK3" s="101"/>
      <c r="AL3" s="101"/>
      <c r="AM3" s="100"/>
      <c r="AN3" s="97"/>
      <c r="AO3" s="97"/>
      <c r="AP3" s="97"/>
      <c r="AQ3" s="97"/>
      <c r="AR3" s="97"/>
      <c r="AS3" s="97"/>
      <c r="AT3" s="97"/>
      <c r="AU3" s="97"/>
      <c r="AV3" s="97"/>
      <c r="AW3" s="97"/>
      <c r="AX3" s="97"/>
      <c r="AY3" s="97"/>
      <c r="AZ3" s="97"/>
    </row>
    <row r="4" spans="1:52" s="2" customFormat="1" ht="33.75" customHeight="1" thickBot="1" x14ac:dyDescent="0.35">
      <c r="A4" s="96"/>
      <c r="B4" s="949" t="s">
        <v>0</v>
      </c>
      <c r="C4" s="188"/>
      <c r="D4" s="951"/>
      <c r="E4" s="951"/>
      <c r="F4" s="951"/>
      <c r="G4" s="951"/>
      <c r="H4" s="951"/>
      <c r="I4" s="940"/>
      <c r="J4" s="515"/>
      <c r="K4" s="515" t="s">
        <v>414</v>
      </c>
      <c r="L4" s="515" t="s">
        <v>707</v>
      </c>
      <c r="M4" s="515"/>
      <c r="N4" s="515"/>
      <c r="O4" s="515"/>
      <c r="P4" s="515"/>
      <c r="Q4" s="515"/>
      <c r="R4" s="515"/>
      <c r="S4" s="515"/>
      <c r="T4" s="518" t="s">
        <v>708</v>
      </c>
      <c r="U4" s="955"/>
      <c r="V4" s="956"/>
      <c r="W4" s="956"/>
      <c r="X4" s="957"/>
      <c r="Y4" s="96"/>
      <c r="Z4" s="458" t="s">
        <v>2</v>
      </c>
      <c r="AA4" s="843"/>
      <c r="AC4" s="96"/>
      <c r="AD4" s="96"/>
      <c r="AE4" s="96"/>
      <c r="AF4" s="96"/>
      <c r="AG4" s="100"/>
      <c r="AH4" s="101"/>
      <c r="AI4" s="101"/>
      <c r="AJ4" s="100"/>
      <c r="AK4" s="101"/>
      <c r="AL4" s="101"/>
      <c r="AM4" s="100"/>
      <c r="AN4" s="96"/>
      <c r="AO4" s="96"/>
      <c r="AP4" s="96"/>
      <c r="AQ4" s="96"/>
      <c r="AR4" s="96"/>
      <c r="AS4" s="96"/>
      <c r="AT4" s="96"/>
      <c r="AU4" s="96"/>
      <c r="AV4" s="96"/>
      <c r="AW4" s="96"/>
      <c r="AX4" s="96"/>
      <c r="AY4" s="96"/>
      <c r="AZ4" s="96"/>
    </row>
    <row r="5" spans="1:52" s="37" customFormat="1" ht="18.75" customHeight="1" thickBot="1" x14ac:dyDescent="0.35">
      <c r="A5" s="98"/>
      <c r="B5" s="950"/>
      <c r="C5" s="190"/>
      <c r="D5" s="190"/>
      <c r="E5" s="190"/>
      <c r="F5" s="190"/>
      <c r="G5" s="190"/>
      <c r="H5" s="487"/>
      <c r="I5" s="486"/>
      <c r="J5" s="590"/>
      <c r="K5" s="486"/>
      <c r="L5" s="486"/>
      <c r="M5" s="486"/>
      <c r="N5" s="486"/>
      <c r="O5" s="486"/>
      <c r="P5" s="486"/>
      <c r="Q5" s="486"/>
      <c r="R5" s="486"/>
      <c r="S5" s="486"/>
      <c r="T5" s="519"/>
      <c r="U5" s="958"/>
      <c r="V5" s="959"/>
      <c r="W5" s="959"/>
      <c r="X5" s="960"/>
      <c r="Y5" s="96"/>
      <c r="Z5" s="458" t="s">
        <v>2</v>
      </c>
      <c r="AA5" s="844"/>
      <c r="AC5" s="98"/>
      <c r="AD5" s="98"/>
      <c r="AE5" s="98"/>
      <c r="AF5" s="98"/>
      <c r="AG5" s="100"/>
      <c r="AH5" s="101"/>
      <c r="AI5" s="101"/>
      <c r="AJ5" s="100"/>
      <c r="AK5" s="101"/>
      <c r="AL5" s="101"/>
      <c r="AM5" s="100"/>
      <c r="AN5" s="98"/>
      <c r="AO5" s="98"/>
      <c r="AP5" s="98"/>
      <c r="AQ5" s="98"/>
      <c r="AR5" s="98"/>
      <c r="AS5" s="98"/>
      <c r="AT5" s="98"/>
      <c r="AU5" s="98"/>
      <c r="AV5" s="98"/>
      <c r="AW5" s="98"/>
      <c r="AX5" s="98"/>
      <c r="AY5" s="98"/>
      <c r="AZ5" s="98"/>
    </row>
    <row r="6" spans="1:52" s="37" customFormat="1" ht="18.75" thickBot="1" x14ac:dyDescent="0.35">
      <c r="A6" s="98"/>
      <c r="B6" s="107"/>
      <c r="C6" s="208"/>
      <c r="D6" s="208"/>
      <c r="E6" s="208"/>
      <c r="F6" s="208"/>
      <c r="G6" s="208"/>
      <c r="H6" s="482"/>
      <c r="I6" s="483"/>
      <c r="J6" s="483"/>
      <c r="K6" s="483"/>
      <c r="L6" s="483"/>
      <c r="M6" s="483"/>
      <c r="N6" s="483"/>
      <c r="O6" s="483"/>
      <c r="P6" s="483"/>
      <c r="Q6" s="483"/>
      <c r="R6" s="483"/>
      <c r="S6" s="483"/>
      <c r="T6" s="484"/>
      <c r="U6" s="101"/>
      <c r="V6" s="816">
        <v>0.19</v>
      </c>
      <c r="X6" s="817" t="s">
        <v>703</v>
      </c>
      <c r="Y6" s="96"/>
      <c r="Z6" s="458" t="s">
        <v>2</v>
      </c>
      <c r="AA6" s="844"/>
      <c r="AC6" s="98"/>
      <c r="AD6" s="98"/>
      <c r="AE6" s="98"/>
      <c r="AF6" s="98"/>
      <c r="AG6" s="100"/>
      <c r="AH6" s="101"/>
      <c r="AI6" s="101"/>
      <c r="AJ6" s="100"/>
      <c r="AK6" s="101"/>
      <c r="AL6" s="101"/>
      <c r="AM6" s="100"/>
      <c r="AN6" s="98"/>
      <c r="AO6" s="98"/>
      <c r="AP6" s="98"/>
      <c r="AQ6" s="98"/>
      <c r="AR6" s="98"/>
      <c r="AS6" s="98"/>
      <c r="AT6" s="98"/>
      <c r="AU6" s="98"/>
      <c r="AV6" s="98"/>
      <c r="AW6" s="98"/>
      <c r="AX6" s="98"/>
      <c r="AY6" s="98"/>
      <c r="AZ6" s="98"/>
    </row>
    <row r="7" spans="1:52" s="39" customFormat="1" ht="60.75" thickBot="1" x14ac:dyDescent="0.35">
      <c r="A7" s="97"/>
      <c r="B7" s="663" t="s">
        <v>709</v>
      </c>
      <c r="C7" s="246" t="s">
        <v>821</v>
      </c>
      <c r="D7" s="600" t="s">
        <v>710</v>
      </c>
      <c r="E7" s="600" t="s">
        <v>711</v>
      </c>
      <c r="F7" s="600" t="s">
        <v>712</v>
      </c>
      <c r="G7" s="600" t="s">
        <v>713</v>
      </c>
      <c r="H7" s="247" t="s">
        <v>714</v>
      </c>
      <c r="I7" s="531" t="s">
        <v>97</v>
      </c>
      <c r="J7" s="531" t="s">
        <v>97</v>
      </c>
      <c r="K7" s="248">
        <f>ROUND(40*(1+$V$6),2)</f>
        <v>47.6</v>
      </c>
      <c r="L7" s="248">
        <f>ROUND(80*(1+$V$6),2)</f>
        <v>95.2</v>
      </c>
      <c r="M7" s="248">
        <f>ROUND(115*(1+$V$6),2)</f>
        <v>136.85</v>
      </c>
      <c r="N7" s="248">
        <f>ROUND(150*(1+$V$6),2)</f>
        <v>178.5</v>
      </c>
      <c r="O7" s="249"/>
      <c r="P7" s="249"/>
      <c r="Q7" s="249"/>
      <c r="R7" s="249"/>
      <c r="S7" s="250"/>
      <c r="T7" s="248">
        <f>ROUND(190*(1+$V$6),2)</f>
        <v>226.1</v>
      </c>
      <c r="U7" s="520" t="s">
        <v>715</v>
      </c>
      <c r="V7" s="700" t="s">
        <v>716</v>
      </c>
      <c r="W7" s="128" t="s">
        <v>717</v>
      </c>
      <c r="X7" s="141" t="s">
        <v>718</v>
      </c>
      <c r="Y7" s="96"/>
      <c r="Z7" s="458" t="s">
        <v>2</v>
      </c>
      <c r="AA7" s="844"/>
      <c r="AB7" s="36"/>
      <c r="AC7" s="97"/>
      <c r="AD7" s="97"/>
      <c r="AE7" s="97"/>
      <c r="AF7" s="97"/>
      <c r="AG7" s="100"/>
      <c r="AH7" s="101"/>
      <c r="AI7" s="101"/>
      <c r="AJ7" s="100"/>
      <c r="AK7" s="101"/>
      <c r="AL7" s="101"/>
      <c r="AM7" s="100"/>
      <c r="AN7" s="97"/>
      <c r="AO7" s="97"/>
      <c r="AP7" s="97"/>
      <c r="AQ7" s="97"/>
      <c r="AR7" s="97"/>
      <c r="AS7" s="97"/>
      <c r="AT7" s="97"/>
      <c r="AU7" s="97"/>
      <c r="AV7" s="97"/>
      <c r="AW7" s="97"/>
      <c r="AX7" s="97"/>
      <c r="AY7" s="97"/>
      <c r="AZ7" s="97"/>
    </row>
    <row r="8" spans="1:52" s="635" customFormat="1" ht="18.75" thickBot="1" x14ac:dyDescent="0.35">
      <c r="A8" s="193"/>
      <c r="B8" s="666"/>
      <c r="C8" s="667" t="s">
        <v>773</v>
      </c>
      <c r="D8" s="668" t="s">
        <v>614</v>
      </c>
      <c r="E8" s="668">
        <v>6</v>
      </c>
      <c r="F8" s="668">
        <v>11</v>
      </c>
      <c r="G8" s="668">
        <v>30</v>
      </c>
      <c r="H8" s="669" t="s">
        <v>765</v>
      </c>
      <c r="I8" s="681" t="s">
        <v>750</v>
      </c>
      <c r="J8" s="681" t="s">
        <v>593</v>
      </c>
      <c r="K8" s="681" t="s">
        <v>593</v>
      </c>
      <c r="L8" s="671" t="s">
        <v>2</v>
      </c>
      <c r="M8" s="671" t="s">
        <v>2</v>
      </c>
      <c r="N8" s="671" t="s">
        <v>2</v>
      </c>
      <c r="O8" s="670"/>
      <c r="P8" s="670"/>
      <c r="Q8" s="670"/>
      <c r="R8" s="670"/>
      <c r="S8" s="670"/>
      <c r="T8" s="671" t="s">
        <v>2</v>
      </c>
      <c r="U8" s="672">
        <v>80</v>
      </c>
      <c r="V8" s="673">
        <f>ROUND(U8*(1+$V$6),2)</f>
        <v>95.2</v>
      </c>
      <c r="W8" s="674">
        <f>ROUND(100.8*(1+$V$6),2)</f>
        <v>119.95</v>
      </c>
      <c r="X8" s="675"/>
      <c r="Y8" s="193"/>
      <c r="Z8" s="632" t="s">
        <v>2</v>
      </c>
      <c r="AA8" s="845">
        <v>825</v>
      </c>
      <c r="AB8" s="633">
        <f t="shared" ref="AB8:AB13" si="0">V8/W8</f>
        <v>0.79366402667778246</v>
      </c>
      <c r="AC8" s="193"/>
      <c r="AD8" s="698"/>
      <c r="AE8" s="193"/>
      <c r="AF8" s="193"/>
      <c r="AG8" s="634"/>
      <c r="AH8" s="101"/>
      <c r="AI8" s="101"/>
      <c r="AJ8" s="634"/>
      <c r="AK8" s="101"/>
      <c r="AL8" s="101"/>
      <c r="AM8" s="634"/>
      <c r="AN8" s="193"/>
      <c r="AO8" s="193"/>
      <c r="AP8" s="193"/>
      <c r="AQ8" s="193"/>
      <c r="AR8" s="193"/>
      <c r="AS8" s="193"/>
      <c r="AT8" s="193"/>
      <c r="AU8" s="193"/>
      <c r="AV8" s="193"/>
      <c r="AW8" s="193"/>
      <c r="AX8" s="193"/>
      <c r="AY8" s="193"/>
      <c r="AZ8" s="193"/>
    </row>
    <row r="9" spans="1:52" s="657" customFormat="1" ht="85.5" x14ac:dyDescent="0.3">
      <c r="A9" s="645"/>
      <c r="B9" s="701" t="s">
        <v>770</v>
      </c>
      <c r="C9" s="664" t="s">
        <v>928</v>
      </c>
      <c r="D9" s="646" t="s">
        <v>424</v>
      </c>
      <c r="E9" s="646" t="s">
        <v>424</v>
      </c>
      <c r="F9" s="646" t="s">
        <v>424</v>
      </c>
      <c r="G9" s="646" t="s">
        <v>424</v>
      </c>
      <c r="H9" s="647" t="s">
        <v>766</v>
      </c>
      <c r="I9" s="648"/>
      <c r="J9" s="648"/>
      <c r="K9" s="649"/>
      <c r="L9" s="649"/>
      <c r="M9" s="649"/>
      <c r="N9" s="649"/>
      <c r="O9" s="649"/>
      <c r="P9" s="649"/>
      <c r="Q9" s="649"/>
      <c r="R9" s="649"/>
      <c r="S9" s="649"/>
      <c r="T9" s="649"/>
      <c r="U9" s="650" t="s">
        <v>3</v>
      </c>
      <c r="V9" s="650" t="s">
        <v>3</v>
      </c>
      <c r="W9" s="651" t="s">
        <v>3</v>
      </c>
      <c r="X9" s="652" t="s">
        <v>768</v>
      </c>
      <c r="Y9" s="645"/>
      <c r="Z9" s="653" t="s">
        <v>2</v>
      </c>
      <c r="AA9" s="846" t="str">
        <f t="shared" ref="AA9:AA73" si="1">D9</f>
        <v>/</v>
      </c>
      <c r="AB9" s="654" t="e">
        <f t="shared" si="0"/>
        <v>#VALUE!</v>
      </c>
      <c r="AC9" s="655"/>
      <c r="AD9" s="698"/>
      <c r="AE9" s="645"/>
      <c r="AF9" s="645"/>
      <c r="AG9" s="645"/>
      <c r="AH9" s="656"/>
      <c r="AI9" s="656"/>
      <c r="AJ9" s="645"/>
      <c r="AK9" s="656"/>
      <c r="AL9" s="656"/>
      <c r="AM9" s="645"/>
      <c r="AN9" s="645"/>
      <c r="AO9" s="645"/>
      <c r="AP9" s="645"/>
      <c r="AQ9" s="645"/>
      <c r="AR9" s="645"/>
      <c r="AS9" s="645"/>
      <c r="AT9" s="645"/>
      <c r="AU9" s="645"/>
      <c r="AV9" s="645"/>
      <c r="AW9" s="645"/>
      <c r="AX9" s="645"/>
      <c r="AY9" s="645"/>
      <c r="AZ9" s="645"/>
    </row>
    <row r="10" spans="1:52" s="657" customFormat="1" ht="156.75" x14ac:dyDescent="0.3">
      <c r="A10" s="645"/>
      <c r="B10" s="701" t="s">
        <v>771</v>
      </c>
      <c r="C10" s="664" t="s">
        <v>917</v>
      </c>
      <c r="D10" s="646" t="s">
        <v>424</v>
      </c>
      <c r="E10" s="646" t="s">
        <v>424</v>
      </c>
      <c r="F10" s="646" t="s">
        <v>424</v>
      </c>
      <c r="G10" s="646" t="s">
        <v>424</v>
      </c>
      <c r="H10" s="647" t="s">
        <v>766</v>
      </c>
      <c r="I10" s="648"/>
      <c r="J10" s="648"/>
      <c r="K10" s="649"/>
      <c r="L10" s="649"/>
      <c r="M10" s="649"/>
      <c r="N10" s="649"/>
      <c r="O10" s="649"/>
      <c r="P10" s="649"/>
      <c r="Q10" s="649"/>
      <c r="R10" s="649"/>
      <c r="S10" s="649"/>
      <c r="T10" s="649"/>
      <c r="U10" s="650" t="s">
        <v>3</v>
      </c>
      <c r="V10" s="650" t="s">
        <v>3</v>
      </c>
      <c r="W10" s="651" t="s">
        <v>3</v>
      </c>
      <c r="X10" s="652" t="s">
        <v>768</v>
      </c>
      <c r="Y10" s="645"/>
      <c r="Z10" s="653" t="s">
        <v>2</v>
      </c>
      <c r="AA10" s="846" t="str">
        <f t="shared" si="1"/>
        <v>/</v>
      </c>
      <c r="AB10" s="654" t="e">
        <f t="shared" si="0"/>
        <v>#VALUE!</v>
      </c>
      <c r="AC10" s="655"/>
      <c r="AD10" s="698"/>
      <c r="AE10" s="645"/>
      <c r="AF10" s="645"/>
      <c r="AG10" s="645"/>
      <c r="AH10" s="656"/>
      <c r="AI10" s="656"/>
      <c r="AJ10" s="645"/>
      <c r="AK10" s="656"/>
      <c r="AL10" s="656"/>
      <c r="AM10" s="645"/>
      <c r="AN10" s="645"/>
      <c r="AO10" s="645"/>
      <c r="AP10" s="645"/>
      <c r="AQ10" s="645"/>
      <c r="AR10" s="645"/>
      <c r="AS10" s="645"/>
      <c r="AT10" s="645"/>
      <c r="AU10" s="645"/>
      <c r="AV10" s="645"/>
      <c r="AW10" s="645"/>
      <c r="AX10" s="645"/>
      <c r="AY10" s="645"/>
      <c r="AZ10" s="645"/>
    </row>
    <row r="11" spans="1:52" s="49" customFormat="1" ht="18" customHeight="1" x14ac:dyDescent="0.3">
      <c r="A11" s="100"/>
      <c r="B11" s="701" t="s">
        <v>772</v>
      </c>
      <c r="C11" s="665" t="s">
        <v>774</v>
      </c>
      <c r="D11" s="210" t="s">
        <v>424</v>
      </c>
      <c r="E11" s="210" t="s">
        <v>424</v>
      </c>
      <c r="F11" s="210" t="s">
        <v>424</v>
      </c>
      <c r="G11" s="210" t="s">
        <v>424</v>
      </c>
      <c r="H11" s="211" t="s">
        <v>769</v>
      </c>
      <c r="I11" s="533"/>
      <c r="J11" s="533"/>
      <c r="K11" s="284"/>
      <c r="L11" s="284"/>
      <c r="M11" s="284"/>
      <c r="N11" s="284"/>
      <c r="O11" s="284"/>
      <c r="P11" s="284"/>
      <c r="Q11" s="284"/>
      <c r="R11" s="284"/>
      <c r="S11" s="284"/>
      <c r="T11" s="284"/>
      <c r="U11" s="279" t="s">
        <v>3</v>
      </c>
      <c r="V11" s="279" t="s">
        <v>3</v>
      </c>
      <c r="W11" s="212" t="s">
        <v>3</v>
      </c>
      <c r="X11" s="213" t="s">
        <v>768</v>
      </c>
      <c r="Y11" s="100"/>
      <c r="Z11" s="458" t="s">
        <v>2</v>
      </c>
      <c r="AA11" s="843" t="str">
        <f t="shared" si="1"/>
        <v>/</v>
      </c>
      <c r="AB11" s="603" t="e">
        <f t="shared" si="0"/>
        <v>#VALUE!</v>
      </c>
      <c r="AC11" s="457"/>
      <c r="AD11" s="698"/>
      <c r="AE11" s="100"/>
      <c r="AF11" s="100"/>
      <c r="AG11" s="100"/>
      <c r="AH11" s="101"/>
      <c r="AI11" s="101"/>
      <c r="AJ11" s="100"/>
      <c r="AK11" s="101"/>
      <c r="AL11" s="101"/>
      <c r="AM11" s="100"/>
      <c r="AN11" s="100"/>
      <c r="AO11" s="100"/>
      <c r="AP11" s="100"/>
      <c r="AQ11" s="100"/>
      <c r="AR11" s="100"/>
      <c r="AS11" s="100"/>
      <c r="AT11" s="100"/>
      <c r="AU11" s="100"/>
      <c r="AV11" s="100"/>
      <c r="AW11" s="100"/>
      <c r="AX11" s="100"/>
      <c r="AY11" s="100"/>
      <c r="AZ11" s="100"/>
    </row>
    <row r="12" spans="1:52" s="49" customFormat="1" ht="18" customHeight="1" x14ac:dyDescent="0.3">
      <c r="A12" s="100"/>
      <c r="B12" s="100"/>
      <c r="C12" s="665" t="s">
        <v>775</v>
      </c>
      <c r="D12" s="618" t="s">
        <v>424</v>
      </c>
      <c r="E12" s="210" t="s">
        <v>424</v>
      </c>
      <c r="F12" s="210" t="s">
        <v>424</v>
      </c>
      <c r="G12" s="210" t="s">
        <v>424</v>
      </c>
      <c r="H12" s="211" t="s">
        <v>769</v>
      </c>
      <c r="I12" s="533"/>
      <c r="J12" s="533"/>
      <c r="K12" s="284"/>
      <c r="L12" s="284"/>
      <c r="M12" s="284"/>
      <c r="N12" s="284"/>
      <c r="O12" s="284"/>
      <c r="P12" s="284"/>
      <c r="Q12" s="284"/>
      <c r="R12" s="284"/>
      <c r="S12" s="284"/>
      <c r="T12" s="284"/>
      <c r="U12" s="279" t="s">
        <v>3</v>
      </c>
      <c r="V12" s="279" t="s">
        <v>3</v>
      </c>
      <c r="W12" s="212" t="s">
        <v>3</v>
      </c>
      <c r="X12" s="213" t="s">
        <v>768</v>
      </c>
      <c r="Y12" s="100"/>
      <c r="Z12" s="458" t="s">
        <v>2</v>
      </c>
      <c r="AA12" s="843" t="str">
        <f t="shared" si="1"/>
        <v>/</v>
      </c>
      <c r="AB12" s="603" t="e">
        <f t="shared" si="0"/>
        <v>#VALUE!</v>
      </c>
      <c r="AC12" s="457"/>
      <c r="AD12" s="698"/>
      <c r="AE12" s="100"/>
      <c r="AF12" s="100"/>
      <c r="AG12" s="100"/>
      <c r="AH12" s="101"/>
      <c r="AI12" s="101"/>
      <c r="AJ12" s="100"/>
      <c r="AK12" s="101"/>
      <c r="AL12" s="101"/>
      <c r="AM12" s="100"/>
      <c r="AN12" s="100"/>
      <c r="AO12" s="100"/>
      <c r="AP12" s="100"/>
      <c r="AQ12" s="100"/>
      <c r="AR12" s="100"/>
      <c r="AS12" s="100"/>
      <c r="AT12" s="100"/>
      <c r="AU12" s="100"/>
      <c r="AV12" s="100"/>
      <c r="AW12" s="100"/>
      <c r="AX12" s="100"/>
      <c r="AY12" s="100"/>
      <c r="AZ12" s="100"/>
    </row>
    <row r="13" spans="1:52" s="49" customFormat="1" ht="18" customHeight="1" x14ac:dyDescent="0.3">
      <c r="A13" s="100"/>
      <c r="B13" s="100"/>
      <c r="C13" s="665" t="s">
        <v>942</v>
      </c>
      <c r="D13" s="618" t="s">
        <v>424</v>
      </c>
      <c r="E13" s="210" t="s">
        <v>424</v>
      </c>
      <c r="F13" s="210" t="s">
        <v>424</v>
      </c>
      <c r="G13" s="210" t="s">
        <v>424</v>
      </c>
      <c r="H13" s="211" t="s">
        <v>769</v>
      </c>
      <c r="I13" s="533"/>
      <c r="J13" s="533"/>
      <c r="K13" s="284"/>
      <c r="L13" s="284"/>
      <c r="M13" s="284"/>
      <c r="N13" s="284"/>
      <c r="O13" s="284"/>
      <c r="P13" s="284"/>
      <c r="Q13" s="284"/>
      <c r="R13" s="284"/>
      <c r="S13" s="284"/>
      <c r="T13" s="284"/>
      <c r="U13" s="279" t="s">
        <v>3</v>
      </c>
      <c r="V13" s="279" t="s">
        <v>3</v>
      </c>
      <c r="W13" s="212" t="s">
        <v>3</v>
      </c>
      <c r="X13" s="213" t="s">
        <v>768</v>
      </c>
      <c r="Y13" s="100"/>
      <c r="Z13" s="458" t="s">
        <v>2</v>
      </c>
      <c r="AA13" s="843" t="str">
        <f t="shared" si="1"/>
        <v>/</v>
      </c>
      <c r="AB13" s="603" t="e">
        <f t="shared" si="0"/>
        <v>#VALUE!</v>
      </c>
      <c r="AC13" s="457"/>
      <c r="AD13" s="698"/>
      <c r="AE13" s="100"/>
      <c r="AF13" s="100"/>
      <c r="AG13" s="100"/>
      <c r="AH13" s="101"/>
      <c r="AI13" s="101"/>
      <c r="AJ13" s="100"/>
      <c r="AK13" s="101"/>
      <c r="AL13" s="101"/>
      <c r="AM13" s="100"/>
      <c r="AN13" s="100"/>
      <c r="AO13" s="100"/>
      <c r="AP13" s="100"/>
      <c r="AQ13" s="100"/>
      <c r="AR13" s="100"/>
      <c r="AS13" s="100"/>
      <c r="AT13" s="100"/>
      <c r="AU13" s="100"/>
      <c r="AV13" s="100"/>
      <c r="AW13" s="100"/>
      <c r="AX13" s="100"/>
      <c r="AY13" s="100"/>
      <c r="AZ13" s="100"/>
    </row>
    <row r="14" spans="1:52" s="44" customFormat="1" ht="18" x14ac:dyDescent="0.3">
      <c r="A14" s="99"/>
      <c r="B14" s="99"/>
      <c r="C14" s="665" t="s">
        <v>776</v>
      </c>
      <c r="D14" s="210" t="s">
        <v>424</v>
      </c>
      <c r="E14" s="210" t="s">
        <v>424</v>
      </c>
      <c r="F14" s="210" t="s">
        <v>424</v>
      </c>
      <c r="G14" s="210" t="s">
        <v>424</v>
      </c>
      <c r="H14" s="211" t="s">
        <v>769</v>
      </c>
      <c r="I14" s="533"/>
      <c r="J14" s="533"/>
      <c r="K14" s="284"/>
      <c r="L14" s="284"/>
      <c r="M14" s="284"/>
      <c r="N14" s="284"/>
      <c r="O14" s="284"/>
      <c r="P14" s="284"/>
      <c r="Q14" s="284"/>
      <c r="R14" s="284"/>
      <c r="S14" s="284"/>
      <c r="T14" s="284"/>
      <c r="U14" s="279" t="s">
        <v>3</v>
      </c>
      <c r="V14" s="279" t="s">
        <v>3</v>
      </c>
      <c r="W14" s="212" t="s">
        <v>3</v>
      </c>
      <c r="X14" s="213" t="s">
        <v>768</v>
      </c>
      <c r="Y14" s="99"/>
      <c r="Z14" s="458" t="s">
        <v>2</v>
      </c>
      <c r="AA14" s="843" t="str">
        <f t="shared" si="1"/>
        <v>/</v>
      </c>
      <c r="AB14" s="603" t="e">
        <f t="shared" ref="AB14" si="2">V14/W14</f>
        <v>#VALUE!</v>
      </c>
      <c r="AC14" s="457"/>
      <c r="AD14" s="698"/>
      <c r="AE14" s="99"/>
      <c r="AF14" s="99"/>
      <c r="AG14" s="100"/>
      <c r="AH14" s="101"/>
      <c r="AI14" s="101"/>
      <c r="AJ14" s="100"/>
      <c r="AK14" s="101"/>
      <c r="AL14" s="101"/>
      <c r="AM14" s="100"/>
      <c r="AN14" s="99"/>
      <c r="AO14" s="99"/>
      <c r="AP14" s="99"/>
      <c r="AQ14" s="99"/>
      <c r="AR14" s="99"/>
      <c r="AS14" s="99"/>
      <c r="AT14" s="99"/>
      <c r="AU14" s="99"/>
      <c r="AV14" s="99"/>
      <c r="AW14" s="99"/>
      <c r="AX14" s="99"/>
      <c r="AY14" s="99"/>
      <c r="AZ14" s="99"/>
    </row>
    <row r="15" spans="1:52" s="44" customFormat="1" ht="18" x14ac:dyDescent="0.3">
      <c r="A15" s="99"/>
      <c r="B15" s="99"/>
      <c r="C15" s="665" t="s">
        <v>777</v>
      </c>
      <c r="D15" s="210" t="s">
        <v>424</v>
      </c>
      <c r="E15" s="210" t="s">
        <v>424</v>
      </c>
      <c r="F15" s="210" t="s">
        <v>424</v>
      </c>
      <c r="G15" s="210" t="s">
        <v>424</v>
      </c>
      <c r="H15" s="211" t="s">
        <v>769</v>
      </c>
      <c r="I15" s="533"/>
      <c r="J15" s="533"/>
      <c r="K15" s="284"/>
      <c r="L15" s="284"/>
      <c r="M15" s="284"/>
      <c r="N15" s="284"/>
      <c r="O15" s="284"/>
      <c r="P15" s="284"/>
      <c r="Q15" s="284"/>
      <c r="R15" s="284"/>
      <c r="S15" s="284"/>
      <c r="T15" s="284"/>
      <c r="U15" s="279" t="s">
        <v>3</v>
      </c>
      <c r="V15" s="279" t="s">
        <v>3</v>
      </c>
      <c r="W15" s="212" t="s">
        <v>3</v>
      </c>
      <c r="X15" s="213" t="s">
        <v>768</v>
      </c>
      <c r="Y15" s="99"/>
      <c r="Z15" s="458" t="s">
        <v>2</v>
      </c>
      <c r="AA15" s="843" t="str">
        <f t="shared" si="1"/>
        <v>/</v>
      </c>
      <c r="AB15" s="603" t="e">
        <f>V15/W15</f>
        <v>#VALUE!</v>
      </c>
      <c r="AC15" s="457"/>
      <c r="AD15" s="698"/>
      <c r="AE15" s="99"/>
      <c r="AF15" s="99"/>
      <c r="AG15" s="100"/>
      <c r="AH15" s="101"/>
      <c r="AI15" s="101"/>
      <c r="AJ15" s="100"/>
      <c r="AK15" s="101"/>
      <c r="AL15" s="101"/>
      <c r="AM15" s="100"/>
      <c r="AN15" s="99"/>
      <c r="AO15" s="99"/>
      <c r="AP15" s="99"/>
      <c r="AQ15" s="99"/>
      <c r="AR15" s="99"/>
      <c r="AS15" s="99"/>
      <c r="AT15" s="99"/>
      <c r="AU15" s="99"/>
      <c r="AV15" s="99"/>
      <c r="AW15" s="99"/>
      <c r="AX15" s="99"/>
      <c r="AY15" s="99"/>
      <c r="AZ15" s="99"/>
    </row>
    <row r="16" spans="1:52" s="44" customFormat="1" ht="18" x14ac:dyDescent="0.3">
      <c r="A16" s="99"/>
      <c r="B16" s="99"/>
      <c r="C16" s="665" t="s">
        <v>778</v>
      </c>
      <c r="D16" s="210" t="s">
        <v>424</v>
      </c>
      <c r="E16" s="210" t="s">
        <v>424</v>
      </c>
      <c r="F16" s="210" t="s">
        <v>424</v>
      </c>
      <c r="G16" s="210" t="s">
        <v>424</v>
      </c>
      <c r="H16" s="211" t="s">
        <v>769</v>
      </c>
      <c r="I16" s="533"/>
      <c r="J16" s="533"/>
      <c r="K16" s="284"/>
      <c r="L16" s="284"/>
      <c r="M16" s="284"/>
      <c r="N16" s="284"/>
      <c r="O16" s="284"/>
      <c r="P16" s="284"/>
      <c r="Q16" s="284"/>
      <c r="R16" s="284"/>
      <c r="S16" s="284"/>
      <c r="T16" s="284"/>
      <c r="U16" s="279" t="s">
        <v>3</v>
      </c>
      <c r="V16" s="279" t="s">
        <v>3</v>
      </c>
      <c r="W16" s="212" t="s">
        <v>3</v>
      </c>
      <c r="X16" s="213" t="s">
        <v>768</v>
      </c>
      <c r="Y16" s="99"/>
      <c r="Z16" s="458" t="s">
        <v>2</v>
      </c>
      <c r="AA16" s="843" t="str">
        <f t="shared" si="1"/>
        <v>/</v>
      </c>
      <c r="AB16" s="603" t="e">
        <f>V16/W16</f>
        <v>#VALUE!</v>
      </c>
      <c r="AC16" s="457"/>
      <c r="AD16" s="698"/>
      <c r="AE16" s="99"/>
      <c r="AF16" s="99"/>
      <c r="AG16" s="100"/>
      <c r="AH16" s="101"/>
      <c r="AI16" s="101"/>
      <c r="AJ16" s="100"/>
      <c r="AK16" s="101"/>
      <c r="AL16" s="101"/>
      <c r="AM16" s="100"/>
      <c r="AN16" s="99"/>
      <c r="AO16" s="99"/>
      <c r="AP16" s="99"/>
      <c r="AQ16" s="99"/>
      <c r="AR16" s="99"/>
      <c r="AS16" s="99"/>
      <c r="AT16" s="99"/>
      <c r="AU16" s="99"/>
      <c r="AV16" s="99"/>
      <c r="AW16" s="99"/>
      <c r="AX16" s="99"/>
      <c r="AY16" s="99"/>
      <c r="AZ16" s="99"/>
    </row>
    <row r="17" spans="1:52" s="44" customFormat="1" ht="18" x14ac:dyDescent="0.3">
      <c r="A17" s="99"/>
      <c r="B17" s="99"/>
      <c r="C17" s="665" t="s">
        <v>1059</v>
      </c>
      <c r="D17" s="210" t="s">
        <v>424</v>
      </c>
      <c r="E17" s="210" t="s">
        <v>424</v>
      </c>
      <c r="F17" s="210" t="s">
        <v>424</v>
      </c>
      <c r="G17" s="210" t="s">
        <v>424</v>
      </c>
      <c r="H17" s="211" t="s">
        <v>769</v>
      </c>
      <c r="I17" s="533"/>
      <c r="J17" s="533"/>
      <c r="K17" s="284"/>
      <c r="L17" s="284"/>
      <c r="M17" s="284"/>
      <c r="N17" s="284"/>
      <c r="O17" s="284"/>
      <c r="P17" s="284"/>
      <c r="Q17" s="284"/>
      <c r="R17" s="284"/>
      <c r="S17" s="284"/>
      <c r="T17" s="284"/>
      <c r="U17" s="279" t="s">
        <v>3</v>
      </c>
      <c r="V17" s="279" t="s">
        <v>3</v>
      </c>
      <c r="W17" s="212" t="s">
        <v>3</v>
      </c>
      <c r="X17" s="213" t="s">
        <v>768</v>
      </c>
      <c r="Y17" s="99"/>
      <c r="Z17" s="458" t="s">
        <v>2</v>
      </c>
      <c r="AA17" s="843" t="str">
        <f t="shared" si="1"/>
        <v>/</v>
      </c>
      <c r="AB17" s="603" t="e">
        <f>V17/W17</f>
        <v>#VALUE!</v>
      </c>
      <c r="AC17" s="457"/>
      <c r="AD17" s="698"/>
      <c r="AE17" s="99"/>
      <c r="AF17" s="99"/>
      <c r="AG17" s="100"/>
      <c r="AH17" s="101"/>
      <c r="AI17" s="101"/>
      <c r="AJ17" s="100"/>
      <c r="AK17" s="101"/>
      <c r="AL17" s="101"/>
      <c r="AM17" s="100"/>
      <c r="AN17" s="99"/>
      <c r="AO17" s="99"/>
      <c r="AP17" s="99"/>
      <c r="AQ17" s="99"/>
      <c r="AR17" s="99"/>
      <c r="AS17" s="99"/>
      <c r="AT17" s="99"/>
      <c r="AU17" s="99"/>
      <c r="AV17" s="99"/>
      <c r="AW17" s="99"/>
      <c r="AX17" s="99"/>
      <c r="AY17" s="99"/>
      <c r="AZ17" s="99"/>
    </row>
    <row r="18" spans="1:52" s="44" customFormat="1" ht="18" x14ac:dyDescent="0.3">
      <c r="A18" s="99"/>
      <c r="B18" s="99"/>
      <c r="C18" s="665" t="s">
        <v>779</v>
      </c>
      <c r="D18" s="699" t="s">
        <v>429</v>
      </c>
      <c r="E18" s="210" t="s">
        <v>424</v>
      </c>
      <c r="F18" s="210" t="s">
        <v>424</v>
      </c>
      <c r="G18" s="210" t="s">
        <v>424</v>
      </c>
      <c r="H18" s="211" t="s">
        <v>769</v>
      </c>
      <c r="I18" s="533"/>
      <c r="J18" s="533"/>
      <c r="K18" s="284"/>
      <c r="L18" s="284"/>
      <c r="M18" s="284"/>
      <c r="N18" s="284"/>
      <c r="O18" s="284"/>
      <c r="P18" s="284"/>
      <c r="Q18" s="284"/>
      <c r="R18" s="284"/>
      <c r="S18" s="284"/>
      <c r="T18" s="284"/>
      <c r="U18" s="279" t="s">
        <v>3</v>
      </c>
      <c r="V18" s="279" t="s">
        <v>3</v>
      </c>
      <c r="W18" s="212" t="s">
        <v>3</v>
      </c>
      <c r="X18" s="213" t="s">
        <v>768</v>
      </c>
      <c r="Y18" s="99"/>
      <c r="Z18" s="458" t="s">
        <v>2</v>
      </c>
      <c r="AA18" s="843" t="str">
        <f t="shared" si="1"/>
        <v>+?</v>
      </c>
      <c r="AB18" s="603" t="e">
        <f t="shared" ref="AB18:AB74" si="3">V18/W18</f>
        <v>#VALUE!</v>
      </c>
      <c r="AC18" s="457"/>
      <c r="AD18" s="698"/>
      <c r="AE18" s="99"/>
      <c r="AF18" s="99"/>
      <c r="AG18" s="100"/>
      <c r="AH18" s="101"/>
      <c r="AI18" s="101"/>
      <c r="AJ18" s="100"/>
      <c r="AK18" s="101"/>
      <c r="AL18" s="101"/>
      <c r="AM18" s="100"/>
      <c r="AN18" s="99"/>
      <c r="AO18" s="99"/>
      <c r="AP18" s="99"/>
      <c r="AQ18" s="99"/>
      <c r="AR18" s="99"/>
      <c r="AS18" s="99"/>
      <c r="AT18" s="99"/>
      <c r="AU18" s="99"/>
      <c r="AV18" s="99"/>
      <c r="AW18" s="99"/>
      <c r="AX18" s="99"/>
      <c r="AY18" s="99"/>
      <c r="AZ18" s="99"/>
    </row>
    <row r="19" spans="1:52" s="49" customFormat="1" ht="18" customHeight="1" x14ac:dyDescent="0.3">
      <c r="A19" s="100"/>
      <c r="B19" s="100"/>
      <c r="C19" s="665" t="s">
        <v>780</v>
      </c>
      <c r="D19" s="699" t="s">
        <v>430</v>
      </c>
      <c r="E19" s="210" t="s">
        <v>424</v>
      </c>
      <c r="F19" s="210" t="s">
        <v>424</v>
      </c>
      <c r="G19" s="210" t="s">
        <v>424</v>
      </c>
      <c r="H19" s="211" t="s">
        <v>769</v>
      </c>
      <c r="I19" s="533"/>
      <c r="J19" s="533"/>
      <c r="K19" s="284"/>
      <c r="L19" s="284"/>
      <c r="M19" s="284"/>
      <c r="N19" s="284"/>
      <c r="O19" s="284"/>
      <c r="P19" s="284"/>
      <c r="Q19" s="284"/>
      <c r="R19" s="284"/>
      <c r="S19" s="284"/>
      <c r="T19" s="284"/>
      <c r="U19" s="279" t="s">
        <v>3</v>
      </c>
      <c r="V19" s="279" t="s">
        <v>3</v>
      </c>
      <c r="W19" s="212" t="s">
        <v>3</v>
      </c>
      <c r="X19" s="213" t="s">
        <v>768</v>
      </c>
      <c r="Y19" s="100"/>
      <c r="Z19" s="458" t="s">
        <v>2</v>
      </c>
      <c r="AA19" s="843" t="str">
        <f t="shared" si="1"/>
        <v>+6</v>
      </c>
      <c r="AB19" s="603" t="e">
        <f t="shared" si="3"/>
        <v>#VALUE!</v>
      </c>
      <c r="AC19" s="457"/>
      <c r="AD19" s="698"/>
      <c r="AE19" s="100"/>
      <c r="AF19" s="100"/>
      <c r="AG19" s="100"/>
      <c r="AH19" s="101"/>
      <c r="AI19" s="101"/>
      <c r="AJ19" s="100"/>
      <c r="AK19" s="101"/>
      <c r="AL19" s="101"/>
      <c r="AM19" s="100"/>
      <c r="AN19" s="100"/>
      <c r="AO19" s="100"/>
      <c r="AP19" s="100"/>
      <c r="AQ19" s="100"/>
      <c r="AR19" s="100"/>
      <c r="AS19" s="100"/>
      <c r="AT19" s="100"/>
      <c r="AU19" s="100"/>
      <c r="AV19" s="100"/>
      <c r="AW19" s="100"/>
      <c r="AX19" s="100"/>
      <c r="AY19" s="100"/>
      <c r="AZ19" s="100"/>
    </row>
    <row r="20" spans="1:52" s="49" customFormat="1" ht="18" customHeight="1" x14ac:dyDescent="0.3">
      <c r="A20" s="100"/>
      <c r="B20" s="100"/>
      <c r="C20" s="665" t="s">
        <v>1064</v>
      </c>
      <c r="D20" s="699" t="s">
        <v>429</v>
      </c>
      <c r="E20" s="210" t="s">
        <v>424</v>
      </c>
      <c r="F20" s="210" t="s">
        <v>424</v>
      </c>
      <c r="G20" s="210" t="s">
        <v>424</v>
      </c>
      <c r="H20" s="211" t="s">
        <v>769</v>
      </c>
      <c r="I20" s="533"/>
      <c r="J20" s="533"/>
      <c r="K20" s="284"/>
      <c r="L20" s="284"/>
      <c r="M20" s="284"/>
      <c r="N20" s="284"/>
      <c r="O20" s="284"/>
      <c r="P20" s="284"/>
      <c r="Q20" s="284"/>
      <c r="R20" s="284"/>
      <c r="S20" s="284"/>
      <c r="T20" s="284"/>
      <c r="U20" s="279" t="s">
        <v>3</v>
      </c>
      <c r="V20" s="279" t="s">
        <v>3</v>
      </c>
      <c r="W20" s="212" t="s">
        <v>3</v>
      </c>
      <c r="X20" s="213" t="s">
        <v>768</v>
      </c>
      <c r="Y20" s="100"/>
      <c r="Z20" s="458" t="s">
        <v>2</v>
      </c>
      <c r="AA20" s="843" t="str">
        <f t="shared" si="1"/>
        <v>+?</v>
      </c>
      <c r="AB20" s="603" t="e">
        <f t="shared" ref="AB20" si="4">V20/W20</f>
        <v>#VALUE!</v>
      </c>
      <c r="AC20" s="457"/>
      <c r="AD20" s="698"/>
      <c r="AE20" s="100"/>
      <c r="AF20" s="100"/>
      <c r="AG20" s="100"/>
      <c r="AH20" s="101"/>
      <c r="AI20" s="101"/>
      <c r="AJ20" s="100"/>
      <c r="AK20" s="101"/>
      <c r="AL20" s="101"/>
      <c r="AM20" s="100"/>
      <c r="AN20" s="100"/>
      <c r="AO20" s="100"/>
      <c r="AP20" s="100"/>
      <c r="AQ20" s="100"/>
      <c r="AR20" s="100"/>
      <c r="AS20" s="100"/>
      <c r="AT20" s="100"/>
      <c r="AU20" s="100"/>
      <c r="AV20" s="100"/>
      <c r="AW20" s="100"/>
      <c r="AX20" s="100"/>
      <c r="AY20" s="100"/>
      <c r="AZ20" s="100"/>
    </row>
    <row r="21" spans="1:52" s="49" customFormat="1" ht="18" customHeight="1" x14ac:dyDescent="0.3">
      <c r="A21" s="100"/>
      <c r="B21" s="100"/>
      <c r="C21" s="665" t="s">
        <v>781</v>
      </c>
      <c r="D21" s="699" t="s">
        <v>429</v>
      </c>
      <c r="E21" s="210" t="s">
        <v>424</v>
      </c>
      <c r="F21" s="210" t="s">
        <v>424</v>
      </c>
      <c r="G21" s="210" t="s">
        <v>424</v>
      </c>
      <c r="H21" s="211" t="s">
        <v>769</v>
      </c>
      <c r="I21" s="533"/>
      <c r="J21" s="533"/>
      <c r="K21" s="284"/>
      <c r="L21" s="284"/>
      <c r="M21" s="284"/>
      <c r="N21" s="284"/>
      <c r="O21" s="284"/>
      <c r="P21" s="284"/>
      <c r="Q21" s="284"/>
      <c r="R21" s="284"/>
      <c r="S21" s="284"/>
      <c r="T21" s="284"/>
      <c r="U21" s="279" t="s">
        <v>3</v>
      </c>
      <c r="V21" s="279" t="s">
        <v>3</v>
      </c>
      <c r="W21" s="212" t="s">
        <v>3</v>
      </c>
      <c r="X21" s="213" t="s">
        <v>768</v>
      </c>
      <c r="Y21" s="100"/>
      <c r="Z21" s="458" t="s">
        <v>2</v>
      </c>
      <c r="AA21" s="843" t="str">
        <f t="shared" si="1"/>
        <v>+?</v>
      </c>
      <c r="AB21" s="603" t="e">
        <f t="shared" ref="AB21" si="5">V21/W21</f>
        <v>#VALUE!</v>
      </c>
      <c r="AC21" s="457"/>
      <c r="AD21" s="698"/>
      <c r="AE21" s="100"/>
      <c r="AF21" s="100"/>
      <c r="AG21" s="100"/>
      <c r="AH21" s="101"/>
      <c r="AI21" s="101"/>
      <c r="AJ21" s="100"/>
      <c r="AK21" s="101"/>
      <c r="AL21" s="101"/>
      <c r="AM21" s="100"/>
      <c r="AN21" s="100"/>
      <c r="AO21" s="100"/>
      <c r="AP21" s="100"/>
      <c r="AQ21" s="100"/>
      <c r="AR21" s="100"/>
      <c r="AS21" s="100"/>
      <c r="AT21" s="100"/>
      <c r="AU21" s="100"/>
      <c r="AV21" s="100"/>
      <c r="AW21" s="100"/>
      <c r="AX21" s="100"/>
      <c r="AY21" s="100"/>
      <c r="AZ21" s="100"/>
    </row>
    <row r="22" spans="1:52" s="44" customFormat="1" ht="18" x14ac:dyDescent="0.3">
      <c r="A22" s="99"/>
      <c r="B22" s="99"/>
      <c r="C22" s="665" t="s">
        <v>782</v>
      </c>
      <c r="D22" s="699" t="s">
        <v>429</v>
      </c>
      <c r="E22" s="210" t="s">
        <v>424</v>
      </c>
      <c r="F22" s="210" t="s">
        <v>424</v>
      </c>
      <c r="G22" s="210" t="s">
        <v>424</v>
      </c>
      <c r="H22" s="211" t="s">
        <v>769</v>
      </c>
      <c r="I22" s="533"/>
      <c r="J22" s="533"/>
      <c r="K22" s="284"/>
      <c r="L22" s="284"/>
      <c r="M22" s="284"/>
      <c r="N22" s="284"/>
      <c r="O22" s="284"/>
      <c r="P22" s="284"/>
      <c r="Q22" s="284"/>
      <c r="R22" s="284"/>
      <c r="S22" s="284"/>
      <c r="T22" s="284"/>
      <c r="U22" s="279" t="s">
        <v>3</v>
      </c>
      <c r="V22" s="279" t="s">
        <v>3</v>
      </c>
      <c r="W22" s="212" t="s">
        <v>3</v>
      </c>
      <c r="X22" s="213" t="s">
        <v>768</v>
      </c>
      <c r="Y22" s="99"/>
      <c r="Z22" s="458" t="s">
        <v>2</v>
      </c>
      <c r="AA22" s="843" t="str">
        <f t="shared" si="1"/>
        <v>+?</v>
      </c>
      <c r="AB22" s="603" t="e">
        <f t="shared" si="3"/>
        <v>#VALUE!</v>
      </c>
      <c r="AC22" s="457"/>
      <c r="AD22" s="698"/>
      <c r="AE22" s="99"/>
      <c r="AF22" s="99"/>
      <c r="AG22" s="100"/>
      <c r="AH22" s="101"/>
      <c r="AI22" s="101"/>
      <c r="AJ22" s="100"/>
      <c r="AK22" s="101"/>
      <c r="AL22" s="101"/>
      <c r="AM22" s="100"/>
      <c r="AN22" s="99"/>
      <c r="AO22" s="99"/>
      <c r="AP22" s="99"/>
      <c r="AQ22" s="99"/>
      <c r="AR22" s="99"/>
      <c r="AS22" s="99"/>
      <c r="AT22" s="99"/>
      <c r="AU22" s="99"/>
      <c r="AV22" s="99"/>
      <c r="AW22" s="99"/>
      <c r="AX22" s="99"/>
      <c r="AY22" s="99"/>
      <c r="AZ22" s="99"/>
    </row>
    <row r="23" spans="1:52" s="44" customFormat="1" ht="18" x14ac:dyDescent="0.3">
      <c r="A23" s="99"/>
      <c r="B23" s="99"/>
      <c r="C23" s="665" t="s">
        <v>783</v>
      </c>
      <c r="D23" s="699" t="s">
        <v>429</v>
      </c>
      <c r="E23" s="210" t="s">
        <v>424</v>
      </c>
      <c r="F23" s="210" t="s">
        <v>424</v>
      </c>
      <c r="G23" s="210" t="s">
        <v>424</v>
      </c>
      <c r="H23" s="211" t="s">
        <v>769</v>
      </c>
      <c r="I23" s="533"/>
      <c r="J23" s="533"/>
      <c r="K23" s="284"/>
      <c r="L23" s="284"/>
      <c r="M23" s="284"/>
      <c r="N23" s="284"/>
      <c r="O23" s="284"/>
      <c r="P23" s="284"/>
      <c r="Q23" s="284"/>
      <c r="R23" s="284"/>
      <c r="S23" s="284"/>
      <c r="T23" s="284"/>
      <c r="U23" s="279" t="s">
        <v>3</v>
      </c>
      <c r="V23" s="279" t="s">
        <v>3</v>
      </c>
      <c r="W23" s="212" t="s">
        <v>3</v>
      </c>
      <c r="X23" s="213" t="s">
        <v>768</v>
      </c>
      <c r="Y23" s="99"/>
      <c r="Z23" s="458" t="s">
        <v>2</v>
      </c>
      <c r="AA23" s="843" t="str">
        <f t="shared" si="1"/>
        <v>+?</v>
      </c>
      <c r="AB23" s="603" t="e">
        <f t="shared" ref="AB23" si="6">V23/W23</f>
        <v>#VALUE!</v>
      </c>
      <c r="AC23" s="457"/>
      <c r="AD23" s="698"/>
      <c r="AE23" s="99"/>
      <c r="AF23" s="99"/>
      <c r="AG23" s="100"/>
      <c r="AH23" s="101"/>
      <c r="AI23" s="101"/>
      <c r="AJ23" s="100"/>
      <c r="AK23" s="101"/>
      <c r="AL23" s="101"/>
      <c r="AM23" s="100"/>
      <c r="AN23" s="99"/>
      <c r="AO23" s="99"/>
      <c r="AP23" s="99"/>
      <c r="AQ23" s="99"/>
      <c r="AR23" s="99"/>
      <c r="AS23" s="99"/>
      <c r="AT23" s="99"/>
      <c r="AU23" s="99"/>
      <c r="AV23" s="99"/>
      <c r="AW23" s="99"/>
      <c r="AX23" s="99"/>
      <c r="AY23" s="99"/>
      <c r="AZ23" s="99"/>
    </row>
    <row r="24" spans="1:52" s="44" customFormat="1" ht="18.75" thickBot="1" x14ac:dyDescent="0.35">
      <c r="A24" s="99"/>
      <c r="B24" s="99"/>
      <c r="C24" s="665" t="s">
        <v>784</v>
      </c>
      <c r="D24" s="699" t="s">
        <v>429</v>
      </c>
      <c r="E24" s="210" t="s">
        <v>424</v>
      </c>
      <c r="F24" s="210" t="s">
        <v>424</v>
      </c>
      <c r="G24" s="210" t="s">
        <v>424</v>
      </c>
      <c r="H24" s="211" t="s">
        <v>769</v>
      </c>
      <c r="I24" s="533"/>
      <c r="J24" s="533"/>
      <c r="K24" s="284"/>
      <c r="L24" s="284"/>
      <c r="M24" s="284"/>
      <c r="N24" s="284"/>
      <c r="O24" s="284"/>
      <c r="P24" s="284"/>
      <c r="Q24" s="284"/>
      <c r="R24" s="284"/>
      <c r="S24" s="284"/>
      <c r="T24" s="284"/>
      <c r="U24" s="279" t="s">
        <v>3</v>
      </c>
      <c r="V24" s="279" t="s">
        <v>3</v>
      </c>
      <c r="W24" s="212" t="s">
        <v>3</v>
      </c>
      <c r="X24" s="213" t="s">
        <v>768</v>
      </c>
      <c r="Y24" s="99"/>
      <c r="Z24" s="458" t="s">
        <v>2</v>
      </c>
      <c r="AA24" s="843" t="str">
        <f t="shared" si="1"/>
        <v>+?</v>
      </c>
      <c r="AB24" s="603" t="e">
        <f t="shared" ref="AB24" si="7">V24/W24</f>
        <v>#VALUE!</v>
      </c>
      <c r="AC24" s="457"/>
      <c r="AD24" s="698"/>
      <c r="AE24" s="99"/>
      <c r="AF24" s="99"/>
      <c r="AG24" s="100"/>
      <c r="AH24" s="101"/>
      <c r="AI24" s="101"/>
      <c r="AJ24" s="100"/>
      <c r="AK24" s="101"/>
      <c r="AL24" s="101"/>
      <c r="AM24" s="100"/>
      <c r="AN24" s="99"/>
      <c r="AO24" s="99"/>
      <c r="AP24" s="99"/>
      <c r="AQ24" s="99"/>
      <c r="AR24" s="99"/>
      <c r="AS24" s="99"/>
      <c r="AT24" s="99"/>
      <c r="AU24" s="99"/>
      <c r="AV24" s="99"/>
      <c r="AW24" s="99"/>
      <c r="AX24" s="99"/>
      <c r="AY24" s="99"/>
      <c r="AZ24" s="99"/>
    </row>
    <row r="25" spans="1:52" s="635" customFormat="1" ht="18.75" thickBot="1" x14ac:dyDescent="0.35">
      <c r="A25" s="193"/>
      <c r="B25" s="666"/>
      <c r="C25" s="676" t="s">
        <v>795</v>
      </c>
      <c r="D25" s="668" t="s">
        <v>427</v>
      </c>
      <c r="E25" s="668">
        <v>1</v>
      </c>
      <c r="F25" s="668">
        <v>2</v>
      </c>
      <c r="G25" s="668" t="s">
        <v>431</v>
      </c>
      <c r="H25" s="669" t="s">
        <v>786</v>
      </c>
      <c r="I25" s="681" t="s">
        <v>750</v>
      </c>
      <c r="J25" s="681" t="s">
        <v>593</v>
      </c>
      <c r="K25" s="671" t="s">
        <v>2</v>
      </c>
      <c r="L25" s="681" t="s">
        <v>593</v>
      </c>
      <c r="M25" s="671" t="s">
        <v>2</v>
      </c>
      <c r="N25" s="681" t="s">
        <v>593</v>
      </c>
      <c r="O25" s="670"/>
      <c r="P25" s="670"/>
      <c r="Q25" s="670"/>
      <c r="R25" s="670"/>
      <c r="S25" s="670"/>
      <c r="T25" s="671" t="s">
        <v>2</v>
      </c>
      <c r="U25" s="672">
        <v>40</v>
      </c>
      <c r="V25" s="673">
        <f>ROUND(U25*(1+$V$6),2)</f>
        <v>47.6</v>
      </c>
      <c r="W25" s="674">
        <f>ROUND(50.41*(1+$V$6),2)</f>
        <v>59.99</v>
      </c>
      <c r="X25" s="675"/>
      <c r="Y25" s="193"/>
      <c r="Z25" s="632" t="s">
        <v>2</v>
      </c>
      <c r="AA25" s="845">
        <f>190+90</f>
        <v>280</v>
      </c>
      <c r="AB25" s="633">
        <f t="shared" si="3"/>
        <v>0.79346557759626601</v>
      </c>
      <c r="AC25" s="193"/>
      <c r="AD25" s="698"/>
      <c r="AE25" s="193"/>
      <c r="AF25" s="193"/>
      <c r="AG25" s="634"/>
      <c r="AH25" s="101"/>
      <c r="AI25" s="101"/>
      <c r="AJ25" s="634"/>
      <c r="AK25" s="101"/>
      <c r="AL25" s="101"/>
      <c r="AM25" s="634"/>
      <c r="AN25" s="193"/>
      <c r="AO25" s="193"/>
      <c r="AP25" s="193"/>
      <c r="AQ25" s="193"/>
      <c r="AR25" s="193"/>
      <c r="AS25" s="193"/>
      <c r="AT25" s="193"/>
      <c r="AU25" s="193"/>
      <c r="AV25" s="193"/>
      <c r="AW25" s="193"/>
      <c r="AX25" s="193"/>
      <c r="AY25" s="193"/>
      <c r="AZ25" s="193"/>
    </row>
    <row r="26" spans="1:52" s="657" customFormat="1" x14ac:dyDescent="0.3">
      <c r="A26" s="645"/>
      <c r="B26" s="701" t="s">
        <v>770</v>
      </c>
      <c r="C26" s="664" t="s">
        <v>785</v>
      </c>
      <c r="D26" s="646" t="s">
        <v>424</v>
      </c>
      <c r="E26" s="646" t="s">
        <v>424</v>
      </c>
      <c r="F26" s="646" t="s">
        <v>424</v>
      </c>
      <c r="G26" s="646" t="s">
        <v>424</v>
      </c>
      <c r="H26" s="647" t="s">
        <v>766</v>
      </c>
      <c r="I26" s="648"/>
      <c r="J26" s="648"/>
      <c r="K26" s="649"/>
      <c r="L26" s="649"/>
      <c r="M26" s="649"/>
      <c r="N26" s="649"/>
      <c r="O26" s="649"/>
      <c r="P26" s="649"/>
      <c r="Q26" s="649"/>
      <c r="R26" s="649"/>
      <c r="S26" s="649"/>
      <c r="T26" s="649"/>
      <c r="U26" s="650" t="s">
        <v>3</v>
      </c>
      <c r="V26" s="650" t="s">
        <v>3</v>
      </c>
      <c r="W26" s="651" t="s">
        <v>3</v>
      </c>
      <c r="X26" s="652" t="s">
        <v>768</v>
      </c>
      <c r="Y26" s="645"/>
      <c r="Z26" s="653" t="s">
        <v>2</v>
      </c>
      <c r="AA26" s="846" t="str">
        <f t="shared" ref="AA26:AA27" si="8">D26</f>
        <v>/</v>
      </c>
      <c r="AB26" s="654" t="e">
        <f>V26/W26</f>
        <v>#VALUE!</v>
      </c>
      <c r="AC26" s="655"/>
      <c r="AD26" s="698"/>
      <c r="AE26" s="645"/>
      <c r="AF26" s="645"/>
      <c r="AG26" s="645"/>
      <c r="AH26" s="656"/>
      <c r="AI26" s="656"/>
      <c r="AJ26" s="645"/>
      <c r="AK26" s="656"/>
      <c r="AL26" s="656"/>
      <c r="AM26" s="645"/>
      <c r="AN26" s="645"/>
      <c r="AO26" s="645"/>
      <c r="AP26" s="645"/>
      <c r="AQ26" s="645"/>
      <c r="AR26" s="645"/>
      <c r="AS26" s="645"/>
      <c r="AT26" s="645"/>
      <c r="AU26" s="645"/>
      <c r="AV26" s="645"/>
      <c r="AW26" s="645"/>
      <c r="AX26" s="645"/>
      <c r="AY26" s="645"/>
      <c r="AZ26" s="645"/>
    </row>
    <row r="27" spans="1:52" s="657" customFormat="1" ht="28.5" x14ac:dyDescent="0.3">
      <c r="A27" s="645"/>
      <c r="B27" s="701" t="s">
        <v>771</v>
      </c>
      <c r="C27" s="664" t="s">
        <v>932</v>
      </c>
      <c r="D27" s="646" t="s">
        <v>424</v>
      </c>
      <c r="E27" s="646" t="s">
        <v>424</v>
      </c>
      <c r="F27" s="646" t="s">
        <v>424</v>
      </c>
      <c r="G27" s="646" t="s">
        <v>424</v>
      </c>
      <c r="H27" s="647" t="s">
        <v>766</v>
      </c>
      <c r="I27" s="648"/>
      <c r="J27" s="648"/>
      <c r="K27" s="649"/>
      <c r="L27" s="649"/>
      <c r="M27" s="649"/>
      <c r="N27" s="649"/>
      <c r="O27" s="649"/>
      <c r="P27" s="649"/>
      <c r="Q27" s="649"/>
      <c r="R27" s="649"/>
      <c r="S27" s="649"/>
      <c r="T27" s="649"/>
      <c r="U27" s="650" t="s">
        <v>3</v>
      </c>
      <c r="V27" s="650" t="s">
        <v>3</v>
      </c>
      <c r="W27" s="651" t="s">
        <v>3</v>
      </c>
      <c r="X27" s="652" t="s">
        <v>768</v>
      </c>
      <c r="Y27" s="645"/>
      <c r="Z27" s="653" t="s">
        <v>2</v>
      </c>
      <c r="AA27" s="846" t="str">
        <f t="shared" si="8"/>
        <v>/</v>
      </c>
      <c r="AB27" s="654" t="e">
        <f>V27/W27</f>
        <v>#VALUE!</v>
      </c>
      <c r="AC27" s="655"/>
      <c r="AD27" s="698"/>
      <c r="AE27" s="645"/>
      <c r="AF27" s="645"/>
      <c r="AG27" s="645"/>
      <c r="AH27" s="656"/>
      <c r="AI27" s="656"/>
      <c r="AJ27" s="645"/>
      <c r="AK27" s="656"/>
      <c r="AL27" s="656"/>
      <c r="AM27" s="645"/>
      <c r="AN27" s="645"/>
      <c r="AO27" s="645"/>
      <c r="AP27" s="645"/>
      <c r="AQ27" s="645"/>
      <c r="AR27" s="645"/>
      <c r="AS27" s="645"/>
      <c r="AT27" s="645"/>
      <c r="AU27" s="645"/>
      <c r="AV27" s="645"/>
      <c r="AW27" s="645"/>
      <c r="AX27" s="645"/>
      <c r="AY27" s="645"/>
      <c r="AZ27" s="645"/>
    </row>
    <row r="28" spans="1:52" s="49" customFormat="1" ht="18" customHeight="1" x14ac:dyDescent="0.3">
      <c r="A28" s="100"/>
      <c r="B28" s="701" t="s">
        <v>772</v>
      </c>
      <c r="C28" s="665" t="s">
        <v>774</v>
      </c>
      <c r="D28" s="210" t="s">
        <v>424</v>
      </c>
      <c r="E28" s="210" t="s">
        <v>424</v>
      </c>
      <c r="F28" s="210" t="s">
        <v>424</v>
      </c>
      <c r="G28" s="210" t="s">
        <v>424</v>
      </c>
      <c r="H28" s="211" t="s">
        <v>769</v>
      </c>
      <c r="I28" s="533"/>
      <c r="J28" s="533"/>
      <c r="K28" s="284"/>
      <c r="L28" s="284"/>
      <c r="M28" s="284"/>
      <c r="N28" s="284"/>
      <c r="O28" s="284"/>
      <c r="P28" s="284"/>
      <c r="Q28" s="284"/>
      <c r="R28" s="284"/>
      <c r="S28" s="284"/>
      <c r="T28" s="284"/>
      <c r="U28" s="279" t="s">
        <v>3</v>
      </c>
      <c r="V28" s="279" t="s">
        <v>3</v>
      </c>
      <c r="W28" s="212" t="s">
        <v>3</v>
      </c>
      <c r="X28" s="213" t="s">
        <v>768</v>
      </c>
      <c r="Y28" s="100"/>
      <c r="Z28" s="458" t="s">
        <v>2</v>
      </c>
      <c r="AA28" s="843" t="str">
        <f t="shared" si="1"/>
        <v>/</v>
      </c>
      <c r="AB28" s="603" t="e">
        <f t="shared" ref="AB28:AB31" si="9">V28/W28</f>
        <v>#VALUE!</v>
      </c>
      <c r="AC28" s="457"/>
      <c r="AD28" s="698"/>
      <c r="AE28" s="100"/>
      <c r="AF28" s="100"/>
      <c r="AG28" s="100"/>
      <c r="AH28" s="101"/>
      <c r="AI28" s="101"/>
      <c r="AJ28" s="100"/>
      <c r="AK28" s="101"/>
      <c r="AL28" s="101"/>
      <c r="AM28" s="100"/>
      <c r="AN28" s="100"/>
      <c r="AO28" s="100"/>
      <c r="AP28" s="100"/>
      <c r="AQ28" s="100"/>
      <c r="AR28" s="100"/>
      <c r="AS28" s="100"/>
      <c r="AT28" s="100"/>
      <c r="AU28" s="100"/>
      <c r="AV28" s="100"/>
      <c r="AW28" s="100"/>
      <c r="AX28" s="100"/>
      <c r="AY28" s="100"/>
      <c r="AZ28" s="100"/>
    </row>
    <row r="29" spans="1:52" s="49" customFormat="1" ht="18" customHeight="1" x14ac:dyDescent="0.3">
      <c r="A29" s="100"/>
      <c r="B29" s="100"/>
      <c r="C29" s="665" t="s">
        <v>775</v>
      </c>
      <c r="D29" s="618" t="s">
        <v>424</v>
      </c>
      <c r="E29" s="210" t="s">
        <v>424</v>
      </c>
      <c r="F29" s="210" t="s">
        <v>424</v>
      </c>
      <c r="G29" s="210" t="s">
        <v>424</v>
      </c>
      <c r="H29" s="211" t="s">
        <v>769</v>
      </c>
      <c r="I29" s="533"/>
      <c r="J29" s="533"/>
      <c r="K29" s="284"/>
      <c r="L29" s="284"/>
      <c r="M29" s="284"/>
      <c r="N29" s="284"/>
      <c r="O29" s="284"/>
      <c r="P29" s="284"/>
      <c r="Q29" s="284"/>
      <c r="R29" s="284"/>
      <c r="S29" s="284"/>
      <c r="T29" s="284"/>
      <c r="U29" s="279" t="s">
        <v>3</v>
      </c>
      <c r="V29" s="279" t="s">
        <v>3</v>
      </c>
      <c r="W29" s="212" t="s">
        <v>3</v>
      </c>
      <c r="X29" s="213" t="s">
        <v>768</v>
      </c>
      <c r="Y29" s="100"/>
      <c r="Z29" s="458" t="s">
        <v>2</v>
      </c>
      <c r="AA29" s="843" t="str">
        <f t="shared" si="1"/>
        <v>/</v>
      </c>
      <c r="AB29" s="603" t="e">
        <f>V29/W29</f>
        <v>#VALUE!</v>
      </c>
      <c r="AC29" s="457"/>
      <c r="AD29" s="698"/>
      <c r="AE29" s="100"/>
      <c r="AF29" s="100"/>
      <c r="AG29" s="100"/>
      <c r="AH29" s="101"/>
      <c r="AI29" s="101"/>
      <c r="AJ29" s="100"/>
      <c r="AK29" s="101"/>
      <c r="AL29" s="101"/>
      <c r="AM29" s="100"/>
      <c r="AN29" s="100"/>
      <c r="AO29" s="100"/>
      <c r="AP29" s="100"/>
      <c r="AQ29" s="100"/>
      <c r="AR29" s="100"/>
      <c r="AS29" s="100"/>
      <c r="AT29" s="100"/>
      <c r="AU29" s="100"/>
      <c r="AV29" s="100"/>
      <c r="AW29" s="100"/>
      <c r="AX29" s="100"/>
      <c r="AY29" s="100"/>
      <c r="AZ29" s="100"/>
    </row>
    <row r="30" spans="1:52" s="44" customFormat="1" ht="18" x14ac:dyDescent="0.3">
      <c r="A30" s="99"/>
      <c r="B30" s="99"/>
      <c r="C30" s="665" t="s">
        <v>1063</v>
      </c>
      <c r="D30" s="618" t="s">
        <v>424</v>
      </c>
      <c r="E30" s="210" t="s">
        <v>424</v>
      </c>
      <c r="F30" s="210" t="s">
        <v>424</v>
      </c>
      <c r="G30" s="210" t="s">
        <v>424</v>
      </c>
      <c r="H30" s="211" t="s">
        <v>769</v>
      </c>
      <c r="I30" s="533"/>
      <c r="J30" s="533"/>
      <c r="K30" s="284"/>
      <c r="L30" s="284"/>
      <c r="M30" s="284"/>
      <c r="N30" s="284"/>
      <c r="O30" s="284"/>
      <c r="P30" s="284"/>
      <c r="Q30" s="284"/>
      <c r="R30" s="284"/>
      <c r="S30" s="284"/>
      <c r="T30" s="284"/>
      <c r="U30" s="279" t="s">
        <v>3</v>
      </c>
      <c r="V30" s="279" t="s">
        <v>3</v>
      </c>
      <c r="W30" s="212" t="s">
        <v>3</v>
      </c>
      <c r="X30" s="213" t="s">
        <v>768</v>
      </c>
      <c r="Y30" s="99"/>
      <c r="Z30" s="458" t="s">
        <v>2</v>
      </c>
      <c r="AA30" s="843" t="str">
        <f t="shared" si="1"/>
        <v>/</v>
      </c>
      <c r="AB30" s="603" t="e">
        <f>V30/W30</f>
        <v>#VALUE!</v>
      </c>
      <c r="AC30" s="457"/>
      <c r="AD30" s="698"/>
      <c r="AE30" s="99"/>
      <c r="AF30" s="99"/>
      <c r="AG30" s="100"/>
      <c r="AH30" s="101"/>
      <c r="AI30" s="101"/>
      <c r="AJ30" s="100"/>
      <c r="AK30" s="101"/>
      <c r="AL30" s="101"/>
      <c r="AM30" s="100"/>
      <c r="AN30" s="99"/>
      <c r="AO30" s="99"/>
      <c r="AP30" s="99"/>
      <c r="AQ30" s="99"/>
      <c r="AR30" s="99"/>
      <c r="AS30" s="99"/>
      <c r="AT30" s="99"/>
      <c r="AU30" s="99"/>
      <c r="AV30" s="99"/>
      <c r="AW30" s="99"/>
      <c r="AX30" s="99"/>
      <c r="AY30" s="99"/>
      <c r="AZ30" s="99"/>
    </row>
    <row r="31" spans="1:52" s="44" customFormat="1" ht="18.75" thickBot="1" x14ac:dyDescent="0.35">
      <c r="A31" s="99"/>
      <c r="B31" s="99"/>
      <c r="C31" s="665" t="s">
        <v>792</v>
      </c>
      <c r="D31" s="210" t="s">
        <v>424</v>
      </c>
      <c r="E31" s="210" t="s">
        <v>424</v>
      </c>
      <c r="F31" s="210" t="s">
        <v>424</v>
      </c>
      <c r="G31" s="210" t="s">
        <v>424</v>
      </c>
      <c r="H31" s="211" t="s">
        <v>769</v>
      </c>
      <c r="I31" s="533"/>
      <c r="J31" s="533"/>
      <c r="K31" s="284"/>
      <c r="L31" s="284"/>
      <c r="M31" s="284"/>
      <c r="N31" s="284"/>
      <c r="O31" s="284"/>
      <c r="P31" s="284"/>
      <c r="Q31" s="284"/>
      <c r="R31" s="284"/>
      <c r="S31" s="284"/>
      <c r="T31" s="284"/>
      <c r="U31" s="279" t="s">
        <v>3</v>
      </c>
      <c r="V31" s="279" t="s">
        <v>3</v>
      </c>
      <c r="W31" s="212" t="s">
        <v>3</v>
      </c>
      <c r="X31" s="213" t="s">
        <v>768</v>
      </c>
      <c r="Y31" s="99"/>
      <c r="Z31" s="458" t="s">
        <v>2</v>
      </c>
      <c r="AA31" s="843" t="str">
        <f t="shared" si="1"/>
        <v>/</v>
      </c>
      <c r="AB31" s="603" t="e">
        <f t="shared" si="9"/>
        <v>#VALUE!</v>
      </c>
      <c r="AC31" s="457"/>
      <c r="AD31" s="698"/>
      <c r="AE31" s="99"/>
      <c r="AF31" s="99"/>
      <c r="AG31" s="100"/>
      <c r="AH31" s="101"/>
      <c r="AI31" s="101"/>
      <c r="AJ31" s="100"/>
      <c r="AK31" s="101"/>
      <c r="AL31" s="101"/>
      <c r="AM31" s="100"/>
      <c r="AN31" s="99"/>
      <c r="AO31" s="99"/>
      <c r="AP31" s="99"/>
      <c r="AQ31" s="99"/>
      <c r="AR31" s="99"/>
      <c r="AS31" s="99"/>
      <c r="AT31" s="99"/>
      <c r="AU31" s="99"/>
      <c r="AV31" s="99"/>
      <c r="AW31" s="99"/>
      <c r="AX31" s="99"/>
      <c r="AY31" s="99"/>
      <c r="AZ31" s="99"/>
    </row>
    <row r="32" spans="1:52" s="635" customFormat="1" ht="18.75" thickBot="1" x14ac:dyDescent="0.35">
      <c r="A32" s="193"/>
      <c r="B32" s="666"/>
      <c r="C32" s="667" t="s">
        <v>796</v>
      </c>
      <c r="D32" s="668" t="s">
        <v>615</v>
      </c>
      <c r="E32" s="668">
        <v>1</v>
      </c>
      <c r="F32" s="668">
        <v>1</v>
      </c>
      <c r="G32" s="668">
        <v>1</v>
      </c>
      <c r="H32" s="669" t="s">
        <v>787</v>
      </c>
      <c r="I32" s="681" t="s">
        <v>750</v>
      </c>
      <c r="J32" s="681" t="s">
        <v>593</v>
      </c>
      <c r="K32" s="681" t="s">
        <v>593</v>
      </c>
      <c r="L32" s="681" t="s">
        <v>593</v>
      </c>
      <c r="M32" s="681" t="s">
        <v>593</v>
      </c>
      <c r="N32" s="671" t="s">
        <v>2</v>
      </c>
      <c r="O32" s="670"/>
      <c r="P32" s="670"/>
      <c r="Q32" s="670"/>
      <c r="R32" s="670"/>
      <c r="S32" s="670"/>
      <c r="T32" s="671" t="s">
        <v>2</v>
      </c>
      <c r="U32" s="672">
        <v>20</v>
      </c>
      <c r="V32" s="673">
        <f>ROUND(U32*(1+$V$6),2)</f>
        <v>23.8</v>
      </c>
      <c r="W32" s="674">
        <f>ROUND(20.97*(1+$V$6),2)</f>
        <v>24.95</v>
      </c>
      <c r="X32" s="675"/>
      <c r="Y32" s="193"/>
      <c r="Z32" s="632" t="s">
        <v>2</v>
      </c>
      <c r="AA32" s="845">
        <f>55+AA35</f>
        <v>57</v>
      </c>
      <c r="AB32" s="633">
        <f t="shared" si="3"/>
        <v>0.95390781563126259</v>
      </c>
      <c r="AC32" s="193"/>
      <c r="AD32" s="698"/>
      <c r="AE32" s="193"/>
      <c r="AF32" s="193"/>
      <c r="AG32" s="634"/>
      <c r="AH32" s="101"/>
      <c r="AI32" s="101"/>
      <c r="AJ32" s="634"/>
      <c r="AK32" s="101"/>
      <c r="AL32" s="101"/>
      <c r="AM32" s="634"/>
      <c r="AN32" s="193"/>
      <c r="AO32" s="193"/>
      <c r="AP32" s="193"/>
      <c r="AQ32" s="193"/>
      <c r="AR32" s="193"/>
      <c r="AS32" s="193"/>
      <c r="AT32" s="193"/>
      <c r="AU32" s="193"/>
      <c r="AV32" s="193"/>
      <c r="AW32" s="193"/>
      <c r="AX32" s="193"/>
      <c r="AY32" s="193"/>
      <c r="AZ32" s="193"/>
    </row>
    <row r="33" spans="1:52" s="657" customFormat="1" x14ac:dyDescent="0.3">
      <c r="A33" s="645"/>
      <c r="B33" s="701" t="s">
        <v>770</v>
      </c>
      <c r="C33" s="664" t="s">
        <v>793</v>
      </c>
      <c r="D33" s="646" t="s">
        <v>424</v>
      </c>
      <c r="E33" s="646" t="s">
        <v>424</v>
      </c>
      <c r="F33" s="646" t="s">
        <v>424</v>
      </c>
      <c r="G33" s="646" t="s">
        <v>424</v>
      </c>
      <c r="H33" s="647" t="s">
        <v>766</v>
      </c>
      <c r="I33" s="648"/>
      <c r="J33" s="648"/>
      <c r="K33" s="649"/>
      <c r="L33" s="649"/>
      <c r="M33" s="649"/>
      <c r="N33" s="649"/>
      <c r="O33" s="649"/>
      <c r="P33" s="649"/>
      <c r="Q33" s="649"/>
      <c r="R33" s="649"/>
      <c r="S33" s="649"/>
      <c r="T33" s="649"/>
      <c r="U33" s="650" t="s">
        <v>3</v>
      </c>
      <c r="V33" s="650" t="s">
        <v>3</v>
      </c>
      <c r="W33" s="651" t="s">
        <v>3</v>
      </c>
      <c r="X33" s="652" t="s">
        <v>768</v>
      </c>
      <c r="Y33" s="645"/>
      <c r="Z33" s="653" t="s">
        <v>2</v>
      </c>
      <c r="AA33" s="846" t="str">
        <f t="shared" ref="AA33:AA34" si="10">D33</f>
        <v>/</v>
      </c>
      <c r="AB33" s="654" t="e">
        <f>V33/W33</f>
        <v>#VALUE!</v>
      </c>
      <c r="AC33" s="655"/>
      <c r="AD33" s="698"/>
      <c r="AE33" s="645"/>
      <c r="AF33" s="645"/>
      <c r="AG33" s="645"/>
      <c r="AH33" s="656"/>
      <c r="AI33" s="656"/>
      <c r="AJ33" s="645"/>
      <c r="AK33" s="656"/>
      <c r="AL33" s="656"/>
      <c r="AM33" s="645"/>
      <c r="AN33" s="645"/>
      <c r="AO33" s="645"/>
      <c r="AP33" s="645"/>
      <c r="AQ33" s="645"/>
      <c r="AR33" s="645"/>
      <c r="AS33" s="645"/>
      <c r="AT33" s="645"/>
      <c r="AU33" s="645"/>
      <c r="AV33" s="645"/>
      <c r="AW33" s="645"/>
      <c r="AX33" s="645"/>
      <c r="AY33" s="645"/>
      <c r="AZ33" s="645"/>
    </row>
    <row r="34" spans="1:52" s="657" customFormat="1" x14ac:dyDescent="0.3">
      <c r="A34" s="645"/>
      <c r="B34" s="701" t="s">
        <v>771</v>
      </c>
      <c r="C34" s="664" t="s">
        <v>794</v>
      </c>
      <c r="D34" s="646" t="s">
        <v>424</v>
      </c>
      <c r="E34" s="646" t="s">
        <v>424</v>
      </c>
      <c r="F34" s="646" t="s">
        <v>424</v>
      </c>
      <c r="G34" s="646" t="s">
        <v>424</v>
      </c>
      <c r="H34" s="647" t="s">
        <v>766</v>
      </c>
      <c r="I34" s="648"/>
      <c r="J34" s="648"/>
      <c r="K34" s="649"/>
      <c r="L34" s="649"/>
      <c r="M34" s="649"/>
      <c r="N34" s="649"/>
      <c r="O34" s="649"/>
      <c r="P34" s="649"/>
      <c r="Q34" s="649"/>
      <c r="R34" s="649"/>
      <c r="S34" s="649"/>
      <c r="T34" s="649"/>
      <c r="U34" s="650" t="s">
        <v>3</v>
      </c>
      <c r="V34" s="650" t="s">
        <v>3</v>
      </c>
      <c r="W34" s="651" t="s">
        <v>3</v>
      </c>
      <c r="X34" s="652" t="s">
        <v>768</v>
      </c>
      <c r="Y34" s="645"/>
      <c r="Z34" s="653" t="s">
        <v>2</v>
      </c>
      <c r="AA34" s="846" t="str">
        <f t="shared" si="10"/>
        <v>/</v>
      </c>
      <c r="AB34" s="654" t="e">
        <f>V34/W34</f>
        <v>#VALUE!</v>
      </c>
      <c r="AC34" s="655"/>
      <c r="AD34" s="698"/>
      <c r="AE34" s="645"/>
      <c r="AF34" s="645"/>
      <c r="AG34" s="645"/>
      <c r="AH34" s="656"/>
      <c r="AI34" s="656"/>
      <c r="AJ34" s="645"/>
      <c r="AK34" s="656"/>
      <c r="AL34" s="656"/>
      <c r="AM34" s="645"/>
      <c r="AN34" s="645"/>
      <c r="AO34" s="645"/>
      <c r="AP34" s="645"/>
      <c r="AQ34" s="645"/>
      <c r="AR34" s="645"/>
      <c r="AS34" s="645"/>
      <c r="AT34" s="645"/>
      <c r="AU34" s="645"/>
      <c r="AV34" s="645"/>
      <c r="AW34" s="645"/>
      <c r="AX34" s="645"/>
      <c r="AY34" s="645"/>
      <c r="AZ34" s="645"/>
    </row>
    <row r="35" spans="1:52" s="44" customFormat="1" ht="18.75" thickBot="1" x14ac:dyDescent="0.35">
      <c r="A35" s="99"/>
      <c r="B35" s="701" t="s">
        <v>772</v>
      </c>
      <c r="C35" s="665" t="s">
        <v>799</v>
      </c>
      <c r="D35" s="604" t="s">
        <v>429</v>
      </c>
      <c r="E35" s="210" t="s">
        <v>424</v>
      </c>
      <c r="F35" s="210" t="s">
        <v>424</v>
      </c>
      <c r="G35" s="210" t="s">
        <v>424</v>
      </c>
      <c r="H35" s="211" t="s">
        <v>769</v>
      </c>
      <c r="I35" s="533"/>
      <c r="J35" s="533"/>
      <c r="K35" s="284"/>
      <c r="L35" s="284"/>
      <c r="M35" s="284"/>
      <c r="N35" s="284"/>
      <c r="O35" s="284"/>
      <c r="P35" s="284"/>
      <c r="Q35" s="284"/>
      <c r="R35" s="284"/>
      <c r="S35" s="284"/>
      <c r="T35" s="284"/>
      <c r="U35" s="279" t="s">
        <v>3</v>
      </c>
      <c r="V35" s="279" t="s">
        <v>3</v>
      </c>
      <c r="W35" s="212" t="s">
        <v>3</v>
      </c>
      <c r="X35" s="213" t="s">
        <v>768</v>
      </c>
      <c r="Y35" s="99"/>
      <c r="Z35" s="458" t="s">
        <v>2</v>
      </c>
      <c r="AA35" s="843">
        <v>2</v>
      </c>
      <c r="AB35" s="603" t="e">
        <f t="shared" ref="AB35" si="11">V35/W35</f>
        <v>#VALUE!</v>
      </c>
      <c r="AC35" s="457"/>
      <c r="AD35" s="698"/>
      <c r="AE35" s="99"/>
      <c r="AF35" s="99"/>
      <c r="AG35" s="100"/>
      <c r="AH35" s="101"/>
      <c r="AI35" s="101"/>
      <c r="AJ35" s="100"/>
      <c r="AK35" s="101"/>
      <c r="AL35" s="101"/>
      <c r="AM35" s="100"/>
      <c r="AN35" s="99"/>
      <c r="AO35" s="99"/>
      <c r="AP35" s="99"/>
      <c r="AQ35" s="99"/>
      <c r="AR35" s="99"/>
      <c r="AS35" s="99"/>
      <c r="AT35" s="99"/>
      <c r="AU35" s="99"/>
      <c r="AV35" s="99"/>
      <c r="AW35" s="99"/>
      <c r="AX35" s="99"/>
      <c r="AY35" s="99"/>
      <c r="AZ35" s="99"/>
    </row>
    <row r="36" spans="1:52" s="635" customFormat="1" ht="18.75" thickBot="1" x14ac:dyDescent="0.35">
      <c r="A36" s="193"/>
      <c r="B36" s="666"/>
      <c r="C36" s="667" t="s">
        <v>797</v>
      </c>
      <c r="D36" s="668" t="s">
        <v>615</v>
      </c>
      <c r="E36" s="668">
        <v>1</v>
      </c>
      <c r="F36" s="668">
        <v>1</v>
      </c>
      <c r="G36" s="668">
        <v>1</v>
      </c>
      <c r="H36" s="669" t="s">
        <v>787</v>
      </c>
      <c r="I36" s="681" t="s">
        <v>750</v>
      </c>
      <c r="J36" s="681" t="s">
        <v>593</v>
      </c>
      <c r="K36" s="681" t="s">
        <v>593</v>
      </c>
      <c r="L36" s="681" t="s">
        <v>593</v>
      </c>
      <c r="M36" s="681" t="s">
        <v>593</v>
      </c>
      <c r="N36" s="671" t="s">
        <v>2</v>
      </c>
      <c r="O36" s="670"/>
      <c r="P36" s="670"/>
      <c r="Q36" s="670"/>
      <c r="R36" s="670"/>
      <c r="S36" s="670"/>
      <c r="T36" s="671" t="s">
        <v>2</v>
      </c>
      <c r="U36" s="672">
        <v>20</v>
      </c>
      <c r="V36" s="673">
        <f>ROUND(U36*(1+$V$6),2)</f>
        <v>23.8</v>
      </c>
      <c r="W36" s="674">
        <f>ROUND(20.97*(1+$V$6),2)</f>
        <v>24.95</v>
      </c>
      <c r="X36" s="675"/>
      <c r="Y36" s="193"/>
      <c r="Z36" s="632" t="s">
        <v>2</v>
      </c>
      <c r="AA36" s="845">
        <f>55+AA39</f>
        <v>57</v>
      </c>
      <c r="AB36" s="633">
        <f t="shared" si="3"/>
        <v>0.95390781563126259</v>
      </c>
      <c r="AC36" s="193"/>
      <c r="AD36" s="698"/>
      <c r="AE36" s="193"/>
      <c r="AF36" s="193"/>
      <c r="AG36" s="634"/>
      <c r="AH36" s="101"/>
      <c r="AI36" s="101"/>
      <c r="AJ36" s="634"/>
      <c r="AK36" s="101"/>
      <c r="AL36" s="101"/>
      <c r="AM36" s="634"/>
      <c r="AN36" s="193"/>
      <c r="AO36" s="193"/>
      <c r="AP36" s="193"/>
      <c r="AQ36" s="193"/>
      <c r="AR36" s="193"/>
      <c r="AS36" s="193"/>
      <c r="AT36" s="193"/>
      <c r="AU36" s="193"/>
      <c r="AV36" s="193"/>
      <c r="AW36" s="193"/>
      <c r="AX36" s="193"/>
      <c r="AY36" s="193"/>
      <c r="AZ36" s="193"/>
    </row>
    <row r="37" spans="1:52" s="657" customFormat="1" x14ac:dyDescent="0.3">
      <c r="A37" s="645"/>
      <c r="B37" s="701" t="s">
        <v>770</v>
      </c>
      <c r="C37" s="664" t="s">
        <v>806</v>
      </c>
      <c r="D37" s="646" t="s">
        <v>424</v>
      </c>
      <c r="E37" s="646" t="s">
        <v>424</v>
      </c>
      <c r="F37" s="646" t="s">
        <v>424</v>
      </c>
      <c r="G37" s="646" t="s">
        <v>424</v>
      </c>
      <c r="H37" s="647" t="s">
        <v>766</v>
      </c>
      <c r="I37" s="648"/>
      <c r="J37" s="648"/>
      <c r="K37" s="649"/>
      <c r="L37" s="649"/>
      <c r="M37" s="649"/>
      <c r="N37" s="649"/>
      <c r="O37" s="649"/>
      <c r="P37" s="649"/>
      <c r="Q37" s="649"/>
      <c r="R37" s="649"/>
      <c r="S37" s="649"/>
      <c r="T37" s="649"/>
      <c r="U37" s="650" t="s">
        <v>3</v>
      </c>
      <c r="V37" s="650" t="s">
        <v>3</v>
      </c>
      <c r="W37" s="651" t="s">
        <v>3</v>
      </c>
      <c r="X37" s="652" t="s">
        <v>768</v>
      </c>
      <c r="Y37" s="645"/>
      <c r="Z37" s="653" t="s">
        <v>2</v>
      </c>
      <c r="AA37" s="846" t="str">
        <f t="shared" ref="AA37:AA38" si="12">D37</f>
        <v>/</v>
      </c>
      <c r="AB37" s="654" t="e">
        <f>V37/W37</f>
        <v>#VALUE!</v>
      </c>
      <c r="AC37" s="655"/>
      <c r="AD37" s="698"/>
      <c r="AE37" s="645"/>
      <c r="AF37" s="645"/>
      <c r="AG37" s="645"/>
      <c r="AH37" s="656"/>
      <c r="AI37" s="656"/>
      <c r="AJ37" s="645"/>
      <c r="AK37" s="656"/>
      <c r="AL37" s="656"/>
      <c r="AM37" s="645"/>
      <c r="AN37" s="645"/>
      <c r="AO37" s="645"/>
      <c r="AP37" s="645"/>
      <c r="AQ37" s="645"/>
      <c r="AR37" s="645"/>
      <c r="AS37" s="645"/>
      <c r="AT37" s="645"/>
      <c r="AU37" s="645"/>
      <c r="AV37" s="645"/>
      <c r="AW37" s="645"/>
      <c r="AX37" s="645"/>
      <c r="AY37" s="645"/>
      <c r="AZ37" s="645"/>
    </row>
    <row r="38" spans="1:52" s="657" customFormat="1" x14ac:dyDescent="0.3">
      <c r="A38" s="645"/>
      <c r="B38" s="701" t="s">
        <v>771</v>
      </c>
      <c r="C38" s="664" t="s">
        <v>801</v>
      </c>
      <c r="D38" s="646" t="s">
        <v>424</v>
      </c>
      <c r="E38" s="646" t="s">
        <v>424</v>
      </c>
      <c r="F38" s="646" t="s">
        <v>424</v>
      </c>
      <c r="G38" s="646" t="s">
        <v>424</v>
      </c>
      <c r="H38" s="647" t="s">
        <v>766</v>
      </c>
      <c r="I38" s="648"/>
      <c r="J38" s="648"/>
      <c r="K38" s="649"/>
      <c r="L38" s="649"/>
      <c r="M38" s="649"/>
      <c r="N38" s="649"/>
      <c r="O38" s="649"/>
      <c r="P38" s="649"/>
      <c r="Q38" s="649"/>
      <c r="R38" s="649"/>
      <c r="S38" s="649"/>
      <c r="T38" s="649"/>
      <c r="U38" s="650" t="s">
        <v>3</v>
      </c>
      <c r="V38" s="650" t="s">
        <v>3</v>
      </c>
      <c r="W38" s="651" t="s">
        <v>3</v>
      </c>
      <c r="X38" s="652" t="s">
        <v>768</v>
      </c>
      <c r="Y38" s="645"/>
      <c r="Z38" s="653" t="s">
        <v>2</v>
      </c>
      <c r="AA38" s="846" t="str">
        <f t="shared" si="12"/>
        <v>/</v>
      </c>
      <c r="AB38" s="654" t="e">
        <f>V38/W38</f>
        <v>#VALUE!</v>
      </c>
      <c r="AC38" s="655"/>
      <c r="AD38" s="698"/>
      <c r="AE38" s="645"/>
      <c r="AF38" s="645"/>
      <c r="AG38" s="645"/>
      <c r="AH38" s="656"/>
      <c r="AI38" s="656"/>
      <c r="AJ38" s="645"/>
      <c r="AK38" s="656"/>
      <c r="AL38" s="656"/>
      <c r="AM38" s="645"/>
      <c r="AN38" s="645"/>
      <c r="AO38" s="645"/>
      <c r="AP38" s="645"/>
      <c r="AQ38" s="645"/>
      <c r="AR38" s="645"/>
      <c r="AS38" s="645"/>
      <c r="AT38" s="645"/>
      <c r="AU38" s="645"/>
      <c r="AV38" s="645"/>
      <c r="AW38" s="645"/>
      <c r="AX38" s="645"/>
      <c r="AY38" s="645"/>
      <c r="AZ38" s="645"/>
    </row>
    <row r="39" spans="1:52" s="44" customFormat="1" ht="18.75" thickBot="1" x14ac:dyDescent="0.35">
      <c r="A39" s="99"/>
      <c r="B39" s="701" t="s">
        <v>772</v>
      </c>
      <c r="C39" s="665" t="s">
        <v>800</v>
      </c>
      <c r="D39" s="618" t="s">
        <v>429</v>
      </c>
      <c r="E39" s="646" t="s">
        <v>424</v>
      </c>
      <c r="F39" s="646" t="s">
        <v>424</v>
      </c>
      <c r="G39" s="646" t="s">
        <v>424</v>
      </c>
      <c r="H39" s="211" t="s">
        <v>769</v>
      </c>
      <c r="I39" s="533"/>
      <c r="J39" s="533"/>
      <c r="K39" s="284"/>
      <c r="L39" s="284"/>
      <c r="M39" s="284"/>
      <c r="N39" s="284"/>
      <c r="O39" s="284"/>
      <c r="P39" s="284"/>
      <c r="Q39" s="284"/>
      <c r="R39" s="284"/>
      <c r="S39" s="284"/>
      <c r="T39" s="284"/>
      <c r="U39" s="279" t="s">
        <v>3</v>
      </c>
      <c r="V39" s="279" t="s">
        <v>3</v>
      </c>
      <c r="W39" s="212" t="s">
        <v>3</v>
      </c>
      <c r="X39" s="213" t="s">
        <v>768</v>
      </c>
      <c r="Y39" s="99"/>
      <c r="Z39" s="458" t="s">
        <v>2</v>
      </c>
      <c r="AA39" s="843">
        <v>2</v>
      </c>
      <c r="AB39" s="603" t="e">
        <f t="shared" ref="AB39" si="13">V39/W39</f>
        <v>#VALUE!</v>
      </c>
      <c r="AC39" s="457"/>
      <c r="AD39" s="698"/>
      <c r="AE39" s="99"/>
      <c r="AF39" s="99"/>
      <c r="AG39" s="100"/>
      <c r="AH39" s="101"/>
      <c r="AI39" s="101"/>
      <c r="AJ39" s="100"/>
      <c r="AK39" s="101"/>
      <c r="AL39" s="101"/>
      <c r="AM39" s="100"/>
      <c r="AN39" s="99"/>
      <c r="AO39" s="99"/>
      <c r="AP39" s="99"/>
      <c r="AQ39" s="99"/>
      <c r="AR39" s="99"/>
      <c r="AS39" s="99"/>
      <c r="AT39" s="99"/>
      <c r="AU39" s="99"/>
      <c r="AV39" s="99"/>
      <c r="AW39" s="99"/>
      <c r="AX39" s="99"/>
      <c r="AY39" s="99"/>
      <c r="AZ39" s="99"/>
    </row>
    <row r="40" spans="1:52" s="635" customFormat="1" ht="18.75" thickBot="1" x14ac:dyDescent="0.35">
      <c r="A40" s="193"/>
      <c r="B40" s="666"/>
      <c r="C40" s="667" t="s">
        <v>798</v>
      </c>
      <c r="D40" s="668" t="s">
        <v>615</v>
      </c>
      <c r="E40" s="668">
        <v>1</v>
      </c>
      <c r="F40" s="668">
        <v>1</v>
      </c>
      <c r="G40" s="668">
        <v>1</v>
      </c>
      <c r="H40" s="669" t="s">
        <v>787</v>
      </c>
      <c r="I40" s="681" t="s">
        <v>750</v>
      </c>
      <c r="J40" s="681" t="s">
        <v>593</v>
      </c>
      <c r="K40" s="681" t="s">
        <v>593</v>
      </c>
      <c r="L40" s="681" t="s">
        <v>593</v>
      </c>
      <c r="M40" s="681" t="s">
        <v>593</v>
      </c>
      <c r="N40" s="671" t="s">
        <v>2</v>
      </c>
      <c r="O40" s="670"/>
      <c r="P40" s="670"/>
      <c r="Q40" s="670"/>
      <c r="R40" s="670"/>
      <c r="S40" s="670"/>
      <c r="T40" s="671" t="s">
        <v>2</v>
      </c>
      <c r="U40" s="672">
        <v>20</v>
      </c>
      <c r="V40" s="673">
        <f>ROUND(U40*(1+$V$6),2)</f>
        <v>23.8</v>
      </c>
      <c r="W40" s="674">
        <f>ROUND(20.97*(1+$V$6),2)</f>
        <v>24.95</v>
      </c>
      <c r="X40" s="677"/>
      <c r="Y40" s="193"/>
      <c r="Z40" s="632" t="s">
        <v>2</v>
      </c>
      <c r="AA40" s="845">
        <f>55+AA43</f>
        <v>57</v>
      </c>
      <c r="AB40" s="633">
        <f t="shared" si="3"/>
        <v>0.95390781563126259</v>
      </c>
      <c r="AC40" s="193"/>
      <c r="AD40" s="698"/>
      <c r="AE40" s="193"/>
      <c r="AF40" s="193"/>
      <c r="AG40" s="634"/>
      <c r="AH40" s="101"/>
      <c r="AI40" s="101"/>
      <c r="AJ40" s="634"/>
      <c r="AK40" s="101"/>
      <c r="AL40" s="101"/>
      <c r="AM40" s="634"/>
      <c r="AN40" s="193"/>
      <c r="AO40" s="193"/>
      <c r="AP40" s="193"/>
      <c r="AQ40" s="193"/>
      <c r="AR40" s="193"/>
      <c r="AS40" s="193"/>
      <c r="AT40" s="193"/>
      <c r="AU40" s="193"/>
      <c r="AV40" s="193"/>
      <c r="AW40" s="193"/>
      <c r="AX40" s="193"/>
      <c r="AY40" s="193"/>
      <c r="AZ40" s="193"/>
    </row>
    <row r="41" spans="1:52" s="657" customFormat="1" x14ac:dyDescent="0.3">
      <c r="A41" s="645"/>
      <c r="B41" s="701" t="s">
        <v>770</v>
      </c>
      <c r="C41" s="664" t="s">
        <v>807</v>
      </c>
      <c r="D41" s="646" t="s">
        <v>424</v>
      </c>
      <c r="E41" s="646" t="s">
        <v>424</v>
      </c>
      <c r="F41" s="646" t="s">
        <v>424</v>
      </c>
      <c r="G41" s="646" t="s">
        <v>424</v>
      </c>
      <c r="H41" s="647" t="s">
        <v>766</v>
      </c>
      <c r="I41" s="648"/>
      <c r="J41" s="648"/>
      <c r="K41" s="649"/>
      <c r="L41" s="649"/>
      <c r="M41" s="649"/>
      <c r="N41" s="649"/>
      <c r="O41" s="649"/>
      <c r="P41" s="649"/>
      <c r="Q41" s="649"/>
      <c r="R41" s="649"/>
      <c r="S41" s="649"/>
      <c r="T41" s="649"/>
      <c r="U41" s="650" t="s">
        <v>3</v>
      </c>
      <c r="V41" s="650" t="s">
        <v>3</v>
      </c>
      <c r="W41" s="651" t="s">
        <v>3</v>
      </c>
      <c r="X41" s="652" t="s">
        <v>768</v>
      </c>
      <c r="Y41" s="645"/>
      <c r="Z41" s="653" t="s">
        <v>2</v>
      </c>
      <c r="AA41" s="846" t="str">
        <f t="shared" ref="AA41:AA42" si="14">D41</f>
        <v>/</v>
      </c>
      <c r="AB41" s="654" t="e">
        <f>V41/W41</f>
        <v>#VALUE!</v>
      </c>
      <c r="AC41" s="655"/>
      <c r="AD41" s="698"/>
      <c r="AE41" s="645"/>
      <c r="AF41" s="645"/>
      <c r="AG41" s="645"/>
      <c r="AH41" s="656"/>
      <c r="AI41" s="656"/>
      <c r="AJ41" s="645"/>
      <c r="AK41" s="656"/>
      <c r="AL41" s="656"/>
      <c r="AM41" s="645"/>
      <c r="AN41" s="645"/>
      <c r="AO41" s="645"/>
      <c r="AP41" s="645"/>
      <c r="AQ41" s="645"/>
      <c r="AR41" s="645"/>
      <c r="AS41" s="645"/>
      <c r="AT41" s="645"/>
      <c r="AU41" s="645"/>
      <c r="AV41" s="645"/>
      <c r="AW41" s="645"/>
      <c r="AX41" s="645"/>
      <c r="AY41" s="645"/>
      <c r="AZ41" s="645"/>
    </row>
    <row r="42" spans="1:52" s="657" customFormat="1" x14ac:dyDescent="0.3">
      <c r="A42" s="645"/>
      <c r="B42" s="701" t="s">
        <v>771</v>
      </c>
      <c r="C42" s="664" t="s">
        <v>805</v>
      </c>
      <c r="D42" s="646" t="s">
        <v>424</v>
      </c>
      <c r="E42" s="646" t="s">
        <v>424</v>
      </c>
      <c r="F42" s="646" t="s">
        <v>424</v>
      </c>
      <c r="G42" s="646" t="s">
        <v>424</v>
      </c>
      <c r="H42" s="647" t="s">
        <v>766</v>
      </c>
      <c r="I42" s="648"/>
      <c r="J42" s="648"/>
      <c r="K42" s="649"/>
      <c r="L42" s="649"/>
      <c r="M42" s="649"/>
      <c r="N42" s="649"/>
      <c r="O42" s="649"/>
      <c r="P42" s="649"/>
      <c r="Q42" s="649"/>
      <c r="R42" s="649"/>
      <c r="S42" s="649"/>
      <c r="T42" s="649"/>
      <c r="U42" s="650" t="s">
        <v>3</v>
      </c>
      <c r="V42" s="650" t="s">
        <v>3</v>
      </c>
      <c r="W42" s="651" t="s">
        <v>3</v>
      </c>
      <c r="X42" s="652" t="s">
        <v>768</v>
      </c>
      <c r="Y42" s="645"/>
      <c r="Z42" s="653" t="s">
        <v>2</v>
      </c>
      <c r="AA42" s="846" t="str">
        <f t="shared" si="14"/>
        <v>/</v>
      </c>
      <c r="AB42" s="654" t="e">
        <f>V42/W42</f>
        <v>#VALUE!</v>
      </c>
      <c r="AC42" s="655"/>
      <c r="AD42" s="698"/>
      <c r="AE42" s="645"/>
      <c r="AF42" s="645"/>
      <c r="AG42" s="645"/>
      <c r="AH42" s="656"/>
      <c r="AI42" s="656"/>
      <c r="AJ42" s="645"/>
      <c r="AK42" s="656"/>
      <c r="AL42" s="656"/>
      <c r="AM42" s="645"/>
      <c r="AN42" s="645"/>
      <c r="AO42" s="645"/>
      <c r="AP42" s="645"/>
      <c r="AQ42" s="645"/>
      <c r="AR42" s="645"/>
      <c r="AS42" s="645"/>
      <c r="AT42" s="645"/>
      <c r="AU42" s="645"/>
      <c r="AV42" s="645"/>
      <c r="AW42" s="645"/>
      <c r="AX42" s="645"/>
      <c r="AY42" s="645"/>
      <c r="AZ42" s="645"/>
    </row>
    <row r="43" spans="1:52" s="44" customFormat="1" ht="18.75" thickBot="1" x14ac:dyDescent="0.35">
      <c r="A43" s="99"/>
      <c r="B43" s="701" t="s">
        <v>772</v>
      </c>
      <c r="C43" s="665" t="s">
        <v>802</v>
      </c>
      <c r="D43" s="210" t="s">
        <v>429</v>
      </c>
      <c r="E43" s="210" t="s">
        <v>424</v>
      </c>
      <c r="F43" s="210" t="s">
        <v>424</v>
      </c>
      <c r="G43" s="210" t="s">
        <v>424</v>
      </c>
      <c r="H43" s="211" t="s">
        <v>769</v>
      </c>
      <c r="I43" s="533"/>
      <c r="J43" s="533"/>
      <c r="K43" s="284"/>
      <c r="L43" s="284"/>
      <c r="M43" s="284"/>
      <c r="N43" s="284"/>
      <c r="O43" s="284"/>
      <c r="P43" s="284"/>
      <c r="Q43" s="284"/>
      <c r="R43" s="284"/>
      <c r="S43" s="284"/>
      <c r="T43" s="284"/>
      <c r="U43" s="279" t="s">
        <v>3</v>
      </c>
      <c r="V43" s="279" t="s">
        <v>3</v>
      </c>
      <c r="W43" s="212" t="s">
        <v>3</v>
      </c>
      <c r="X43" s="213" t="s">
        <v>768</v>
      </c>
      <c r="Y43" s="99"/>
      <c r="Z43" s="458" t="s">
        <v>2</v>
      </c>
      <c r="AA43" s="843">
        <v>2</v>
      </c>
      <c r="AB43" s="603" t="e">
        <f t="shared" si="3"/>
        <v>#VALUE!</v>
      </c>
      <c r="AC43" s="457"/>
      <c r="AD43" s="698"/>
      <c r="AE43" s="99"/>
      <c r="AF43" s="99"/>
      <c r="AG43" s="100"/>
      <c r="AH43" s="101"/>
      <c r="AI43" s="101"/>
      <c r="AJ43" s="100"/>
      <c r="AK43" s="101"/>
      <c r="AL43" s="101"/>
      <c r="AM43" s="100"/>
      <c r="AN43" s="99"/>
      <c r="AO43" s="99"/>
      <c r="AP43" s="99"/>
      <c r="AQ43" s="99"/>
      <c r="AR43" s="99"/>
      <c r="AS43" s="99"/>
      <c r="AT43" s="99"/>
      <c r="AU43" s="99"/>
      <c r="AV43" s="99"/>
      <c r="AW43" s="99"/>
      <c r="AX43" s="99"/>
      <c r="AY43" s="99"/>
      <c r="AZ43" s="99"/>
    </row>
    <row r="44" spans="1:52" s="635" customFormat="1" ht="18" x14ac:dyDescent="0.3">
      <c r="A44" s="193"/>
      <c r="B44" s="678"/>
      <c r="C44" s="667" t="s">
        <v>809</v>
      </c>
      <c r="D44" s="668" t="s">
        <v>429</v>
      </c>
      <c r="E44" s="679" t="s">
        <v>424</v>
      </c>
      <c r="F44" s="668">
        <v>1</v>
      </c>
      <c r="G44" s="668">
        <v>1</v>
      </c>
      <c r="H44" s="669" t="s">
        <v>788</v>
      </c>
      <c r="I44" s="681" t="s">
        <v>750</v>
      </c>
      <c r="J44" s="681" t="s">
        <v>593</v>
      </c>
      <c r="K44" s="681" t="s">
        <v>593</v>
      </c>
      <c r="L44" s="681" t="s">
        <v>593</v>
      </c>
      <c r="M44" s="681" t="s">
        <v>593</v>
      </c>
      <c r="N44" s="671" t="s">
        <v>2</v>
      </c>
      <c r="O44" s="670"/>
      <c r="P44" s="670"/>
      <c r="Q44" s="670"/>
      <c r="R44" s="670"/>
      <c r="S44" s="670"/>
      <c r="T44" s="671" t="s">
        <v>2</v>
      </c>
      <c r="U44" s="672">
        <v>12</v>
      </c>
      <c r="V44" s="673">
        <f>ROUND(U44*(1+$V$6),2)</f>
        <v>14.28</v>
      </c>
      <c r="W44" s="674">
        <f>ROUND(12.56*(1+$V$6),2)</f>
        <v>14.95</v>
      </c>
      <c r="X44" s="675"/>
      <c r="Y44" s="193"/>
      <c r="Z44" s="632" t="s">
        <v>2</v>
      </c>
      <c r="AA44" s="845"/>
      <c r="AB44" s="633">
        <f t="shared" si="3"/>
        <v>0.9551839464882943</v>
      </c>
      <c r="AC44" s="193"/>
      <c r="AD44" s="698"/>
      <c r="AE44" s="193"/>
      <c r="AF44" s="193"/>
      <c r="AG44" s="634"/>
      <c r="AH44" s="101"/>
      <c r="AI44" s="101"/>
      <c r="AJ44" s="634"/>
      <c r="AK44" s="101"/>
      <c r="AL44" s="101"/>
      <c r="AM44" s="634"/>
      <c r="AN44" s="193"/>
      <c r="AO44" s="193"/>
      <c r="AP44" s="193"/>
      <c r="AQ44" s="193"/>
      <c r="AR44" s="193"/>
      <c r="AS44" s="193"/>
      <c r="AT44" s="193"/>
      <c r="AU44" s="193"/>
      <c r="AV44" s="193"/>
      <c r="AW44" s="193"/>
      <c r="AX44" s="193"/>
      <c r="AY44" s="193"/>
      <c r="AZ44" s="193"/>
    </row>
    <row r="45" spans="1:52" s="635" customFormat="1" ht="18" x14ac:dyDescent="0.3">
      <c r="A45" s="193"/>
      <c r="B45" s="680"/>
      <c r="C45" s="667" t="s">
        <v>808</v>
      </c>
      <c r="D45" s="668" t="s">
        <v>429</v>
      </c>
      <c r="E45" s="679" t="s">
        <v>424</v>
      </c>
      <c r="F45" s="668">
        <v>1</v>
      </c>
      <c r="G45" s="668">
        <v>1</v>
      </c>
      <c r="H45" s="669" t="s">
        <v>788</v>
      </c>
      <c r="I45" s="681" t="s">
        <v>750</v>
      </c>
      <c r="J45" s="681" t="s">
        <v>593</v>
      </c>
      <c r="K45" s="681" t="s">
        <v>593</v>
      </c>
      <c r="L45" s="681" t="s">
        <v>593</v>
      </c>
      <c r="M45" s="681" t="s">
        <v>593</v>
      </c>
      <c r="N45" s="671" t="s">
        <v>2</v>
      </c>
      <c r="O45" s="670"/>
      <c r="P45" s="670"/>
      <c r="Q45" s="670"/>
      <c r="R45" s="670"/>
      <c r="S45" s="670"/>
      <c r="T45" s="671" t="s">
        <v>2</v>
      </c>
      <c r="U45" s="672">
        <v>12</v>
      </c>
      <c r="V45" s="673">
        <f>ROUND(U45*(1+$V$6),2)</f>
        <v>14.28</v>
      </c>
      <c r="W45" s="674">
        <f>ROUND(12.56*(1+$V$6),2)</f>
        <v>14.95</v>
      </c>
      <c r="X45" s="675"/>
      <c r="Y45" s="193"/>
      <c r="Z45" s="632" t="s">
        <v>2</v>
      </c>
      <c r="AA45" s="845"/>
      <c r="AB45" s="633">
        <f t="shared" si="3"/>
        <v>0.9551839464882943</v>
      </c>
      <c r="AC45" s="193"/>
      <c r="AD45" s="698"/>
      <c r="AE45" s="193"/>
      <c r="AF45" s="193"/>
      <c r="AG45" s="634"/>
      <c r="AH45" s="101"/>
      <c r="AI45" s="101"/>
      <c r="AJ45" s="634"/>
      <c r="AK45" s="101"/>
      <c r="AL45" s="101"/>
      <c r="AM45" s="634"/>
      <c r="AN45" s="193"/>
      <c r="AO45" s="193"/>
      <c r="AP45" s="193"/>
      <c r="AQ45" s="193"/>
      <c r="AR45" s="193"/>
      <c r="AS45" s="193"/>
      <c r="AT45" s="193"/>
      <c r="AU45" s="193"/>
      <c r="AV45" s="193"/>
      <c r="AW45" s="193"/>
      <c r="AX45" s="193"/>
      <c r="AY45" s="193"/>
      <c r="AZ45" s="193"/>
    </row>
    <row r="46" spans="1:52" s="635" customFormat="1" ht="18" x14ac:dyDescent="0.3">
      <c r="A46" s="193"/>
      <c r="B46" s="636"/>
      <c r="C46" s="637" t="s">
        <v>1086</v>
      </c>
      <c r="D46" s="638">
        <v>2</v>
      </c>
      <c r="E46" s="638" t="s">
        <v>424</v>
      </c>
      <c r="F46" s="638" t="s">
        <v>424</v>
      </c>
      <c r="G46" s="638" t="s">
        <v>424</v>
      </c>
      <c r="H46" s="639" t="s">
        <v>789</v>
      </c>
      <c r="I46" s="682" t="s">
        <v>750</v>
      </c>
      <c r="J46" s="682" t="s">
        <v>593</v>
      </c>
      <c r="K46" s="682" t="s">
        <v>593</v>
      </c>
      <c r="L46" s="682" t="s">
        <v>593</v>
      </c>
      <c r="M46" s="682" t="s">
        <v>593</v>
      </c>
      <c r="N46" s="682" t="s">
        <v>593</v>
      </c>
      <c r="O46" s="682" t="s">
        <v>593</v>
      </c>
      <c r="P46" s="682" t="s">
        <v>593</v>
      </c>
      <c r="Q46" s="682" t="s">
        <v>593</v>
      </c>
      <c r="R46" s="682" t="s">
        <v>593</v>
      </c>
      <c r="S46" s="682" t="s">
        <v>593</v>
      </c>
      <c r="T46" s="682" t="s">
        <v>593</v>
      </c>
      <c r="U46" s="641">
        <v>0</v>
      </c>
      <c r="V46" s="642">
        <f>ROUND(U46*(1+$V$6),2)</f>
        <v>0</v>
      </c>
      <c r="W46" s="643">
        <f>ROUND(2.5*(1+$V$6),2)</f>
        <v>2.98</v>
      </c>
      <c r="X46" s="601" t="s">
        <v>1085</v>
      </c>
      <c r="Y46" s="193"/>
      <c r="Z46" s="632" t="s">
        <v>2</v>
      </c>
      <c r="AA46" s="845">
        <v>2</v>
      </c>
      <c r="AB46" s="633">
        <f t="shared" si="3"/>
        <v>0</v>
      </c>
      <c r="AC46" s="193"/>
      <c r="AD46" s="698"/>
      <c r="AE46" s="193"/>
      <c r="AF46" s="193"/>
      <c r="AG46" s="634"/>
      <c r="AH46" s="101"/>
      <c r="AI46" s="101"/>
      <c r="AJ46" s="634"/>
      <c r="AK46" s="101"/>
      <c r="AL46" s="101"/>
      <c r="AM46" s="634"/>
      <c r="AN46" s="193"/>
      <c r="AO46" s="193"/>
      <c r="AP46" s="193"/>
      <c r="AQ46" s="193"/>
      <c r="AR46" s="193"/>
      <c r="AS46" s="193"/>
      <c r="AT46" s="193"/>
      <c r="AU46" s="193"/>
      <c r="AV46" s="193"/>
      <c r="AW46" s="193"/>
      <c r="AX46" s="193"/>
      <c r="AY46" s="193"/>
      <c r="AZ46" s="193"/>
    </row>
    <row r="47" spans="1:52" s="635" customFormat="1" ht="18.75" thickBot="1" x14ac:dyDescent="0.35">
      <c r="A47" s="193"/>
      <c r="B47" s="636"/>
      <c r="C47" s="637" t="s">
        <v>1087</v>
      </c>
      <c r="D47" s="638">
        <v>2</v>
      </c>
      <c r="E47" s="638" t="s">
        <v>424</v>
      </c>
      <c r="F47" s="638" t="s">
        <v>424</v>
      </c>
      <c r="G47" s="638" t="s">
        <v>424</v>
      </c>
      <c r="H47" s="639" t="s">
        <v>789</v>
      </c>
      <c r="I47" s="682" t="s">
        <v>750</v>
      </c>
      <c r="J47" s="682" t="s">
        <v>593</v>
      </c>
      <c r="K47" s="682" t="s">
        <v>593</v>
      </c>
      <c r="L47" s="682" t="s">
        <v>593</v>
      </c>
      <c r="M47" s="682" t="s">
        <v>593</v>
      </c>
      <c r="N47" s="682" t="s">
        <v>593</v>
      </c>
      <c r="O47" s="682" t="s">
        <v>593</v>
      </c>
      <c r="P47" s="682" t="s">
        <v>593</v>
      </c>
      <c r="Q47" s="682" t="s">
        <v>593</v>
      </c>
      <c r="R47" s="682" t="s">
        <v>593</v>
      </c>
      <c r="S47" s="682" t="s">
        <v>593</v>
      </c>
      <c r="T47" s="682" t="s">
        <v>593</v>
      </c>
      <c r="U47" s="641">
        <v>2.5</v>
      </c>
      <c r="V47" s="642">
        <f>ROUND(U47*(1+$V$6),2)</f>
        <v>2.98</v>
      </c>
      <c r="W47" s="643">
        <f>ROUND(2.5*(1+$V$6),2)</f>
        <v>2.98</v>
      </c>
      <c r="X47" s="601" t="s">
        <v>1085</v>
      </c>
      <c r="Y47" s="193"/>
      <c r="Z47" s="632" t="s">
        <v>2</v>
      </c>
      <c r="AA47" s="845">
        <v>2</v>
      </c>
      <c r="AB47" s="633">
        <f t="shared" si="3"/>
        <v>1</v>
      </c>
      <c r="AC47" s="193"/>
      <c r="AD47" s="698"/>
      <c r="AE47" s="193"/>
      <c r="AF47" s="193"/>
      <c r="AG47" s="634"/>
      <c r="AH47" s="101"/>
      <c r="AI47" s="101"/>
      <c r="AJ47" s="634"/>
      <c r="AK47" s="101"/>
      <c r="AL47" s="101"/>
      <c r="AM47" s="634"/>
      <c r="AN47" s="193"/>
      <c r="AO47" s="193"/>
      <c r="AP47" s="193"/>
      <c r="AQ47" s="193"/>
      <c r="AR47" s="193"/>
      <c r="AS47" s="193"/>
      <c r="AT47" s="193"/>
      <c r="AU47" s="193"/>
      <c r="AV47" s="193"/>
      <c r="AW47" s="193"/>
      <c r="AX47" s="193"/>
      <c r="AY47" s="193"/>
      <c r="AZ47" s="193"/>
    </row>
    <row r="48" spans="1:52" s="635" customFormat="1" ht="18.75" thickBot="1" x14ac:dyDescent="0.35">
      <c r="A48" s="193"/>
      <c r="B48" s="644"/>
      <c r="C48" s="637" t="s">
        <v>1107</v>
      </c>
      <c r="D48" s="638" t="s">
        <v>1111</v>
      </c>
      <c r="E48" s="638" t="s">
        <v>424</v>
      </c>
      <c r="F48" s="638" t="s">
        <v>424</v>
      </c>
      <c r="G48" s="638" t="s">
        <v>424</v>
      </c>
      <c r="H48" s="639" t="s">
        <v>790</v>
      </c>
      <c r="I48" s="682" t="s">
        <v>750</v>
      </c>
      <c r="J48" s="640" t="s">
        <v>2</v>
      </c>
      <c r="K48" s="640" t="s">
        <v>2</v>
      </c>
      <c r="L48" s="640" t="s">
        <v>2</v>
      </c>
      <c r="M48" s="640" t="s">
        <v>2</v>
      </c>
      <c r="N48" s="640" t="s">
        <v>2</v>
      </c>
      <c r="O48" s="544" t="s">
        <v>593</v>
      </c>
      <c r="P48" s="544" t="s">
        <v>593</v>
      </c>
      <c r="Q48" s="544" t="s">
        <v>593</v>
      </c>
      <c r="R48" s="544" t="s">
        <v>2</v>
      </c>
      <c r="S48" s="544" t="s">
        <v>2</v>
      </c>
      <c r="T48" s="640" t="s">
        <v>2</v>
      </c>
      <c r="U48" s="641">
        <v>0</v>
      </c>
      <c r="V48" s="642">
        <f>ROUND(U48*(1+$V$6),2)</f>
        <v>0</v>
      </c>
      <c r="W48" s="643">
        <f>Y48</f>
        <v>9.9499999999999993</v>
      </c>
      <c r="X48" s="858" t="s">
        <v>1085</v>
      </c>
      <c r="Y48" s="857">
        <v>9.9499999999999993</v>
      </c>
      <c r="Z48" s="632" t="s">
        <v>2</v>
      </c>
      <c r="AA48" s="845">
        <f>SUM(AA49:AA52)</f>
        <v>48</v>
      </c>
      <c r="AB48" s="633">
        <f>V48/W48</f>
        <v>0</v>
      </c>
      <c r="AC48" s="193"/>
      <c r="AD48" s="698"/>
      <c r="AE48" s="193"/>
      <c r="AF48" s="193"/>
      <c r="AG48" s="634"/>
      <c r="AH48" s="101"/>
      <c r="AI48" s="101"/>
      <c r="AJ48" s="634"/>
      <c r="AK48" s="101"/>
      <c r="AL48" s="101"/>
      <c r="AM48" s="634"/>
      <c r="AN48" s="193"/>
      <c r="AO48" s="193"/>
      <c r="AP48" s="193"/>
      <c r="AQ48" s="193"/>
      <c r="AR48" s="193"/>
      <c r="AS48" s="193"/>
      <c r="AT48" s="193"/>
      <c r="AU48" s="193"/>
      <c r="AV48" s="193"/>
      <c r="AW48" s="193"/>
      <c r="AX48" s="193"/>
      <c r="AY48" s="193"/>
      <c r="AZ48" s="193"/>
    </row>
    <row r="49" spans="1:52" s="49" customFormat="1" ht="18" customHeight="1" x14ac:dyDescent="0.3">
      <c r="A49" s="100"/>
      <c r="B49" s="701" t="s">
        <v>772</v>
      </c>
      <c r="C49" s="665" t="s">
        <v>810</v>
      </c>
      <c r="D49" s="618" t="s">
        <v>424</v>
      </c>
      <c r="E49" s="210" t="s">
        <v>424</v>
      </c>
      <c r="F49" s="210" t="s">
        <v>424</v>
      </c>
      <c r="G49" s="210" t="s">
        <v>424</v>
      </c>
      <c r="H49" s="211" t="s">
        <v>1109</v>
      </c>
      <c r="I49" s="533"/>
      <c r="J49" s="533"/>
      <c r="K49" s="284"/>
      <c r="L49" s="284"/>
      <c r="M49" s="284"/>
      <c r="N49" s="284"/>
      <c r="O49" s="284"/>
      <c r="P49" s="284"/>
      <c r="Q49" s="284"/>
      <c r="R49" s="284"/>
      <c r="S49" s="284"/>
      <c r="T49" s="284"/>
      <c r="U49" s="279" t="s">
        <v>3</v>
      </c>
      <c r="V49" s="279" t="s">
        <v>3</v>
      </c>
      <c r="W49" s="212" t="s">
        <v>3</v>
      </c>
      <c r="X49" s="213" t="s">
        <v>818</v>
      </c>
      <c r="Y49" s="100"/>
      <c r="Z49" s="458" t="s">
        <v>2</v>
      </c>
      <c r="AA49" s="843" t="str">
        <f t="shared" ref="AA49" si="15">D49</f>
        <v>/</v>
      </c>
      <c r="AB49" s="603" t="e">
        <f>V49/W49</f>
        <v>#VALUE!</v>
      </c>
      <c r="AC49" s="457"/>
      <c r="AD49" s="698"/>
      <c r="AE49" s="100"/>
      <c r="AF49" s="100"/>
      <c r="AG49" s="100"/>
      <c r="AH49" s="101"/>
      <c r="AI49" s="101"/>
      <c r="AJ49" s="100"/>
      <c r="AK49" s="101"/>
      <c r="AL49" s="101"/>
      <c r="AM49" s="100"/>
      <c r="AN49" s="100"/>
      <c r="AO49" s="100"/>
      <c r="AP49" s="100"/>
      <c r="AQ49" s="100"/>
      <c r="AR49" s="100"/>
      <c r="AS49" s="100"/>
      <c r="AT49" s="100"/>
      <c r="AU49" s="100"/>
      <c r="AV49" s="100"/>
      <c r="AW49" s="100"/>
      <c r="AX49" s="100"/>
      <c r="AY49" s="100"/>
      <c r="AZ49" s="100"/>
    </row>
    <row r="50" spans="1:52" s="49" customFormat="1" ht="18" customHeight="1" x14ac:dyDescent="0.3">
      <c r="A50" s="100"/>
      <c r="B50" s="100"/>
      <c r="C50" s="665" t="s">
        <v>811</v>
      </c>
      <c r="D50" s="699" t="s">
        <v>1065</v>
      </c>
      <c r="E50" s="210" t="s">
        <v>424</v>
      </c>
      <c r="F50" s="210" t="s">
        <v>424</v>
      </c>
      <c r="G50" s="210" t="s">
        <v>424</v>
      </c>
      <c r="H50" s="211" t="s">
        <v>1109</v>
      </c>
      <c r="I50" s="533"/>
      <c r="J50" s="533"/>
      <c r="K50" s="284"/>
      <c r="L50" s="284"/>
      <c r="M50" s="284"/>
      <c r="N50" s="284"/>
      <c r="O50" s="284"/>
      <c r="P50" s="284"/>
      <c r="Q50" s="284"/>
      <c r="R50" s="284"/>
      <c r="S50" s="284"/>
      <c r="T50" s="284"/>
      <c r="U50" s="279" t="s">
        <v>3</v>
      </c>
      <c r="V50" s="279" t="s">
        <v>3</v>
      </c>
      <c r="W50" s="212" t="s">
        <v>3</v>
      </c>
      <c r="X50" s="213" t="s">
        <v>818</v>
      </c>
      <c r="Y50" s="100"/>
      <c r="Z50" s="458" t="s">
        <v>2</v>
      </c>
      <c r="AA50" s="843">
        <v>18</v>
      </c>
      <c r="AB50" s="603" t="e">
        <f>V50/W50</f>
        <v>#VALUE!</v>
      </c>
      <c r="AC50" s="457"/>
      <c r="AD50" s="698"/>
      <c r="AE50" s="100"/>
      <c r="AF50" s="100"/>
      <c r="AG50" s="100"/>
      <c r="AH50" s="101"/>
      <c r="AI50" s="101"/>
      <c r="AJ50" s="100"/>
      <c r="AK50" s="101"/>
      <c r="AL50" s="101"/>
      <c r="AM50" s="100"/>
      <c r="AN50" s="100"/>
      <c r="AO50" s="100"/>
      <c r="AP50" s="100"/>
      <c r="AQ50" s="100"/>
      <c r="AR50" s="100"/>
      <c r="AS50" s="100"/>
      <c r="AT50" s="100"/>
      <c r="AU50" s="100"/>
      <c r="AV50" s="100"/>
      <c r="AW50" s="100"/>
      <c r="AX50" s="100"/>
      <c r="AY50" s="100"/>
      <c r="AZ50" s="100"/>
    </row>
    <row r="51" spans="1:52" s="49" customFormat="1" ht="18" customHeight="1" x14ac:dyDescent="0.3">
      <c r="A51" s="100"/>
      <c r="B51" s="100"/>
      <c r="C51" s="665" t="s">
        <v>812</v>
      </c>
      <c r="D51" s="699" t="s">
        <v>1065</v>
      </c>
      <c r="E51" s="210" t="s">
        <v>424</v>
      </c>
      <c r="F51" s="210" t="s">
        <v>424</v>
      </c>
      <c r="G51" s="210" t="s">
        <v>424</v>
      </c>
      <c r="H51" s="211" t="s">
        <v>1109</v>
      </c>
      <c r="I51" s="533"/>
      <c r="J51" s="533"/>
      <c r="K51" s="284"/>
      <c r="L51" s="284"/>
      <c r="M51" s="284"/>
      <c r="N51" s="284"/>
      <c r="O51" s="284"/>
      <c r="P51" s="284"/>
      <c r="Q51" s="284"/>
      <c r="R51" s="284"/>
      <c r="S51" s="284"/>
      <c r="T51" s="284"/>
      <c r="U51" s="279" t="s">
        <v>3</v>
      </c>
      <c r="V51" s="279" t="s">
        <v>3</v>
      </c>
      <c r="W51" s="212" t="s">
        <v>3</v>
      </c>
      <c r="X51" s="213" t="s">
        <v>818</v>
      </c>
      <c r="Y51" s="100"/>
      <c r="Z51" s="458" t="s">
        <v>2</v>
      </c>
      <c r="AA51" s="843">
        <v>18</v>
      </c>
      <c r="AB51" s="603" t="e">
        <f>V51/W51</f>
        <v>#VALUE!</v>
      </c>
      <c r="AC51" s="457"/>
      <c r="AD51" s="698"/>
      <c r="AE51" s="100"/>
      <c r="AF51" s="100"/>
      <c r="AG51" s="100"/>
      <c r="AH51" s="101"/>
      <c r="AI51" s="101"/>
      <c r="AJ51" s="100"/>
      <c r="AK51" s="101"/>
      <c r="AL51" s="101"/>
      <c r="AM51" s="100"/>
      <c r="AN51" s="100"/>
      <c r="AO51" s="100"/>
      <c r="AP51" s="100"/>
      <c r="AQ51" s="100"/>
      <c r="AR51" s="100"/>
      <c r="AS51" s="100"/>
      <c r="AT51" s="100"/>
      <c r="AU51" s="100"/>
      <c r="AV51" s="100"/>
      <c r="AW51" s="100"/>
      <c r="AX51" s="100"/>
      <c r="AY51" s="100"/>
      <c r="AZ51" s="100"/>
    </row>
    <row r="52" spans="1:52" s="44" customFormat="1" ht="18.75" thickBot="1" x14ac:dyDescent="0.35">
      <c r="A52" s="99"/>
      <c r="B52" s="99"/>
      <c r="C52" s="665" t="s">
        <v>813</v>
      </c>
      <c r="D52" s="618" t="s">
        <v>1066</v>
      </c>
      <c r="E52" s="210" t="s">
        <v>424</v>
      </c>
      <c r="F52" s="210" t="s">
        <v>424</v>
      </c>
      <c r="G52" s="210" t="s">
        <v>424</v>
      </c>
      <c r="H52" s="211" t="s">
        <v>1109</v>
      </c>
      <c r="I52" s="533"/>
      <c r="J52" s="533"/>
      <c r="K52" s="284"/>
      <c r="L52" s="284"/>
      <c r="M52" s="284"/>
      <c r="N52" s="284"/>
      <c r="O52" s="284"/>
      <c r="P52" s="284"/>
      <c r="Q52" s="284"/>
      <c r="R52" s="284"/>
      <c r="S52" s="284"/>
      <c r="T52" s="284"/>
      <c r="U52" s="279" t="s">
        <v>3</v>
      </c>
      <c r="V52" s="279" t="s">
        <v>3</v>
      </c>
      <c r="W52" s="212" t="s">
        <v>3</v>
      </c>
      <c r="X52" s="213" t="s">
        <v>818</v>
      </c>
      <c r="Y52" s="99"/>
      <c r="Z52" s="458" t="s">
        <v>2</v>
      </c>
      <c r="AA52" s="847">
        <v>12</v>
      </c>
      <c r="AB52" s="603" t="e">
        <f t="shared" ref="AB52" si="16">V52/W52</f>
        <v>#VALUE!</v>
      </c>
      <c r="AC52" s="457"/>
      <c r="AD52" s="698"/>
      <c r="AE52" s="99"/>
      <c r="AF52" s="99"/>
      <c r="AG52" s="100"/>
      <c r="AH52" s="101"/>
      <c r="AI52" s="101"/>
      <c r="AJ52" s="100"/>
      <c r="AK52" s="101"/>
      <c r="AL52" s="101"/>
      <c r="AM52" s="100"/>
      <c r="AN52" s="99"/>
      <c r="AO52" s="99"/>
      <c r="AP52" s="99"/>
      <c r="AQ52" s="99"/>
      <c r="AR52" s="99"/>
      <c r="AS52" s="99"/>
      <c r="AT52" s="99"/>
      <c r="AU52" s="99"/>
      <c r="AV52" s="99"/>
      <c r="AW52" s="99"/>
      <c r="AX52" s="99"/>
      <c r="AY52" s="99"/>
      <c r="AZ52" s="99"/>
    </row>
    <row r="53" spans="1:52" s="635" customFormat="1" ht="18.75" thickBot="1" x14ac:dyDescent="0.35">
      <c r="A53" s="193"/>
      <c r="B53" s="1088"/>
      <c r="C53" s="637" t="s">
        <v>1108</v>
      </c>
      <c r="D53" s="638" t="s">
        <v>615</v>
      </c>
      <c r="E53" s="638">
        <v>1</v>
      </c>
      <c r="F53" s="638">
        <v>1</v>
      </c>
      <c r="G53" s="638">
        <v>1</v>
      </c>
      <c r="H53" s="639" t="s">
        <v>790</v>
      </c>
      <c r="I53" s="682" t="s">
        <v>750</v>
      </c>
      <c r="J53" s="682" t="str">
        <f>IF(SUMIFS($U$8:$U$47,$B$8:$B$47,"x",J$8:J$47,"Add-On")+SUMIFS($U$56:$U$64,$B$56:$B$64,"x",J$56:J$64,"Add-On")&gt;=50,"Included","Buy after CF")</f>
        <v>Included</v>
      </c>
      <c r="K53" s="640" t="s">
        <v>2</v>
      </c>
      <c r="L53" s="640" t="s">
        <v>2</v>
      </c>
      <c r="M53" s="640" t="s">
        <v>2</v>
      </c>
      <c r="N53" s="640" t="s">
        <v>2</v>
      </c>
      <c r="O53" s="544" t="s">
        <v>593</v>
      </c>
      <c r="P53" s="544" t="s">
        <v>593</v>
      </c>
      <c r="Q53" s="544" t="s">
        <v>593</v>
      </c>
      <c r="R53" s="544" t="s">
        <v>2</v>
      </c>
      <c r="S53" s="544" t="s">
        <v>2</v>
      </c>
      <c r="T53" s="640" t="s">
        <v>2</v>
      </c>
      <c r="U53" s="641">
        <v>0</v>
      </c>
      <c r="V53" s="642">
        <f>ROUND(U53*(1+$V$6),2)</f>
        <v>0</v>
      </c>
      <c r="W53" s="643">
        <f>Y53</f>
        <v>19.95</v>
      </c>
      <c r="X53" s="858" t="s">
        <v>1085</v>
      </c>
      <c r="Y53" s="857">
        <v>19.95</v>
      </c>
      <c r="Z53" s="632" t="s">
        <v>2</v>
      </c>
      <c r="AA53" s="845">
        <f>SUM(AA54:AA55)</f>
        <v>55</v>
      </c>
      <c r="AB53" s="633">
        <f>V53/W53</f>
        <v>0</v>
      </c>
      <c r="AC53" s="193"/>
      <c r="AD53" s="698"/>
      <c r="AE53" s="193"/>
      <c r="AF53" s="193"/>
      <c r="AG53" s="634"/>
      <c r="AH53" s="101"/>
      <c r="AI53" s="101"/>
      <c r="AJ53" s="634"/>
      <c r="AK53" s="101"/>
      <c r="AL53" s="101"/>
      <c r="AM53" s="634"/>
      <c r="AN53" s="193"/>
      <c r="AO53" s="193"/>
      <c r="AP53" s="193"/>
      <c r="AQ53" s="193"/>
      <c r="AR53" s="193"/>
      <c r="AS53" s="193"/>
      <c r="AT53" s="193"/>
      <c r="AU53" s="193"/>
      <c r="AV53" s="193"/>
      <c r="AW53" s="193"/>
      <c r="AX53" s="193"/>
      <c r="AY53" s="193"/>
      <c r="AZ53" s="193"/>
    </row>
    <row r="54" spans="1:52" s="49" customFormat="1" ht="18" customHeight="1" x14ac:dyDescent="0.3">
      <c r="A54" s="100"/>
      <c r="B54" s="701" t="s">
        <v>772</v>
      </c>
      <c r="C54" s="665" t="s">
        <v>1084</v>
      </c>
      <c r="D54" s="856" t="s">
        <v>429</v>
      </c>
      <c r="E54" s="210" t="s">
        <v>424</v>
      </c>
      <c r="F54" s="210">
        <v>1</v>
      </c>
      <c r="G54" s="210">
        <v>1</v>
      </c>
      <c r="H54" s="211" t="s">
        <v>1110</v>
      </c>
      <c r="I54" s="533"/>
      <c r="J54" s="533"/>
      <c r="K54" s="284"/>
      <c r="L54" s="284"/>
      <c r="M54" s="284"/>
      <c r="N54" s="284"/>
      <c r="O54" s="284"/>
      <c r="P54" s="284"/>
      <c r="Q54" s="284"/>
      <c r="R54" s="284"/>
      <c r="S54" s="284"/>
      <c r="T54" s="284"/>
      <c r="U54" s="279" t="s">
        <v>3</v>
      </c>
      <c r="V54" s="279" t="s">
        <v>3</v>
      </c>
      <c r="W54" s="212" t="s">
        <v>3</v>
      </c>
      <c r="X54" s="213" t="s">
        <v>818</v>
      </c>
      <c r="Y54" s="100"/>
      <c r="Z54" s="458" t="s">
        <v>2</v>
      </c>
      <c r="AA54" s="843" t="str">
        <f t="shared" ref="AA54" si="17">D54</f>
        <v>+?</v>
      </c>
      <c r="AB54" s="603" t="e">
        <f>V54/W54</f>
        <v>#VALUE!</v>
      </c>
      <c r="AC54" s="457"/>
      <c r="AD54" s="698"/>
      <c r="AE54" s="100"/>
      <c r="AF54" s="100"/>
      <c r="AG54" s="100"/>
      <c r="AH54" s="101"/>
      <c r="AI54" s="101"/>
      <c r="AJ54" s="100"/>
      <c r="AK54" s="101"/>
      <c r="AL54" s="101"/>
      <c r="AM54" s="100"/>
      <c r="AN54" s="100"/>
      <c r="AO54" s="100"/>
      <c r="AP54" s="100"/>
      <c r="AQ54" s="100"/>
      <c r="AR54" s="100"/>
      <c r="AS54" s="100"/>
      <c r="AT54" s="100"/>
      <c r="AU54" s="100"/>
      <c r="AV54" s="100"/>
      <c r="AW54" s="100"/>
      <c r="AX54" s="100"/>
      <c r="AY54" s="100"/>
      <c r="AZ54" s="100"/>
    </row>
    <row r="55" spans="1:52" s="49" customFormat="1" ht="18" customHeight="1" thickBot="1" x14ac:dyDescent="0.35">
      <c r="A55" s="100"/>
      <c r="B55" s="100"/>
      <c r="C55" s="665" t="s">
        <v>1103</v>
      </c>
      <c r="D55" s="856">
        <v>55</v>
      </c>
      <c r="E55" s="210">
        <v>1</v>
      </c>
      <c r="F55" s="210" t="s">
        <v>424</v>
      </c>
      <c r="G55" s="210" t="s">
        <v>424</v>
      </c>
      <c r="H55" s="211" t="s">
        <v>1110</v>
      </c>
      <c r="I55" s="533"/>
      <c r="J55" s="533"/>
      <c r="K55" s="284"/>
      <c r="L55" s="284"/>
      <c r="M55" s="284"/>
      <c r="N55" s="284"/>
      <c r="O55" s="284"/>
      <c r="P55" s="284"/>
      <c r="Q55" s="284"/>
      <c r="R55" s="284"/>
      <c r="S55" s="284"/>
      <c r="T55" s="284"/>
      <c r="U55" s="279" t="s">
        <v>3</v>
      </c>
      <c r="V55" s="279" t="s">
        <v>3</v>
      </c>
      <c r="W55" s="212" t="s">
        <v>3</v>
      </c>
      <c r="X55" s="213" t="s">
        <v>818</v>
      </c>
      <c r="Y55" s="100"/>
      <c r="Z55" s="458" t="s">
        <v>2</v>
      </c>
      <c r="AA55" s="847">
        <v>55</v>
      </c>
      <c r="AB55" s="603" t="e">
        <f>V55/W55</f>
        <v>#VALUE!</v>
      </c>
      <c r="AC55" s="457"/>
      <c r="AD55" s="698"/>
      <c r="AE55" s="100"/>
      <c r="AF55" s="100"/>
      <c r="AG55" s="100"/>
      <c r="AH55" s="101"/>
      <c r="AI55" s="101"/>
      <c r="AJ55" s="100"/>
      <c r="AK55" s="101"/>
      <c r="AL55" s="101"/>
      <c r="AM55" s="100"/>
      <c r="AN55" s="100"/>
      <c r="AO55" s="100"/>
      <c r="AP55" s="100"/>
      <c r="AQ55" s="100"/>
      <c r="AR55" s="100"/>
      <c r="AS55" s="100"/>
      <c r="AT55" s="100"/>
      <c r="AU55" s="100"/>
      <c r="AV55" s="100"/>
      <c r="AW55" s="100"/>
      <c r="AX55" s="100"/>
      <c r="AY55" s="100"/>
      <c r="AZ55" s="100"/>
    </row>
    <row r="56" spans="1:52" s="635" customFormat="1" ht="18.75" collapsed="1" thickBot="1" x14ac:dyDescent="0.35">
      <c r="A56" s="193"/>
      <c r="B56" s="662" t="s">
        <v>4</v>
      </c>
      <c r="C56" s="637" t="s">
        <v>1101</v>
      </c>
      <c r="D56" s="638" t="s">
        <v>424</v>
      </c>
      <c r="E56" s="638" t="s">
        <v>424</v>
      </c>
      <c r="F56" s="638" t="s">
        <v>424</v>
      </c>
      <c r="G56" s="638" t="s">
        <v>424</v>
      </c>
      <c r="H56" s="639" t="s">
        <v>1112</v>
      </c>
      <c r="I56" s="682" t="s">
        <v>750</v>
      </c>
      <c r="J56" s="640" t="s">
        <v>2</v>
      </c>
      <c r="K56" s="640" t="s">
        <v>2</v>
      </c>
      <c r="L56" s="640" t="s">
        <v>2</v>
      </c>
      <c r="M56" s="640" t="s">
        <v>2</v>
      </c>
      <c r="N56" s="640" t="s">
        <v>2</v>
      </c>
      <c r="O56" s="640" t="s">
        <v>2</v>
      </c>
      <c r="P56" s="640" t="s">
        <v>2</v>
      </c>
      <c r="Q56" s="640" t="s">
        <v>2</v>
      </c>
      <c r="R56" s="640" t="s">
        <v>2</v>
      </c>
      <c r="S56" s="640" t="s">
        <v>2</v>
      </c>
      <c r="T56" s="640" t="s">
        <v>2</v>
      </c>
      <c r="U56" s="641" t="s">
        <v>3</v>
      </c>
      <c r="V56" s="642" t="s">
        <v>3</v>
      </c>
      <c r="W56" s="643">
        <f>Y56</f>
        <v>0</v>
      </c>
      <c r="X56" s="601" t="s">
        <v>818</v>
      </c>
      <c r="Y56" s="857">
        <v>0</v>
      </c>
      <c r="Z56" s="632" t="s">
        <v>2</v>
      </c>
      <c r="AA56" s="845"/>
      <c r="AB56" s="633" t="e">
        <f>V56/W56</f>
        <v>#VALUE!</v>
      </c>
      <c r="AC56" s="193"/>
      <c r="AD56" s="698"/>
      <c r="AE56" s="193"/>
      <c r="AF56" s="193"/>
      <c r="AG56" s="634"/>
      <c r="AH56" s="101"/>
      <c r="AI56" s="101"/>
      <c r="AJ56" s="634"/>
      <c r="AK56" s="101"/>
      <c r="AL56" s="101"/>
      <c r="AM56" s="634"/>
      <c r="AN56" s="193"/>
      <c r="AO56" s="193"/>
      <c r="AP56" s="193"/>
      <c r="AQ56" s="193"/>
      <c r="AR56" s="193"/>
      <c r="AS56" s="193"/>
      <c r="AT56" s="193"/>
      <c r="AU56" s="193"/>
      <c r="AV56" s="193"/>
      <c r="AW56" s="193"/>
      <c r="AX56" s="193"/>
      <c r="AY56" s="193"/>
      <c r="AZ56" s="193"/>
    </row>
    <row r="57" spans="1:52" s="44" customFormat="1" ht="18" hidden="1" outlineLevel="1" x14ac:dyDescent="0.3">
      <c r="A57" s="99"/>
      <c r="B57" s="95"/>
      <c r="C57" s="528"/>
      <c r="D57" s="210"/>
      <c r="E57" s="210"/>
      <c r="F57" s="210"/>
      <c r="G57" s="210"/>
      <c r="H57" s="211" t="s">
        <v>791</v>
      </c>
      <c r="I57" s="533" t="s">
        <v>767</v>
      </c>
      <c r="J57" s="533" t="s">
        <v>767</v>
      </c>
      <c r="K57" s="284" t="s">
        <v>767</v>
      </c>
      <c r="L57" s="284" t="s">
        <v>767</v>
      </c>
      <c r="M57" s="284" t="s">
        <v>767</v>
      </c>
      <c r="N57" s="284" t="s">
        <v>767</v>
      </c>
      <c r="O57" s="284"/>
      <c r="P57" s="284"/>
      <c r="Q57" s="284"/>
      <c r="R57" s="284"/>
      <c r="S57" s="284"/>
      <c r="T57" s="284" t="s">
        <v>767</v>
      </c>
      <c r="U57" s="279" t="s">
        <v>3</v>
      </c>
      <c r="V57" s="279" t="s">
        <v>3</v>
      </c>
      <c r="W57" s="212" t="s">
        <v>3</v>
      </c>
      <c r="X57" s="213" t="s">
        <v>818</v>
      </c>
      <c r="Y57" s="99"/>
      <c r="Z57" s="458" t="s">
        <v>2</v>
      </c>
      <c r="AA57" s="843">
        <f t="shared" si="1"/>
        <v>0</v>
      </c>
      <c r="AB57" s="603" t="e">
        <f t="shared" ref="AB57:AB58" si="18">V57/W57</f>
        <v>#VALUE!</v>
      </c>
      <c r="AC57" s="457"/>
      <c r="AD57" s="698"/>
      <c r="AE57" s="99"/>
      <c r="AF57" s="99"/>
      <c r="AG57" s="100"/>
      <c r="AH57" s="101"/>
      <c r="AI57" s="101"/>
      <c r="AJ57" s="100"/>
      <c r="AK57" s="101"/>
      <c r="AL57" s="101"/>
      <c r="AM57" s="100"/>
      <c r="AN57" s="99"/>
      <c r="AO57" s="99"/>
      <c r="AP57" s="99"/>
      <c r="AQ57" s="99"/>
      <c r="AR57" s="99"/>
      <c r="AS57" s="99"/>
      <c r="AT57" s="99"/>
      <c r="AU57" s="99"/>
      <c r="AV57" s="99"/>
      <c r="AW57" s="99"/>
      <c r="AX57" s="99"/>
      <c r="AY57" s="99"/>
      <c r="AZ57" s="99"/>
    </row>
    <row r="58" spans="1:52" s="44" customFormat="1" ht="18" hidden="1" outlineLevel="1" x14ac:dyDescent="0.3">
      <c r="A58" s="99"/>
      <c r="B58" s="95"/>
      <c r="C58" s="528"/>
      <c r="D58" s="210"/>
      <c r="E58" s="210"/>
      <c r="F58" s="210"/>
      <c r="G58" s="210"/>
      <c r="H58" s="211" t="s">
        <v>791</v>
      </c>
      <c r="I58" s="533" t="s">
        <v>767</v>
      </c>
      <c r="J58" s="533" t="s">
        <v>767</v>
      </c>
      <c r="K58" s="284" t="s">
        <v>767</v>
      </c>
      <c r="L58" s="284" t="s">
        <v>767</v>
      </c>
      <c r="M58" s="284" t="s">
        <v>767</v>
      </c>
      <c r="N58" s="284" t="s">
        <v>767</v>
      </c>
      <c r="O58" s="284"/>
      <c r="P58" s="284"/>
      <c r="Q58" s="284"/>
      <c r="R58" s="284"/>
      <c r="S58" s="284"/>
      <c r="T58" s="284" t="s">
        <v>767</v>
      </c>
      <c r="U58" s="279" t="s">
        <v>3</v>
      </c>
      <c r="V58" s="279" t="s">
        <v>3</v>
      </c>
      <c r="W58" s="212" t="s">
        <v>3</v>
      </c>
      <c r="X58" s="213" t="s">
        <v>818</v>
      </c>
      <c r="Y58" s="99"/>
      <c r="Z58" s="458" t="s">
        <v>2</v>
      </c>
      <c r="AA58" s="843">
        <f t="shared" si="1"/>
        <v>0</v>
      </c>
      <c r="AB58" s="603" t="e">
        <f t="shared" si="18"/>
        <v>#VALUE!</v>
      </c>
      <c r="AC58" s="457"/>
      <c r="AD58" s="698"/>
      <c r="AE58" s="99"/>
      <c r="AF58" s="99"/>
      <c r="AG58" s="100"/>
      <c r="AH58" s="101"/>
      <c r="AI58" s="101"/>
      <c r="AJ58" s="100"/>
      <c r="AK58" s="101"/>
      <c r="AL58" s="101"/>
      <c r="AM58" s="100"/>
      <c r="AN58" s="99"/>
      <c r="AO58" s="99"/>
      <c r="AP58" s="99"/>
      <c r="AQ58" s="99"/>
      <c r="AR58" s="99"/>
      <c r="AS58" s="99"/>
      <c r="AT58" s="99"/>
      <c r="AU58" s="99"/>
      <c r="AV58" s="99"/>
      <c r="AW58" s="99"/>
      <c r="AX58" s="99"/>
      <c r="AY58" s="99"/>
      <c r="AZ58" s="99"/>
    </row>
    <row r="59" spans="1:52" s="635" customFormat="1" ht="18" collapsed="1" x14ac:dyDescent="0.3">
      <c r="A59" s="193"/>
      <c r="B59" s="636" t="s">
        <v>4</v>
      </c>
      <c r="C59" s="637" t="s">
        <v>1088</v>
      </c>
      <c r="D59" s="638" t="s">
        <v>424</v>
      </c>
      <c r="E59" s="638" t="s">
        <v>424</v>
      </c>
      <c r="F59" s="638" t="s">
        <v>424</v>
      </c>
      <c r="G59" s="638" t="s">
        <v>424</v>
      </c>
      <c r="H59" s="639" t="s">
        <v>817</v>
      </c>
      <c r="I59" s="682" t="s">
        <v>750</v>
      </c>
      <c r="J59" s="682" t="s">
        <v>593</v>
      </c>
      <c r="K59" s="682" t="s">
        <v>593</v>
      </c>
      <c r="L59" s="682" t="s">
        <v>593</v>
      </c>
      <c r="M59" s="682" t="s">
        <v>593</v>
      </c>
      <c r="N59" s="682" t="s">
        <v>593</v>
      </c>
      <c r="O59" s="682"/>
      <c r="P59" s="682"/>
      <c r="Q59" s="682"/>
      <c r="R59" s="682"/>
      <c r="S59" s="682"/>
      <c r="T59" s="682" t="s">
        <v>593</v>
      </c>
      <c r="U59" s="641">
        <v>85</v>
      </c>
      <c r="V59" s="642">
        <f>ROUND(U59*(1+$V$6),2)</f>
        <v>101.15</v>
      </c>
      <c r="W59" s="643">
        <f>V59</f>
        <v>101.15</v>
      </c>
      <c r="X59" s="601" t="s">
        <v>1085</v>
      </c>
      <c r="Y59" s="193"/>
      <c r="Z59" s="632" t="s">
        <v>2</v>
      </c>
      <c r="AA59" s="845">
        <v>0</v>
      </c>
      <c r="AB59" s="633">
        <f t="shared" si="3"/>
        <v>1</v>
      </c>
      <c r="AC59" s="193"/>
      <c r="AD59" s="698"/>
      <c r="AE59" s="193"/>
      <c r="AF59" s="193"/>
      <c r="AG59" s="634"/>
      <c r="AH59" s="101"/>
      <c r="AI59" s="101"/>
      <c r="AJ59" s="634"/>
      <c r="AK59" s="101"/>
      <c r="AL59" s="101"/>
      <c r="AM59" s="634"/>
      <c r="AN59" s="193"/>
      <c r="AO59" s="193"/>
      <c r="AP59" s="193"/>
      <c r="AQ59" s="193"/>
      <c r="AR59" s="193"/>
      <c r="AS59" s="193"/>
      <c r="AT59" s="193"/>
      <c r="AU59" s="193"/>
      <c r="AV59" s="193"/>
      <c r="AW59" s="193"/>
      <c r="AX59" s="193"/>
      <c r="AY59" s="193"/>
      <c r="AZ59" s="193"/>
    </row>
    <row r="60" spans="1:52" s="635" customFormat="1" ht="18" x14ac:dyDescent="0.3">
      <c r="A60" s="193"/>
      <c r="B60" s="636" t="s">
        <v>4</v>
      </c>
      <c r="C60" s="637" t="s">
        <v>1089</v>
      </c>
      <c r="D60" s="638" t="s">
        <v>424</v>
      </c>
      <c r="E60" s="638" t="s">
        <v>424</v>
      </c>
      <c r="F60" s="638" t="s">
        <v>424</v>
      </c>
      <c r="G60" s="638" t="s">
        <v>424</v>
      </c>
      <c r="H60" s="639" t="s">
        <v>817</v>
      </c>
      <c r="I60" s="682" t="s">
        <v>750</v>
      </c>
      <c r="J60" s="682" t="s">
        <v>593</v>
      </c>
      <c r="K60" s="682" t="s">
        <v>593</v>
      </c>
      <c r="L60" s="682" t="s">
        <v>593</v>
      </c>
      <c r="M60" s="682" t="s">
        <v>593</v>
      </c>
      <c r="N60" s="682" t="s">
        <v>593</v>
      </c>
      <c r="O60" s="682"/>
      <c r="P60" s="682"/>
      <c r="Q60" s="682"/>
      <c r="R60" s="682"/>
      <c r="S60" s="682"/>
      <c r="T60" s="682" t="s">
        <v>593</v>
      </c>
      <c r="U60" s="641">
        <v>55</v>
      </c>
      <c r="V60" s="642">
        <f>ROUND(U60*(1+$V$6),2)</f>
        <v>65.45</v>
      </c>
      <c r="W60" s="643">
        <f>V60</f>
        <v>65.45</v>
      </c>
      <c r="X60" s="601" t="s">
        <v>1085</v>
      </c>
      <c r="Y60" s="193"/>
      <c r="Z60" s="632" t="s">
        <v>2</v>
      </c>
      <c r="AA60" s="845" t="str">
        <f t="shared" si="1"/>
        <v>/</v>
      </c>
      <c r="AB60" s="633">
        <f t="shared" si="3"/>
        <v>1</v>
      </c>
      <c r="AC60" s="193"/>
      <c r="AD60" s="698"/>
      <c r="AE60" s="193"/>
      <c r="AF60" s="193"/>
      <c r="AG60" s="634"/>
      <c r="AH60" s="101"/>
      <c r="AI60" s="101"/>
      <c r="AJ60" s="634"/>
      <c r="AK60" s="101"/>
      <c r="AL60" s="101"/>
      <c r="AM60" s="634"/>
      <c r="AN60" s="193"/>
      <c r="AO60" s="193"/>
      <c r="AP60" s="193"/>
      <c r="AQ60" s="193"/>
      <c r="AR60" s="193"/>
      <c r="AS60" s="193"/>
      <c r="AT60" s="193"/>
      <c r="AU60" s="193"/>
      <c r="AV60" s="193"/>
      <c r="AW60" s="193"/>
      <c r="AX60" s="193"/>
      <c r="AY60" s="193"/>
      <c r="AZ60" s="193"/>
    </row>
    <row r="61" spans="1:52" s="635" customFormat="1" ht="18" x14ac:dyDescent="0.3">
      <c r="A61" s="193"/>
      <c r="B61" s="680" t="s">
        <v>4</v>
      </c>
      <c r="C61" s="667" t="s">
        <v>814</v>
      </c>
      <c r="D61" s="668" t="s">
        <v>424</v>
      </c>
      <c r="E61" s="668" t="s">
        <v>424</v>
      </c>
      <c r="F61" s="668" t="s">
        <v>424</v>
      </c>
      <c r="G61" s="668" t="s">
        <v>424</v>
      </c>
      <c r="H61" s="669" t="s">
        <v>1093</v>
      </c>
      <c r="I61" s="681" t="s">
        <v>750</v>
      </c>
      <c r="J61" s="681" t="s">
        <v>593</v>
      </c>
      <c r="K61" s="681" t="s">
        <v>593</v>
      </c>
      <c r="L61" s="681" t="s">
        <v>593</v>
      </c>
      <c r="M61" s="681" t="s">
        <v>593</v>
      </c>
      <c r="N61" s="681" t="s">
        <v>593</v>
      </c>
      <c r="O61" s="681" t="s">
        <v>593</v>
      </c>
      <c r="P61" s="681" t="s">
        <v>593</v>
      </c>
      <c r="Q61" s="681" t="s">
        <v>593</v>
      </c>
      <c r="R61" s="818" t="s">
        <v>2</v>
      </c>
      <c r="S61" s="818" t="s">
        <v>2</v>
      </c>
      <c r="T61" s="681" t="s">
        <v>593</v>
      </c>
      <c r="U61" s="672">
        <v>20</v>
      </c>
      <c r="V61" s="673">
        <f t="shared" ref="V61:V65" si="19">ROUND(U61*1.19,2)</f>
        <v>23.8</v>
      </c>
      <c r="W61" s="674">
        <v>24.95</v>
      </c>
      <c r="X61" s="677"/>
      <c r="Y61" s="193"/>
      <c r="Z61" s="632" t="s">
        <v>2</v>
      </c>
      <c r="AA61" s="845" t="str">
        <f t="shared" si="1"/>
        <v>/</v>
      </c>
      <c r="AB61" s="633">
        <f t="shared" si="3"/>
        <v>0.95390781563126259</v>
      </c>
      <c r="AC61" s="193"/>
      <c r="AD61" s="193"/>
      <c r="AE61" s="193"/>
      <c r="AF61" s="193"/>
      <c r="AG61" s="634"/>
      <c r="AH61" s="101"/>
      <c r="AI61" s="101"/>
      <c r="AJ61" s="634"/>
      <c r="AK61" s="101"/>
      <c r="AL61" s="101"/>
      <c r="AM61" s="634"/>
      <c r="AN61" s="193"/>
      <c r="AO61" s="193"/>
      <c r="AP61" s="193"/>
      <c r="AQ61" s="193"/>
      <c r="AR61" s="193"/>
      <c r="AS61" s="193"/>
      <c r="AT61" s="193"/>
      <c r="AU61" s="193"/>
      <c r="AV61" s="193"/>
      <c r="AW61" s="193"/>
      <c r="AX61" s="193"/>
      <c r="AY61" s="193"/>
      <c r="AZ61" s="193"/>
    </row>
    <row r="62" spans="1:52" s="635" customFormat="1" ht="18" x14ac:dyDescent="0.3">
      <c r="A62" s="193"/>
      <c r="B62" s="680" t="s">
        <v>4</v>
      </c>
      <c r="C62" s="667" t="s">
        <v>1090</v>
      </c>
      <c r="D62" s="668" t="s">
        <v>424</v>
      </c>
      <c r="E62" s="668" t="s">
        <v>424</v>
      </c>
      <c r="F62" s="668" t="s">
        <v>424</v>
      </c>
      <c r="G62" s="668" t="s">
        <v>424</v>
      </c>
      <c r="H62" s="669" t="s">
        <v>1093</v>
      </c>
      <c r="I62" s="681" t="s">
        <v>750</v>
      </c>
      <c r="J62" s="681" t="s">
        <v>593</v>
      </c>
      <c r="K62" s="681" t="s">
        <v>593</v>
      </c>
      <c r="L62" s="681" t="s">
        <v>593</v>
      </c>
      <c r="M62" s="681" t="s">
        <v>593</v>
      </c>
      <c r="N62" s="681" t="s">
        <v>593</v>
      </c>
      <c r="O62" s="681" t="s">
        <v>593</v>
      </c>
      <c r="P62" s="681" t="s">
        <v>593</v>
      </c>
      <c r="Q62" s="681" t="s">
        <v>593</v>
      </c>
      <c r="R62" s="818" t="s">
        <v>2</v>
      </c>
      <c r="S62" s="818" t="s">
        <v>2</v>
      </c>
      <c r="T62" s="681" t="s">
        <v>593</v>
      </c>
      <c r="U62" s="672">
        <v>25</v>
      </c>
      <c r="V62" s="673">
        <f t="shared" si="19"/>
        <v>29.75</v>
      </c>
      <c r="W62" s="674">
        <v>29.95</v>
      </c>
      <c r="X62" s="677"/>
      <c r="Y62" s="193"/>
      <c r="Z62" s="632" t="s">
        <v>2</v>
      </c>
      <c r="AA62" s="845" t="str">
        <f t="shared" si="1"/>
        <v>/</v>
      </c>
      <c r="AB62" s="633">
        <f t="shared" si="3"/>
        <v>0.99332220367278801</v>
      </c>
      <c r="AC62" s="193"/>
      <c r="AD62" s="193"/>
      <c r="AE62" s="193"/>
      <c r="AF62" s="193"/>
      <c r="AG62" s="634"/>
      <c r="AH62" s="101"/>
      <c r="AI62" s="101"/>
      <c r="AJ62" s="634"/>
      <c r="AK62" s="101"/>
      <c r="AL62" s="101"/>
      <c r="AM62" s="634"/>
      <c r="AN62" s="193"/>
      <c r="AO62" s="193"/>
      <c r="AP62" s="193"/>
      <c r="AQ62" s="193"/>
      <c r="AR62" s="193"/>
      <c r="AS62" s="193"/>
      <c r="AT62" s="193"/>
      <c r="AU62" s="193"/>
      <c r="AV62" s="193"/>
      <c r="AW62" s="193"/>
      <c r="AX62" s="193"/>
      <c r="AY62" s="193"/>
      <c r="AZ62" s="193"/>
    </row>
    <row r="63" spans="1:52" s="635" customFormat="1" ht="18" x14ac:dyDescent="0.3">
      <c r="A63" s="193"/>
      <c r="B63" s="680" t="s">
        <v>4</v>
      </c>
      <c r="C63" s="667" t="s">
        <v>815</v>
      </c>
      <c r="D63" s="668" t="s">
        <v>424</v>
      </c>
      <c r="E63" s="668" t="s">
        <v>424</v>
      </c>
      <c r="F63" s="668" t="s">
        <v>424</v>
      </c>
      <c r="G63" s="668" t="s">
        <v>424</v>
      </c>
      <c r="H63" s="669" t="s">
        <v>1094</v>
      </c>
      <c r="I63" s="681" t="s">
        <v>750</v>
      </c>
      <c r="J63" s="681" t="s">
        <v>593</v>
      </c>
      <c r="K63" s="681" t="s">
        <v>593</v>
      </c>
      <c r="L63" s="681" t="s">
        <v>593</v>
      </c>
      <c r="M63" s="681" t="s">
        <v>593</v>
      </c>
      <c r="N63" s="681" t="s">
        <v>593</v>
      </c>
      <c r="O63" s="681" t="s">
        <v>593</v>
      </c>
      <c r="P63" s="681" t="s">
        <v>593</v>
      </c>
      <c r="Q63" s="681" t="s">
        <v>593</v>
      </c>
      <c r="R63" s="818" t="s">
        <v>2</v>
      </c>
      <c r="S63" s="818" t="s">
        <v>2</v>
      </c>
      <c r="T63" s="681" t="s">
        <v>593</v>
      </c>
      <c r="U63" s="672">
        <v>8</v>
      </c>
      <c r="V63" s="673">
        <f t="shared" si="19"/>
        <v>9.52</v>
      </c>
      <c r="W63" s="674">
        <v>9.9499999999999993</v>
      </c>
      <c r="X63" s="677"/>
      <c r="Y63" s="193"/>
      <c r="Z63" s="632" t="s">
        <v>2</v>
      </c>
      <c r="AA63" s="845" t="str">
        <f t="shared" si="1"/>
        <v>/</v>
      </c>
      <c r="AB63" s="633">
        <f t="shared" si="3"/>
        <v>0.95678391959799003</v>
      </c>
      <c r="AC63" s="193"/>
      <c r="AD63" s="193"/>
      <c r="AE63" s="193"/>
      <c r="AF63" s="193"/>
      <c r="AG63" s="634"/>
      <c r="AH63" s="101"/>
      <c r="AI63" s="101"/>
      <c r="AJ63" s="634"/>
      <c r="AK63" s="101"/>
      <c r="AL63" s="101"/>
      <c r="AM63" s="634"/>
      <c r="AN63" s="193"/>
      <c r="AO63" s="193"/>
      <c r="AP63" s="193"/>
      <c r="AQ63" s="193"/>
      <c r="AR63" s="193"/>
      <c r="AS63" s="193"/>
      <c r="AT63" s="193"/>
      <c r="AU63" s="193"/>
      <c r="AV63" s="193"/>
      <c r="AW63" s="193"/>
      <c r="AX63" s="193"/>
      <c r="AY63" s="193"/>
      <c r="AZ63" s="193"/>
    </row>
    <row r="64" spans="1:52" s="635" customFormat="1" ht="18.75" thickBot="1" x14ac:dyDescent="0.35">
      <c r="A64" s="193"/>
      <c r="B64" s="794" t="s">
        <v>4</v>
      </c>
      <c r="C64" s="667" t="s">
        <v>816</v>
      </c>
      <c r="D64" s="668" t="s">
        <v>424</v>
      </c>
      <c r="E64" s="668" t="s">
        <v>424</v>
      </c>
      <c r="F64" s="668" t="s">
        <v>424</v>
      </c>
      <c r="G64" s="668" t="s">
        <v>424</v>
      </c>
      <c r="H64" s="669" t="s">
        <v>1095</v>
      </c>
      <c r="I64" s="681" t="s">
        <v>750</v>
      </c>
      <c r="J64" s="681" t="s">
        <v>593</v>
      </c>
      <c r="K64" s="681" t="s">
        <v>593</v>
      </c>
      <c r="L64" s="681" t="s">
        <v>593</v>
      </c>
      <c r="M64" s="681" t="s">
        <v>593</v>
      </c>
      <c r="N64" s="681" t="s">
        <v>593</v>
      </c>
      <c r="O64" s="681" t="s">
        <v>593</v>
      </c>
      <c r="P64" s="681" t="s">
        <v>593</v>
      </c>
      <c r="Q64" s="681" t="s">
        <v>593</v>
      </c>
      <c r="R64" s="818" t="s">
        <v>2</v>
      </c>
      <c r="S64" s="818" t="s">
        <v>2</v>
      </c>
      <c r="T64" s="681" t="s">
        <v>593</v>
      </c>
      <c r="U64" s="672">
        <v>30</v>
      </c>
      <c r="V64" s="673">
        <f t="shared" si="19"/>
        <v>35.700000000000003</v>
      </c>
      <c r="W64" s="674">
        <v>39.950000000000003</v>
      </c>
      <c r="X64" s="795"/>
      <c r="Y64" s="193"/>
      <c r="Z64" s="632" t="s">
        <v>2</v>
      </c>
      <c r="AA64" s="845" t="str">
        <f t="shared" si="1"/>
        <v>/</v>
      </c>
      <c r="AB64" s="633">
        <f t="shared" si="3"/>
        <v>0.8936170212765957</v>
      </c>
      <c r="AC64" s="193"/>
      <c r="AD64" s="193"/>
      <c r="AE64" s="193"/>
      <c r="AF64" s="193"/>
      <c r="AG64" s="634"/>
      <c r="AH64" s="101"/>
      <c r="AI64" s="101"/>
      <c r="AJ64" s="634"/>
      <c r="AK64" s="101"/>
      <c r="AL64" s="101"/>
      <c r="AM64" s="634"/>
      <c r="AN64" s="193"/>
      <c r="AO64" s="193"/>
      <c r="AP64" s="193"/>
      <c r="AQ64" s="193"/>
      <c r="AR64" s="193"/>
      <c r="AS64" s="193"/>
      <c r="AT64" s="193"/>
      <c r="AU64" s="193"/>
      <c r="AV64" s="193"/>
      <c r="AW64" s="193"/>
      <c r="AX64" s="193"/>
      <c r="AY64" s="193"/>
      <c r="AZ64" s="193"/>
    </row>
    <row r="65" spans="1:52" ht="18" hidden="1" outlineLevel="1" x14ac:dyDescent="0.3">
      <c r="B65" s="796"/>
      <c r="C65" s="160"/>
      <c r="D65" s="161" t="s">
        <v>424</v>
      </c>
      <c r="E65" s="161" t="s">
        <v>424</v>
      </c>
      <c r="F65" s="161" t="s">
        <v>424</v>
      </c>
      <c r="G65" s="161" t="s">
        <v>424</v>
      </c>
      <c r="H65" s="43"/>
      <c r="I65" s="532" t="s">
        <v>59</v>
      </c>
      <c r="J65" s="532" t="s">
        <v>593</v>
      </c>
      <c r="K65" s="283" t="s">
        <v>593</v>
      </c>
      <c r="L65" s="283" t="s">
        <v>593</v>
      </c>
      <c r="M65" s="283" t="s">
        <v>593</v>
      </c>
      <c r="N65" s="283" t="s">
        <v>593</v>
      </c>
      <c r="O65" s="283" t="s">
        <v>593</v>
      </c>
      <c r="P65" s="283" t="s">
        <v>593</v>
      </c>
      <c r="Q65" s="283" t="s">
        <v>593</v>
      </c>
      <c r="R65" s="93" t="s">
        <v>2</v>
      </c>
      <c r="S65" s="93" t="s">
        <v>2</v>
      </c>
      <c r="T65" s="283" t="s">
        <v>593</v>
      </c>
      <c r="U65" s="279"/>
      <c r="V65" s="278">
        <f t="shared" si="19"/>
        <v>0</v>
      </c>
      <c r="W65" s="45"/>
      <c r="X65" s="797"/>
      <c r="Z65" s="458" t="s">
        <v>2</v>
      </c>
      <c r="AA65" s="843" t="str">
        <f t="shared" si="1"/>
        <v>/</v>
      </c>
      <c r="AB65" s="603" t="e">
        <f t="shared" si="3"/>
        <v>#DIV/0!</v>
      </c>
      <c r="AG65" s="100"/>
      <c r="AH65" s="101"/>
      <c r="AI65" s="101"/>
      <c r="AJ65" s="100"/>
      <c r="AK65" s="101"/>
      <c r="AL65" s="101"/>
      <c r="AM65" s="100"/>
    </row>
    <row r="66" spans="1:52" ht="18" hidden="1" outlineLevel="1" x14ac:dyDescent="0.3">
      <c r="B66" s="798"/>
      <c r="C66" s="160"/>
      <c r="D66" s="161" t="s">
        <v>424</v>
      </c>
      <c r="E66" s="161" t="s">
        <v>424</v>
      </c>
      <c r="F66" s="161" t="s">
        <v>424</v>
      </c>
      <c r="G66" s="161" t="s">
        <v>424</v>
      </c>
      <c r="H66" s="43"/>
      <c r="I66" s="532" t="s">
        <v>59</v>
      </c>
      <c r="J66" s="532" t="s">
        <v>593</v>
      </c>
      <c r="K66" s="283" t="s">
        <v>593</v>
      </c>
      <c r="L66" s="283" t="s">
        <v>593</v>
      </c>
      <c r="M66" s="283" t="s">
        <v>593</v>
      </c>
      <c r="N66" s="283" t="s">
        <v>593</v>
      </c>
      <c r="O66" s="93" t="s">
        <v>2</v>
      </c>
      <c r="P66" s="283" t="s">
        <v>593</v>
      </c>
      <c r="Q66" s="283" t="s">
        <v>593</v>
      </c>
      <c r="R66" s="283" t="s">
        <v>593</v>
      </c>
      <c r="S66" s="283" t="s">
        <v>593</v>
      </c>
      <c r="T66" s="283" t="s">
        <v>593</v>
      </c>
      <c r="U66" s="279"/>
      <c r="V66" s="278">
        <f>ROUND(U66*1.07,2)</f>
        <v>0</v>
      </c>
      <c r="W66" s="45"/>
      <c r="X66" s="237"/>
      <c r="Z66" s="458" t="s">
        <v>2</v>
      </c>
      <c r="AA66" s="843" t="str">
        <f t="shared" si="1"/>
        <v>/</v>
      </c>
      <c r="AB66" s="603" t="e">
        <f t="shared" si="3"/>
        <v>#DIV/0!</v>
      </c>
      <c r="AG66" s="100"/>
      <c r="AH66" s="101"/>
      <c r="AI66" s="101"/>
      <c r="AJ66" s="100"/>
      <c r="AK66" s="101"/>
      <c r="AL66" s="101"/>
      <c r="AM66" s="100"/>
    </row>
    <row r="67" spans="1:52" ht="18" hidden="1" outlineLevel="1" x14ac:dyDescent="0.3">
      <c r="B67" s="798"/>
      <c r="C67" s="160"/>
      <c r="D67" s="161" t="s">
        <v>424</v>
      </c>
      <c r="E67" s="161" t="s">
        <v>424</v>
      </c>
      <c r="F67" s="161" t="s">
        <v>424</v>
      </c>
      <c r="G67" s="161" t="s">
        <v>424</v>
      </c>
      <c r="H67" s="43"/>
      <c r="I67" s="532" t="s">
        <v>59</v>
      </c>
      <c r="J67" s="532" t="s">
        <v>593</v>
      </c>
      <c r="K67" s="283" t="s">
        <v>593</v>
      </c>
      <c r="L67" s="283" t="s">
        <v>593</v>
      </c>
      <c r="M67" s="283" t="s">
        <v>593</v>
      </c>
      <c r="N67" s="283" t="s">
        <v>593</v>
      </c>
      <c r="O67" s="93" t="s">
        <v>2</v>
      </c>
      <c r="P67" s="283" t="s">
        <v>593</v>
      </c>
      <c r="Q67" s="283" t="s">
        <v>593</v>
      </c>
      <c r="R67" s="283" t="s">
        <v>593</v>
      </c>
      <c r="S67" s="283" t="s">
        <v>593</v>
      </c>
      <c r="T67" s="283" t="s">
        <v>593</v>
      </c>
      <c r="U67" s="279"/>
      <c r="V67" s="278">
        <f>ROUND(U67*1.07,2)</f>
        <v>0</v>
      </c>
      <c r="W67" s="45"/>
      <c r="X67" s="237"/>
      <c r="Z67" s="458" t="s">
        <v>2</v>
      </c>
      <c r="AA67" s="843" t="str">
        <f t="shared" si="1"/>
        <v>/</v>
      </c>
      <c r="AB67" s="603" t="e">
        <f t="shared" si="3"/>
        <v>#DIV/0!</v>
      </c>
      <c r="AG67" s="100"/>
      <c r="AH67" s="101"/>
      <c r="AI67" s="101"/>
      <c r="AJ67" s="100"/>
      <c r="AK67" s="101"/>
      <c r="AL67" s="101"/>
      <c r="AM67" s="100"/>
    </row>
    <row r="68" spans="1:52" ht="18" hidden="1" outlineLevel="1" x14ac:dyDescent="0.3">
      <c r="B68" s="798"/>
      <c r="C68" s="160"/>
      <c r="D68" s="161" t="s">
        <v>424</v>
      </c>
      <c r="E68" s="161" t="s">
        <v>424</v>
      </c>
      <c r="F68" s="161" t="s">
        <v>424</v>
      </c>
      <c r="G68" s="161" t="s">
        <v>424</v>
      </c>
      <c r="H68" s="43"/>
      <c r="I68" s="532" t="s">
        <v>59</v>
      </c>
      <c r="J68" s="532" t="s">
        <v>593</v>
      </c>
      <c r="K68" s="283" t="s">
        <v>593</v>
      </c>
      <c r="L68" s="283" t="s">
        <v>593</v>
      </c>
      <c r="M68" s="283" t="s">
        <v>593</v>
      </c>
      <c r="N68" s="283" t="s">
        <v>593</v>
      </c>
      <c r="O68" s="283" t="s">
        <v>593</v>
      </c>
      <c r="P68" s="283" t="s">
        <v>593</v>
      </c>
      <c r="Q68" s="283" t="s">
        <v>593</v>
      </c>
      <c r="R68" s="283" t="s">
        <v>593</v>
      </c>
      <c r="S68" s="283" t="s">
        <v>593</v>
      </c>
      <c r="T68" s="283" t="s">
        <v>593</v>
      </c>
      <c r="U68" s="279"/>
      <c r="V68" s="278">
        <f>ROUND(U68*1.07,2)</f>
        <v>0</v>
      </c>
      <c r="W68" s="45"/>
      <c r="X68" s="237"/>
      <c r="Z68" s="458" t="s">
        <v>2</v>
      </c>
      <c r="AA68" s="843" t="str">
        <f t="shared" si="1"/>
        <v>/</v>
      </c>
      <c r="AB68" s="603" t="e">
        <f t="shared" si="3"/>
        <v>#DIV/0!</v>
      </c>
      <c r="AG68" s="100"/>
      <c r="AH68" s="101"/>
      <c r="AI68" s="101"/>
      <c r="AJ68" s="100"/>
      <c r="AK68" s="101"/>
      <c r="AL68" s="101"/>
      <c r="AM68" s="100"/>
    </row>
    <row r="69" spans="1:52" s="39" customFormat="1" ht="18" hidden="1" outlineLevel="1" x14ac:dyDescent="0.3">
      <c r="A69" s="97"/>
      <c r="B69" s="799"/>
      <c r="C69" s="455" t="s">
        <v>408</v>
      </c>
      <c r="D69" s="166"/>
      <c r="E69" s="166"/>
      <c r="F69" s="166"/>
      <c r="G69" s="166"/>
      <c r="H69" s="149"/>
      <c r="I69" s="534"/>
      <c r="J69" s="534"/>
      <c r="K69" s="285"/>
      <c r="L69" s="285"/>
      <c r="M69" s="285"/>
      <c r="N69" s="285"/>
      <c r="O69" s="285"/>
      <c r="P69" s="285"/>
      <c r="Q69" s="285"/>
      <c r="R69" s="285"/>
      <c r="S69" s="285"/>
      <c r="T69" s="285"/>
      <c r="U69" s="525"/>
      <c r="V69" s="280"/>
      <c r="W69" s="150"/>
      <c r="X69" s="456"/>
      <c r="Y69" s="100"/>
      <c r="Z69" s="458" t="s">
        <v>2</v>
      </c>
      <c r="AA69" s="843">
        <f t="shared" si="1"/>
        <v>0</v>
      </c>
      <c r="AB69" s="603" t="e">
        <f t="shared" si="3"/>
        <v>#DIV/0!</v>
      </c>
      <c r="AC69" s="100"/>
      <c r="AD69" s="100"/>
      <c r="AE69" s="100"/>
      <c r="AF69" s="100"/>
      <c r="AG69" s="100"/>
      <c r="AH69" s="101"/>
      <c r="AI69" s="101"/>
      <c r="AJ69" s="100"/>
      <c r="AK69" s="101"/>
      <c r="AL69" s="101"/>
      <c r="AM69" s="100"/>
      <c r="AN69" s="97"/>
      <c r="AO69" s="97"/>
      <c r="AP69" s="97"/>
      <c r="AQ69" s="97"/>
      <c r="AR69" s="97"/>
      <c r="AS69" s="97"/>
      <c r="AT69" s="97"/>
      <c r="AU69" s="97"/>
      <c r="AV69" s="97"/>
      <c r="AW69" s="97"/>
      <c r="AX69" s="97"/>
      <c r="AY69" s="97"/>
      <c r="AZ69" s="97"/>
    </row>
    <row r="70" spans="1:52" s="39" customFormat="1" ht="18" hidden="1" outlineLevel="1" x14ac:dyDescent="0.3">
      <c r="A70" s="97"/>
      <c r="B70" s="800"/>
      <c r="C70" s="148"/>
      <c r="D70" s="166"/>
      <c r="E70" s="166"/>
      <c r="F70" s="166"/>
      <c r="G70" s="166"/>
      <c r="H70" s="149"/>
      <c r="I70" s="534" t="s">
        <v>59</v>
      </c>
      <c r="J70" s="534" t="s">
        <v>593</v>
      </c>
      <c r="K70" s="534" t="s">
        <v>593</v>
      </c>
      <c r="L70" s="534" t="s">
        <v>593</v>
      </c>
      <c r="M70" s="534" t="s">
        <v>593</v>
      </c>
      <c r="N70" s="534" t="s">
        <v>593</v>
      </c>
      <c r="O70" s="285" t="s">
        <v>593</v>
      </c>
      <c r="P70" s="285" t="s">
        <v>593</v>
      </c>
      <c r="Q70" s="285" t="s">
        <v>593</v>
      </c>
      <c r="R70" s="285" t="s">
        <v>593</v>
      </c>
      <c r="S70" s="285" t="s">
        <v>593</v>
      </c>
      <c r="T70" s="285" t="s">
        <v>593</v>
      </c>
      <c r="U70" s="525"/>
      <c r="V70" s="280"/>
      <c r="W70" s="150"/>
      <c r="X70" s="151" t="s">
        <v>106</v>
      </c>
      <c r="Y70" s="100"/>
      <c r="Z70" s="458" t="s">
        <v>2</v>
      </c>
      <c r="AA70" s="843">
        <f t="shared" si="1"/>
        <v>0</v>
      </c>
      <c r="AB70" s="603" t="e">
        <f t="shared" si="3"/>
        <v>#DIV/0!</v>
      </c>
      <c r="AC70" s="100"/>
      <c r="AD70" s="100"/>
      <c r="AE70" s="100"/>
      <c r="AF70" s="100"/>
      <c r="AG70" s="100"/>
      <c r="AH70" s="101"/>
      <c r="AI70" s="101"/>
      <c r="AJ70" s="100"/>
      <c r="AK70" s="101"/>
      <c r="AL70" s="101"/>
      <c r="AM70" s="100"/>
      <c r="AN70" s="97"/>
      <c r="AO70" s="97"/>
      <c r="AP70" s="97"/>
      <c r="AQ70" s="97"/>
      <c r="AR70" s="97"/>
      <c r="AS70" s="97"/>
      <c r="AT70" s="97"/>
      <c r="AU70" s="97"/>
      <c r="AV70" s="97"/>
      <c r="AW70" s="97"/>
      <c r="AX70" s="97"/>
      <c r="AY70" s="97"/>
      <c r="AZ70" s="97"/>
    </row>
    <row r="71" spans="1:52" s="39" customFormat="1" ht="18" hidden="1" outlineLevel="1" x14ac:dyDescent="0.3">
      <c r="A71" s="97"/>
      <c r="B71" s="800"/>
      <c r="C71" s="148"/>
      <c r="D71" s="166"/>
      <c r="E71" s="166"/>
      <c r="F71" s="166"/>
      <c r="G71" s="166"/>
      <c r="H71" s="149"/>
      <c r="I71" s="534" t="s">
        <v>59</v>
      </c>
      <c r="J71" s="534" t="s">
        <v>593</v>
      </c>
      <c r="K71" s="534" t="s">
        <v>593</v>
      </c>
      <c r="L71" s="534" t="s">
        <v>593</v>
      </c>
      <c r="M71" s="534" t="s">
        <v>593</v>
      </c>
      <c r="N71" s="534" t="s">
        <v>593</v>
      </c>
      <c r="O71" s="285" t="s">
        <v>593</v>
      </c>
      <c r="P71" s="285" t="s">
        <v>593</v>
      </c>
      <c r="Q71" s="285" t="s">
        <v>593</v>
      </c>
      <c r="R71" s="285" t="s">
        <v>593</v>
      </c>
      <c r="S71" s="285" t="s">
        <v>593</v>
      </c>
      <c r="T71" s="285" t="s">
        <v>593</v>
      </c>
      <c r="U71" s="525"/>
      <c r="V71" s="280"/>
      <c r="W71" s="150"/>
      <c r="X71" s="151" t="s">
        <v>106</v>
      </c>
      <c r="Y71" s="100"/>
      <c r="Z71" s="458" t="s">
        <v>2</v>
      </c>
      <c r="AA71" s="843">
        <f t="shared" si="1"/>
        <v>0</v>
      </c>
      <c r="AB71" s="603" t="e">
        <f t="shared" si="3"/>
        <v>#DIV/0!</v>
      </c>
      <c r="AC71" s="100"/>
      <c r="AD71" s="100"/>
      <c r="AE71" s="100"/>
      <c r="AF71" s="100"/>
      <c r="AG71" s="100"/>
      <c r="AH71" s="101"/>
      <c r="AI71" s="101"/>
      <c r="AJ71" s="100"/>
      <c r="AK71" s="101"/>
      <c r="AL71" s="101"/>
      <c r="AM71" s="100"/>
      <c r="AN71" s="97"/>
      <c r="AO71" s="97"/>
      <c r="AP71" s="97"/>
      <c r="AQ71" s="97"/>
      <c r="AR71" s="97"/>
      <c r="AS71" s="97"/>
      <c r="AT71" s="97"/>
      <c r="AU71" s="97"/>
      <c r="AV71" s="97"/>
      <c r="AW71" s="97"/>
      <c r="AX71" s="97"/>
      <c r="AY71" s="97"/>
      <c r="AZ71" s="97"/>
    </row>
    <row r="72" spans="1:52" s="39" customFormat="1" ht="18" hidden="1" outlineLevel="1" x14ac:dyDescent="0.3">
      <c r="A72" s="97"/>
      <c r="B72" s="800"/>
      <c r="C72" s="148"/>
      <c r="D72" s="166"/>
      <c r="E72" s="166"/>
      <c r="F72" s="166"/>
      <c r="G72" s="166"/>
      <c r="H72" s="149"/>
      <c r="I72" s="534" t="s">
        <v>59</v>
      </c>
      <c r="J72" s="534" t="s">
        <v>593</v>
      </c>
      <c r="K72" s="534" t="s">
        <v>593</v>
      </c>
      <c r="L72" s="534" t="s">
        <v>593</v>
      </c>
      <c r="M72" s="534" t="s">
        <v>593</v>
      </c>
      <c r="N72" s="534" t="s">
        <v>593</v>
      </c>
      <c r="O72" s="285" t="s">
        <v>593</v>
      </c>
      <c r="P72" s="285" t="s">
        <v>593</v>
      </c>
      <c r="Q72" s="285" t="s">
        <v>593</v>
      </c>
      <c r="R72" s="285" t="s">
        <v>593</v>
      </c>
      <c r="S72" s="285" t="s">
        <v>593</v>
      </c>
      <c r="T72" s="285" t="s">
        <v>593</v>
      </c>
      <c r="U72" s="525"/>
      <c r="V72" s="280"/>
      <c r="W72" s="150"/>
      <c r="X72" s="151" t="s">
        <v>106</v>
      </c>
      <c r="Y72" s="100"/>
      <c r="Z72" s="458" t="s">
        <v>2</v>
      </c>
      <c r="AA72" s="843">
        <f t="shared" si="1"/>
        <v>0</v>
      </c>
      <c r="AB72" s="603" t="e">
        <f t="shared" si="3"/>
        <v>#DIV/0!</v>
      </c>
      <c r="AC72" s="100"/>
      <c r="AD72" s="100"/>
      <c r="AE72" s="100"/>
      <c r="AF72" s="100"/>
      <c r="AG72" s="100"/>
      <c r="AH72" s="101"/>
      <c r="AI72" s="101"/>
      <c r="AJ72" s="100"/>
      <c r="AK72" s="101"/>
      <c r="AL72" s="101"/>
      <c r="AM72" s="100"/>
      <c r="AN72" s="97"/>
      <c r="AO72" s="97"/>
      <c r="AP72" s="97"/>
      <c r="AQ72" s="97"/>
      <c r="AR72" s="97"/>
      <c r="AS72" s="97"/>
      <c r="AT72" s="97"/>
      <c r="AU72" s="97"/>
      <c r="AV72" s="97"/>
      <c r="AW72" s="97"/>
      <c r="AX72" s="97"/>
      <c r="AY72" s="97"/>
      <c r="AZ72" s="97"/>
    </row>
    <row r="73" spans="1:52" s="39" customFormat="1" ht="18.75" hidden="1" outlineLevel="1" thickBot="1" x14ac:dyDescent="0.35">
      <c r="A73" s="97"/>
      <c r="B73" s="801"/>
      <c r="C73" s="148"/>
      <c r="D73" s="166"/>
      <c r="E73" s="166"/>
      <c r="F73" s="166"/>
      <c r="G73" s="166"/>
      <c r="H73" s="149"/>
      <c r="I73" s="534" t="s">
        <v>59</v>
      </c>
      <c r="J73" s="534" t="s">
        <v>593</v>
      </c>
      <c r="K73" s="534" t="s">
        <v>593</v>
      </c>
      <c r="L73" s="534" t="s">
        <v>593</v>
      </c>
      <c r="M73" s="534" t="s">
        <v>593</v>
      </c>
      <c r="N73" s="534" t="s">
        <v>593</v>
      </c>
      <c r="O73" s="285" t="s">
        <v>593</v>
      </c>
      <c r="P73" s="285" t="s">
        <v>593</v>
      </c>
      <c r="Q73" s="285" t="s">
        <v>593</v>
      </c>
      <c r="R73" s="285" t="s">
        <v>593</v>
      </c>
      <c r="S73" s="285" t="s">
        <v>593</v>
      </c>
      <c r="T73" s="285" t="s">
        <v>593</v>
      </c>
      <c r="U73" s="525"/>
      <c r="V73" s="280"/>
      <c r="W73" s="150"/>
      <c r="X73" s="184" t="s">
        <v>106</v>
      </c>
      <c r="Y73" s="100"/>
      <c r="Z73" s="458" t="s">
        <v>2</v>
      </c>
      <c r="AA73" s="843">
        <f t="shared" si="1"/>
        <v>0</v>
      </c>
      <c r="AB73" s="603" t="e">
        <f t="shared" si="3"/>
        <v>#DIV/0!</v>
      </c>
      <c r="AC73" s="100"/>
      <c r="AD73" s="100"/>
      <c r="AE73" s="100"/>
      <c r="AF73" s="100"/>
      <c r="AG73" s="100"/>
      <c r="AH73" s="101"/>
      <c r="AI73" s="101"/>
      <c r="AJ73" s="100"/>
      <c r="AK73" s="101"/>
      <c r="AL73" s="101"/>
      <c r="AM73" s="100"/>
      <c r="AN73" s="97"/>
      <c r="AO73" s="97"/>
      <c r="AP73" s="97"/>
      <c r="AQ73" s="97"/>
      <c r="AR73" s="97"/>
      <c r="AS73" s="97"/>
      <c r="AT73" s="97"/>
      <c r="AU73" s="97"/>
      <c r="AV73" s="97"/>
      <c r="AW73" s="97"/>
      <c r="AX73" s="97"/>
      <c r="AY73" s="97"/>
      <c r="AZ73" s="97"/>
    </row>
    <row r="74" spans="1:52" s="1" customFormat="1" ht="15.75" collapsed="1" thickBot="1" x14ac:dyDescent="0.35">
      <c r="A74" s="101"/>
      <c r="B74" s="683" t="s">
        <v>820</v>
      </c>
      <c r="C74" s="684" t="s">
        <v>819</v>
      </c>
      <c r="D74" s="685" t="str">
        <f>SUMIF($B$8:$B$73,"x",AA$8:AA$73)&amp;"+X"</f>
        <v>0+X</v>
      </c>
      <c r="E74" s="685">
        <f>SUMIF($B$8:$B$73,"x",E$8:E$73)</f>
        <v>0</v>
      </c>
      <c r="F74" s="685">
        <f>SUMIF($B$8:$B$73,"x",F$8:F$73)</f>
        <v>0</v>
      </c>
      <c r="G74" s="685" t="str">
        <f>SUMIF($B$8:$B$73,"x",G$8:G$73)&amp;IF($B$25="X","+X",)</f>
        <v>0</v>
      </c>
      <c r="H74" s="686"/>
      <c r="I74" s="687">
        <f>SUMIF(I$8:I$73,"µ",$W$8:$W$73)</f>
        <v>0</v>
      </c>
      <c r="J74" s="687">
        <f>SUMIF(J$8:J$73,"µ",$W$8:$W$73)</f>
        <v>9.9499999999999993</v>
      </c>
      <c r="K74" s="687">
        <f>SUMIF(K$8:K$73,"µ",$W$8:$W$73)</f>
        <v>89.89</v>
      </c>
      <c r="L74" s="687">
        <f>SUMIF(L$8:L$73,"µ",$W$8:$W$73)</f>
        <v>149.85</v>
      </c>
      <c r="M74" s="687">
        <f>SUMIF(M$8:M$73,"µ",$W$8:$W$73)</f>
        <v>209.83999999999997</v>
      </c>
      <c r="N74" s="687">
        <f>SUMIF(N$8:N$73,"µ",$W$8:$W$73)</f>
        <v>254.59999999999994</v>
      </c>
      <c r="O74" s="687">
        <f>SUMIF(O$8:O$73,"µ",$W$8:$W$73)</f>
        <v>0</v>
      </c>
      <c r="P74" s="687">
        <f>SUMIF(P$8:P$73,"µ",$W$8:$W$73)</f>
        <v>0</v>
      </c>
      <c r="Q74" s="687">
        <f>SUMIF(Q$8:Q$73,"µ",$W$8:$W$73)</f>
        <v>0</v>
      </c>
      <c r="R74" s="687">
        <f>SUMIF(R$8:R$73,"µ",$W$8:$W$73)</f>
        <v>134.69999999999999</v>
      </c>
      <c r="S74" s="687">
        <f>SUMIF(S$8:S$73,"µ",$W$8:$W$73)</f>
        <v>134.69999999999999</v>
      </c>
      <c r="T74" s="688">
        <f>SUMIF(T$8:T$73,"µ",$W$8:$W$73)</f>
        <v>314.58999999999992</v>
      </c>
      <c r="U74" s="689">
        <f>SUM(U8:U73)</f>
        <v>429.5</v>
      </c>
      <c r="V74" s="689">
        <f>SUM(V8:V73)</f>
        <v>511.11</v>
      </c>
      <c r="W74" s="690">
        <f>SUM(W8:W73)</f>
        <v>591.95000000000005</v>
      </c>
      <c r="X74" s="101"/>
      <c r="Y74" s="100"/>
      <c r="Z74" s="404"/>
      <c r="AA74" s="843" t="str">
        <f t="shared" ref="AA74" si="20">D74</f>
        <v>0+X</v>
      </c>
      <c r="AB74" s="603">
        <f t="shared" si="3"/>
        <v>0.86343441169017654</v>
      </c>
      <c r="AC74" s="100"/>
      <c r="AD74" s="100"/>
      <c r="AE74" s="100"/>
      <c r="AF74" s="100"/>
      <c r="AG74" s="100"/>
      <c r="AH74" s="101"/>
      <c r="AI74" s="101"/>
      <c r="AJ74" s="100"/>
      <c r="AK74" s="101"/>
      <c r="AL74" s="101"/>
      <c r="AM74" s="100"/>
      <c r="AN74" s="101"/>
      <c r="AO74" s="101"/>
      <c r="AP74" s="101"/>
      <c r="AQ74" s="101"/>
      <c r="AR74" s="101"/>
      <c r="AS74" s="101"/>
      <c r="AT74" s="101"/>
      <c r="AU74" s="101"/>
      <c r="AV74" s="101"/>
      <c r="AW74" s="101"/>
      <c r="AX74" s="101"/>
      <c r="AY74" s="101"/>
      <c r="AZ74" s="101"/>
    </row>
    <row r="75" spans="1:52" s="2" customFormat="1" ht="15.75" hidden="1" outlineLevel="1" thickBot="1" x14ac:dyDescent="0.35">
      <c r="A75" s="96"/>
      <c r="B75" s="107"/>
      <c r="C75" s="96"/>
      <c r="D75" s="113"/>
      <c r="E75" s="113"/>
      <c r="F75" s="113"/>
      <c r="G75" s="113"/>
      <c r="H75" s="96"/>
      <c r="I75" s="524"/>
      <c r="J75" s="524"/>
      <c r="K75" s="113"/>
      <c r="L75" s="113"/>
      <c r="M75" s="113"/>
      <c r="N75" s="113"/>
      <c r="O75" s="113"/>
      <c r="P75" s="113"/>
      <c r="Q75" s="113"/>
      <c r="R75" s="113"/>
      <c r="S75" s="113"/>
      <c r="T75" s="113"/>
      <c r="U75" s="121"/>
      <c r="V75" s="109"/>
      <c r="W75" s="110"/>
      <c r="X75" s="115"/>
      <c r="Y75" s="100"/>
      <c r="Z75" s="404"/>
      <c r="AA75" s="848"/>
      <c r="AB75" s="404"/>
      <c r="AC75" s="100"/>
      <c r="AD75" s="100"/>
      <c r="AE75" s="100"/>
      <c r="AF75" s="100"/>
      <c r="AG75" s="100"/>
      <c r="AH75" s="101"/>
      <c r="AI75" s="101"/>
      <c r="AJ75" s="100"/>
      <c r="AK75" s="101"/>
      <c r="AL75" s="101"/>
      <c r="AM75" s="100"/>
      <c r="AN75" s="96"/>
      <c r="AO75" s="96"/>
      <c r="AP75" s="96"/>
      <c r="AQ75" s="96"/>
      <c r="AR75" s="96"/>
      <c r="AS75" s="96"/>
      <c r="AT75" s="96"/>
      <c r="AU75" s="96"/>
      <c r="AV75" s="96"/>
      <c r="AW75" s="96"/>
      <c r="AX75" s="96"/>
      <c r="AY75" s="96"/>
      <c r="AZ75" s="96"/>
    </row>
    <row r="76" spans="1:52" s="39" customFormat="1" ht="45" hidden="1" outlineLevel="1" x14ac:dyDescent="0.3">
      <c r="A76" s="97"/>
      <c r="B76" s="245" t="s">
        <v>61</v>
      </c>
      <c r="C76" s="139" t="s">
        <v>60</v>
      </c>
      <c r="D76" s="139"/>
      <c r="E76" s="139"/>
      <c r="F76" s="139"/>
      <c r="G76" s="139"/>
      <c r="H76" s="140" t="s">
        <v>1</v>
      </c>
      <c r="I76" s="535" t="s">
        <v>6</v>
      </c>
      <c r="J76" s="535" t="str">
        <f>J3</f>
        <v>No package (single purchase)</v>
      </c>
      <c r="K76" s="132" t="str">
        <f>K3</f>
        <v>Curse of the Desert</v>
      </c>
      <c r="L76" s="133" t="str">
        <f>L3</f>
        <v>Chalices of Power</v>
      </c>
      <c r="M76" s="132" t="str">
        <f>M3</f>
        <v>Endurium</v>
      </c>
      <c r="N76" s="132" t="str">
        <f>N3</f>
        <v>Titanium</v>
      </c>
      <c r="O76" s="133">
        <f>O3</f>
        <v>0</v>
      </c>
      <c r="P76" s="133">
        <f>P3</f>
        <v>0</v>
      </c>
      <c r="Q76" s="132">
        <f>Q3</f>
        <v>0</v>
      </c>
      <c r="R76" s="134">
        <f>R3</f>
        <v>0</v>
      </c>
      <c r="S76" s="134">
        <f>S3</f>
        <v>0</v>
      </c>
      <c r="T76" s="134" t="str">
        <f>T3</f>
        <v>Eternium - All-In</v>
      </c>
      <c r="U76" s="521" t="s">
        <v>5</v>
      </c>
      <c r="V76" s="282" t="s">
        <v>5</v>
      </c>
      <c r="W76" s="128" t="s">
        <v>52</v>
      </c>
      <c r="X76" s="141" t="s">
        <v>31</v>
      </c>
      <c r="Y76" s="100"/>
      <c r="Z76" s="458" t="s">
        <v>2</v>
      </c>
      <c r="AA76" s="848"/>
      <c r="AB76" s="404"/>
      <c r="AC76" s="100"/>
      <c r="AD76" s="100"/>
      <c r="AE76" s="100"/>
      <c r="AF76" s="100"/>
      <c r="AG76" s="100"/>
      <c r="AH76" s="101"/>
      <c r="AI76" s="101"/>
      <c r="AJ76" s="100"/>
      <c r="AK76" s="101"/>
      <c r="AL76" s="101"/>
      <c r="AM76" s="100"/>
      <c r="AN76" s="97"/>
      <c r="AO76" s="97"/>
      <c r="AP76" s="97"/>
      <c r="AQ76" s="97"/>
      <c r="AR76" s="97"/>
      <c r="AS76" s="97"/>
      <c r="AT76" s="97"/>
      <c r="AU76" s="97"/>
      <c r="AV76" s="97"/>
      <c r="AW76" s="97"/>
      <c r="AX76" s="97"/>
      <c r="AY76" s="97"/>
      <c r="AZ76" s="97"/>
    </row>
    <row r="77" spans="1:52" s="44" customFormat="1" ht="18.75" hidden="1" customHeight="1" outlineLevel="1" x14ac:dyDescent="0.3">
      <c r="A77" s="99"/>
      <c r="B77" s="402"/>
      <c r="C77" s="240" t="s">
        <v>386</v>
      </c>
      <c r="D77" s="395"/>
      <c r="E77" s="395"/>
      <c r="F77" s="395"/>
      <c r="G77" s="395"/>
      <c r="H77" s="396" t="s">
        <v>387</v>
      </c>
      <c r="I77" s="536" t="s">
        <v>220</v>
      </c>
      <c r="J77" s="537" t="s">
        <v>593</v>
      </c>
      <c r="K77" s="397" t="s">
        <v>593</v>
      </c>
      <c r="L77" s="397" t="s">
        <v>593</v>
      </c>
      <c r="M77" s="397" t="s">
        <v>593</v>
      </c>
      <c r="N77" s="397" t="s">
        <v>593</v>
      </c>
      <c r="O77" s="397"/>
      <c r="P77" s="397"/>
      <c r="Q77" s="398"/>
      <c r="R77" s="399"/>
      <c r="S77" s="397"/>
      <c r="T77" s="397" t="s">
        <v>593</v>
      </c>
      <c r="U77" s="522"/>
      <c r="V77" s="400"/>
      <c r="W77" s="403"/>
      <c r="X77" s="401" t="s">
        <v>594</v>
      </c>
      <c r="Y77" s="100"/>
      <c r="Z77" s="458" t="s">
        <v>2</v>
      </c>
      <c r="AA77" s="848"/>
      <c r="AB77" s="404"/>
      <c r="AC77" s="100"/>
      <c r="AD77" s="100"/>
      <c r="AE77" s="100"/>
      <c r="AF77" s="100"/>
      <c r="AG77" s="100"/>
      <c r="AH77" s="101"/>
      <c r="AI77" s="101"/>
      <c r="AJ77" s="100"/>
      <c r="AK77" s="101"/>
      <c r="AL77" s="101"/>
      <c r="AM77" s="100"/>
      <c r="AN77" s="99"/>
      <c r="AO77" s="99"/>
      <c r="AP77" s="99"/>
      <c r="AQ77" s="99"/>
      <c r="AR77" s="99"/>
      <c r="AS77" s="99"/>
      <c r="AT77" s="99"/>
      <c r="AU77" s="99"/>
      <c r="AV77" s="99"/>
      <c r="AW77" s="99"/>
      <c r="AX77" s="99"/>
      <c r="AY77" s="99"/>
      <c r="AZ77" s="99"/>
    </row>
    <row r="78" spans="1:52" ht="18" hidden="1" outlineLevel="1" x14ac:dyDescent="0.3">
      <c r="B78" s="94"/>
      <c r="C78" s="516" t="s">
        <v>428</v>
      </c>
      <c r="D78" s="161"/>
      <c r="E78" s="161"/>
      <c r="F78" s="161"/>
      <c r="G78" s="161"/>
      <c r="H78" s="43" t="s">
        <v>43</v>
      </c>
      <c r="I78" s="532" t="s">
        <v>750</v>
      </c>
      <c r="J78" s="532" t="str">
        <f>IF(OR($B8="x",$B25="x"),"Included","Add-On")</f>
        <v>Add-On</v>
      </c>
      <c r="K78" s="283" t="str">
        <f>IF(OR($B8="x",$B25="x"),"Included","Add-On")</f>
        <v>Add-On</v>
      </c>
      <c r="L78" s="93" t="s">
        <v>2</v>
      </c>
      <c r="M78" s="93" t="s">
        <v>2</v>
      </c>
      <c r="N78" s="93" t="s">
        <v>2</v>
      </c>
      <c r="O78" s="93" t="s">
        <v>2</v>
      </c>
      <c r="P78" s="93" t="s">
        <v>2</v>
      </c>
      <c r="Q78" s="93" t="s">
        <v>2</v>
      </c>
      <c r="R78" s="93" t="s">
        <v>2</v>
      </c>
      <c r="S78" s="93" t="s">
        <v>2</v>
      </c>
      <c r="T78" s="93" t="s">
        <v>2</v>
      </c>
      <c r="U78" s="279"/>
      <c r="V78" s="278"/>
      <c r="W78" s="45"/>
      <c r="X78" s="46" t="s">
        <v>143</v>
      </c>
      <c r="Z78" s="458" t="s">
        <v>2</v>
      </c>
      <c r="AA78" s="848">
        <f>V78/V8</f>
        <v>0</v>
      </c>
      <c r="AB78" s="405">
        <f>W78/W8</f>
        <v>0</v>
      </c>
      <c r="AG78" s="100"/>
      <c r="AH78" s="101"/>
      <c r="AI78" s="101"/>
      <c r="AJ78" s="100"/>
      <c r="AK78" s="101"/>
      <c r="AL78" s="101"/>
      <c r="AM78" s="100"/>
    </row>
    <row r="79" spans="1:52" s="49" customFormat="1" ht="18" hidden="1" customHeight="1" outlineLevel="1" thickBot="1" x14ac:dyDescent="0.35">
      <c r="A79" s="100"/>
      <c r="B79" s="94"/>
      <c r="C79" s="160" t="s">
        <v>428</v>
      </c>
      <c r="D79" s="161"/>
      <c r="E79" s="161"/>
      <c r="F79" s="161"/>
      <c r="G79" s="161"/>
      <c r="H79" s="43" t="s">
        <v>43</v>
      </c>
      <c r="I79" s="532" t="s">
        <v>750</v>
      </c>
      <c r="J79" s="532" t="str">
        <f>IF($B67="x","Included","Add-On")</f>
        <v>Add-On</v>
      </c>
      <c r="K79" s="283" t="str">
        <f>IF($B67="x","Included","Add-On")</f>
        <v>Add-On</v>
      </c>
      <c r="L79" s="283" t="str">
        <f>IF($B67="x","Included","Add-On")</f>
        <v>Add-On</v>
      </c>
      <c r="M79" s="283" t="str">
        <f>IF($B67="x","Included","Add-On")</f>
        <v>Add-On</v>
      </c>
      <c r="N79" s="283" t="str">
        <f>IF($B67="x","Included","Add-On")</f>
        <v>Add-On</v>
      </c>
      <c r="O79" s="93" t="s">
        <v>2</v>
      </c>
      <c r="P79" s="283" t="str">
        <f>IF($B67="x","Included","Add-On")</f>
        <v>Add-On</v>
      </c>
      <c r="Q79" s="93" t="s">
        <v>2</v>
      </c>
      <c r="R79" s="283" t="str">
        <f>IF($B67="x","Included","Add-On")</f>
        <v>Add-On</v>
      </c>
      <c r="S79" s="283" t="str">
        <f>IF($B67="x","Included","Add-On")</f>
        <v>Add-On</v>
      </c>
      <c r="T79" s="93" t="s">
        <v>2</v>
      </c>
      <c r="U79" s="279"/>
      <c r="V79" s="279"/>
      <c r="W79" s="45"/>
      <c r="X79" s="213"/>
      <c r="Y79" s="100"/>
      <c r="Z79" s="458" t="s">
        <v>2</v>
      </c>
      <c r="AA79" s="848" t="e">
        <f>V79/V67</f>
        <v>#DIV/0!</v>
      </c>
      <c r="AB79" s="405" t="e">
        <f>W79/W67</f>
        <v>#DIV/0!</v>
      </c>
      <c r="AC79" s="457"/>
      <c r="AD79" s="100"/>
      <c r="AE79" s="100"/>
      <c r="AF79" s="100"/>
      <c r="AG79" s="100"/>
      <c r="AH79" s="101"/>
      <c r="AI79" s="101"/>
      <c r="AJ79" s="100"/>
      <c r="AK79" s="101"/>
      <c r="AL79" s="101"/>
      <c r="AM79" s="100"/>
      <c r="AN79" s="100"/>
      <c r="AO79" s="100"/>
      <c r="AP79" s="100"/>
      <c r="AQ79" s="100"/>
      <c r="AR79" s="100"/>
      <c r="AS79" s="100"/>
      <c r="AT79" s="100"/>
      <c r="AU79" s="100"/>
      <c r="AV79" s="100"/>
      <c r="AW79" s="100"/>
      <c r="AX79" s="100"/>
      <c r="AY79" s="100"/>
      <c r="AZ79" s="100"/>
    </row>
    <row r="80" spans="1:52" s="1" customFormat="1" ht="15.75" hidden="1" outlineLevel="1" thickBot="1" x14ac:dyDescent="0.35">
      <c r="A80" s="101"/>
      <c r="B80" s="186" t="s">
        <v>62</v>
      </c>
      <c r="C80" s="944" t="s">
        <v>591</v>
      </c>
      <c r="D80" s="945"/>
      <c r="E80" s="945"/>
      <c r="F80" s="945"/>
      <c r="G80" s="945"/>
      <c r="H80" s="946"/>
      <c r="I80" s="143">
        <f t="shared" ref="I80:T80" si="21">SUMIF(I$77:I$79,"µ",$W$77:$W$79)</f>
        <v>0</v>
      </c>
      <c r="J80" s="143">
        <f t="shared" si="21"/>
        <v>0</v>
      </c>
      <c r="K80" s="143">
        <f t="shared" si="21"/>
        <v>0</v>
      </c>
      <c r="L80" s="143">
        <f t="shared" si="21"/>
        <v>0</v>
      </c>
      <c r="M80" s="143">
        <f t="shared" si="21"/>
        <v>0</v>
      </c>
      <c r="N80" s="143">
        <f t="shared" si="21"/>
        <v>0</v>
      </c>
      <c r="O80" s="143">
        <f t="shared" si="21"/>
        <v>0</v>
      </c>
      <c r="P80" s="143">
        <f t="shared" si="21"/>
        <v>0</v>
      </c>
      <c r="Q80" s="143">
        <f t="shared" si="21"/>
        <v>0</v>
      </c>
      <c r="R80" s="143">
        <f t="shared" si="21"/>
        <v>0</v>
      </c>
      <c r="S80" s="143">
        <f t="shared" si="21"/>
        <v>0</v>
      </c>
      <c r="T80" s="144">
        <f t="shared" si="21"/>
        <v>0</v>
      </c>
      <c r="U80" s="281">
        <f>SUM(U77:U79)</f>
        <v>0</v>
      </c>
      <c r="V80" s="281">
        <f>SUM(V77:V79)</f>
        <v>0</v>
      </c>
      <c r="W80" s="145">
        <f>SUM(W77:W79)</f>
        <v>0</v>
      </c>
      <c r="X80" s="189"/>
      <c r="Y80" s="100"/>
      <c r="Z80" s="404"/>
      <c r="AA80" s="848"/>
      <c r="AB80" s="405"/>
      <c r="AC80" s="100"/>
      <c r="AD80" s="100"/>
      <c r="AE80" s="100"/>
      <c r="AF80" s="100"/>
      <c r="AG80" s="100"/>
      <c r="AH80" s="101"/>
      <c r="AI80" s="101"/>
      <c r="AJ80" s="100"/>
      <c r="AK80" s="101"/>
      <c r="AL80" s="101"/>
      <c r="AM80" s="100"/>
      <c r="AN80" s="101"/>
      <c r="AO80" s="101"/>
      <c r="AP80" s="101"/>
      <c r="AQ80" s="101"/>
      <c r="AR80" s="101"/>
      <c r="AS80" s="101"/>
      <c r="AT80" s="101"/>
      <c r="AU80" s="101"/>
      <c r="AV80" s="101"/>
      <c r="AW80" s="101"/>
      <c r="AX80" s="101"/>
      <c r="AY80" s="101"/>
      <c r="AZ80" s="101"/>
    </row>
    <row r="81" spans="1:52" s="1" customFormat="1" ht="15.75" hidden="1" outlineLevel="1" thickBot="1" x14ac:dyDescent="0.35">
      <c r="A81" s="101"/>
      <c r="B81" s="142" t="s">
        <v>63</v>
      </c>
      <c r="C81" s="944" t="s">
        <v>592</v>
      </c>
      <c r="D81" s="945"/>
      <c r="E81" s="945"/>
      <c r="F81" s="945"/>
      <c r="G81" s="945"/>
      <c r="H81" s="946"/>
      <c r="I81" s="143">
        <f t="shared" ref="I81:W81" si="22">I74+I80</f>
        <v>0</v>
      </c>
      <c r="J81" s="143">
        <f t="shared" si="22"/>
        <v>9.9499999999999993</v>
      </c>
      <c r="K81" s="143">
        <f t="shared" si="22"/>
        <v>89.89</v>
      </c>
      <c r="L81" s="143">
        <f t="shared" si="22"/>
        <v>149.85</v>
      </c>
      <c r="M81" s="143">
        <f t="shared" si="22"/>
        <v>209.83999999999997</v>
      </c>
      <c r="N81" s="143">
        <f t="shared" si="22"/>
        <v>254.59999999999994</v>
      </c>
      <c r="O81" s="143">
        <f t="shared" si="22"/>
        <v>0</v>
      </c>
      <c r="P81" s="143">
        <f t="shared" si="22"/>
        <v>0</v>
      </c>
      <c r="Q81" s="143">
        <f t="shared" si="22"/>
        <v>0</v>
      </c>
      <c r="R81" s="143">
        <f t="shared" si="22"/>
        <v>134.69999999999999</v>
      </c>
      <c r="S81" s="143">
        <f t="shared" si="22"/>
        <v>134.69999999999999</v>
      </c>
      <c r="T81" s="144">
        <f t="shared" si="22"/>
        <v>314.58999999999992</v>
      </c>
      <c r="U81" s="281">
        <f t="shared" si="22"/>
        <v>429.5</v>
      </c>
      <c r="V81" s="281">
        <f t="shared" si="22"/>
        <v>511.11</v>
      </c>
      <c r="W81" s="145">
        <f t="shared" si="22"/>
        <v>591.95000000000005</v>
      </c>
      <c r="X81" s="101"/>
      <c r="Y81" s="100"/>
      <c r="Z81" s="404"/>
      <c r="AA81" s="848"/>
      <c r="AB81" s="404"/>
      <c r="AC81" s="100"/>
      <c r="AD81" s="100"/>
      <c r="AE81" s="100"/>
      <c r="AF81" s="100"/>
      <c r="AG81" s="100"/>
      <c r="AH81" s="101"/>
      <c r="AI81" s="101"/>
      <c r="AJ81" s="100"/>
      <c r="AK81" s="101"/>
      <c r="AL81" s="101"/>
      <c r="AM81" s="100"/>
      <c r="AN81" s="101"/>
      <c r="AO81" s="101"/>
      <c r="AP81" s="101"/>
      <c r="AQ81" s="101"/>
      <c r="AR81" s="101"/>
      <c r="AS81" s="101"/>
      <c r="AT81" s="101"/>
      <c r="AU81" s="101"/>
      <c r="AV81" s="101"/>
      <c r="AW81" s="101"/>
      <c r="AX81" s="101"/>
      <c r="AY81" s="101"/>
      <c r="AZ81" s="101"/>
    </row>
    <row r="82" spans="1:52" s="1" customFormat="1" ht="6.75" customHeight="1" collapsed="1" thickBot="1" x14ac:dyDescent="0.35">
      <c r="A82" s="101"/>
      <c r="B82" s="116"/>
      <c r="C82" s="117"/>
      <c r="D82" s="163"/>
      <c r="E82" s="163"/>
      <c r="F82" s="163"/>
      <c r="G82" s="163"/>
      <c r="H82" s="117"/>
      <c r="I82" s="538"/>
      <c r="J82" s="538"/>
      <c r="K82" s="118"/>
      <c r="L82" s="118"/>
      <c r="M82" s="118"/>
      <c r="N82" s="118"/>
      <c r="O82" s="118"/>
      <c r="P82" s="118"/>
      <c r="Q82" s="118"/>
      <c r="R82" s="118"/>
      <c r="S82" s="118"/>
      <c r="T82" s="118"/>
      <c r="U82" s="523"/>
      <c r="V82" s="119"/>
      <c r="W82" s="120"/>
      <c r="X82" s="101"/>
      <c r="Y82" s="100"/>
      <c r="Z82" s="404"/>
      <c r="AA82" s="848"/>
      <c r="AB82" s="404"/>
      <c r="AC82" s="100"/>
      <c r="AD82" s="100"/>
      <c r="AE82" s="100"/>
      <c r="AF82" s="100"/>
      <c r="AG82" s="100"/>
      <c r="AH82" s="101"/>
      <c r="AI82" s="101"/>
      <c r="AJ82" s="100"/>
      <c r="AK82" s="101"/>
      <c r="AL82" s="101"/>
      <c r="AM82" s="100"/>
      <c r="AN82" s="101"/>
      <c r="AO82" s="101"/>
      <c r="AP82" s="101"/>
      <c r="AQ82" s="101"/>
      <c r="AR82" s="101"/>
      <c r="AS82" s="101"/>
      <c r="AT82" s="101"/>
      <c r="AU82" s="101"/>
      <c r="AV82" s="101"/>
      <c r="AW82" s="101"/>
      <c r="AX82" s="101"/>
      <c r="AY82" s="101"/>
      <c r="AZ82" s="101"/>
    </row>
    <row r="83" spans="1:52" s="1" customFormat="1" ht="19.5" customHeight="1" thickBot="1" x14ac:dyDescent="0.35">
      <c r="A83" s="101"/>
      <c r="B83" s="146" t="s">
        <v>822</v>
      </c>
      <c r="C83" s="941" t="s">
        <v>824</v>
      </c>
      <c r="D83" s="942"/>
      <c r="E83" s="942"/>
      <c r="F83" s="942"/>
      <c r="G83" s="942"/>
      <c r="H83" s="943"/>
      <c r="I83" s="539">
        <f>I$7+SUMIFS($V$8:$V$79,$B$8:$B$79,"x",I$8:I$79,"Add-On")+SUMIFS($W$8:$W$79,$B$8:$B$79,"x",I$8:I$79,"Buy after CF")</f>
        <v>271.39999999999998</v>
      </c>
      <c r="J83" s="539">
        <f>J$7+SUMIFS($V$8:$V$79,$B$8:$B$79,"x",J$8:J$79,"Add-On")+SUMIFS($W$8:$W$79,$B$8:$B$79,"x",J$8:J$79,"Kauf nach CF")</f>
        <v>265.37000000000006</v>
      </c>
      <c r="K83" s="500">
        <f>K$7+SUMIFS($V$8:$V$79,$B$8:$B$79,"x",K$8:K$79,"Add-On")+SUMIFS($W$8:$W$79,$B$8:$B$79,"x",K$8:K$79,"Buy after CF")</f>
        <v>312.97000000000008</v>
      </c>
      <c r="L83" s="500">
        <f>L$7+SUMIFS($V$8:$V$79,$B$8:$B$79,"x",L$8:L$79,"Add-On")+SUMIFS($W$8:$W$79,$B$8:$B$79,"x",L$8:L$79,"Buy after CF")</f>
        <v>360.57000000000005</v>
      </c>
      <c r="M83" s="500">
        <f>M$7+SUMIFS($V$8:$V$79,$B$8:$B$79,"x",M$8:M$79,"Add-On")+SUMIFS($W$8:$W$79,$B$8:$B$79,"x",M$8:M$79,"Buy after CF")</f>
        <v>402.22</v>
      </c>
      <c r="N83" s="500">
        <f>N$7+SUMIFS($V$8:$V$79,$B$8:$B$79,"x",N$8:N$79,"Add-On")+SUMIFS($W$8:$W$79,$B$8:$B$79,"x",N$8:N$79,"Buy after CF")</f>
        <v>443.87000000000006</v>
      </c>
      <c r="O83" s="500"/>
      <c r="P83" s="500"/>
      <c r="Q83" s="500"/>
      <c r="R83" s="500"/>
      <c r="S83" s="500"/>
      <c r="T83" s="501">
        <f>T$7+SUMIFS($V$8:$V$79,$B$8:$B$79,"x",T$8:T$79,"Add-On")+SUMIFS($W$8:$W$79,$B$8:$B$79,"x",T$8:T$79,"Buy after CF")</f>
        <v>491.47</v>
      </c>
      <c r="U83" s="523"/>
      <c r="V83" s="119"/>
      <c r="W83" s="120"/>
      <c r="X83" s="101"/>
      <c r="Y83" s="100"/>
      <c r="Z83" s="458" t="s">
        <v>2</v>
      </c>
      <c r="AA83" s="848"/>
      <c r="AB83" s="404"/>
      <c r="AC83" s="100"/>
      <c r="AD83" s="100"/>
      <c r="AE83" s="100"/>
      <c r="AF83" s="100"/>
      <c r="AG83" s="100"/>
      <c r="AH83" s="101"/>
      <c r="AI83" s="101"/>
      <c r="AJ83" s="100"/>
      <c r="AK83" s="101"/>
      <c r="AL83" s="101"/>
      <c r="AM83" s="100"/>
      <c r="AN83" s="101"/>
      <c r="AO83" s="101"/>
      <c r="AP83" s="101"/>
      <c r="AQ83" s="101"/>
      <c r="AR83" s="101"/>
      <c r="AS83" s="101"/>
      <c r="AT83" s="101"/>
      <c r="AU83" s="101"/>
      <c r="AV83" s="101"/>
      <c r="AW83" s="101"/>
      <c r="AX83" s="101"/>
      <c r="AY83" s="101"/>
      <c r="AZ83" s="101"/>
    </row>
    <row r="84" spans="1:52" s="1" customFormat="1" ht="19.5" customHeight="1" x14ac:dyDescent="0.3">
      <c r="A84" s="101"/>
      <c r="B84" s="602" t="s">
        <v>938</v>
      </c>
      <c r="C84" s="961" t="s">
        <v>827</v>
      </c>
      <c r="D84" s="962"/>
      <c r="E84" s="962"/>
      <c r="F84" s="962"/>
      <c r="G84" s="569"/>
      <c r="H84" s="155" t="s">
        <v>825</v>
      </c>
      <c r="I84" s="1089">
        <f>$I$83-I$83</f>
        <v>0</v>
      </c>
      <c r="J84" s="1090">
        <f t="shared" ref="J84:P84" si="23">$I$83-J$83</f>
        <v>6.0299999999999159</v>
      </c>
      <c r="K84" s="1091">
        <f t="shared" si="23"/>
        <v>-41.570000000000107</v>
      </c>
      <c r="L84" s="1091">
        <f t="shared" si="23"/>
        <v>-89.170000000000073</v>
      </c>
      <c r="M84" s="1091">
        <f t="shared" si="23"/>
        <v>-130.82000000000005</v>
      </c>
      <c r="N84" s="1091">
        <f t="shared" si="23"/>
        <v>-172.47000000000008</v>
      </c>
      <c r="O84" s="1091">
        <f t="shared" si="23"/>
        <v>271.39999999999998</v>
      </c>
      <c r="P84" s="1091">
        <f t="shared" si="23"/>
        <v>271.39999999999998</v>
      </c>
      <c r="Q84" s="1091">
        <f t="shared" ref="Q84:R84" si="24">$I$83-Q$83</f>
        <v>271.39999999999998</v>
      </c>
      <c r="R84" s="1091">
        <f t="shared" si="24"/>
        <v>271.39999999999998</v>
      </c>
      <c r="S84" s="1091">
        <f>$I$83-S$83</f>
        <v>271.39999999999998</v>
      </c>
      <c r="T84" s="1092">
        <f>$I$83-T$83</f>
        <v>-220.07000000000005</v>
      </c>
      <c r="U84" s="523"/>
      <c r="V84" s="119"/>
      <c r="W84" s="120"/>
      <c r="X84" s="101"/>
      <c r="Y84" s="100"/>
      <c r="Z84" s="458" t="s">
        <v>2</v>
      </c>
      <c r="AA84" s="848"/>
      <c r="AB84" s="404"/>
      <c r="AC84" s="100"/>
      <c r="AD84" s="100"/>
      <c r="AE84" s="100"/>
      <c r="AF84" s="100"/>
      <c r="AG84" s="100"/>
      <c r="AH84" s="101"/>
      <c r="AI84" s="101"/>
      <c r="AJ84" s="100"/>
      <c r="AK84" s="101"/>
      <c r="AL84" s="101"/>
      <c r="AM84" s="100"/>
      <c r="AN84" s="101"/>
      <c r="AO84" s="101"/>
      <c r="AP84" s="101"/>
      <c r="AQ84" s="101"/>
      <c r="AR84" s="101"/>
      <c r="AS84" s="101"/>
      <c r="AT84" s="101"/>
      <c r="AU84" s="101"/>
      <c r="AV84" s="101"/>
      <c r="AW84" s="101"/>
      <c r="AX84" s="101"/>
      <c r="AY84" s="101"/>
      <c r="AZ84" s="101"/>
    </row>
    <row r="85" spans="1:52" s="1" customFormat="1" ht="19.5" customHeight="1" x14ac:dyDescent="0.3">
      <c r="A85" s="101"/>
      <c r="B85" s="808" t="s">
        <v>939</v>
      </c>
      <c r="C85" s="963"/>
      <c r="D85" s="964"/>
      <c r="E85" s="964"/>
      <c r="F85" s="964"/>
      <c r="G85" s="569"/>
      <c r="H85" s="155" t="str">
        <f>J3</f>
        <v>No package (single purchase)</v>
      </c>
      <c r="I85" s="1090">
        <f t="shared" ref="I85:N85" si="25">$J$83-I$83</f>
        <v>-6.0299999999999159</v>
      </c>
      <c r="J85" s="1089">
        <f t="shared" si="25"/>
        <v>0</v>
      </c>
      <c r="K85" s="1091">
        <f t="shared" si="25"/>
        <v>-47.600000000000023</v>
      </c>
      <c r="L85" s="1091">
        <f t="shared" si="25"/>
        <v>-95.199999999999989</v>
      </c>
      <c r="M85" s="1091">
        <f t="shared" si="25"/>
        <v>-136.84999999999997</v>
      </c>
      <c r="N85" s="1091">
        <f t="shared" si="25"/>
        <v>-178.5</v>
      </c>
      <c r="O85" s="1091">
        <f t="shared" ref="O85:T85" si="26">$J$83-O$83</f>
        <v>265.37000000000006</v>
      </c>
      <c r="P85" s="1091">
        <f t="shared" si="26"/>
        <v>265.37000000000006</v>
      </c>
      <c r="Q85" s="1091">
        <f t="shared" si="26"/>
        <v>265.37000000000006</v>
      </c>
      <c r="R85" s="1091">
        <f t="shared" si="26"/>
        <v>265.37000000000006</v>
      </c>
      <c r="S85" s="1091">
        <f t="shared" si="26"/>
        <v>265.37000000000006</v>
      </c>
      <c r="T85" s="1092">
        <f t="shared" si="26"/>
        <v>-226.09999999999997</v>
      </c>
      <c r="U85" s="523"/>
      <c r="V85" s="119"/>
      <c r="W85" s="120"/>
      <c r="X85" s="101"/>
      <c r="Y85" s="100"/>
      <c r="Z85" s="458"/>
      <c r="AA85" s="848"/>
      <c r="AB85" s="404"/>
      <c r="AC85" s="100"/>
      <c r="AD85" s="100"/>
      <c r="AE85" s="100"/>
      <c r="AF85" s="100"/>
      <c r="AG85" s="100"/>
      <c r="AH85" s="101"/>
      <c r="AI85" s="101"/>
      <c r="AJ85" s="100"/>
      <c r="AK85" s="101"/>
      <c r="AL85" s="101"/>
      <c r="AM85" s="100"/>
      <c r="AN85" s="101"/>
      <c r="AO85" s="101"/>
      <c r="AP85" s="101"/>
      <c r="AQ85" s="101"/>
      <c r="AR85" s="101"/>
      <c r="AS85" s="101"/>
      <c r="AT85" s="101"/>
      <c r="AU85" s="101"/>
      <c r="AV85" s="101"/>
      <c r="AW85" s="101"/>
      <c r="AX85" s="101"/>
      <c r="AY85" s="101"/>
      <c r="AZ85" s="101"/>
    </row>
    <row r="86" spans="1:52" s="1" customFormat="1" ht="19.5" customHeight="1" x14ac:dyDescent="0.3">
      <c r="A86" s="101"/>
      <c r="B86" s="602" t="s">
        <v>823</v>
      </c>
      <c r="C86" s="963"/>
      <c r="D86" s="964"/>
      <c r="E86" s="964"/>
      <c r="F86" s="964"/>
      <c r="G86" s="569"/>
      <c r="H86" s="155" t="str">
        <f>K3</f>
        <v>Curse of the Desert</v>
      </c>
      <c r="I86" s="1090">
        <f t="shared" ref="I86:P86" si="27">$K$83-I$83</f>
        <v>41.570000000000107</v>
      </c>
      <c r="J86" s="1090">
        <f t="shared" si="27"/>
        <v>47.600000000000023</v>
      </c>
      <c r="K86" s="1093">
        <f t="shared" si="27"/>
        <v>0</v>
      </c>
      <c r="L86" s="1091">
        <f t="shared" si="27"/>
        <v>-47.599999999999966</v>
      </c>
      <c r="M86" s="1091">
        <f t="shared" si="27"/>
        <v>-89.249999999999943</v>
      </c>
      <c r="N86" s="1091">
        <f t="shared" si="27"/>
        <v>-130.89999999999998</v>
      </c>
      <c r="O86" s="1091">
        <f t="shared" si="27"/>
        <v>312.97000000000008</v>
      </c>
      <c r="P86" s="1091">
        <f t="shared" si="27"/>
        <v>312.97000000000008</v>
      </c>
      <c r="Q86" s="1091">
        <f t="shared" ref="Q86:R86" si="28">$K$83-Q$83</f>
        <v>312.97000000000008</v>
      </c>
      <c r="R86" s="1091">
        <f t="shared" si="28"/>
        <v>312.97000000000008</v>
      </c>
      <c r="S86" s="1091">
        <f>$K$83-S$83</f>
        <v>312.97000000000008</v>
      </c>
      <c r="T86" s="1092">
        <f>$K$83-T$83</f>
        <v>-178.49999999999994</v>
      </c>
      <c r="U86" s="523"/>
      <c r="V86" s="119"/>
      <c r="W86" s="120"/>
      <c r="X86" s="101"/>
      <c r="Y86" s="100"/>
      <c r="Z86" s="458" t="s">
        <v>2</v>
      </c>
      <c r="AA86" s="848"/>
      <c r="AB86" s="404"/>
      <c r="AC86" s="100"/>
      <c r="AD86" s="100"/>
      <c r="AE86" s="100"/>
      <c r="AF86" s="100"/>
      <c r="AG86" s="100"/>
      <c r="AH86" s="101"/>
      <c r="AI86" s="101"/>
      <c r="AJ86" s="100"/>
      <c r="AK86" s="101"/>
      <c r="AL86" s="101"/>
      <c r="AM86" s="100"/>
      <c r="AN86" s="101"/>
      <c r="AO86" s="101"/>
      <c r="AP86" s="101"/>
      <c r="AQ86" s="101"/>
      <c r="AR86" s="101"/>
      <c r="AS86" s="101"/>
      <c r="AT86" s="101"/>
      <c r="AU86" s="101"/>
      <c r="AV86" s="101"/>
      <c r="AW86" s="101"/>
      <c r="AX86" s="101"/>
      <c r="AY86" s="101"/>
      <c r="AZ86" s="101"/>
    </row>
    <row r="87" spans="1:52" s="1" customFormat="1" ht="19.5" customHeight="1" x14ac:dyDescent="0.3">
      <c r="A87" s="101"/>
      <c r="B87" s="116"/>
      <c r="C87" s="963"/>
      <c r="D87" s="964"/>
      <c r="E87" s="964"/>
      <c r="F87" s="964"/>
      <c r="G87" s="569"/>
      <c r="H87" s="155" t="str">
        <f>L3</f>
        <v>Chalices of Power</v>
      </c>
      <c r="I87" s="1090">
        <f t="shared" ref="I87:P87" si="29">$L$83-I$83</f>
        <v>89.170000000000073</v>
      </c>
      <c r="J87" s="1090">
        <f t="shared" si="29"/>
        <v>95.199999999999989</v>
      </c>
      <c r="K87" s="1091">
        <f t="shared" si="29"/>
        <v>47.599999999999966</v>
      </c>
      <c r="L87" s="1093">
        <f t="shared" si="29"/>
        <v>0</v>
      </c>
      <c r="M87" s="1091">
        <f t="shared" si="29"/>
        <v>-41.649999999999977</v>
      </c>
      <c r="N87" s="1091">
        <f t="shared" si="29"/>
        <v>-83.300000000000011</v>
      </c>
      <c r="O87" s="1091">
        <f t="shared" si="29"/>
        <v>360.57000000000005</v>
      </c>
      <c r="P87" s="1091">
        <f t="shared" si="29"/>
        <v>360.57000000000005</v>
      </c>
      <c r="Q87" s="1091">
        <f t="shared" ref="Q87:R87" si="30">$L$83-Q$83</f>
        <v>360.57000000000005</v>
      </c>
      <c r="R87" s="1091">
        <f t="shared" si="30"/>
        <v>360.57000000000005</v>
      </c>
      <c r="S87" s="1091">
        <f>$L$83-S$83</f>
        <v>360.57000000000005</v>
      </c>
      <c r="T87" s="1092">
        <f>$L$83-T$83</f>
        <v>-130.89999999999998</v>
      </c>
      <c r="U87" s="523"/>
      <c r="V87" s="119"/>
      <c r="W87" s="120"/>
      <c r="X87" s="101"/>
      <c r="Y87" s="100"/>
      <c r="Z87" s="458" t="s">
        <v>2</v>
      </c>
      <c r="AA87" s="848"/>
      <c r="AB87" s="404"/>
      <c r="AC87" s="100"/>
      <c r="AD87" s="100"/>
      <c r="AE87" s="100"/>
      <c r="AF87" s="100"/>
      <c r="AG87" s="100"/>
      <c r="AH87" s="101"/>
      <c r="AI87" s="101"/>
      <c r="AJ87" s="100"/>
      <c r="AK87" s="101"/>
      <c r="AL87" s="101"/>
      <c r="AM87" s="100"/>
      <c r="AN87" s="101"/>
      <c r="AO87" s="101"/>
      <c r="AP87" s="101"/>
      <c r="AQ87" s="101"/>
      <c r="AR87" s="101"/>
      <c r="AS87" s="101"/>
      <c r="AT87" s="101"/>
      <c r="AU87" s="101"/>
      <c r="AV87" s="101"/>
      <c r="AW87" s="101"/>
      <c r="AX87" s="101"/>
      <c r="AY87" s="101"/>
      <c r="AZ87" s="101"/>
    </row>
    <row r="88" spans="1:52" s="1" customFormat="1" ht="19.5" customHeight="1" x14ac:dyDescent="0.25">
      <c r="A88" s="101"/>
      <c r="B88" s="116"/>
      <c r="C88" s="963"/>
      <c r="D88" s="964"/>
      <c r="E88" s="964"/>
      <c r="F88" s="964"/>
      <c r="G88" s="569"/>
      <c r="H88" s="155" t="str">
        <f>M3</f>
        <v>Endurium</v>
      </c>
      <c r="I88" s="1090">
        <f t="shared" ref="I88:P88" si="31">$M$83-I$83</f>
        <v>130.82000000000005</v>
      </c>
      <c r="J88" s="1090">
        <f t="shared" si="31"/>
        <v>136.84999999999997</v>
      </c>
      <c r="K88" s="1091">
        <f t="shared" si="31"/>
        <v>89.249999999999943</v>
      </c>
      <c r="L88" s="1091">
        <f t="shared" si="31"/>
        <v>41.649999999999977</v>
      </c>
      <c r="M88" s="1093">
        <f t="shared" si="31"/>
        <v>0</v>
      </c>
      <c r="N88" s="1091">
        <f t="shared" si="31"/>
        <v>-41.650000000000034</v>
      </c>
      <c r="O88" s="1091">
        <f t="shared" si="31"/>
        <v>402.22</v>
      </c>
      <c r="P88" s="1091">
        <f t="shared" si="31"/>
        <v>402.22</v>
      </c>
      <c r="Q88" s="1091">
        <f t="shared" ref="Q88:R88" si="32">$M$83-Q$83</f>
        <v>402.22</v>
      </c>
      <c r="R88" s="1091">
        <f t="shared" si="32"/>
        <v>402.22</v>
      </c>
      <c r="S88" s="1091">
        <f>$M$83-S$83</f>
        <v>402.22</v>
      </c>
      <c r="T88" s="1092">
        <f>$M$83-T$83</f>
        <v>-89.25</v>
      </c>
      <c r="U88" s="523"/>
      <c r="V88" s="119"/>
      <c r="W88" s="120"/>
      <c r="X88" s="101"/>
      <c r="Y88" s="101"/>
      <c r="Z88" s="458" t="s">
        <v>2</v>
      </c>
      <c r="AA88" s="849"/>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row>
    <row r="89" spans="1:52" s="1" customFormat="1" ht="19.5" customHeight="1" x14ac:dyDescent="0.25">
      <c r="A89" s="101"/>
      <c r="B89" s="116"/>
      <c r="C89" s="963"/>
      <c r="D89" s="964"/>
      <c r="E89" s="964"/>
      <c r="F89" s="964"/>
      <c r="G89" s="569"/>
      <c r="H89" s="155" t="str">
        <f>N3</f>
        <v>Titanium</v>
      </c>
      <c r="I89" s="1090">
        <f t="shared" ref="I89:T89" si="33">$N$83-I$83</f>
        <v>172.47000000000008</v>
      </c>
      <c r="J89" s="1090">
        <f t="shared" si="33"/>
        <v>178.5</v>
      </c>
      <c r="K89" s="1091">
        <f t="shared" si="33"/>
        <v>130.89999999999998</v>
      </c>
      <c r="L89" s="1091">
        <f t="shared" si="33"/>
        <v>83.300000000000011</v>
      </c>
      <c r="M89" s="1091">
        <f t="shared" si="33"/>
        <v>41.650000000000034</v>
      </c>
      <c r="N89" s="1093">
        <f t="shared" si="33"/>
        <v>0</v>
      </c>
      <c r="O89" s="1091">
        <f t="shared" si="33"/>
        <v>443.87000000000006</v>
      </c>
      <c r="P89" s="1091">
        <f t="shared" si="33"/>
        <v>443.87000000000006</v>
      </c>
      <c r="Q89" s="1091">
        <f t="shared" si="33"/>
        <v>443.87000000000006</v>
      </c>
      <c r="R89" s="1091">
        <f t="shared" si="33"/>
        <v>443.87000000000006</v>
      </c>
      <c r="S89" s="1091">
        <f t="shared" si="33"/>
        <v>443.87000000000006</v>
      </c>
      <c r="T89" s="1092">
        <f t="shared" si="33"/>
        <v>-47.599999999999966</v>
      </c>
      <c r="U89" s="523"/>
      <c r="V89" s="119"/>
      <c r="W89" s="120"/>
      <c r="X89" s="101"/>
      <c r="Y89" s="101"/>
      <c r="Z89" s="458" t="s">
        <v>2</v>
      </c>
      <c r="AA89" s="849"/>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row>
    <row r="90" spans="1:52" s="1" customFormat="1" ht="19.5" hidden="1" customHeight="1" outlineLevel="1" x14ac:dyDescent="0.25">
      <c r="A90" s="101"/>
      <c r="B90" s="116"/>
      <c r="C90" s="963"/>
      <c r="D90" s="964"/>
      <c r="E90" s="964"/>
      <c r="F90" s="964"/>
      <c r="G90" s="569"/>
      <c r="H90" s="155">
        <f>O3</f>
        <v>0</v>
      </c>
      <c r="I90" s="1090">
        <f t="shared" ref="I90:N90" si="34">$O$83-I$83</f>
        <v>-271.39999999999998</v>
      </c>
      <c r="J90" s="1090">
        <f t="shared" si="34"/>
        <v>-265.37000000000006</v>
      </c>
      <c r="K90" s="1091">
        <f t="shared" si="34"/>
        <v>-312.97000000000008</v>
      </c>
      <c r="L90" s="1091">
        <f t="shared" si="34"/>
        <v>-360.57000000000005</v>
      </c>
      <c r="M90" s="1091">
        <f t="shared" si="34"/>
        <v>-402.22</v>
      </c>
      <c r="N90" s="1091">
        <f t="shared" si="34"/>
        <v>-443.87000000000006</v>
      </c>
      <c r="O90" s="1093">
        <f t="shared" ref="O90:T90" si="35">$O$83-O$83</f>
        <v>0</v>
      </c>
      <c r="P90" s="1091">
        <f t="shared" si="35"/>
        <v>0</v>
      </c>
      <c r="Q90" s="1091">
        <f t="shared" si="35"/>
        <v>0</v>
      </c>
      <c r="R90" s="1091">
        <f t="shared" si="35"/>
        <v>0</v>
      </c>
      <c r="S90" s="1091">
        <f t="shared" si="35"/>
        <v>0</v>
      </c>
      <c r="T90" s="1092">
        <f t="shared" si="35"/>
        <v>-491.47</v>
      </c>
      <c r="U90" s="523"/>
      <c r="V90" s="119"/>
      <c r="W90" s="120"/>
      <c r="X90" s="101"/>
      <c r="Y90" s="101"/>
      <c r="Z90" s="458" t="s">
        <v>2</v>
      </c>
      <c r="AA90" s="849"/>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row>
    <row r="91" spans="1:52" s="1" customFormat="1" ht="19.5" hidden="1" customHeight="1" outlineLevel="1" x14ac:dyDescent="0.25">
      <c r="A91" s="101"/>
      <c r="B91" s="116"/>
      <c r="C91" s="963"/>
      <c r="D91" s="964"/>
      <c r="E91" s="964"/>
      <c r="F91" s="964"/>
      <c r="G91" s="569"/>
      <c r="H91" s="155">
        <f>P3</f>
        <v>0</v>
      </c>
      <c r="I91" s="1090">
        <f t="shared" ref="I91:O91" si="36">$P$83-I$83</f>
        <v>-271.39999999999998</v>
      </c>
      <c r="J91" s="1090">
        <f t="shared" si="36"/>
        <v>-265.37000000000006</v>
      </c>
      <c r="K91" s="1091">
        <f t="shared" si="36"/>
        <v>-312.97000000000008</v>
      </c>
      <c r="L91" s="1091">
        <f t="shared" si="36"/>
        <v>-360.57000000000005</v>
      </c>
      <c r="M91" s="1091">
        <f t="shared" si="36"/>
        <v>-402.22</v>
      </c>
      <c r="N91" s="1091">
        <f t="shared" si="36"/>
        <v>-443.87000000000006</v>
      </c>
      <c r="O91" s="1091">
        <f t="shared" si="36"/>
        <v>0</v>
      </c>
      <c r="P91" s="1093">
        <f>$P$83-P$83</f>
        <v>0</v>
      </c>
      <c r="Q91" s="1091">
        <f t="shared" ref="Q91:R91" si="37">$P$83-Q$83</f>
        <v>0</v>
      </c>
      <c r="R91" s="1091">
        <f t="shared" si="37"/>
        <v>0</v>
      </c>
      <c r="S91" s="1091">
        <f>$P$83-S$83</f>
        <v>0</v>
      </c>
      <c r="T91" s="1092">
        <f>$P$83-T$83</f>
        <v>-491.47</v>
      </c>
      <c r="U91" s="523"/>
      <c r="V91" s="119"/>
      <c r="W91" s="120"/>
      <c r="X91" s="101"/>
      <c r="Y91" s="101"/>
      <c r="Z91" s="458" t="s">
        <v>2</v>
      </c>
      <c r="AA91" s="849"/>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row>
    <row r="92" spans="1:52" s="1" customFormat="1" ht="19.5" hidden="1" customHeight="1" outlineLevel="1" x14ac:dyDescent="0.25">
      <c r="A92" s="101"/>
      <c r="B92" s="116"/>
      <c r="C92" s="963"/>
      <c r="D92" s="964"/>
      <c r="E92" s="964"/>
      <c r="F92" s="964"/>
      <c r="G92" s="569"/>
      <c r="H92" s="155">
        <f>Q3</f>
        <v>0</v>
      </c>
      <c r="I92" s="1090">
        <f t="shared" ref="I92:P92" si="38">$Q$83-I$83</f>
        <v>-271.39999999999998</v>
      </c>
      <c r="J92" s="1090">
        <f t="shared" si="38"/>
        <v>-265.37000000000006</v>
      </c>
      <c r="K92" s="1091">
        <f t="shared" si="38"/>
        <v>-312.97000000000008</v>
      </c>
      <c r="L92" s="1091">
        <f t="shared" si="38"/>
        <v>-360.57000000000005</v>
      </c>
      <c r="M92" s="1091">
        <f t="shared" si="38"/>
        <v>-402.22</v>
      </c>
      <c r="N92" s="1091">
        <f t="shared" si="38"/>
        <v>-443.87000000000006</v>
      </c>
      <c r="O92" s="1091">
        <f t="shared" si="38"/>
        <v>0</v>
      </c>
      <c r="P92" s="1091">
        <f t="shared" si="38"/>
        <v>0</v>
      </c>
      <c r="Q92" s="1093">
        <f>$Q$83-Q$83</f>
        <v>0</v>
      </c>
      <c r="R92" s="1091">
        <f>$Q$83-R$83</f>
        <v>0</v>
      </c>
      <c r="S92" s="1091">
        <f>$Q$83-S$83</f>
        <v>0</v>
      </c>
      <c r="T92" s="1092">
        <f>$Q$83-T$83</f>
        <v>-491.47</v>
      </c>
      <c r="U92" s="523"/>
      <c r="V92" s="119"/>
      <c r="W92" s="120"/>
      <c r="X92" s="101"/>
      <c r="Y92" s="101"/>
      <c r="Z92" s="458" t="s">
        <v>2</v>
      </c>
      <c r="AA92" s="849"/>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row>
    <row r="93" spans="1:52" s="1" customFormat="1" ht="19.5" hidden="1" customHeight="1" outlineLevel="1" x14ac:dyDescent="0.25">
      <c r="A93" s="101"/>
      <c r="B93" s="116"/>
      <c r="C93" s="963"/>
      <c r="D93" s="964"/>
      <c r="E93" s="964"/>
      <c r="F93" s="964"/>
      <c r="G93" s="569"/>
      <c r="H93" s="155">
        <f>R3</f>
        <v>0</v>
      </c>
      <c r="I93" s="1090">
        <f t="shared" ref="I93:Q93" si="39">$R$83-I$83</f>
        <v>-271.39999999999998</v>
      </c>
      <c r="J93" s="1090">
        <f t="shared" si="39"/>
        <v>-265.37000000000006</v>
      </c>
      <c r="K93" s="1091">
        <f t="shared" si="39"/>
        <v>-312.97000000000008</v>
      </c>
      <c r="L93" s="1091">
        <f t="shared" si="39"/>
        <v>-360.57000000000005</v>
      </c>
      <c r="M93" s="1091">
        <f t="shared" si="39"/>
        <v>-402.22</v>
      </c>
      <c r="N93" s="1091">
        <f t="shared" si="39"/>
        <v>-443.87000000000006</v>
      </c>
      <c r="O93" s="1091">
        <f t="shared" si="39"/>
        <v>0</v>
      </c>
      <c r="P93" s="1091">
        <f t="shared" si="39"/>
        <v>0</v>
      </c>
      <c r="Q93" s="1091">
        <f t="shared" si="39"/>
        <v>0</v>
      </c>
      <c r="R93" s="1093">
        <f>$R$83-R$83</f>
        <v>0</v>
      </c>
      <c r="S93" s="1091">
        <f>$R$83-S$83</f>
        <v>0</v>
      </c>
      <c r="T93" s="1092">
        <f>$R$83-T$83</f>
        <v>-491.47</v>
      </c>
      <c r="U93" s="523"/>
      <c r="V93" s="119"/>
      <c r="W93" s="120"/>
      <c r="X93" s="101"/>
      <c r="Y93" s="101"/>
      <c r="Z93" s="458" t="s">
        <v>2</v>
      </c>
      <c r="AA93" s="849"/>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row>
    <row r="94" spans="1:52" s="1" customFormat="1" ht="19.5" hidden="1" customHeight="1" outlineLevel="1" collapsed="1" x14ac:dyDescent="0.25">
      <c r="A94" s="101"/>
      <c r="B94" s="116"/>
      <c r="C94" s="963"/>
      <c r="D94" s="964"/>
      <c r="E94" s="964"/>
      <c r="F94" s="964"/>
      <c r="G94" s="569"/>
      <c r="H94" s="155">
        <f>S3</f>
        <v>0</v>
      </c>
      <c r="I94" s="1090">
        <f t="shared" ref="I94:R94" si="40">$S$83-I$83</f>
        <v>-271.39999999999998</v>
      </c>
      <c r="J94" s="1090">
        <f t="shared" si="40"/>
        <v>-265.37000000000006</v>
      </c>
      <c r="K94" s="1091">
        <f t="shared" si="40"/>
        <v>-312.97000000000008</v>
      </c>
      <c r="L94" s="1091">
        <f t="shared" si="40"/>
        <v>-360.57000000000005</v>
      </c>
      <c r="M94" s="1091">
        <f t="shared" si="40"/>
        <v>-402.22</v>
      </c>
      <c r="N94" s="1091">
        <f t="shared" si="40"/>
        <v>-443.87000000000006</v>
      </c>
      <c r="O94" s="1091">
        <f t="shared" si="40"/>
        <v>0</v>
      </c>
      <c r="P94" s="1091">
        <f t="shared" si="40"/>
        <v>0</v>
      </c>
      <c r="Q94" s="1091">
        <f t="shared" si="40"/>
        <v>0</v>
      </c>
      <c r="R94" s="1091">
        <f t="shared" si="40"/>
        <v>0</v>
      </c>
      <c r="S94" s="1093">
        <f>$S$83-S$83</f>
        <v>0</v>
      </c>
      <c r="T94" s="1092">
        <f>$S$83-T$83</f>
        <v>-491.47</v>
      </c>
      <c r="U94" s="523"/>
      <c r="V94" s="119"/>
      <c r="W94" s="120"/>
      <c r="X94" s="101"/>
      <c r="Y94" s="101"/>
      <c r="Z94" s="458" t="s">
        <v>2</v>
      </c>
      <c r="AA94" s="849"/>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row>
    <row r="95" spans="1:52" s="1" customFormat="1" ht="19.5" customHeight="1" collapsed="1" thickBot="1" x14ac:dyDescent="0.3">
      <c r="A95" s="101"/>
      <c r="B95" s="116"/>
      <c r="C95" s="965"/>
      <c r="D95" s="966"/>
      <c r="E95" s="966"/>
      <c r="F95" s="966"/>
      <c r="G95" s="570"/>
      <c r="H95" s="156" t="str">
        <f>T3</f>
        <v>Eternium - All-In</v>
      </c>
      <c r="I95" s="1094">
        <f t="shared" ref="I95:S95" si="41">$T$83-I$83</f>
        <v>220.07000000000005</v>
      </c>
      <c r="J95" s="1094">
        <f t="shared" si="41"/>
        <v>226.09999999999997</v>
      </c>
      <c r="K95" s="1095">
        <f t="shared" si="41"/>
        <v>178.49999999999994</v>
      </c>
      <c r="L95" s="1095">
        <f t="shared" si="41"/>
        <v>130.89999999999998</v>
      </c>
      <c r="M95" s="1095">
        <f t="shared" si="41"/>
        <v>89.25</v>
      </c>
      <c r="N95" s="1095">
        <f t="shared" si="41"/>
        <v>47.599999999999966</v>
      </c>
      <c r="O95" s="1095">
        <f t="shared" si="41"/>
        <v>491.47</v>
      </c>
      <c r="P95" s="1095">
        <f t="shared" si="41"/>
        <v>491.47</v>
      </c>
      <c r="Q95" s="1095">
        <f t="shared" si="41"/>
        <v>491.47</v>
      </c>
      <c r="R95" s="1095">
        <f t="shared" si="41"/>
        <v>491.47</v>
      </c>
      <c r="S95" s="1095">
        <f t="shared" si="41"/>
        <v>491.47</v>
      </c>
      <c r="T95" s="1096">
        <f>$T$83-T$83</f>
        <v>0</v>
      </c>
      <c r="U95" s="523"/>
      <c r="V95" s="119"/>
      <c r="W95" s="120"/>
      <c r="X95" s="101"/>
      <c r="Y95" s="101"/>
      <c r="Z95" s="458" t="s">
        <v>2</v>
      </c>
      <c r="AA95" s="849"/>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row>
    <row r="96" spans="1:52" s="1" customFormat="1" ht="15.75" hidden="1" customHeight="1" outlineLevel="1" thickBot="1" x14ac:dyDescent="0.3">
      <c r="A96" s="101"/>
      <c r="B96" s="116"/>
      <c r="C96" s="275"/>
      <c r="D96" s="276"/>
      <c r="E96" s="276"/>
      <c r="F96" s="276"/>
      <c r="G96" s="276"/>
      <c r="H96" s="275"/>
      <c r="I96" s="540"/>
      <c r="J96" s="540"/>
      <c r="K96" s="277"/>
      <c r="L96" s="277"/>
      <c r="M96" s="277"/>
      <c r="N96" s="277"/>
      <c r="O96" s="118"/>
      <c r="P96" s="118"/>
      <c r="Q96" s="118"/>
      <c r="R96" s="118"/>
      <c r="S96" s="118"/>
      <c r="T96" s="118"/>
      <c r="U96" s="523"/>
      <c r="V96" s="119"/>
      <c r="W96" s="120"/>
      <c r="X96" s="101"/>
      <c r="Y96" s="101"/>
      <c r="AA96" s="849"/>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row>
    <row r="97" spans="1:52" s="1" customFormat="1" ht="15.75" hidden="1" customHeight="1" outlineLevel="1" thickBot="1" x14ac:dyDescent="0.3">
      <c r="A97" s="101"/>
      <c r="B97" s="967" t="s">
        <v>828</v>
      </c>
      <c r="C97" s="974" t="s">
        <v>831</v>
      </c>
      <c r="D97" s="975"/>
      <c r="E97" s="975"/>
      <c r="F97" s="975"/>
      <c r="G97" s="975"/>
      <c r="H97" s="976"/>
      <c r="I97" s="972">
        <f>SUMIF($B$8:$B$79,"x",$W$8:$W$79)</f>
        <v>271.39999999999998</v>
      </c>
      <c r="J97" s="973"/>
      <c r="K97" s="973"/>
      <c r="L97" s="973"/>
      <c r="M97" s="973"/>
      <c r="N97" s="973"/>
      <c r="O97" s="973"/>
      <c r="P97" s="973"/>
      <c r="Q97" s="973"/>
      <c r="R97" s="973"/>
      <c r="S97" s="973"/>
      <c r="T97" s="973"/>
      <c r="U97" s="952" t="s">
        <v>940</v>
      </c>
      <c r="V97" s="953"/>
      <c r="W97" s="953"/>
      <c r="X97" s="954"/>
      <c r="Y97" s="101"/>
      <c r="AA97" s="849"/>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row>
    <row r="98" spans="1:52" s="497" customFormat="1" ht="15.75" hidden="1" customHeight="1" outlineLevel="1" thickBot="1" x14ac:dyDescent="0.35">
      <c r="A98" s="496"/>
      <c r="B98" s="968"/>
      <c r="C98" s="989" t="s">
        <v>832</v>
      </c>
      <c r="D98" s="990"/>
      <c r="E98" s="990"/>
      <c r="F98" s="990"/>
      <c r="G98" s="990"/>
      <c r="H98" s="991"/>
      <c r="I98" s="498">
        <f>I$7+SUMIFS($V$8:$V$79,$B$8:$B$79,"x",I$8:I$79,"Add-On")+SUMIFS($W$8:$W$79,$B$8:$B$79,"x",I$8:I$79,"Buy after CF")+SUMIFS($W$8:$W$79,$B$8:$B$79,"x",I$8:I$79,"nicht erhältlich")</f>
        <v>271.39999999999998</v>
      </c>
      <c r="J98" s="498">
        <f>J$7+SUMIFS($V$8:$V$79,$B$8:$B$79,"x",J$8:J$79,"Add-On")+SUMIFS($W$8:$W$79,$B$8:$B$79,"x",J$8:J$79,"Buy after CF")</f>
        <v>265.37000000000006</v>
      </c>
      <c r="K98" s="498">
        <f>K$7+SUMIFS($V$8:$V$79,$B$8:$B$79,"x",K$8:K$79,"Add-On")+SUMIFS($W$8:$W$79,$B$8:$B$79,"x",K$8:K$79,"Buy after CF")</f>
        <v>312.97000000000008</v>
      </c>
      <c r="L98" s="498">
        <f>L$7+SUMIFS($V$8:$V$79,$B$8:$B$79,"x",L$8:L$79,"Add-On")+SUMIFS($W$8:$W$79,$B$8:$B$79,"x",L$8:L$79,"Buy after CF")</f>
        <v>360.57000000000005</v>
      </c>
      <c r="M98" s="498">
        <f>M$7+SUMIFS($V$8:$V$79,$B$8:$B$79,"x",M$8:M$79,"Add-On")+SUMIFS($W$8:$W$79,$B$8:$B$79,"x",M$8:M$79,"Buy after CF")</f>
        <v>402.22</v>
      </c>
      <c r="N98" s="498">
        <f>N$7+SUMIFS($V$8:$V$79,$B$8:$B$79,"x",N$8:N$79,"Add-On")+SUMIFS($W$8:$W$79,$B$8:$B$79,"x",N$8:N$79,"Buy after CF")</f>
        <v>443.87000000000006</v>
      </c>
      <c r="O98" s="498">
        <f>O$7+SUMIFS($V$8:$V$79,$B$8:$B$79,"x",O$8:O$79,"Add-On")+SUMIFS($W$8:$W$79,$B$8:$B$79,"x",O$8:O$79,"Buy after CF")</f>
        <v>98.77</v>
      </c>
      <c r="P98" s="498">
        <f>P$7+SUMIFS($V$8:$V$79,$B$8:$B$79,"x",P$8:P$79,"Add-On")+SUMIFS($W$8:$W$79,$B$8:$B$79,"x",P$8:P$79,"Buy after CF")</f>
        <v>98.77</v>
      </c>
      <c r="Q98" s="498">
        <f>Q$7+SUMIFS($V$8:$V$79,$B$8:$B$79,"x",Q$8:Q$79,"Add-On")+SUMIFS($W$8:$W$79,$B$8:$B$79,"x",Q$8:Q$79,"Buy after CF")</f>
        <v>98.77</v>
      </c>
      <c r="R98" s="498">
        <f>R$7+SUMIFS($V$8:$V$79,$B$8:$B$79,"x",R$8:R$79,"Add-On")+SUMIFS($W$8:$W$79,$B$8:$B$79,"x",R$8:R$79,"Buy after CF")</f>
        <v>0</v>
      </c>
      <c r="S98" s="498">
        <f>S$7+SUMIFS($V$8:$V$79,$B$8:$B$79,"x",S$8:S$79,"Add-On")+SUMIFS($W$8:$W$79,$B$8:$B$79,"x",S$8:S$79,"Buy after CF")</f>
        <v>0</v>
      </c>
      <c r="T98" s="809">
        <f>T$7+SUMIFS($V$8:$V$79,$B$8:$B$79,"x",T$8:T$79,"Add-On")+SUMIFS($W$8:$W$79,$B$8:$B$79,"x",T$8:T$79,"Buy after CF")</f>
        <v>491.47</v>
      </c>
      <c r="U98" s="955"/>
      <c r="V98" s="956"/>
      <c r="W98" s="956"/>
      <c r="X98" s="957"/>
      <c r="Y98" s="100"/>
      <c r="Z98" s="499" t="s">
        <v>2</v>
      </c>
      <c r="AA98" s="848"/>
      <c r="AB98" s="404"/>
      <c r="AC98" s="100"/>
      <c r="AD98" s="100"/>
      <c r="AE98" s="100"/>
      <c r="AF98" s="100"/>
      <c r="AG98" s="100"/>
      <c r="AH98" s="496"/>
      <c r="AI98" s="496"/>
      <c r="AJ98" s="100"/>
      <c r="AK98" s="496"/>
      <c r="AL98" s="496"/>
      <c r="AM98" s="100"/>
      <c r="AN98" s="496"/>
      <c r="AO98" s="496"/>
      <c r="AP98" s="496"/>
      <c r="AQ98" s="496"/>
      <c r="AR98" s="496"/>
      <c r="AS98" s="496"/>
      <c r="AT98" s="496"/>
      <c r="AU98" s="496"/>
      <c r="AV98" s="496"/>
      <c r="AW98" s="496"/>
      <c r="AX98" s="496"/>
      <c r="AY98" s="496"/>
      <c r="AZ98" s="496"/>
    </row>
    <row r="99" spans="1:52" s="1" customFormat="1" ht="15.75" hidden="1" customHeight="1" outlineLevel="1" x14ac:dyDescent="0.25">
      <c r="A99" s="101"/>
      <c r="B99" s="968"/>
      <c r="C99" s="983" t="s">
        <v>833</v>
      </c>
      <c r="D99" s="984"/>
      <c r="E99" s="984"/>
      <c r="F99" s="984"/>
      <c r="G99" s="984"/>
      <c r="H99" s="985"/>
      <c r="I99" s="138">
        <f t="shared" ref="I99:T99" si="42">$I$97-I83</f>
        <v>0</v>
      </c>
      <c r="J99" s="138">
        <f t="shared" ref="J99" si="43">$I$97-J83</f>
        <v>6.0299999999999159</v>
      </c>
      <c r="K99" s="138">
        <f t="shared" si="42"/>
        <v>-41.570000000000107</v>
      </c>
      <c r="L99" s="138">
        <f t="shared" si="42"/>
        <v>-89.170000000000073</v>
      </c>
      <c r="M99" s="138">
        <f t="shared" si="42"/>
        <v>-130.82000000000005</v>
      </c>
      <c r="N99" s="138">
        <f t="shared" si="42"/>
        <v>-172.47000000000008</v>
      </c>
      <c r="O99" s="138"/>
      <c r="P99" s="138"/>
      <c r="Q99" s="138"/>
      <c r="R99" s="138"/>
      <c r="S99" s="138"/>
      <c r="T99" s="810">
        <f t="shared" si="42"/>
        <v>-220.07000000000005</v>
      </c>
      <c r="U99" s="955"/>
      <c r="V99" s="956"/>
      <c r="W99" s="956"/>
      <c r="X99" s="957"/>
      <c r="Y99" s="101"/>
      <c r="AA99" s="849"/>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row>
    <row r="100" spans="1:52" s="1" customFormat="1" ht="15.75" hidden="1" customHeight="1" outlineLevel="1" thickBot="1" x14ac:dyDescent="0.3">
      <c r="A100" s="101"/>
      <c r="B100" s="969"/>
      <c r="C100" s="986" t="s">
        <v>58</v>
      </c>
      <c r="D100" s="987"/>
      <c r="E100" s="987"/>
      <c r="F100" s="987"/>
      <c r="G100" s="987"/>
      <c r="H100" s="988"/>
      <c r="I100" s="137">
        <f t="shared" ref="I100:T100" si="44">IFERROR(I99/$I$97,)</f>
        <v>0</v>
      </c>
      <c r="J100" s="137">
        <f t="shared" ref="J100" si="45">IFERROR(J99/$I$97,)</f>
        <v>2.2218128224023272E-2</v>
      </c>
      <c r="K100" s="137">
        <f t="shared" si="44"/>
        <v>-0.15316875460574839</v>
      </c>
      <c r="L100" s="137">
        <f t="shared" si="44"/>
        <v>-0.3285556374355198</v>
      </c>
      <c r="M100" s="137">
        <f t="shared" si="44"/>
        <v>-0.48201915991156985</v>
      </c>
      <c r="N100" s="137">
        <f t="shared" ref="N100" si="46">IFERROR(N99/$I$97,)</f>
        <v>-0.63548268238762007</v>
      </c>
      <c r="O100" s="137"/>
      <c r="P100" s="137"/>
      <c r="Q100" s="137"/>
      <c r="R100" s="137"/>
      <c r="S100" s="137"/>
      <c r="T100" s="811">
        <f t="shared" si="44"/>
        <v>-0.81086956521739151</v>
      </c>
      <c r="U100" s="955"/>
      <c r="V100" s="956"/>
      <c r="W100" s="956"/>
      <c r="X100" s="957"/>
      <c r="Y100" s="101"/>
      <c r="AA100" s="849"/>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row>
    <row r="101" spans="1:52" s="2" customFormat="1" ht="16.5" hidden="1" customHeight="1" outlineLevel="1" thickBot="1" x14ac:dyDescent="0.35">
      <c r="A101" s="96"/>
      <c r="B101" s="124"/>
      <c r="C101" s="96"/>
      <c r="D101" s="113"/>
      <c r="E101" s="113"/>
      <c r="F101" s="113"/>
      <c r="G101" s="113"/>
      <c r="H101" s="96"/>
      <c r="I101" s="524"/>
      <c r="J101" s="524"/>
      <c r="K101" s="113"/>
      <c r="L101" s="113"/>
      <c r="M101" s="113"/>
      <c r="N101" s="113"/>
      <c r="O101" s="113"/>
      <c r="P101" s="113"/>
      <c r="Q101" s="113"/>
      <c r="R101" s="113"/>
      <c r="S101" s="113"/>
      <c r="T101" s="113"/>
      <c r="U101" s="955"/>
      <c r="V101" s="956"/>
      <c r="W101" s="956"/>
      <c r="X101" s="957"/>
      <c r="Y101" s="96"/>
      <c r="AA101" s="843"/>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row>
    <row r="102" spans="1:52" s="1" customFormat="1" ht="18" hidden="1" customHeight="1" outlineLevel="1" x14ac:dyDescent="0.25">
      <c r="A102" s="101"/>
      <c r="B102" s="970" t="s">
        <v>829</v>
      </c>
      <c r="C102" s="980" t="s">
        <v>834</v>
      </c>
      <c r="D102" s="981"/>
      <c r="E102" s="981"/>
      <c r="F102" s="981"/>
      <c r="G102" s="981"/>
      <c r="H102" s="982"/>
      <c r="I102" s="543">
        <f>SUMIFS($W$8:$W$79,$B$8:$B$79,"",I$8:I$79,"µ")</f>
        <v>0</v>
      </c>
      <c r="J102" s="543">
        <f>SUMIFS($W$8:$W$79,$B$8:$B$79,"",J$8:J$79,"µ")</f>
        <v>9.9499999999999993</v>
      </c>
      <c r="K102" s="543">
        <f>SUMIFS($W$8:$W$79,$B$8:$B$79,"",K$8:K$79,"µ")</f>
        <v>89.89</v>
      </c>
      <c r="L102" s="543">
        <f>SUMIFS($W$8:$W$79,$B$8:$B$79,"",L$8:L$79,"µ")</f>
        <v>149.85</v>
      </c>
      <c r="M102" s="543">
        <f>SUMIFS($W$8:$W$79,$B$8:$B$79,"",M$8:M$79,"µ")</f>
        <v>209.83999999999997</v>
      </c>
      <c r="N102" s="543">
        <f>SUMIFS($W$8:$W$79,$B$8:$B$79,"",N$8:N$79,"µ")</f>
        <v>254.59999999999994</v>
      </c>
      <c r="O102" s="543"/>
      <c r="P102" s="543"/>
      <c r="Q102" s="543"/>
      <c r="R102" s="543"/>
      <c r="S102" s="543"/>
      <c r="T102" s="812">
        <f>SUMIFS($W$8:$W$79,$B$8:$B$79,"",T$8:T$79,"µ")</f>
        <v>314.58999999999992</v>
      </c>
      <c r="U102" s="955"/>
      <c r="V102" s="956"/>
      <c r="W102" s="956"/>
      <c r="X102" s="957"/>
      <c r="Y102" s="101"/>
      <c r="AA102" s="849"/>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row>
    <row r="103" spans="1:52" s="1" customFormat="1" ht="15.75" hidden="1" customHeight="1" outlineLevel="1" thickBot="1" x14ac:dyDescent="0.3">
      <c r="A103" s="101"/>
      <c r="B103" s="971"/>
      <c r="C103" s="977" t="s">
        <v>835</v>
      </c>
      <c r="D103" s="978"/>
      <c r="E103" s="978"/>
      <c r="F103" s="978"/>
      <c r="G103" s="978"/>
      <c r="H103" s="979"/>
      <c r="I103" s="167">
        <f t="shared" ref="I103:L103" si="47">$I$97+I102</f>
        <v>271.39999999999998</v>
      </c>
      <c r="J103" s="167">
        <f t="shared" ref="J103" si="48">$I$97+J102</f>
        <v>281.34999999999997</v>
      </c>
      <c r="K103" s="167">
        <f t="shared" si="47"/>
        <v>361.28999999999996</v>
      </c>
      <c r="L103" s="167">
        <f t="shared" si="47"/>
        <v>421.25</v>
      </c>
      <c r="M103" s="167">
        <f t="shared" ref="M103" si="49">$I$97+M102</f>
        <v>481.23999999999995</v>
      </c>
      <c r="N103" s="167">
        <f t="shared" ref="N103" si="50">$I$97+N102</f>
        <v>525.99999999999989</v>
      </c>
      <c r="O103" s="167"/>
      <c r="P103" s="167"/>
      <c r="Q103" s="167"/>
      <c r="R103" s="167"/>
      <c r="S103" s="167"/>
      <c r="T103" s="813">
        <f>$I$97+T102</f>
        <v>585.9899999999999</v>
      </c>
      <c r="U103" s="955"/>
      <c r="V103" s="956"/>
      <c r="W103" s="956"/>
      <c r="X103" s="957"/>
      <c r="Y103" s="101"/>
      <c r="AA103" s="849"/>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row>
    <row r="104" spans="1:52" s="1" customFormat="1" ht="15" hidden="1" customHeight="1" outlineLevel="1" x14ac:dyDescent="0.25">
      <c r="A104" s="101"/>
      <c r="B104" s="970" t="s">
        <v>830</v>
      </c>
      <c r="C104" s="980" t="s">
        <v>836</v>
      </c>
      <c r="D104" s="981"/>
      <c r="E104" s="981"/>
      <c r="F104" s="981"/>
      <c r="G104" s="981"/>
      <c r="H104" s="982"/>
      <c r="I104" s="168">
        <f t="shared" ref="I104:T104" si="51">I103-I83</f>
        <v>0</v>
      </c>
      <c r="J104" s="168">
        <f t="shared" si="51"/>
        <v>15.979999999999905</v>
      </c>
      <c r="K104" s="168">
        <f t="shared" si="51"/>
        <v>48.319999999999879</v>
      </c>
      <c r="L104" s="168">
        <f t="shared" si="51"/>
        <v>60.67999999999995</v>
      </c>
      <c r="M104" s="168">
        <f t="shared" si="51"/>
        <v>79.019999999999925</v>
      </c>
      <c r="N104" s="168">
        <f t="shared" si="51"/>
        <v>82.129999999999825</v>
      </c>
      <c r="O104" s="168"/>
      <c r="P104" s="168"/>
      <c r="Q104" s="168"/>
      <c r="R104" s="168"/>
      <c r="S104" s="168"/>
      <c r="T104" s="814">
        <f t="shared" si="51"/>
        <v>94.519999999999868</v>
      </c>
      <c r="U104" s="955"/>
      <c r="V104" s="956"/>
      <c r="W104" s="956"/>
      <c r="X104" s="957"/>
      <c r="Y104" s="101"/>
      <c r="AA104" s="849"/>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row>
    <row r="105" spans="1:52" s="1" customFormat="1" ht="15.75" hidden="1" customHeight="1" outlineLevel="1" thickBot="1" x14ac:dyDescent="0.3">
      <c r="A105" s="101"/>
      <c r="B105" s="971"/>
      <c r="C105" s="977" t="s">
        <v>58</v>
      </c>
      <c r="D105" s="978"/>
      <c r="E105" s="978"/>
      <c r="F105" s="978"/>
      <c r="G105" s="978"/>
      <c r="H105" s="979"/>
      <c r="I105" s="169">
        <f>IFERROR(I104/I103,)</f>
        <v>0</v>
      </c>
      <c r="J105" s="169">
        <f t="shared" ref="J105" si="52">IFERROR(J104/J103,)</f>
        <v>5.6797583081570666E-2</v>
      </c>
      <c r="K105" s="169">
        <f t="shared" ref="K105:L105" si="53">IFERROR(K104/K103,)</f>
        <v>0.13374297655622874</v>
      </c>
      <c r="L105" s="169">
        <f t="shared" si="53"/>
        <v>0.144047477744807</v>
      </c>
      <c r="M105" s="169">
        <f t="shared" ref="M105" si="54">IFERROR(M104/M103,)</f>
        <v>0.16420081456238036</v>
      </c>
      <c r="N105" s="169">
        <f t="shared" ref="N105" si="55">IFERROR(N104/N103,)</f>
        <v>0.1561406844106461</v>
      </c>
      <c r="O105" s="169"/>
      <c r="P105" s="169"/>
      <c r="Q105" s="169"/>
      <c r="R105" s="169"/>
      <c r="S105" s="169"/>
      <c r="T105" s="815">
        <f t="shared" ref="T105" si="56">IFERROR(T104/T103,)</f>
        <v>0.16129968088192612</v>
      </c>
      <c r="U105" s="958"/>
      <c r="V105" s="959"/>
      <c r="W105" s="959"/>
      <c r="X105" s="960"/>
      <c r="Y105" s="101"/>
      <c r="AA105" s="849"/>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row>
    <row r="106" spans="1:52" s="2" customFormat="1" collapsed="1" x14ac:dyDescent="0.3">
      <c r="A106" s="96"/>
      <c r="B106" s="124"/>
      <c r="C106" s="96"/>
      <c r="D106" s="113"/>
      <c r="E106" s="113"/>
      <c r="F106" s="113"/>
      <c r="G106" s="113"/>
      <c r="H106" s="96"/>
      <c r="I106" s="524"/>
      <c r="J106" s="524"/>
      <c r="K106" s="113"/>
      <c r="L106" s="113"/>
      <c r="M106" s="113"/>
      <c r="N106" s="113"/>
      <c r="O106" s="113"/>
      <c r="P106" s="113"/>
      <c r="Q106" s="113"/>
      <c r="R106" s="113"/>
      <c r="S106" s="113"/>
      <c r="T106" s="113"/>
      <c r="U106" s="524"/>
      <c r="V106" s="113"/>
      <c r="W106" s="110"/>
      <c r="X106" s="96"/>
      <c r="Y106" s="96"/>
      <c r="AA106" s="843"/>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row>
    <row r="107" spans="1:52" s="2" customFormat="1" collapsed="1" x14ac:dyDescent="0.3">
      <c r="A107" s="102"/>
      <c r="B107" s="96"/>
      <c r="C107" s="96"/>
      <c r="D107" s="113"/>
      <c r="E107" s="113"/>
      <c r="F107" s="113"/>
      <c r="G107" s="113"/>
      <c r="H107" s="96"/>
      <c r="I107" s="524"/>
      <c r="J107" s="524"/>
      <c r="K107" s="113"/>
      <c r="L107" s="113"/>
      <c r="M107" s="113"/>
      <c r="N107" s="113"/>
      <c r="O107" s="113"/>
      <c r="P107" s="113"/>
      <c r="Q107" s="125"/>
      <c r="R107" s="122"/>
      <c r="S107" s="111"/>
      <c r="T107" s="113"/>
      <c r="U107" s="524"/>
      <c r="V107" s="113"/>
      <c r="W107" s="123"/>
      <c r="X107" s="96"/>
      <c r="Y107" s="96"/>
      <c r="AA107" s="843"/>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row>
    <row r="108" spans="1:52" s="2" customFormat="1" ht="19.5" hidden="1" customHeight="1" outlineLevel="1" thickBot="1" x14ac:dyDescent="0.35">
      <c r="A108" s="96"/>
      <c r="B108" s="127" t="s">
        <v>4</v>
      </c>
      <c r="C108" s="96"/>
      <c r="D108" s="113"/>
      <c r="E108" s="113"/>
      <c r="F108" s="113"/>
      <c r="G108" s="113"/>
      <c r="H108" s="96"/>
      <c r="I108" s="524"/>
      <c r="J108" s="524"/>
      <c r="K108" s="113"/>
      <c r="L108" s="113"/>
      <c r="M108" s="113"/>
      <c r="N108" s="113"/>
      <c r="O108" s="113"/>
      <c r="P108" s="113"/>
      <c r="Q108" s="113"/>
      <c r="R108" s="125"/>
      <c r="S108" s="113"/>
      <c r="T108" s="113"/>
      <c r="U108" s="121"/>
      <c r="V108" s="109"/>
      <c r="W108" s="96"/>
      <c r="X108" s="96"/>
      <c r="Y108" s="96"/>
      <c r="AA108" s="843"/>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row>
    <row r="109" spans="1:52" s="2" customFormat="1" ht="19.5" hidden="1" customHeight="1" outlineLevel="1" thickBot="1" x14ac:dyDescent="0.35">
      <c r="A109" s="96"/>
      <c r="B109" s="127"/>
      <c r="C109" s="96"/>
      <c r="D109" s="113"/>
      <c r="E109" s="113"/>
      <c r="F109" s="113"/>
      <c r="G109" s="113"/>
      <c r="H109" s="96"/>
      <c r="I109" s="524"/>
      <c r="J109" s="524"/>
      <c r="K109" s="113"/>
      <c r="L109" s="113"/>
      <c r="M109" s="113"/>
      <c r="N109" s="113"/>
      <c r="O109" s="113"/>
      <c r="P109" s="113"/>
      <c r="Q109" s="113"/>
      <c r="R109" s="125"/>
      <c r="S109" s="113"/>
      <c r="T109" s="113"/>
      <c r="U109" s="121"/>
      <c r="V109" s="109"/>
      <c r="W109" s="96"/>
      <c r="X109" s="96"/>
      <c r="Y109" s="96"/>
      <c r="AA109" s="843"/>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row>
    <row r="110" spans="1:52" s="2" customFormat="1" collapsed="1" x14ac:dyDescent="0.3">
      <c r="A110" s="96"/>
      <c r="B110" s="102"/>
      <c r="C110" s="96"/>
      <c r="D110" s="113"/>
      <c r="E110" s="113"/>
      <c r="F110" s="113"/>
      <c r="G110" s="113"/>
      <c r="H110" s="96"/>
      <c r="I110" s="524"/>
      <c r="J110" s="524"/>
      <c r="K110" s="113"/>
      <c r="L110" s="113"/>
      <c r="M110" s="113"/>
      <c r="N110" s="113"/>
      <c r="O110" s="113"/>
      <c r="P110" s="113"/>
      <c r="Q110" s="113"/>
      <c r="R110" s="125"/>
      <c r="S110" s="113"/>
      <c r="T110" s="113"/>
      <c r="U110" s="121"/>
      <c r="V110" s="109"/>
      <c r="W110" s="96"/>
      <c r="X110" s="96"/>
      <c r="Y110" s="96"/>
      <c r="AA110" s="843"/>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row>
    <row r="111" spans="1:52" s="2" customFormat="1" x14ac:dyDescent="0.3">
      <c r="A111" s="96"/>
      <c r="B111" s="102"/>
      <c r="C111" s="96"/>
      <c r="D111" s="113"/>
      <c r="E111" s="113"/>
      <c r="F111" s="113"/>
      <c r="G111" s="113"/>
      <c r="H111" s="96"/>
      <c r="I111" s="524"/>
      <c r="J111" s="524"/>
      <c r="K111" s="113"/>
      <c r="L111" s="113"/>
      <c r="M111" s="113"/>
      <c r="N111" s="113"/>
      <c r="O111" s="113"/>
      <c r="P111" s="113"/>
      <c r="Q111" s="113"/>
      <c r="R111" s="125"/>
      <c r="S111" s="113"/>
      <c r="T111" s="113"/>
      <c r="U111" s="121"/>
      <c r="V111" s="109"/>
      <c r="W111" s="96"/>
      <c r="X111" s="96"/>
      <c r="Y111" s="96"/>
      <c r="AA111" s="843"/>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row>
    <row r="112" spans="1:52" s="2" customFormat="1" x14ac:dyDescent="0.3">
      <c r="A112" s="96"/>
      <c r="B112" s="102"/>
      <c r="C112" s="96"/>
      <c r="D112" s="113"/>
      <c r="E112" s="113"/>
      <c r="F112" s="113"/>
      <c r="G112" s="113"/>
      <c r="H112" s="96"/>
      <c r="I112" s="524"/>
      <c r="J112" s="524"/>
      <c r="K112" s="113"/>
      <c r="L112" s="113"/>
      <c r="M112" s="113"/>
      <c r="N112" s="113"/>
      <c r="O112" s="113"/>
      <c r="P112" s="113"/>
      <c r="Q112" s="113"/>
      <c r="R112" s="125"/>
      <c r="S112" s="113"/>
      <c r="T112" s="113"/>
      <c r="U112" s="121"/>
      <c r="V112" s="109"/>
      <c r="W112" s="96"/>
      <c r="X112" s="96"/>
      <c r="Y112" s="96"/>
      <c r="AA112" s="843"/>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row>
    <row r="113" spans="1:52" s="39" customFormat="1" ht="18" hidden="1" outlineLevel="1" x14ac:dyDescent="0.3">
      <c r="A113" s="97"/>
      <c r="B113" s="454"/>
      <c r="C113" s="455" t="s">
        <v>377</v>
      </c>
      <c r="D113" s="166"/>
      <c r="E113" s="166"/>
      <c r="F113" s="166"/>
      <c r="G113" s="166"/>
      <c r="H113" s="149"/>
      <c r="I113" s="534"/>
      <c r="J113" s="534"/>
      <c r="K113" s="285"/>
      <c r="L113" s="285"/>
      <c r="M113" s="285"/>
      <c r="N113" s="285"/>
      <c r="O113" s="285"/>
      <c r="P113" s="285"/>
      <c r="Q113" s="285"/>
      <c r="R113" s="285"/>
      <c r="S113" s="285"/>
      <c r="T113" s="285"/>
      <c r="U113" s="525"/>
      <c r="V113" s="280"/>
      <c r="W113" s="150"/>
      <c r="X113" s="151"/>
      <c r="Y113" s="100"/>
      <c r="Z113" s="458" t="s">
        <v>2</v>
      </c>
      <c r="AA113" s="848" t="e">
        <f t="shared" ref="AA113:AA128" si="57">1-U113/V113</f>
        <v>#DIV/0!</v>
      </c>
      <c r="AB113" s="405" t="e">
        <f t="shared" ref="AB113:AB126" si="58">1-V113/W113</f>
        <v>#DIV/0!</v>
      </c>
      <c r="AC113" s="100"/>
      <c r="AD113" s="100"/>
      <c r="AE113" s="100"/>
      <c r="AF113" s="100"/>
      <c r="AG113" s="100"/>
      <c r="AH113" s="101"/>
      <c r="AI113" s="101"/>
      <c r="AJ113" s="100"/>
      <c r="AK113" s="101"/>
      <c r="AL113" s="101"/>
      <c r="AM113" s="100"/>
      <c r="AN113" s="97"/>
      <c r="AO113" s="97"/>
      <c r="AP113" s="97"/>
      <c r="AQ113" s="97"/>
      <c r="AR113" s="97"/>
      <c r="AS113" s="97"/>
      <c r="AT113" s="97"/>
      <c r="AU113" s="97"/>
      <c r="AV113" s="97"/>
      <c r="AW113" s="97"/>
      <c r="AX113" s="97"/>
      <c r="AY113" s="97"/>
      <c r="AZ113" s="97"/>
    </row>
    <row r="114" spans="1:52" s="39" customFormat="1" ht="18" hidden="1" outlineLevel="1" x14ac:dyDescent="0.3">
      <c r="A114" s="97"/>
      <c r="B114" s="147"/>
      <c r="C114" s="148" t="s">
        <v>283</v>
      </c>
      <c r="D114" s="166"/>
      <c r="E114" s="166"/>
      <c r="F114" s="166"/>
      <c r="G114" s="166"/>
      <c r="H114" s="149" t="s">
        <v>282</v>
      </c>
      <c r="I114" s="534" t="s">
        <v>750</v>
      </c>
      <c r="J114" s="534" t="s">
        <v>593</v>
      </c>
      <c r="K114" s="285" t="s">
        <v>593</v>
      </c>
      <c r="L114" s="285" t="s">
        <v>593</v>
      </c>
      <c r="M114" s="285" t="s">
        <v>593</v>
      </c>
      <c r="N114" s="285" t="s">
        <v>593</v>
      </c>
      <c r="O114" s="285" t="s">
        <v>593</v>
      </c>
      <c r="P114" s="285" t="s">
        <v>593</v>
      </c>
      <c r="Q114" s="285" t="s">
        <v>593</v>
      </c>
      <c r="R114" s="285" t="s">
        <v>593</v>
      </c>
      <c r="S114" s="285" t="s">
        <v>593</v>
      </c>
      <c r="T114" s="285" t="s">
        <v>593</v>
      </c>
      <c r="U114" s="525">
        <v>49.95</v>
      </c>
      <c r="V114" s="280">
        <v>49.95</v>
      </c>
      <c r="W114" s="150">
        <v>49.95</v>
      </c>
      <c r="X114" s="151" t="s">
        <v>106</v>
      </c>
      <c r="Y114" s="100"/>
      <c r="Z114" s="458" t="s">
        <v>2</v>
      </c>
      <c r="AA114" s="848">
        <f t="shared" si="57"/>
        <v>0</v>
      </c>
      <c r="AB114" s="405">
        <f t="shared" si="58"/>
        <v>0</v>
      </c>
      <c r="AC114" s="100"/>
      <c r="AD114" s="100"/>
      <c r="AE114" s="100"/>
      <c r="AF114" s="100"/>
      <c r="AG114" s="100"/>
      <c r="AH114" s="101"/>
      <c r="AI114" s="101"/>
      <c r="AJ114" s="100"/>
      <c r="AK114" s="101"/>
      <c r="AL114" s="101"/>
      <c r="AM114" s="100"/>
      <c r="AN114" s="97"/>
      <c r="AO114" s="97"/>
      <c r="AP114" s="97"/>
      <c r="AQ114" s="97"/>
      <c r="AR114" s="97"/>
      <c r="AS114" s="97"/>
      <c r="AT114" s="97"/>
      <c r="AU114" s="97"/>
      <c r="AV114" s="97"/>
      <c r="AW114" s="97"/>
      <c r="AX114" s="97"/>
      <c r="AY114" s="97"/>
      <c r="AZ114" s="97"/>
    </row>
    <row r="115" spans="1:52" s="39" customFormat="1" ht="18" hidden="1" outlineLevel="1" x14ac:dyDescent="0.3">
      <c r="A115" s="97"/>
      <c r="B115" s="147"/>
      <c r="C115" s="453" t="s">
        <v>317</v>
      </c>
      <c r="D115" s="162"/>
      <c r="E115" s="162"/>
      <c r="F115" s="162"/>
      <c r="G115" s="162"/>
      <c r="H115" s="149" t="s">
        <v>318</v>
      </c>
      <c r="I115" s="534" t="s">
        <v>750</v>
      </c>
      <c r="J115" s="534" t="s">
        <v>593</v>
      </c>
      <c r="K115" s="285" t="s">
        <v>593</v>
      </c>
      <c r="L115" s="285" t="s">
        <v>593</v>
      </c>
      <c r="M115" s="285" t="s">
        <v>593</v>
      </c>
      <c r="N115" s="285" t="s">
        <v>593</v>
      </c>
      <c r="O115" s="285" t="s">
        <v>593</v>
      </c>
      <c r="P115" s="285" t="s">
        <v>593</v>
      </c>
      <c r="Q115" s="285" t="s">
        <v>593</v>
      </c>
      <c r="R115" s="285" t="s">
        <v>593</v>
      </c>
      <c r="S115" s="285" t="s">
        <v>593</v>
      </c>
      <c r="T115" s="285" t="s">
        <v>593</v>
      </c>
      <c r="U115" s="525">
        <v>5</v>
      </c>
      <c r="V115" s="280">
        <v>5</v>
      </c>
      <c r="W115" s="150">
        <v>9.9499999999999993</v>
      </c>
      <c r="X115" s="151" t="s">
        <v>360</v>
      </c>
      <c r="Y115" s="100"/>
      <c r="Z115" s="458" t="s">
        <v>2</v>
      </c>
      <c r="AA115" s="848">
        <f t="shared" si="57"/>
        <v>0</v>
      </c>
      <c r="AB115" s="405">
        <f t="shared" si="58"/>
        <v>0.49748743718592958</v>
      </c>
      <c r="AC115" s="100"/>
      <c r="AD115" s="100"/>
      <c r="AE115" s="100"/>
      <c r="AF115" s="100"/>
      <c r="AG115" s="100"/>
      <c r="AH115" s="101"/>
      <c r="AI115" s="101"/>
      <c r="AJ115" s="100"/>
      <c r="AK115" s="101"/>
      <c r="AL115" s="101"/>
      <c r="AM115" s="100"/>
      <c r="AN115" s="97"/>
      <c r="AO115" s="97"/>
      <c r="AP115" s="97"/>
      <c r="AQ115" s="97"/>
      <c r="AR115" s="97"/>
      <c r="AS115" s="97"/>
      <c r="AT115" s="97"/>
      <c r="AU115" s="97"/>
      <c r="AV115" s="97"/>
      <c r="AW115" s="97"/>
      <c r="AX115" s="97"/>
      <c r="AY115" s="97"/>
      <c r="AZ115" s="97"/>
    </row>
    <row r="116" spans="1:52" s="39" customFormat="1" ht="18" hidden="1" outlineLevel="1" x14ac:dyDescent="0.3">
      <c r="A116" s="97"/>
      <c r="B116" s="147"/>
      <c r="C116" s="453" t="s">
        <v>319</v>
      </c>
      <c r="D116" s="162"/>
      <c r="E116" s="162"/>
      <c r="F116" s="162"/>
      <c r="G116" s="162"/>
      <c r="H116" s="149" t="s">
        <v>318</v>
      </c>
      <c r="I116" s="534" t="s">
        <v>750</v>
      </c>
      <c r="J116" s="534" t="s">
        <v>593</v>
      </c>
      <c r="K116" s="285" t="s">
        <v>593</v>
      </c>
      <c r="L116" s="285" t="s">
        <v>593</v>
      </c>
      <c r="M116" s="285" t="s">
        <v>593</v>
      </c>
      <c r="N116" s="285" t="s">
        <v>593</v>
      </c>
      <c r="O116" s="285" t="s">
        <v>593</v>
      </c>
      <c r="P116" s="285" t="s">
        <v>593</v>
      </c>
      <c r="Q116" s="285" t="s">
        <v>593</v>
      </c>
      <c r="R116" s="285" t="s">
        <v>593</v>
      </c>
      <c r="S116" s="285" t="s">
        <v>593</v>
      </c>
      <c r="T116" s="285" t="s">
        <v>593</v>
      </c>
      <c r="U116" s="525">
        <v>5</v>
      </c>
      <c r="V116" s="280">
        <v>5</v>
      </c>
      <c r="W116" s="150">
        <v>9.9499999999999993</v>
      </c>
      <c r="X116" s="151" t="s">
        <v>360</v>
      </c>
      <c r="Y116" s="100"/>
      <c r="Z116" s="458" t="s">
        <v>2</v>
      </c>
      <c r="AA116" s="848">
        <f t="shared" si="57"/>
        <v>0</v>
      </c>
      <c r="AB116" s="405">
        <f t="shared" si="58"/>
        <v>0.49748743718592958</v>
      </c>
      <c r="AC116" s="100"/>
      <c r="AD116" s="100"/>
      <c r="AE116" s="100"/>
      <c r="AF116" s="100"/>
      <c r="AG116" s="100"/>
      <c r="AH116" s="101"/>
      <c r="AI116" s="101"/>
      <c r="AJ116" s="100"/>
      <c r="AK116" s="101"/>
      <c r="AL116" s="101"/>
      <c r="AM116" s="100"/>
      <c r="AN116" s="97"/>
      <c r="AO116" s="97"/>
      <c r="AP116" s="97"/>
      <c r="AQ116" s="97"/>
      <c r="AR116" s="97"/>
      <c r="AS116" s="97"/>
      <c r="AT116" s="97"/>
      <c r="AU116" s="97"/>
      <c r="AV116" s="97"/>
      <c r="AW116" s="97"/>
      <c r="AX116" s="97"/>
      <c r="AY116" s="97"/>
      <c r="AZ116" s="97"/>
    </row>
    <row r="117" spans="1:52" s="39" customFormat="1" ht="18" hidden="1" outlineLevel="1" x14ac:dyDescent="0.3">
      <c r="A117" s="97"/>
      <c r="B117" s="454"/>
      <c r="C117" s="455" t="s">
        <v>378</v>
      </c>
      <c r="D117" s="166"/>
      <c r="E117" s="166"/>
      <c r="F117" s="166"/>
      <c r="G117" s="166"/>
      <c r="H117" s="149"/>
      <c r="I117" s="534"/>
      <c r="J117" s="534"/>
      <c r="K117" s="285"/>
      <c r="L117" s="285"/>
      <c r="M117" s="285"/>
      <c r="N117" s="285"/>
      <c r="O117" s="285"/>
      <c r="P117" s="285"/>
      <c r="Q117" s="285"/>
      <c r="R117" s="285"/>
      <c r="S117" s="285"/>
      <c r="T117" s="285"/>
      <c r="U117" s="525"/>
      <c r="V117" s="280"/>
      <c r="W117" s="150"/>
      <c r="X117" s="151"/>
      <c r="Y117" s="100"/>
      <c r="Z117" s="458" t="s">
        <v>2</v>
      </c>
      <c r="AA117" s="848" t="e">
        <f t="shared" si="57"/>
        <v>#DIV/0!</v>
      </c>
      <c r="AB117" s="405" t="e">
        <f t="shared" si="58"/>
        <v>#DIV/0!</v>
      </c>
      <c r="AC117" s="100"/>
      <c r="AD117" s="100"/>
      <c r="AE117" s="100"/>
      <c r="AF117" s="100"/>
      <c r="AG117" s="100"/>
      <c r="AH117" s="101"/>
      <c r="AI117" s="101"/>
      <c r="AJ117" s="100"/>
      <c r="AK117" s="101"/>
      <c r="AL117" s="101"/>
      <c r="AM117" s="100"/>
      <c r="AN117" s="97"/>
      <c r="AO117" s="97"/>
      <c r="AP117" s="97"/>
      <c r="AQ117" s="97"/>
      <c r="AR117" s="97"/>
      <c r="AS117" s="97"/>
      <c r="AT117" s="97"/>
      <c r="AU117" s="97"/>
      <c r="AV117" s="97"/>
      <c r="AW117" s="97"/>
      <c r="AX117" s="97"/>
      <c r="AY117" s="97"/>
      <c r="AZ117" s="97"/>
    </row>
    <row r="118" spans="1:52" s="39" customFormat="1" ht="18" hidden="1" outlineLevel="1" x14ac:dyDescent="0.3">
      <c r="A118" s="97"/>
      <c r="B118" s="147"/>
      <c r="C118" s="148" t="s">
        <v>269</v>
      </c>
      <c r="D118" s="166"/>
      <c r="E118" s="166"/>
      <c r="F118" s="166"/>
      <c r="G118" s="166"/>
      <c r="H118" s="149" t="s">
        <v>258</v>
      </c>
      <c r="I118" s="534" t="s">
        <v>750</v>
      </c>
      <c r="J118" s="534" t="s">
        <v>593</v>
      </c>
      <c r="K118" s="285" t="s">
        <v>593</v>
      </c>
      <c r="L118" s="285" t="s">
        <v>593</v>
      </c>
      <c r="M118" s="285" t="s">
        <v>593</v>
      </c>
      <c r="N118" s="285" t="s">
        <v>593</v>
      </c>
      <c r="O118" s="285" t="s">
        <v>593</v>
      </c>
      <c r="P118" s="285" t="s">
        <v>593</v>
      </c>
      <c r="Q118" s="285" t="s">
        <v>593</v>
      </c>
      <c r="R118" s="285" t="s">
        <v>593</v>
      </c>
      <c r="S118" s="285" t="s">
        <v>593</v>
      </c>
      <c r="T118" s="285" t="s">
        <v>593</v>
      </c>
      <c r="U118" s="525">
        <v>14.95</v>
      </c>
      <c r="V118" s="280">
        <v>14.95</v>
      </c>
      <c r="W118" s="150">
        <v>14.95</v>
      </c>
      <c r="X118" s="151" t="s">
        <v>106</v>
      </c>
      <c r="Y118" s="100"/>
      <c r="Z118" s="458" t="s">
        <v>2</v>
      </c>
      <c r="AA118" s="848">
        <f t="shared" si="57"/>
        <v>0</v>
      </c>
      <c r="AB118" s="405">
        <f t="shared" si="58"/>
        <v>0</v>
      </c>
      <c r="AC118" s="100"/>
      <c r="AD118" s="100"/>
      <c r="AE118" s="100"/>
      <c r="AF118" s="100"/>
      <c r="AG118" s="100"/>
      <c r="AH118" s="101"/>
      <c r="AI118" s="101"/>
      <c r="AJ118" s="100"/>
      <c r="AK118" s="101"/>
      <c r="AL118" s="101"/>
      <c r="AM118" s="100"/>
      <c r="AN118" s="97"/>
      <c r="AO118" s="97"/>
      <c r="AP118" s="97"/>
      <c r="AQ118" s="97"/>
      <c r="AR118" s="97"/>
      <c r="AS118" s="97"/>
      <c r="AT118" s="97"/>
      <c r="AU118" s="97"/>
      <c r="AV118" s="97"/>
      <c r="AW118" s="97"/>
      <c r="AX118" s="97"/>
      <c r="AY118" s="97"/>
      <c r="AZ118" s="97"/>
    </row>
    <row r="119" spans="1:52" s="39" customFormat="1" ht="18" hidden="1" outlineLevel="1" x14ac:dyDescent="0.3">
      <c r="A119" s="97"/>
      <c r="B119" s="147"/>
      <c r="C119" s="148" t="s">
        <v>276</v>
      </c>
      <c r="D119" s="166"/>
      <c r="E119" s="166"/>
      <c r="F119" s="166"/>
      <c r="G119" s="166"/>
      <c r="H119" s="149" t="s">
        <v>258</v>
      </c>
      <c r="I119" s="534" t="s">
        <v>750</v>
      </c>
      <c r="J119" s="534" t="s">
        <v>593</v>
      </c>
      <c r="K119" s="285" t="s">
        <v>593</v>
      </c>
      <c r="L119" s="285" t="s">
        <v>593</v>
      </c>
      <c r="M119" s="285" t="s">
        <v>593</v>
      </c>
      <c r="N119" s="285" t="s">
        <v>593</v>
      </c>
      <c r="O119" s="285" t="s">
        <v>593</v>
      </c>
      <c r="P119" s="285" t="s">
        <v>593</v>
      </c>
      <c r="Q119" s="285" t="s">
        <v>593</v>
      </c>
      <c r="R119" s="285" t="s">
        <v>593</v>
      </c>
      <c r="S119" s="285" t="s">
        <v>593</v>
      </c>
      <c r="T119" s="285" t="s">
        <v>593</v>
      </c>
      <c r="U119" s="525">
        <v>17.95</v>
      </c>
      <c r="V119" s="280">
        <v>17.95</v>
      </c>
      <c r="W119" s="150">
        <v>17.95</v>
      </c>
      <c r="X119" s="151" t="s">
        <v>106</v>
      </c>
      <c r="Y119" s="100"/>
      <c r="Z119" s="458" t="s">
        <v>2</v>
      </c>
      <c r="AA119" s="848">
        <f t="shared" si="57"/>
        <v>0</v>
      </c>
      <c r="AB119" s="405">
        <f t="shared" si="58"/>
        <v>0</v>
      </c>
      <c r="AC119" s="100"/>
      <c r="AD119" s="100"/>
      <c r="AE119" s="100"/>
      <c r="AF119" s="100"/>
      <c r="AG119" s="100"/>
      <c r="AH119" s="101"/>
      <c r="AI119" s="101"/>
      <c r="AJ119" s="100"/>
      <c r="AK119" s="101"/>
      <c r="AL119" s="101"/>
      <c r="AM119" s="100"/>
      <c r="AN119" s="97"/>
      <c r="AO119" s="97"/>
      <c r="AP119" s="97"/>
      <c r="AQ119" s="97"/>
      <c r="AR119" s="97"/>
      <c r="AS119" s="97"/>
      <c r="AT119" s="97"/>
      <c r="AU119" s="97"/>
      <c r="AV119" s="97"/>
      <c r="AW119" s="97"/>
      <c r="AX119" s="97"/>
      <c r="AY119" s="97"/>
      <c r="AZ119" s="97"/>
    </row>
    <row r="120" spans="1:52" s="39" customFormat="1" ht="18" hidden="1" outlineLevel="1" x14ac:dyDescent="0.3">
      <c r="A120" s="97"/>
      <c r="B120" s="147"/>
      <c r="C120" s="148" t="s">
        <v>277</v>
      </c>
      <c r="D120" s="166"/>
      <c r="E120" s="166"/>
      <c r="F120" s="166"/>
      <c r="G120" s="166"/>
      <c r="H120" s="149" t="s">
        <v>389</v>
      </c>
      <c r="I120" s="534" t="s">
        <v>750</v>
      </c>
      <c r="J120" s="534" t="s">
        <v>593</v>
      </c>
      <c r="K120" s="285" t="s">
        <v>593</v>
      </c>
      <c r="L120" s="285" t="s">
        <v>593</v>
      </c>
      <c r="M120" s="285" t="s">
        <v>593</v>
      </c>
      <c r="N120" s="285" t="s">
        <v>593</v>
      </c>
      <c r="O120" s="285" t="s">
        <v>593</v>
      </c>
      <c r="P120" s="285" t="s">
        <v>593</v>
      </c>
      <c r="Q120" s="285" t="s">
        <v>593</v>
      </c>
      <c r="R120" s="285" t="s">
        <v>593</v>
      </c>
      <c r="S120" s="285" t="s">
        <v>593</v>
      </c>
      <c r="T120" s="285" t="s">
        <v>593</v>
      </c>
      <c r="U120" s="525">
        <v>39.950000000000003</v>
      </c>
      <c r="V120" s="280">
        <v>39.950000000000003</v>
      </c>
      <c r="W120" s="150">
        <v>39.950000000000003</v>
      </c>
      <c r="X120" s="151" t="s">
        <v>106</v>
      </c>
      <c r="Y120" s="100"/>
      <c r="Z120" s="458" t="s">
        <v>2</v>
      </c>
      <c r="AA120" s="848">
        <f t="shared" si="57"/>
        <v>0</v>
      </c>
      <c r="AB120" s="405">
        <f t="shared" si="58"/>
        <v>0</v>
      </c>
      <c r="AC120" s="100"/>
      <c r="AD120" s="100"/>
      <c r="AE120" s="100"/>
      <c r="AF120" s="100"/>
      <c r="AG120" s="100"/>
      <c r="AH120" s="101"/>
      <c r="AI120" s="101"/>
      <c r="AJ120" s="100"/>
      <c r="AK120" s="101"/>
      <c r="AL120" s="101"/>
      <c r="AM120" s="100"/>
      <c r="AN120" s="97"/>
      <c r="AO120" s="97"/>
      <c r="AP120" s="97"/>
      <c r="AQ120" s="97"/>
      <c r="AR120" s="97"/>
      <c r="AS120" s="97"/>
      <c r="AT120" s="97"/>
      <c r="AU120" s="97"/>
      <c r="AV120" s="97"/>
      <c r="AW120" s="97"/>
      <c r="AX120" s="97"/>
      <c r="AY120" s="97"/>
      <c r="AZ120" s="97"/>
    </row>
    <row r="121" spans="1:52" s="39" customFormat="1" ht="18" hidden="1" outlineLevel="1" x14ac:dyDescent="0.3">
      <c r="A121" s="97"/>
      <c r="B121" s="147"/>
      <c r="C121" s="148" t="s">
        <v>278</v>
      </c>
      <c r="D121" s="162"/>
      <c r="E121" s="162"/>
      <c r="F121" s="162"/>
      <c r="G121" s="162"/>
      <c r="H121" s="149" t="s">
        <v>389</v>
      </c>
      <c r="I121" s="534" t="s">
        <v>750</v>
      </c>
      <c r="J121" s="534" t="s">
        <v>593</v>
      </c>
      <c r="K121" s="285" t="s">
        <v>593</v>
      </c>
      <c r="L121" s="285" t="s">
        <v>593</v>
      </c>
      <c r="M121" s="285" t="s">
        <v>593</v>
      </c>
      <c r="N121" s="285" t="s">
        <v>593</v>
      </c>
      <c r="O121" s="285" t="s">
        <v>593</v>
      </c>
      <c r="P121" s="285" t="s">
        <v>593</v>
      </c>
      <c r="Q121" s="285" t="s">
        <v>593</v>
      </c>
      <c r="R121" s="285" t="s">
        <v>593</v>
      </c>
      <c r="S121" s="285" t="s">
        <v>593</v>
      </c>
      <c r="T121" s="285" t="s">
        <v>593</v>
      </c>
      <c r="U121" s="525">
        <v>39.950000000000003</v>
      </c>
      <c r="V121" s="280">
        <v>39.950000000000003</v>
      </c>
      <c r="W121" s="150">
        <v>39.950000000000003</v>
      </c>
      <c r="X121" s="151" t="s">
        <v>106</v>
      </c>
      <c r="Y121" s="100"/>
      <c r="Z121" s="458" t="s">
        <v>2</v>
      </c>
      <c r="AA121" s="848">
        <f t="shared" si="57"/>
        <v>0</v>
      </c>
      <c r="AB121" s="405">
        <f t="shared" si="58"/>
        <v>0</v>
      </c>
      <c r="AC121" s="100"/>
      <c r="AD121" s="100"/>
      <c r="AE121" s="100"/>
      <c r="AF121" s="100"/>
      <c r="AG121" s="100"/>
      <c r="AH121" s="101"/>
      <c r="AI121" s="101"/>
      <c r="AJ121" s="100"/>
      <c r="AK121" s="101"/>
      <c r="AL121" s="101"/>
      <c r="AM121" s="100"/>
      <c r="AN121" s="97"/>
      <c r="AO121" s="97"/>
      <c r="AP121" s="97"/>
      <c r="AQ121" s="97"/>
      <c r="AR121" s="97"/>
      <c r="AS121" s="97"/>
      <c r="AT121" s="97"/>
      <c r="AU121" s="97"/>
      <c r="AV121" s="97"/>
      <c r="AW121" s="97"/>
      <c r="AX121" s="97"/>
      <c r="AY121" s="97"/>
      <c r="AZ121" s="97"/>
    </row>
    <row r="122" spans="1:52" s="39" customFormat="1" ht="18" hidden="1" outlineLevel="1" x14ac:dyDescent="0.3">
      <c r="A122" s="97"/>
      <c r="B122" s="147"/>
      <c r="C122" s="148" t="s">
        <v>279</v>
      </c>
      <c r="D122" s="166"/>
      <c r="E122" s="166"/>
      <c r="F122" s="166"/>
      <c r="G122" s="166"/>
      <c r="H122" s="149" t="s">
        <v>389</v>
      </c>
      <c r="I122" s="534" t="s">
        <v>750</v>
      </c>
      <c r="J122" s="534" t="s">
        <v>593</v>
      </c>
      <c r="K122" s="285" t="s">
        <v>593</v>
      </c>
      <c r="L122" s="285" t="s">
        <v>593</v>
      </c>
      <c r="M122" s="285" t="s">
        <v>593</v>
      </c>
      <c r="N122" s="285" t="s">
        <v>593</v>
      </c>
      <c r="O122" s="285" t="s">
        <v>593</v>
      </c>
      <c r="P122" s="285" t="s">
        <v>593</v>
      </c>
      <c r="Q122" s="285" t="s">
        <v>593</v>
      </c>
      <c r="R122" s="285" t="s">
        <v>593</v>
      </c>
      <c r="S122" s="285" t="s">
        <v>593</v>
      </c>
      <c r="T122" s="285" t="s">
        <v>593</v>
      </c>
      <c r="U122" s="525">
        <v>44.95</v>
      </c>
      <c r="V122" s="280">
        <v>44.95</v>
      </c>
      <c r="W122" s="150">
        <v>44.95</v>
      </c>
      <c r="X122" s="151" t="s">
        <v>106</v>
      </c>
      <c r="Y122" s="100"/>
      <c r="Z122" s="458" t="s">
        <v>2</v>
      </c>
      <c r="AA122" s="848">
        <f t="shared" si="57"/>
        <v>0</v>
      </c>
      <c r="AB122" s="405">
        <f t="shared" si="58"/>
        <v>0</v>
      </c>
      <c r="AC122" s="100"/>
      <c r="AD122" s="100"/>
      <c r="AE122" s="100"/>
      <c r="AF122" s="100"/>
      <c r="AG122" s="100"/>
      <c r="AH122" s="101"/>
      <c r="AI122" s="101"/>
      <c r="AJ122" s="100"/>
      <c r="AK122" s="101"/>
      <c r="AL122" s="101"/>
      <c r="AM122" s="100"/>
      <c r="AN122" s="97"/>
      <c r="AO122" s="97"/>
      <c r="AP122" s="97"/>
      <c r="AQ122" s="97"/>
      <c r="AR122" s="97"/>
      <c r="AS122" s="97"/>
      <c r="AT122" s="97"/>
      <c r="AU122" s="97"/>
      <c r="AV122" s="97"/>
      <c r="AW122" s="97"/>
      <c r="AX122" s="97"/>
      <c r="AY122" s="97"/>
      <c r="AZ122" s="97"/>
    </row>
    <row r="123" spans="1:52" s="39" customFormat="1" ht="18" hidden="1" outlineLevel="1" x14ac:dyDescent="0.3">
      <c r="A123" s="97"/>
      <c r="B123" s="454"/>
      <c r="C123" s="455" t="s">
        <v>379</v>
      </c>
      <c r="D123" s="166"/>
      <c r="E123" s="166"/>
      <c r="F123" s="166"/>
      <c r="G123" s="166"/>
      <c r="H123" s="149"/>
      <c r="I123" s="534"/>
      <c r="J123" s="534"/>
      <c r="K123" s="285"/>
      <c r="L123" s="285"/>
      <c r="M123" s="285"/>
      <c r="N123" s="285"/>
      <c r="O123" s="285"/>
      <c r="P123" s="285"/>
      <c r="Q123" s="285"/>
      <c r="R123" s="285"/>
      <c r="S123" s="285"/>
      <c r="T123" s="285"/>
      <c r="U123" s="525"/>
      <c r="V123" s="280"/>
      <c r="W123" s="150"/>
      <c r="X123" s="151"/>
      <c r="Y123" s="100"/>
      <c r="Z123" s="458" t="s">
        <v>2</v>
      </c>
      <c r="AA123" s="848" t="e">
        <f t="shared" si="57"/>
        <v>#DIV/0!</v>
      </c>
      <c r="AB123" s="405" t="e">
        <f t="shared" si="58"/>
        <v>#DIV/0!</v>
      </c>
      <c r="AC123" s="100"/>
      <c r="AD123" s="100"/>
      <c r="AE123" s="100"/>
      <c r="AF123" s="100"/>
      <c r="AG123" s="100"/>
      <c r="AH123" s="101"/>
      <c r="AI123" s="101"/>
      <c r="AJ123" s="100"/>
      <c r="AK123" s="101"/>
      <c r="AL123" s="101"/>
      <c r="AM123" s="100"/>
      <c r="AN123" s="97"/>
      <c r="AO123" s="97"/>
      <c r="AP123" s="97"/>
      <c r="AQ123" s="97"/>
      <c r="AR123" s="97"/>
      <c r="AS123" s="97"/>
      <c r="AT123" s="97"/>
      <c r="AU123" s="97"/>
      <c r="AV123" s="97"/>
      <c r="AW123" s="97"/>
      <c r="AX123" s="97"/>
      <c r="AY123" s="97"/>
      <c r="AZ123" s="97"/>
    </row>
    <row r="124" spans="1:52" s="39" customFormat="1" ht="18" hidden="1" outlineLevel="1" x14ac:dyDescent="0.3">
      <c r="A124" s="97"/>
      <c r="B124" s="147"/>
      <c r="C124" s="148" t="s">
        <v>280</v>
      </c>
      <c r="D124" s="166"/>
      <c r="E124" s="166"/>
      <c r="F124" s="166"/>
      <c r="G124" s="166"/>
      <c r="H124" s="149" t="s">
        <v>282</v>
      </c>
      <c r="I124" s="534" t="s">
        <v>750</v>
      </c>
      <c r="J124" s="534" t="s">
        <v>593</v>
      </c>
      <c r="K124" s="285" t="s">
        <v>593</v>
      </c>
      <c r="L124" s="285" t="s">
        <v>593</v>
      </c>
      <c r="M124" s="285" t="s">
        <v>593</v>
      </c>
      <c r="N124" s="285" t="s">
        <v>593</v>
      </c>
      <c r="O124" s="285" t="s">
        <v>593</v>
      </c>
      <c r="P124" s="285" t="s">
        <v>593</v>
      </c>
      <c r="Q124" s="285" t="s">
        <v>593</v>
      </c>
      <c r="R124" s="285" t="s">
        <v>593</v>
      </c>
      <c r="S124" s="285" t="s">
        <v>593</v>
      </c>
      <c r="T124" s="285" t="s">
        <v>593</v>
      </c>
      <c r="U124" s="525">
        <v>39.950000000000003</v>
      </c>
      <c r="V124" s="280">
        <v>39.950000000000003</v>
      </c>
      <c r="W124" s="150">
        <v>39.950000000000003</v>
      </c>
      <c r="X124" s="151" t="s">
        <v>106</v>
      </c>
      <c r="Y124" s="100"/>
      <c r="Z124" s="458" t="s">
        <v>2</v>
      </c>
      <c r="AA124" s="848">
        <f t="shared" si="57"/>
        <v>0</v>
      </c>
      <c r="AB124" s="405">
        <f t="shared" si="58"/>
        <v>0</v>
      </c>
      <c r="AC124" s="100"/>
      <c r="AD124" s="100"/>
      <c r="AE124" s="100"/>
      <c r="AF124" s="100"/>
      <c r="AG124" s="100"/>
      <c r="AH124" s="101"/>
      <c r="AI124" s="101"/>
      <c r="AJ124" s="100"/>
      <c r="AK124" s="101"/>
      <c r="AL124" s="101"/>
      <c r="AM124" s="100"/>
      <c r="AN124" s="97"/>
      <c r="AO124" s="97"/>
      <c r="AP124" s="97"/>
      <c r="AQ124" s="97"/>
      <c r="AR124" s="97"/>
      <c r="AS124" s="97"/>
      <c r="AT124" s="97"/>
      <c r="AU124" s="97"/>
      <c r="AV124" s="97"/>
      <c r="AW124" s="97"/>
      <c r="AX124" s="97"/>
      <c r="AY124" s="97"/>
      <c r="AZ124" s="97"/>
    </row>
    <row r="125" spans="1:52" s="39" customFormat="1" ht="18" hidden="1" outlineLevel="1" x14ac:dyDescent="0.3">
      <c r="A125" s="97"/>
      <c r="B125" s="147"/>
      <c r="C125" s="148" t="s">
        <v>281</v>
      </c>
      <c r="D125" s="166"/>
      <c r="E125" s="166"/>
      <c r="F125" s="166"/>
      <c r="G125" s="166"/>
      <c r="H125" s="149" t="s">
        <v>282</v>
      </c>
      <c r="I125" s="534" t="s">
        <v>750</v>
      </c>
      <c r="J125" s="534" t="s">
        <v>593</v>
      </c>
      <c r="K125" s="285" t="s">
        <v>593</v>
      </c>
      <c r="L125" s="285" t="s">
        <v>593</v>
      </c>
      <c r="M125" s="285" t="s">
        <v>593</v>
      </c>
      <c r="N125" s="285" t="s">
        <v>593</v>
      </c>
      <c r="O125" s="285" t="s">
        <v>593</v>
      </c>
      <c r="P125" s="285" t="s">
        <v>593</v>
      </c>
      <c r="Q125" s="285" t="s">
        <v>593</v>
      </c>
      <c r="R125" s="285" t="s">
        <v>593</v>
      </c>
      <c r="S125" s="285" t="s">
        <v>593</v>
      </c>
      <c r="T125" s="285" t="s">
        <v>593</v>
      </c>
      <c r="U125" s="525">
        <v>44.95</v>
      </c>
      <c r="V125" s="280">
        <v>44.95</v>
      </c>
      <c r="W125" s="150">
        <v>44.95</v>
      </c>
      <c r="X125" s="151" t="s">
        <v>106</v>
      </c>
      <c r="Y125" s="100"/>
      <c r="Z125" s="458" t="s">
        <v>2</v>
      </c>
      <c r="AA125" s="848">
        <f t="shared" si="57"/>
        <v>0</v>
      </c>
      <c r="AB125" s="405">
        <f t="shared" si="58"/>
        <v>0</v>
      </c>
      <c r="AC125" s="100"/>
      <c r="AD125" s="100"/>
      <c r="AE125" s="100"/>
      <c r="AF125" s="100"/>
      <c r="AG125" s="100"/>
      <c r="AH125" s="101"/>
      <c r="AI125" s="101"/>
      <c r="AJ125" s="100"/>
      <c r="AK125" s="101"/>
      <c r="AL125" s="101"/>
      <c r="AM125" s="100"/>
      <c r="AN125" s="97"/>
      <c r="AO125" s="97"/>
      <c r="AP125" s="97"/>
      <c r="AQ125" s="97"/>
      <c r="AR125" s="97"/>
      <c r="AS125" s="97"/>
      <c r="AT125" s="97"/>
      <c r="AU125" s="97"/>
      <c r="AV125" s="97"/>
      <c r="AW125" s="97"/>
      <c r="AX125" s="97"/>
      <c r="AY125" s="97"/>
      <c r="AZ125" s="97"/>
    </row>
    <row r="126" spans="1:52" s="39" customFormat="1" ht="18" hidden="1" outlineLevel="1" x14ac:dyDescent="0.3">
      <c r="A126" s="97"/>
      <c r="B126" s="454"/>
      <c r="C126" s="455" t="s">
        <v>388</v>
      </c>
      <c r="D126" s="166"/>
      <c r="E126" s="166"/>
      <c r="F126" s="166"/>
      <c r="G126" s="166"/>
      <c r="H126" s="149"/>
      <c r="I126" s="534"/>
      <c r="J126" s="534"/>
      <c r="K126" s="285"/>
      <c r="L126" s="285"/>
      <c r="M126" s="285"/>
      <c r="N126" s="285"/>
      <c r="O126" s="285"/>
      <c r="P126" s="285"/>
      <c r="Q126" s="285"/>
      <c r="R126" s="285"/>
      <c r="S126" s="285"/>
      <c r="T126" s="285"/>
      <c r="U126" s="525"/>
      <c r="V126" s="280"/>
      <c r="W126" s="150"/>
      <c r="X126" s="151"/>
      <c r="Y126" s="100"/>
      <c r="Z126" s="458" t="s">
        <v>2</v>
      </c>
      <c r="AA126" s="848" t="e">
        <f t="shared" si="57"/>
        <v>#DIV/0!</v>
      </c>
      <c r="AB126" s="405" t="e">
        <f t="shared" si="58"/>
        <v>#DIV/0!</v>
      </c>
      <c r="AC126" s="100"/>
      <c r="AD126" s="100"/>
      <c r="AE126" s="100"/>
      <c r="AF126" s="100"/>
      <c r="AG126" s="100"/>
      <c r="AH126" s="101"/>
      <c r="AI126" s="101"/>
      <c r="AJ126" s="100"/>
      <c r="AK126" s="101"/>
      <c r="AL126" s="101"/>
      <c r="AM126" s="100"/>
      <c r="AN126" s="97"/>
      <c r="AO126" s="97"/>
      <c r="AP126" s="97"/>
      <c r="AQ126" s="97"/>
      <c r="AR126" s="97"/>
      <c r="AS126" s="97"/>
      <c r="AT126" s="97"/>
      <c r="AU126" s="97"/>
      <c r="AV126" s="97"/>
      <c r="AW126" s="97"/>
      <c r="AX126" s="97"/>
      <c r="AY126" s="97"/>
      <c r="AZ126" s="97"/>
    </row>
    <row r="127" spans="1:52" s="39" customFormat="1" ht="18" hidden="1" outlineLevel="1" x14ac:dyDescent="0.3">
      <c r="A127" s="97"/>
      <c r="B127" s="147"/>
      <c r="C127" s="148" t="s">
        <v>334</v>
      </c>
      <c r="D127" s="162"/>
      <c r="E127" s="162"/>
      <c r="F127" s="162"/>
      <c r="G127" s="162"/>
      <c r="H127" s="149" t="s">
        <v>282</v>
      </c>
      <c r="I127" s="534" t="s">
        <v>750</v>
      </c>
      <c r="J127" s="534" t="s">
        <v>593</v>
      </c>
      <c r="K127" s="285" t="s">
        <v>593</v>
      </c>
      <c r="L127" s="285" t="s">
        <v>593</v>
      </c>
      <c r="M127" s="285" t="s">
        <v>593</v>
      </c>
      <c r="N127" s="285" t="s">
        <v>593</v>
      </c>
      <c r="O127" s="285" t="s">
        <v>593</v>
      </c>
      <c r="P127" s="285" t="s">
        <v>593</v>
      </c>
      <c r="Q127" s="285" t="s">
        <v>593</v>
      </c>
      <c r="R127" s="285" t="s">
        <v>593</v>
      </c>
      <c r="S127" s="285" t="s">
        <v>593</v>
      </c>
      <c r="T127" s="285" t="s">
        <v>593</v>
      </c>
      <c r="U127" s="525">
        <v>20</v>
      </c>
      <c r="V127" s="280">
        <v>20</v>
      </c>
      <c r="W127" s="150">
        <v>29.95</v>
      </c>
      <c r="X127" s="151" t="s">
        <v>366</v>
      </c>
      <c r="Y127" s="100"/>
      <c r="Z127" s="458" t="s">
        <v>2</v>
      </c>
      <c r="AA127" s="848">
        <f t="shared" si="57"/>
        <v>0</v>
      </c>
      <c r="AB127" s="405">
        <f t="shared" ref="AB127:AB128" si="59">1-V127/W127</f>
        <v>0.332220367278798</v>
      </c>
      <c r="AC127" s="100"/>
      <c r="AD127" s="100"/>
      <c r="AE127" s="100"/>
      <c r="AF127" s="100"/>
      <c r="AG127" s="100"/>
      <c r="AH127" s="101"/>
      <c r="AI127" s="101"/>
      <c r="AJ127" s="100"/>
      <c r="AK127" s="101"/>
      <c r="AL127" s="101"/>
      <c r="AM127" s="100"/>
      <c r="AN127" s="97"/>
      <c r="AO127" s="97"/>
      <c r="AP127" s="97"/>
      <c r="AQ127" s="97"/>
      <c r="AR127" s="97"/>
      <c r="AS127" s="97"/>
      <c r="AT127" s="97"/>
      <c r="AU127" s="97"/>
      <c r="AV127" s="97"/>
      <c r="AW127" s="97"/>
      <c r="AX127" s="97"/>
      <c r="AY127" s="97"/>
      <c r="AZ127" s="97"/>
    </row>
    <row r="128" spans="1:52" s="39" customFormat="1" ht="18" hidden="1" outlineLevel="1" x14ac:dyDescent="0.3">
      <c r="A128" s="97"/>
      <c r="B128" s="147"/>
      <c r="C128" s="148" t="s">
        <v>335</v>
      </c>
      <c r="D128" s="162"/>
      <c r="E128" s="162"/>
      <c r="F128" s="162"/>
      <c r="G128" s="162"/>
      <c r="H128" s="149" t="s">
        <v>282</v>
      </c>
      <c r="I128" s="534" t="s">
        <v>750</v>
      </c>
      <c r="J128" s="534" t="s">
        <v>593</v>
      </c>
      <c r="K128" s="285" t="s">
        <v>593</v>
      </c>
      <c r="L128" s="285" t="s">
        <v>593</v>
      </c>
      <c r="M128" s="285" t="s">
        <v>593</v>
      </c>
      <c r="N128" s="285" t="s">
        <v>593</v>
      </c>
      <c r="O128" s="285" t="s">
        <v>593</v>
      </c>
      <c r="P128" s="285" t="s">
        <v>593</v>
      </c>
      <c r="Q128" s="285" t="s">
        <v>593</v>
      </c>
      <c r="R128" s="285" t="s">
        <v>593</v>
      </c>
      <c r="S128" s="285" t="s">
        <v>593</v>
      </c>
      <c r="T128" s="285" t="s">
        <v>593</v>
      </c>
      <c r="U128" s="525">
        <v>20</v>
      </c>
      <c r="V128" s="280">
        <v>20</v>
      </c>
      <c r="W128" s="150">
        <v>29.95</v>
      </c>
      <c r="X128" s="151" t="s">
        <v>366</v>
      </c>
      <c r="Y128" s="100"/>
      <c r="Z128" s="458" t="s">
        <v>2</v>
      </c>
      <c r="AA128" s="848">
        <f t="shared" si="57"/>
        <v>0</v>
      </c>
      <c r="AB128" s="405">
        <f t="shared" si="59"/>
        <v>0.332220367278798</v>
      </c>
      <c r="AC128" s="100"/>
      <c r="AD128" s="100"/>
      <c r="AE128" s="100"/>
      <c r="AF128" s="100"/>
      <c r="AG128" s="100"/>
      <c r="AH128" s="101"/>
      <c r="AI128" s="101"/>
      <c r="AJ128" s="100"/>
      <c r="AK128" s="101"/>
      <c r="AL128" s="101"/>
      <c r="AM128" s="100"/>
      <c r="AN128" s="97"/>
      <c r="AO128" s="97"/>
      <c r="AP128" s="97"/>
      <c r="AQ128" s="97"/>
      <c r="AR128" s="97"/>
      <c r="AS128" s="97"/>
      <c r="AT128" s="97"/>
      <c r="AU128" s="97"/>
      <c r="AV128" s="97"/>
      <c r="AW128" s="97"/>
      <c r="AX128" s="97"/>
      <c r="AY128" s="97"/>
      <c r="AZ128" s="97"/>
    </row>
    <row r="129" spans="1:52" s="39" customFormat="1" ht="18" hidden="1" outlineLevel="1" x14ac:dyDescent="0.3">
      <c r="A129" s="97"/>
      <c r="B129" s="454"/>
      <c r="C129" s="455" t="s">
        <v>380</v>
      </c>
      <c r="D129" s="166"/>
      <c r="E129" s="166"/>
      <c r="F129" s="166"/>
      <c r="G129" s="166"/>
      <c r="H129" s="149"/>
      <c r="I129" s="534"/>
      <c r="J129" s="534"/>
      <c r="K129" s="285"/>
      <c r="L129" s="285"/>
      <c r="M129" s="285"/>
      <c r="N129" s="285"/>
      <c r="O129" s="285"/>
      <c r="P129" s="285"/>
      <c r="Q129" s="285"/>
      <c r="R129" s="285"/>
      <c r="S129" s="285"/>
      <c r="T129" s="285"/>
      <c r="U129" s="525"/>
      <c r="V129" s="280"/>
      <c r="W129" s="150"/>
      <c r="X129" s="151"/>
      <c r="Y129" s="100"/>
      <c r="Z129" s="458" t="s">
        <v>2</v>
      </c>
      <c r="AA129" s="848" t="e">
        <f>1-U129/V129</f>
        <v>#DIV/0!</v>
      </c>
      <c r="AB129" s="405" t="e">
        <f>1-V129/W129</f>
        <v>#DIV/0!</v>
      </c>
      <c r="AC129" s="100"/>
      <c r="AD129" s="100"/>
      <c r="AE129" s="100"/>
      <c r="AF129" s="100"/>
      <c r="AG129" s="100"/>
      <c r="AH129" s="101"/>
      <c r="AI129" s="101"/>
      <c r="AJ129" s="100"/>
      <c r="AK129" s="101"/>
      <c r="AL129" s="101"/>
      <c r="AM129" s="100"/>
      <c r="AN129" s="97"/>
      <c r="AO129" s="97"/>
      <c r="AP129" s="97"/>
      <c r="AQ129" s="97"/>
      <c r="AR129" s="97"/>
      <c r="AS129" s="97"/>
      <c r="AT129" s="97"/>
      <c r="AU129" s="97"/>
      <c r="AV129" s="97"/>
      <c r="AW129" s="97"/>
      <c r="AX129" s="97"/>
      <c r="AY129" s="97"/>
      <c r="AZ129" s="97"/>
    </row>
    <row r="130" spans="1:52" s="39" customFormat="1" ht="18" hidden="1" outlineLevel="1" x14ac:dyDescent="0.3">
      <c r="A130" s="97"/>
      <c r="B130" s="147"/>
      <c r="C130" s="148" t="s">
        <v>270</v>
      </c>
      <c r="D130" s="166"/>
      <c r="E130" s="166"/>
      <c r="F130" s="166"/>
      <c r="G130" s="166"/>
      <c r="H130" s="149" t="s">
        <v>259</v>
      </c>
      <c r="I130" s="534" t="s">
        <v>750</v>
      </c>
      <c r="J130" s="534" t="s">
        <v>593</v>
      </c>
      <c r="K130" s="285" t="s">
        <v>593</v>
      </c>
      <c r="L130" s="285" t="s">
        <v>593</v>
      </c>
      <c r="M130" s="285" t="s">
        <v>593</v>
      </c>
      <c r="N130" s="285" t="s">
        <v>593</v>
      </c>
      <c r="O130" s="285" t="s">
        <v>593</v>
      </c>
      <c r="P130" s="285" t="s">
        <v>593</v>
      </c>
      <c r="Q130" s="285" t="s">
        <v>593</v>
      </c>
      <c r="R130" s="285" t="s">
        <v>593</v>
      </c>
      <c r="S130" s="285" t="s">
        <v>593</v>
      </c>
      <c r="T130" s="285" t="s">
        <v>593</v>
      </c>
      <c r="U130" s="525">
        <v>14.95</v>
      </c>
      <c r="V130" s="280">
        <v>14.95</v>
      </c>
      <c r="W130" s="150">
        <v>14.95</v>
      </c>
      <c r="X130" s="151" t="s">
        <v>106</v>
      </c>
      <c r="Y130" s="100"/>
      <c r="Z130" s="458" t="s">
        <v>2</v>
      </c>
      <c r="AA130" s="848">
        <f t="shared" ref="AA130:AA136" si="60">1-U130/V130</f>
        <v>0</v>
      </c>
      <c r="AB130" s="405">
        <f t="shared" ref="AB130" si="61">1-V130/W130</f>
        <v>0</v>
      </c>
      <c r="AC130" s="100"/>
      <c r="AD130" s="100"/>
      <c r="AE130" s="100"/>
      <c r="AF130" s="100"/>
      <c r="AG130" s="100"/>
      <c r="AH130" s="101"/>
      <c r="AI130" s="101"/>
      <c r="AJ130" s="100"/>
      <c r="AK130" s="101"/>
      <c r="AL130" s="101"/>
      <c r="AM130" s="100"/>
      <c r="AN130" s="97"/>
      <c r="AO130" s="97"/>
      <c r="AP130" s="97"/>
      <c r="AQ130" s="97"/>
      <c r="AR130" s="97"/>
      <c r="AS130" s="97"/>
      <c r="AT130" s="97"/>
      <c r="AU130" s="97"/>
      <c r="AV130" s="97"/>
      <c r="AW130" s="97"/>
      <c r="AX130" s="97"/>
      <c r="AY130" s="97"/>
      <c r="AZ130" s="97"/>
    </row>
    <row r="131" spans="1:52" s="39" customFormat="1" ht="18" hidden="1" outlineLevel="1" x14ac:dyDescent="0.3">
      <c r="A131" s="97"/>
      <c r="B131" s="147"/>
      <c r="C131" s="148" t="s">
        <v>271</v>
      </c>
      <c r="D131" s="166"/>
      <c r="E131" s="166"/>
      <c r="F131" s="166"/>
      <c r="G131" s="166"/>
      <c r="H131" s="149" t="s">
        <v>260</v>
      </c>
      <c r="I131" s="534" t="s">
        <v>750</v>
      </c>
      <c r="J131" s="534" t="s">
        <v>593</v>
      </c>
      <c r="K131" s="285" t="s">
        <v>593</v>
      </c>
      <c r="L131" s="285" t="s">
        <v>593</v>
      </c>
      <c r="M131" s="285" t="s">
        <v>593</v>
      </c>
      <c r="N131" s="285" t="s">
        <v>593</v>
      </c>
      <c r="O131" s="285" t="s">
        <v>593</v>
      </c>
      <c r="P131" s="285" t="s">
        <v>593</v>
      </c>
      <c r="Q131" s="285" t="s">
        <v>593</v>
      </c>
      <c r="R131" s="285" t="s">
        <v>593</v>
      </c>
      <c r="S131" s="285" t="s">
        <v>593</v>
      </c>
      <c r="T131" s="285" t="s">
        <v>593</v>
      </c>
      <c r="U131" s="525">
        <v>14.95</v>
      </c>
      <c r="V131" s="280">
        <v>14.95</v>
      </c>
      <c r="W131" s="150">
        <v>14.95</v>
      </c>
      <c r="X131" s="151" t="s">
        <v>106</v>
      </c>
      <c r="Y131" s="100"/>
      <c r="Z131" s="458" t="s">
        <v>2</v>
      </c>
      <c r="AA131" s="848">
        <f t="shared" si="60"/>
        <v>0</v>
      </c>
      <c r="AB131" s="405">
        <f t="shared" ref="AB131:AB135" si="62">1-V131/W131</f>
        <v>0</v>
      </c>
      <c r="AC131" s="100"/>
      <c r="AD131" s="100"/>
      <c r="AE131" s="100"/>
      <c r="AF131" s="100"/>
      <c r="AG131" s="100"/>
      <c r="AH131" s="101"/>
      <c r="AI131" s="101"/>
      <c r="AJ131" s="100"/>
      <c r="AK131" s="101"/>
      <c r="AL131" s="101"/>
      <c r="AM131" s="100"/>
      <c r="AN131" s="97"/>
      <c r="AO131" s="97"/>
      <c r="AP131" s="97"/>
      <c r="AQ131" s="97"/>
      <c r="AR131" s="97"/>
      <c r="AS131" s="97"/>
      <c r="AT131" s="97"/>
      <c r="AU131" s="97"/>
      <c r="AV131" s="97"/>
      <c r="AW131" s="97"/>
      <c r="AX131" s="97"/>
      <c r="AY131" s="97"/>
      <c r="AZ131" s="97"/>
    </row>
    <row r="132" spans="1:52" s="39" customFormat="1" ht="18" hidden="1" outlineLevel="1" x14ac:dyDescent="0.3">
      <c r="A132" s="97"/>
      <c r="B132" s="147"/>
      <c r="C132" s="148" t="s">
        <v>272</v>
      </c>
      <c r="D132" s="166"/>
      <c r="E132" s="166"/>
      <c r="F132" s="166"/>
      <c r="G132" s="166"/>
      <c r="H132" s="149" t="s">
        <v>260</v>
      </c>
      <c r="I132" s="534" t="s">
        <v>750</v>
      </c>
      <c r="J132" s="534" t="s">
        <v>593</v>
      </c>
      <c r="K132" s="285" t="s">
        <v>593</v>
      </c>
      <c r="L132" s="285" t="s">
        <v>593</v>
      </c>
      <c r="M132" s="285" t="s">
        <v>593</v>
      </c>
      <c r="N132" s="285" t="s">
        <v>593</v>
      </c>
      <c r="O132" s="285" t="s">
        <v>593</v>
      </c>
      <c r="P132" s="285" t="s">
        <v>593</v>
      </c>
      <c r="Q132" s="285" t="s">
        <v>593</v>
      </c>
      <c r="R132" s="285" t="s">
        <v>593</v>
      </c>
      <c r="S132" s="285" t="s">
        <v>593</v>
      </c>
      <c r="T132" s="285" t="s">
        <v>593</v>
      </c>
      <c r="U132" s="525">
        <v>14.95</v>
      </c>
      <c r="V132" s="280">
        <v>14.95</v>
      </c>
      <c r="W132" s="150">
        <v>14.95</v>
      </c>
      <c r="X132" s="151" t="s">
        <v>106</v>
      </c>
      <c r="Y132" s="100"/>
      <c r="Z132" s="458" t="s">
        <v>2</v>
      </c>
      <c r="AA132" s="848">
        <f t="shared" si="60"/>
        <v>0</v>
      </c>
      <c r="AB132" s="405">
        <f t="shared" si="62"/>
        <v>0</v>
      </c>
      <c r="AC132" s="100"/>
      <c r="AD132" s="100"/>
      <c r="AE132" s="100"/>
      <c r="AF132" s="100"/>
      <c r="AG132" s="100"/>
      <c r="AH132" s="101"/>
      <c r="AI132" s="101"/>
      <c r="AJ132" s="100"/>
      <c r="AK132" s="101"/>
      <c r="AL132" s="101"/>
      <c r="AM132" s="100"/>
      <c r="AN132" s="97"/>
      <c r="AO132" s="97"/>
      <c r="AP132" s="97"/>
      <c r="AQ132" s="97"/>
      <c r="AR132" s="97"/>
      <c r="AS132" s="97"/>
      <c r="AT132" s="97"/>
      <c r="AU132" s="97"/>
      <c r="AV132" s="97"/>
      <c r="AW132" s="97"/>
      <c r="AX132" s="97"/>
      <c r="AY132" s="97"/>
      <c r="AZ132" s="97"/>
    </row>
    <row r="133" spans="1:52" s="39" customFormat="1" ht="18" hidden="1" outlineLevel="1" x14ac:dyDescent="0.3">
      <c r="A133" s="97"/>
      <c r="B133" s="147"/>
      <c r="C133" s="148" t="s">
        <v>273</v>
      </c>
      <c r="D133" s="166"/>
      <c r="E133" s="166"/>
      <c r="F133" s="166"/>
      <c r="G133" s="166"/>
      <c r="H133" s="149" t="s">
        <v>260</v>
      </c>
      <c r="I133" s="534" t="s">
        <v>750</v>
      </c>
      <c r="J133" s="534" t="s">
        <v>593</v>
      </c>
      <c r="K133" s="285" t="s">
        <v>593</v>
      </c>
      <c r="L133" s="285" t="s">
        <v>593</v>
      </c>
      <c r="M133" s="285" t="s">
        <v>593</v>
      </c>
      <c r="N133" s="285" t="s">
        <v>593</v>
      </c>
      <c r="O133" s="285" t="s">
        <v>593</v>
      </c>
      <c r="P133" s="285" t="s">
        <v>593</v>
      </c>
      <c r="Q133" s="285" t="s">
        <v>593</v>
      </c>
      <c r="R133" s="285" t="s">
        <v>593</v>
      </c>
      <c r="S133" s="285" t="s">
        <v>593</v>
      </c>
      <c r="T133" s="285" t="s">
        <v>593</v>
      </c>
      <c r="U133" s="525">
        <v>14.95</v>
      </c>
      <c r="V133" s="280">
        <v>14.95</v>
      </c>
      <c r="W133" s="150">
        <v>14.95</v>
      </c>
      <c r="X133" s="151" t="s">
        <v>106</v>
      </c>
      <c r="Y133" s="100"/>
      <c r="Z133" s="458" t="s">
        <v>2</v>
      </c>
      <c r="AA133" s="848">
        <f t="shared" si="60"/>
        <v>0</v>
      </c>
      <c r="AB133" s="405">
        <f t="shared" si="62"/>
        <v>0</v>
      </c>
      <c r="AC133" s="100"/>
      <c r="AD133" s="100"/>
      <c r="AE133" s="100"/>
      <c r="AF133" s="100"/>
      <c r="AG133" s="100"/>
      <c r="AH133" s="101"/>
      <c r="AI133" s="101"/>
      <c r="AJ133" s="100"/>
      <c r="AK133" s="101"/>
      <c r="AL133" s="101"/>
      <c r="AM133" s="100"/>
      <c r="AN133" s="97"/>
      <c r="AO133" s="97"/>
      <c r="AP133" s="97"/>
      <c r="AQ133" s="97"/>
      <c r="AR133" s="97"/>
      <c r="AS133" s="97"/>
      <c r="AT133" s="97"/>
      <c r="AU133" s="97"/>
      <c r="AV133" s="97"/>
      <c r="AW133" s="97"/>
      <c r="AX133" s="97"/>
      <c r="AY133" s="97"/>
      <c r="AZ133" s="97"/>
    </row>
    <row r="134" spans="1:52" s="39" customFormat="1" ht="18" hidden="1" outlineLevel="1" x14ac:dyDescent="0.3">
      <c r="A134" s="97"/>
      <c r="B134" s="147"/>
      <c r="C134" s="148" t="s">
        <v>274</v>
      </c>
      <c r="D134" s="166"/>
      <c r="E134" s="166"/>
      <c r="F134" s="166"/>
      <c r="G134" s="166"/>
      <c r="H134" s="149" t="s">
        <v>260</v>
      </c>
      <c r="I134" s="534" t="s">
        <v>750</v>
      </c>
      <c r="J134" s="534" t="s">
        <v>593</v>
      </c>
      <c r="K134" s="285" t="s">
        <v>593</v>
      </c>
      <c r="L134" s="285" t="s">
        <v>593</v>
      </c>
      <c r="M134" s="285" t="s">
        <v>593</v>
      </c>
      <c r="N134" s="285" t="s">
        <v>593</v>
      </c>
      <c r="O134" s="285" t="s">
        <v>593</v>
      </c>
      <c r="P134" s="285" t="s">
        <v>593</v>
      </c>
      <c r="Q134" s="285" t="s">
        <v>593</v>
      </c>
      <c r="R134" s="285" t="s">
        <v>593</v>
      </c>
      <c r="S134" s="285" t="s">
        <v>593</v>
      </c>
      <c r="T134" s="285" t="s">
        <v>593</v>
      </c>
      <c r="U134" s="525">
        <v>14.95</v>
      </c>
      <c r="V134" s="280">
        <v>14.95</v>
      </c>
      <c r="W134" s="150">
        <v>14.95</v>
      </c>
      <c r="X134" s="151" t="s">
        <v>106</v>
      </c>
      <c r="Y134" s="100"/>
      <c r="Z134" s="458" t="s">
        <v>2</v>
      </c>
      <c r="AA134" s="848">
        <f t="shared" si="60"/>
        <v>0</v>
      </c>
      <c r="AB134" s="405">
        <f t="shared" si="62"/>
        <v>0</v>
      </c>
      <c r="AC134" s="100"/>
      <c r="AD134" s="100"/>
      <c r="AE134" s="100"/>
      <c r="AF134" s="100"/>
      <c r="AG134" s="100"/>
      <c r="AH134" s="101"/>
      <c r="AI134" s="101"/>
      <c r="AJ134" s="100"/>
      <c r="AK134" s="101"/>
      <c r="AL134" s="101"/>
      <c r="AM134" s="100"/>
      <c r="AN134" s="97"/>
      <c r="AO134" s="97"/>
      <c r="AP134" s="97"/>
      <c r="AQ134" s="97"/>
      <c r="AR134" s="97"/>
      <c r="AS134" s="97"/>
      <c r="AT134" s="97"/>
      <c r="AU134" s="97"/>
      <c r="AV134" s="97"/>
      <c r="AW134" s="97"/>
      <c r="AX134" s="97"/>
      <c r="AY134" s="97"/>
      <c r="AZ134" s="97"/>
    </row>
    <row r="135" spans="1:52" s="39" customFormat="1" ht="18" hidden="1" outlineLevel="1" x14ac:dyDescent="0.3">
      <c r="A135" s="97"/>
      <c r="B135" s="147"/>
      <c r="C135" s="148" t="s">
        <v>275</v>
      </c>
      <c r="D135" s="166"/>
      <c r="E135" s="166"/>
      <c r="F135" s="166"/>
      <c r="G135" s="166"/>
      <c r="H135" s="149" t="s">
        <v>260</v>
      </c>
      <c r="I135" s="534" t="s">
        <v>750</v>
      </c>
      <c r="J135" s="534" t="s">
        <v>593</v>
      </c>
      <c r="K135" s="285" t="s">
        <v>593</v>
      </c>
      <c r="L135" s="285" t="s">
        <v>593</v>
      </c>
      <c r="M135" s="285" t="s">
        <v>593</v>
      </c>
      <c r="N135" s="285" t="s">
        <v>593</v>
      </c>
      <c r="O135" s="285" t="s">
        <v>593</v>
      </c>
      <c r="P135" s="285" t="s">
        <v>593</v>
      </c>
      <c r="Q135" s="285" t="s">
        <v>593</v>
      </c>
      <c r="R135" s="285" t="s">
        <v>593</v>
      </c>
      <c r="S135" s="285" t="s">
        <v>593</v>
      </c>
      <c r="T135" s="285" t="s">
        <v>593</v>
      </c>
      <c r="U135" s="525">
        <v>14.95</v>
      </c>
      <c r="V135" s="280">
        <v>14.95</v>
      </c>
      <c r="W135" s="150">
        <v>14.95</v>
      </c>
      <c r="X135" s="151" t="s">
        <v>106</v>
      </c>
      <c r="Y135" s="100"/>
      <c r="Z135" s="458" t="s">
        <v>2</v>
      </c>
      <c r="AA135" s="848">
        <f t="shared" si="60"/>
        <v>0</v>
      </c>
      <c r="AB135" s="405">
        <f t="shared" si="62"/>
        <v>0</v>
      </c>
      <c r="AC135" s="100"/>
      <c r="AD135" s="100"/>
      <c r="AE135" s="100"/>
      <c r="AF135" s="100"/>
      <c r="AG135" s="100"/>
      <c r="AH135" s="101"/>
      <c r="AI135" s="101"/>
      <c r="AJ135" s="100"/>
      <c r="AK135" s="101"/>
      <c r="AL135" s="101"/>
      <c r="AM135" s="100"/>
      <c r="AN135" s="97"/>
      <c r="AO135" s="97"/>
      <c r="AP135" s="97"/>
      <c r="AQ135" s="97"/>
      <c r="AR135" s="97"/>
      <c r="AS135" s="97"/>
      <c r="AT135" s="97"/>
      <c r="AU135" s="97"/>
      <c r="AV135" s="97"/>
      <c r="AW135" s="97"/>
      <c r="AX135" s="97"/>
      <c r="AY135" s="97"/>
      <c r="AZ135" s="97"/>
    </row>
    <row r="136" spans="1:52" s="39" customFormat="1" ht="18" hidden="1" outlineLevel="1" x14ac:dyDescent="0.3">
      <c r="A136" s="97"/>
      <c r="B136" s="147"/>
      <c r="C136" s="453" t="s">
        <v>311</v>
      </c>
      <c r="D136" s="166"/>
      <c r="E136" s="166"/>
      <c r="F136" s="166"/>
      <c r="G136" s="166"/>
      <c r="H136" s="149" t="s">
        <v>390</v>
      </c>
      <c r="I136" s="534" t="s">
        <v>750</v>
      </c>
      <c r="J136" s="534" t="s">
        <v>593</v>
      </c>
      <c r="K136" s="285" t="s">
        <v>593</v>
      </c>
      <c r="L136" s="285" t="s">
        <v>593</v>
      </c>
      <c r="M136" s="285" t="s">
        <v>593</v>
      </c>
      <c r="N136" s="285" t="s">
        <v>593</v>
      </c>
      <c r="O136" s="285" t="s">
        <v>593</v>
      </c>
      <c r="P136" s="285" t="s">
        <v>593</v>
      </c>
      <c r="Q136" s="285" t="s">
        <v>593</v>
      </c>
      <c r="R136" s="285" t="s">
        <v>593</v>
      </c>
      <c r="S136" s="285" t="s">
        <v>593</v>
      </c>
      <c r="T136" s="285" t="s">
        <v>593</v>
      </c>
      <c r="U136" s="525">
        <v>12.5</v>
      </c>
      <c r="V136" s="280">
        <v>12.5</v>
      </c>
      <c r="W136" s="150">
        <v>24.95</v>
      </c>
      <c r="X136" s="151" t="s">
        <v>365</v>
      </c>
      <c r="Y136" s="100"/>
      <c r="Z136" s="458" t="s">
        <v>2</v>
      </c>
      <c r="AA136" s="848">
        <f t="shared" si="60"/>
        <v>0</v>
      </c>
      <c r="AB136" s="405">
        <f t="shared" ref="AB136" si="63">1-V136/W136</f>
        <v>0.49899799599198391</v>
      </c>
      <c r="AC136" s="100"/>
      <c r="AD136" s="100"/>
      <c r="AE136" s="100"/>
      <c r="AF136" s="100"/>
      <c r="AG136" s="100"/>
      <c r="AH136" s="101"/>
      <c r="AI136" s="101"/>
      <c r="AJ136" s="100"/>
      <c r="AK136" s="101"/>
      <c r="AL136" s="101"/>
      <c r="AM136" s="100"/>
      <c r="AN136" s="97"/>
      <c r="AO136" s="97"/>
      <c r="AP136" s="97"/>
      <c r="AQ136" s="97"/>
      <c r="AR136" s="97"/>
      <c r="AS136" s="97"/>
      <c r="AT136" s="97"/>
      <c r="AU136" s="97"/>
      <c r="AV136" s="97"/>
      <c r="AW136" s="97"/>
      <c r="AX136" s="97"/>
      <c r="AY136" s="97"/>
      <c r="AZ136" s="97"/>
    </row>
    <row r="137" spans="1:52" s="39" customFormat="1" ht="18" hidden="1" outlineLevel="1" x14ac:dyDescent="0.3">
      <c r="A137" s="97"/>
      <c r="B137" s="147"/>
      <c r="C137" s="453" t="s">
        <v>312</v>
      </c>
      <c r="D137" s="162"/>
      <c r="E137" s="162"/>
      <c r="F137" s="162"/>
      <c r="G137" s="162"/>
      <c r="H137" s="149" t="s">
        <v>260</v>
      </c>
      <c r="I137" s="534" t="s">
        <v>750</v>
      </c>
      <c r="J137" s="534" t="s">
        <v>593</v>
      </c>
      <c r="K137" s="285" t="s">
        <v>593</v>
      </c>
      <c r="L137" s="285" t="s">
        <v>593</v>
      </c>
      <c r="M137" s="285" t="s">
        <v>593</v>
      </c>
      <c r="N137" s="285" t="s">
        <v>593</v>
      </c>
      <c r="O137" s="285" t="s">
        <v>593</v>
      </c>
      <c r="P137" s="285" t="s">
        <v>593</v>
      </c>
      <c r="Q137" s="285" t="s">
        <v>593</v>
      </c>
      <c r="R137" s="285" t="s">
        <v>593</v>
      </c>
      <c r="S137" s="285" t="s">
        <v>593</v>
      </c>
      <c r="T137" s="285" t="s">
        <v>593</v>
      </c>
      <c r="U137" s="525">
        <v>6.5</v>
      </c>
      <c r="V137" s="280">
        <v>6.5</v>
      </c>
      <c r="W137" s="150">
        <v>12.95</v>
      </c>
      <c r="X137" s="151" t="s">
        <v>360</v>
      </c>
      <c r="Y137" s="100"/>
      <c r="Z137" s="458" t="s">
        <v>2</v>
      </c>
      <c r="AA137" s="848">
        <f>1-U137/V137</f>
        <v>0</v>
      </c>
      <c r="AB137" s="405">
        <f>1-V137/W137</f>
        <v>0.49806949806949807</v>
      </c>
      <c r="AC137" s="100"/>
      <c r="AD137" s="100"/>
      <c r="AE137" s="100"/>
      <c r="AF137" s="100"/>
      <c r="AG137" s="100"/>
      <c r="AH137" s="101"/>
      <c r="AI137" s="101"/>
      <c r="AJ137" s="100"/>
      <c r="AK137" s="101"/>
      <c r="AL137" s="101"/>
      <c r="AM137" s="100"/>
      <c r="AN137" s="97"/>
      <c r="AO137" s="97"/>
      <c r="AP137" s="97"/>
      <c r="AQ137" s="97"/>
      <c r="AR137" s="97"/>
      <c r="AS137" s="97"/>
      <c r="AT137" s="97"/>
      <c r="AU137" s="97"/>
      <c r="AV137" s="97"/>
      <c r="AW137" s="97"/>
      <c r="AX137" s="97"/>
      <c r="AY137" s="97"/>
      <c r="AZ137" s="97"/>
    </row>
    <row r="138" spans="1:52" s="39" customFormat="1" ht="18" hidden="1" outlineLevel="1" x14ac:dyDescent="0.3">
      <c r="A138" s="97"/>
      <c r="B138" s="147"/>
      <c r="C138" s="453" t="s">
        <v>313</v>
      </c>
      <c r="D138" s="162"/>
      <c r="E138" s="162"/>
      <c r="F138" s="162"/>
      <c r="G138" s="162"/>
      <c r="H138" s="149" t="s">
        <v>260</v>
      </c>
      <c r="I138" s="534" t="s">
        <v>750</v>
      </c>
      <c r="J138" s="534" t="s">
        <v>593</v>
      </c>
      <c r="K138" s="285" t="s">
        <v>593</v>
      </c>
      <c r="L138" s="285" t="s">
        <v>593</v>
      </c>
      <c r="M138" s="285" t="s">
        <v>593</v>
      </c>
      <c r="N138" s="285" t="s">
        <v>593</v>
      </c>
      <c r="O138" s="285" t="s">
        <v>593</v>
      </c>
      <c r="P138" s="285" t="s">
        <v>593</v>
      </c>
      <c r="Q138" s="285" t="s">
        <v>593</v>
      </c>
      <c r="R138" s="285" t="s">
        <v>593</v>
      </c>
      <c r="S138" s="285" t="s">
        <v>593</v>
      </c>
      <c r="T138" s="285" t="s">
        <v>593</v>
      </c>
      <c r="U138" s="525">
        <v>6.5</v>
      </c>
      <c r="V138" s="280">
        <v>6.5</v>
      </c>
      <c r="W138" s="150">
        <v>12.95</v>
      </c>
      <c r="X138" s="151" t="s">
        <v>360</v>
      </c>
      <c r="Y138" s="100"/>
      <c r="Z138" s="458" t="s">
        <v>2</v>
      </c>
      <c r="AA138" s="848">
        <f t="shared" ref="AA138:AA165" si="64">1-U138/V138</f>
        <v>0</v>
      </c>
      <c r="AB138" s="405">
        <f t="shared" ref="AB138:AB140" si="65">1-V138/W138</f>
        <v>0.49806949806949807</v>
      </c>
      <c r="AC138" s="100"/>
      <c r="AD138" s="100"/>
      <c r="AE138" s="100"/>
      <c r="AF138" s="100"/>
      <c r="AG138" s="100"/>
      <c r="AH138" s="101"/>
      <c r="AI138" s="101"/>
      <c r="AJ138" s="100"/>
      <c r="AK138" s="101"/>
      <c r="AL138" s="101"/>
      <c r="AM138" s="100"/>
      <c r="AN138" s="97"/>
      <c r="AO138" s="97"/>
      <c r="AP138" s="97"/>
      <c r="AQ138" s="97"/>
      <c r="AR138" s="97"/>
      <c r="AS138" s="97"/>
      <c r="AT138" s="97"/>
      <c r="AU138" s="97"/>
      <c r="AV138" s="97"/>
      <c r="AW138" s="97"/>
      <c r="AX138" s="97"/>
      <c r="AY138" s="97"/>
      <c r="AZ138" s="97"/>
    </row>
    <row r="139" spans="1:52" s="39" customFormat="1" ht="18" hidden="1" outlineLevel="1" x14ac:dyDescent="0.3">
      <c r="A139" s="97"/>
      <c r="B139" s="147"/>
      <c r="C139" s="453" t="s">
        <v>314</v>
      </c>
      <c r="D139" s="162"/>
      <c r="E139" s="162"/>
      <c r="F139" s="162"/>
      <c r="G139" s="162"/>
      <c r="H139" s="149" t="s">
        <v>260</v>
      </c>
      <c r="I139" s="534" t="s">
        <v>750</v>
      </c>
      <c r="J139" s="534" t="s">
        <v>593</v>
      </c>
      <c r="K139" s="285" t="s">
        <v>593</v>
      </c>
      <c r="L139" s="285" t="s">
        <v>593</v>
      </c>
      <c r="M139" s="285" t="s">
        <v>593</v>
      </c>
      <c r="N139" s="285" t="s">
        <v>593</v>
      </c>
      <c r="O139" s="285" t="s">
        <v>593</v>
      </c>
      <c r="P139" s="285" t="s">
        <v>593</v>
      </c>
      <c r="Q139" s="285" t="s">
        <v>593</v>
      </c>
      <c r="R139" s="285" t="s">
        <v>593</v>
      </c>
      <c r="S139" s="285" t="s">
        <v>593</v>
      </c>
      <c r="T139" s="285" t="s">
        <v>593</v>
      </c>
      <c r="U139" s="525">
        <v>6.5</v>
      </c>
      <c r="V139" s="280">
        <v>6.5</v>
      </c>
      <c r="W139" s="150">
        <v>12.95</v>
      </c>
      <c r="X139" s="151" t="s">
        <v>364</v>
      </c>
      <c r="Y139" s="100"/>
      <c r="Z139" s="458" t="s">
        <v>2</v>
      </c>
      <c r="AA139" s="848">
        <f t="shared" si="64"/>
        <v>0</v>
      </c>
      <c r="AB139" s="405">
        <f t="shared" si="65"/>
        <v>0.49806949806949807</v>
      </c>
      <c r="AC139" s="100"/>
      <c r="AD139" s="100"/>
      <c r="AE139" s="100"/>
      <c r="AF139" s="100"/>
      <c r="AG139" s="100"/>
      <c r="AH139" s="101"/>
      <c r="AI139" s="101"/>
      <c r="AJ139" s="100"/>
      <c r="AK139" s="101"/>
      <c r="AL139" s="101"/>
      <c r="AM139" s="100"/>
      <c r="AN139" s="97"/>
      <c r="AO139" s="97"/>
      <c r="AP139" s="97"/>
      <c r="AQ139" s="97"/>
      <c r="AR139" s="97"/>
      <c r="AS139" s="97"/>
      <c r="AT139" s="97"/>
      <c r="AU139" s="97"/>
      <c r="AV139" s="97"/>
      <c r="AW139" s="97"/>
      <c r="AX139" s="97"/>
      <c r="AY139" s="97"/>
      <c r="AZ139" s="97"/>
    </row>
    <row r="140" spans="1:52" s="39" customFormat="1" ht="18" hidden="1" outlineLevel="1" x14ac:dyDescent="0.3">
      <c r="A140" s="97"/>
      <c r="B140" s="147"/>
      <c r="C140" s="453" t="s">
        <v>315</v>
      </c>
      <c r="D140" s="166"/>
      <c r="E140" s="166"/>
      <c r="F140" s="166"/>
      <c r="G140" s="166"/>
      <c r="H140" s="149" t="s">
        <v>260</v>
      </c>
      <c r="I140" s="534" t="s">
        <v>750</v>
      </c>
      <c r="J140" s="534" t="s">
        <v>593</v>
      </c>
      <c r="K140" s="285" t="s">
        <v>593</v>
      </c>
      <c r="L140" s="285" t="s">
        <v>593</v>
      </c>
      <c r="M140" s="285" t="s">
        <v>593</v>
      </c>
      <c r="N140" s="285" t="s">
        <v>593</v>
      </c>
      <c r="O140" s="285" t="s">
        <v>593</v>
      </c>
      <c r="P140" s="285" t="s">
        <v>593</v>
      </c>
      <c r="Q140" s="285" t="s">
        <v>593</v>
      </c>
      <c r="R140" s="285" t="s">
        <v>593</v>
      </c>
      <c r="S140" s="285" t="s">
        <v>593</v>
      </c>
      <c r="T140" s="285" t="s">
        <v>593</v>
      </c>
      <c r="U140" s="525">
        <v>6.5</v>
      </c>
      <c r="V140" s="280">
        <v>6.5</v>
      </c>
      <c r="W140" s="150">
        <v>12.95</v>
      </c>
      <c r="X140" s="151" t="s">
        <v>360</v>
      </c>
      <c r="Y140" s="100"/>
      <c r="Z140" s="458" t="s">
        <v>2</v>
      </c>
      <c r="AA140" s="848">
        <f t="shared" si="64"/>
        <v>0</v>
      </c>
      <c r="AB140" s="405">
        <f t="shared" si="65"/>
        <v>0.49806949806949807</v>
      </c>
      <c r="AC140" s="100"/>
      <c r="AD140" s="100"/>
      <c r="AE140" s="100"/>
      <c r="AF140" s="100"/>
      <c r="AG140" s="100"/>
      <c r="AH140" s="101"/>
      <c r="AI140" s="101"/>
      <c r="AJ140" s="100"/>
      <c r="AK140" s="101"/>
      <c r="AL140" s="101"/>
      <c r="AM140" s="100"/>
      <c r="AN140" s="97"/>
      <c r="AO140" s="97"/>
      <c r="AP140" s="97"/>
      <c r="AQ140" s="97"/>
      <c r="AR140" s="97"/>
      <c r="AS140" s="97"/>
      <c r="AT140" s="97"/>
      <c r="AU140" s="97"/>
      <c r="AV140" s="97"/>
      <c r="AW140" s="97"/>
      <c r="AX140" s="97"/>
      <c r="AY140" s="97"/>
      <c r="AZ140" s="97"/>
    </row>
    <row r="141" spans="1:52" s="39" customFormat="1" ht="18" hidden="1" outlineLevel="1" x14ac:dyDescent="0.3">
      <c r="A141" s="97"/>
      <c r="B141" s="147"/>
      <c r="C141" s="453" t="s">
        <v>316</v>
      </c>
      <c r="D141" s="166"/>
      <c r="E141" s="166"/>
      <c r="F141" s="166"/>
      <c r="G141" s="166"/>
      <c r="H141" s="149" t="s">
        <v>321</v>
      </c>
      <c r="I141" s="534" t="s">
        <v>750</v>
      </c>
      <c r="J141" s="534" t="s">
        <v>593</v>
      </c>
      <c r="K141" s="285" t="s">
        <v>593</v>
      </c>
      <c r="L141" s="285" t="s">
        <v>593</v>
      </c>
      <c r="M141" s="285" t="s">
        <v>593</v>
      </c>
      <c r="N141" s="285" t="s">
        <v>593</v>
      </c>
      <c r="O141" s="285" t="s">
        <v>593</v>
      </c>
      <c r="P141" s="285" t="s">
        <v>593</v>
      </c>
      <c r="Q141" s="285" t="s">
        <v>593</v>
      </c>
      <c r="R141" s="285" t="s">
        <v>593</v>
      </c>
      <c r="S141" s="285" t="s">
        <v>593</v>
      </c>
      <c r="T141" s="285" t="s">
        <v>593</v>
      </c>
      <c r="U141" s="525">
        <v>6.5</v>
      </c>
      <c r="V141" s="280">
        <v>6.5</v>
      </c>
      <c r="W141" s="150">
        <v>12.95</v>
      </c>
      <c r="X141" s="151" t="s">
        <v>360</v>
      </c>
      <c r="Y141" s="100"/>
      <c r="Z141" s="458" t="s">
        <v>2</v>
      </c>
      <c r="AA141" s="848">
        <f t="shared" si="64"/>
        <v>0</v>
      </c>
      <c r="AB141" s="405">
        <f t="shared" ref="AB141:AB143" si="66">1-V141/W141</f>
        <v>0.49806949806949807</v>
      </c>
      <c r="AC141" s="100"/>
      <c r="AD141" s="100"/>
      <c r="AE141" s="100"/>
      <c r="AF141" s="100"/>
      <c r="AG141" s="100"/>
      <c r="AH141" s="101"/>
      <c r="AI141" s="101"/>
      <c r="AJ141" s="100"/>
      <c r="AK141" s="101"/>
      <c r="AL141" s="101"/>
      <c r="AM141" s="100"/>
      <c r="AN141" s="97"/>
      <c r="AO141" s="97"/>
      <c r="AP141" s="97"/>
      <c r="AQ141" s="97"/>
      <c r="AR141" s="97"/>
      <c r="AS141" s="97"/>
      <c r="AT141" s="97"/>
      <c r="AU141" s="97"/>
      <c r="AV141" s="97"/>
      <c r="AW141" s="97"/>
      <c r="AX141" s="97"/>
      <c r="AY141" s="97"/>
      <c r="AZ141" s="97"/>
    </row>
    <row r="142" spans="1:52" s="39" customFormat="1" ht="18" hidden="1" outlineLevel="1" x14ac:dyDescent="0.3">
      <c r="A142" s="97"/>
      <c r="B142" s="147"/>
      <c r="C142" s="453" t="s">
        <v>326</v>
      </c>
      <c r="D142" s="162"/>
      <c r="E142" s="162"/>
      <c r="F142" s="162"/>
      <c r="G142" s="162"/>
      <c r="H142" s="149" t="s">
        <v>321</v>
      </c>
      <c r="I142" s="534" t="s">
        <v>750</v>
      </c>
      <c r="J142" s="534" t="s">
        <v>593</v>
      </c>
      <c r="K142" s="285" t="s">
        <v>593</v>
      </c>
      <c r="L142" s="285" t="s">
        <v>593</v>
      </c>
      <c r="M142" s="285" t="s">
        <v>593</v>
      </c>
      <c r="N142" s="285" t="s">
        <v>593</v>
      </c>
      <c r="O142" s="285" t="s">
        <v>593</v>
      </c>
      <c r="P142" s="285" t="s">
        <v>593</v>
      </c>
      <c r="Q142" s="285" t="s">
        <v>593</v>
      </c>
      <c r="R142" s="285" t="s">
        <v>593</v>
      </c>
      <c r="S142" s="285" t="s">
        <v>593</v>
      </c>
      <c r="T142" s="285" t="s">
        <v>593</v>
      </c>
      <c r="U142" s="525">
        <v>7.5</v>
      </c>
      <c r="V142" s="280">
        <v>7.5</v>
      </c>
      <c r="W142" s="150">
        <v>14.95</v>
      </c>
      <c r="X142" s="151" t="s">
        <v>360</v>
      </c>
      <c r="Y142" s="100"/>
      <c r="Z142" s="458" t="s">
        <v>2</v>
      </c>
      <c r="AA142" s="848">
        <f t="shared" si="64"/>
        <v>0</v>
      </c>
      <c r="AB142" s="405">
        <f t="shared" si="66"/>
        <v>0.49832775919732442</v>
      </c>
      <c r="AC142" s="100"/>
      <c r="AD142" s="100"/>
      <c r="AE142" s="100"/>
      <c r="AF142" s="100"/>
      <c r="AG142" s="100"/>
      <c r="AH142" s="101"/>
      <c r="AI142" s="101"/>
      <c r="AJ142" s="100"/>
      <c r="AK142" s="101"/>
      <c r="AL142" s="101"/>
      <c r="AM142" s="100"/>
      <c r="AN142" s="97"/>
      <c r="AO142" s="97"/>
      <c r="AP142" s="97"/>
      <c r="AQ142" s="97"/>
      <c r="AR142" s="97"/>
      <c r="AS142" s="97"/>
      <c r="AT142" s="97"/>
      <c r="AU142" s="97"/>
      <c r="AV142" s="97"/>
      <c r="AW142" s="97"/>
      <c r="AX142" s="97"/>
      <c r="AY142" s="97"/>
      <c r="AZ142" s="97"/>
    </row>
    <row r="143" spans="1:52" s="39" customFormat="1" ht="18" hidden="1" outlineLevel="1" x14ac:dyDescent="0.3">
      <c r="A143" s="97"/>
      <c r="B143" s="147"/>
      <c r="C143" s="148" t="s">
        <v>336</v>
      </c>
      <c r="D143" s="166"/>
      <c r="E143" s="166"/>
      <c r="F143" s="166"/>
      <c r="G143" s="166"/>
      <c r="H143" s="149" t="s">
        <v>337</v>
      </c>
      <c r="I143" s="534" t="s">
        <v>750</v>
      </c>
      <c r="J143" s="534" t="s">
        <v>593</v>
      </c>
      <c r="K143" s="285" t="s">
        <v>593</v>
      </c>
      <c r="L143" s="285" t="s">
        <v>593</v>
      </c>
      <c r="M143" s="285" t="s">
        <v>593</v>
      </c>
      <c r="N143" s="285" t="s">
        <v>593</v>
      </c>
      <c r="O143" s="285" t="s">
        <v>593</v>
      </c>
      <c r="P143" s="285" t="s">
        <v>593</v>
      </c>
      <c r="Q143" s="285" t="s">
        <v>593</v>
      </c>
      <c r="R143" s="285" t="s">
        <v>593</v>
      </c>
      <c r="S143" s="285" t="s">
        <v>593</v>
      </c>
      <c r="T143" s="285" t="s">
        <v>593</v>
      </c>
      <c r="U143" s="525">
        <v>20</v>
      </c>
      <c r="V143" s="280">
        <v>20</v>
      </c>
      <c r="W143" s="150">
        <v>29.95</v>
      </c>
      <c r="X143" s="151" t="s">
        <v>367</v>
      </c>
      <c r="Y143" s="100"/>
      <c r="Z143" s="458" t="s">
        <v>2</v>
      </c>
      <c r="AA143" s="848">
        <f t="shared" si="64"/>
        <v>0</v>
      </c>
      <c r="AB143" s="405">
        <f t="shared" si="66"/>
        <v>0.332220367278798</v>
      </c>
      <c r="AC143" s="100"/>
      <c r="AD143" s="100"/>
      <c r="AE143" s="100"/>
      <c r="AF143" s="100"/>
      <c r="AG143" s="100"/>
      <c r="AH143" s="101"/>
      <c r="AI143" s="101"/>
      <c r="AJ143" s="100"/>
      <c r="AK143" s="101"/>
      <c r="AL143" s="101"/>
      <c r="AM143" s="100"/>
      <c r="AN143" s="97"/>
      <c r="AO143" s="97"/>
      <c r="AP143" s="97"/>
      <c r="AQ143" s="97"/>
      <c r="AR143" s="97"/>
      <c r="AS143" s="97"/>
      <c r="AT143" s="97"/>
      <c r="AU143" s="97"/>
      <c r="AV143" s="97"/>
      <c r="AW143" s="97"/>
      <c r="AX143" s="97"/>
      <c r="AY143" s="97"/>
      <c r="AZ143" s="97"/>
    </row>
    <row r="144" spans="1:52" s="39" customFormat="1" ht="18" hidden="1" outlineLevel="1" x14ac:dyDescent="0.3">
      <c r="A144" s="97"/>
      <c r="B144" s="147"/>
      <c r="C144" s="148" t="s">
        <v>338</v>
      </c>
      <c r="D144" s="166"/>
      <c r="E144" s="166"/>
      <c r="F144" s="166"/>
      <c r="G144" s="166"/>
      <c r="H144" s="149" t="s">
        <v>339</v>
      </c>
      <c r="I144" s="534" t="s">
        <v>750</v>
      </c>
      <c r="J144" s="534" t="s">
        <v>593</v>
      </c>
      <c r="K144" s="285" t="s">
        <v>593</v>
      </c>
      <c r="L144" s="285" t="s">
        <v>593</v>
      </c>
      <c r="M144" s="285" t="s">
        <v>593</v>
      </c>
      <c r="N144" s="285" t="s">
        <v>593</v>
      </c>
      <c r="O144" s="285" t="s">
        <v>593</v>
      </c>
      <c r="P144" s="285" t="s">
        <v>593</v>
      </c>
      <c r="Q144" s="285" t="s">
        <v>593</v>
      </c>
      <c r="R144" s="285" t="s">
        <v>593</v>
      </c>
      <c r="S144" s="285" t="s">
        <v>593</v>
      </c>
      <c r="T144" s="285" t="s">
        <v>593</v>
      </c>
      <c r="U144" s="525">
        <v>30</v>
      </c>
      <c r="V144" s="280">
        <v>30</v>
      </c>
      <c r="W144" s="150">
        <v>39.950000000000003</v>
      </c>
      <c r="X144" s="151" t="s">
        <v>368</v>
      </c>
      <c r="Y144" s="100"/>
      <c r="Z144" s="458" t="s">
        <v>2</v>
      </c>
      <c r="AA144" s="848">
        <f t="shared" si="64"/>
        <v>0</v>
      </c>
      <c r="AB144" s="405">
        <f t="shared" ref="AB144" si="67">1-V144/W144</f>
        <v>0.24906132665832292</v>
      </c>
      <c r="AC144" s="100"/>
      <c r="AD144" s="100"/>
      <c r="AE144" s="100"/>
      <c r="AF144" s="100"/>
      <c r="AG144" s="100"/>
      <c r="AH144" s="101"/>
      <c r="AI144" s="101"/>
      <c r="AJ144" s="100"/>
      <c r="AK144" s="101"/>
      <c r="AL144" s="101"/>
      <c r="AM144" s="100"/>
      <c r="AN144" s="97"/>
      <c r="AO144" s="97"/>
      <c r="AP144" s="97"/>
      <c r="AQ144" s="97"/>
      <c r="AR144" s="97"/>
      <c r="AS144" s="97"/>
      <c r="AT144" s="97"/>
      <c r="AU144" s="97"/>
      <c r="AV144" s="97"/>
      <c r="AW144" s="97"/>
      <c r="AX144" s="97"/>
      <c r="AY144" s="97"/>
      <c r="AZ144" s="97"/>
    </row>
    <row r="145" spans="1:52" s="39" customFormat="1" ht="18" hidden="1" outlineLevel="1" x14ac:dyDescent="0.3">
      <c r="A145" s="97"/>
      <c r="B145" s="454"/>
      <c r="C145" s="455" t="s">
        <v>381</v>
      </c>
      <c r="D145" s="166"/>
      <c r="E145" s="166"/>
      <c r="F145" s="166"/>
      <c r="G145" s="166"/>
      <c r="H145" s="149"/>
      <c r="I145" s="534"/>
      <c r="J145" s="534"/>
      <c r="K145" s="285"/>
      <c r="L145" s="285"/>
      <c r="M145" s="285"/>
      <c r="N145" s="285"/>
      <c r="O145" s="285"/>
      <c r="P145" s="285"/>
      <c r="Q145" s="285"/>
      <c r="R145" s="285"/>
      <c r="S145" s="285"/>
      <c r="T145" s="285"/>
      <c r="U145" s="525"/>
      <c r="V145" s="280"/>
      <c r="W145" s="150"/>
      <c r="X145" s="151"/>
      <c r="Y145" s="100"/>
      <c r="Z145" s="458" t="s">
        <v>2</v>
      </c>
      <c r="AA145" s="848" t="e">
        <f t="shared" si="64"/>
        <v>#DIV/0!</v>
      </c>
      <c r="AB145" s="405" t="e">
        <f t="shared" ref="AB145:AB151" si="68">1-V145/W145</f>
        <v>#DIV/0!</v>
      </c>
      <c r="AC145" s="100"/>
      <c r="AD145" s="100"/>
      <c r="AE145" s="100"/>
      <c r="AF145" s="100"/>
      <c r="AG145" s="100"/>
      <c r="AH145" s="101"/>
      <c r="AI145" s="101"/>
      <c r="AJ145" s="100"/>
      <c r="AK145" s="101"/>
      <c r="AL145" s="101"/>
      <c r="AM145" s="100"/>
      <c r="AN145" s="97"/>
      <c r="AO145" s="97"/>
      <c r="AP145" s="97"/>
      <c r="AQ145" s="97"/>
      <c r="AR145" s="97"/>
      <c r="AS145" s="97"/>
      <c r="AT145" s="97"/>
      <c r="AU145" s="97"/>
      <c r="AV145" s="97"/>
      <c r="AW145" s="97"/>
      <c r="AX145" s="97"/>
      <c r="AY145" s="97"/>
      <c r="AZ145" s="97"/>
    </row>
    <row r="146" spans="1:52" s="39" customFormat="1" ht="18" hidden="1" outlineLevel="1" x14ac:dyDescent="0.3">
      <c r="A146" s="97"/>
      <c r="B146" s="147"/>
      <c r="C146" s="148" t="s">
        <v>261</v>
      </c>
      <c r="D146" s="166"/>
      <c r="E146" s="166"/>
      <c r="F146" s="166"/>
      <c r="G146" s="166"/>
      <c r="H146" s="149" t="s">
        <v>268</v>
      </c>
      <c r="I146" s="534" t="s">
        <v>750</v>
      </c>
      <c r="J146" s="534" t="s">
        <v>593</v>
      </c>
      <c r="K146" s="285" t="s">
        <v>593</v>
      </c>
      <c r="L146" s="285" t="s">
        <v>593</v>
      </c>
      <c r="M146" s="285" t="s">
        <v>593</v>
      </c>
      <c r="N146" s="285" t="s">
        <v>593</v>
      </c>
      <c r="O146" s="285" t="s">
        <v>593</v>
      </c>
      <c r="P146" s="285" t="s">
        <v>593</v>
      </c>
      <c r="Q146" s="285" t="s">
        <v>593</v>
      </c>
      <c r="R146" s="285" t="s">
        <v>593</v>
      </c>
      <c r="S146" s="285" t="s">
        <v>593</v>
      </c>
      <c r="T146" s="285" t="s">
        <v>593</v>
      </c>
      <c r="U146" s="525">
        <v>14.95</v>
      </c>
      <c r="V146" s="280">
        <v>14.95</v>
      </c>
      <c r="W146" s="150">
        <v>14.95</v>
      </c>
      <c r="X146" s="151" t="s">
        <v>106</v>
      </c>
      <c r="Y146" s="100"/>
      <c r="Z146" s="458" t="s">
        <v>2</v>
      </c>
      <c r="AA146" s="848">
        <f t="shared" si="64"/>
        <v>0</v>
      </c>
      <c r="AB146" s="405">
        <f t="shared" si="68"/>
        <v>0</v>
      </c>
      <c r="AC146" s="100"/>
      <c r="AD146" s="100"/>
      <c r="AE146" s="100"/>
      <c r="AF146" s="100"/>
      <c r="AG146" s="100"/>
      <c r="AH146" s="101"/>
      <c r="AI146" s="101"/>
      <c r="AJ146" s="100"/>
      <c r="AK146" s="101"/>
      <c r="AL146" s="101"/>
      <c r="AM146" s="100"/>
      <c r="AN146" s="97"/>
      <c r="AO146" s="97"/>
      <c r="AP146" s="97"/>
      <c r="AQ146" s="97"/>
      <c r="AR146" s="97"/>
      <c r="AS146" s="97"/>
      <c r="AT146" s="97"/>
      <c r="AU146" s="97"/>
      <c r="AV146" s="97"/>
      <c r="AW146" s="97"/>
      <c r="AX146" s="97"/>
      <c r="AY146" s="97"/>
      <c r="AZ146" s="97"/>
    </row>
    <row r="147" spans="1:52" s="39" customFormat="1" ht="18" hidden="1" outlineLevel="1" x14ac:dyDescent="0.3">
      <c r="A147" s="97"/>
      <c r="B147" s="147"/>
      <c r="C147" s="148" t="s">
        <v>264</v>
      </c>
      <c r="D147" s="166"/>
      <c r="E147" s="166"/>
      <c r="F147" s="166"/>
      <c r="G147" s="166"/>
      <c r="H147" s="149" t="s">
        <v>262</v>
      </c>
      <c r="I147" s="534" t="s">
        <v>750</v>
      </c>
      <c r="J147" s="534" t="s">
        <v>593</v>
      </c>
      <c r="K147" s="285" t="s">
        <v>593</v>
      </c>
      <c r="L147" s="285" t="s">
        <v>593</v>
      </c>
      <c r="M147" s="285" t="s">
        <v>593</v>
      </c>
      <c r="N147" s="285" t="s">
        <v>593</v>
      </c>
      <c r="O147" s="285" t="s">
        <v>593</v>
      </c>
      <c r="P147" s="285" t="s">
        <v>593</v>
      </c>
      <c r="Q147" s="285" t="s">
        <v>593</v>
      </c>
      <c r="R147" s="285" t="s">
        <v>593</v>
      </c>
      <c r="S147" s="285" t="s">
        <v>593</v>
      </c>
      <c r="T147" s="285" t="s">
        <v>593</v>
      </c>
      <c r="U147" s="525">
        <v>19.95</v>
      </c>
      <c r="V147" s="280">
        <v>19.95</v>
      </c>
      <c r="W147" s="150">
        <v>19.95</v>
      </c>
      <c r="X147" s="151" t="s">
        <v>106</v>
      </c>
      <c r="Y147" s="100"/>
      <c r="Z147" s="458" t="s">
        <v>2</v>
      </c>
      <c r="AA147" s="848">
        <f t="shared" si="64"/>
        <v>0</v>
      </c>
      <c r="AB147" s="405">
        <f t="shared" si="68"/>
        <v>0</v>
      </c>
      <c r="AC147" s="100"/>
      <c r="AD147" s="100"/>
      <c r="AE147" s="100"/>
      <c r="AF147" s="100"/>
      <c r="AG147" s="100"/>
      <c r="AH147" s="101"/>
      <c r="AI147" s="101"/>
      <c r="AJ147" s="100"/>
      <c r="AK147" s="101"/>
      <c r="AL147" s="101"/>
      <c r="AM147" s="100"/>
      <c r="AN147" s="97"/>
      <c r="AO147" s="97"/>
      <c r="AP147" s="97"/>
      <c r="AQ147" s="97"/>
      <c r="AR147" s="97"/>
      <c r="AS147" s="97"/>
      <c r="AT147" s="97"/>
      <c r="AU147" s="97"/>
      <c r="AV147" s="97"/>
      <c r="AW147" s="97"/>
      <c r="AX147" s="97"/>
      <c r="AY147" s="97"/>
      <c r="AZ147" s="97"/>
    </row>
    <row r="148" spans="1:52" s="39" customFormat="1" ht="18" hidden="1" outlineLevel="1" x14ac:dyDescent="0.3">
      <c r="A148" s="97"/>
      <c r="B148" s="147"/>
      <c r="C148" s="148" t="s">
        <v>263</v>
      </c>
      <c r="D148" s="166"/>
      <c r="E148" s="166"/>
      <c r="F148" s="166"/>
      <c r="G148" s="166"/>
      <c r="H148" s="149" t="s">
        <v>267</v>
      </c>
      <c r="I148" s="534" t="s">
        <v>750</v>
      </c>
      <c r="J148" s="534" t="s">
        <v>593</v>
      </c>
      <c r="K148" s="285" t="s">
        <v>593</v>
      </c>
      <c r="L148" s="285" t="s">
        <v>593</v>
      </c>
      <c r="M148" s="285" t="s">
        <v>593</v>
      </c>
      <c r="N148" s="285" t="s">
        <v>593</v>
      </c>
      <c r="O148" s="285" t="s">
        <v>593</v>
      </c>
      <c r="P148" s="285" t="s">
        <v>593</v>
      </c>
      <c r="Q148" s="285" t="s">
        <v>593</v>
      </c>
      <c r="R148" s="285" t="s">
        <v>593</v>
      </c>
      <c r="S148" s="285" t="s">
        <v>593</v>
      </c>
      <c r="T148" s="285" t="s">
        <v>593</v>
      </c>
      <c r="U148" s="525">
        <v>39.950000000000003</v>
      </c>
      <c r="V148" s="280">
        <v>39.950000000000003</v>
      </c>
      <c r="W148" s="150">
        <v>39.950000000000003</v>
      </c>
      <c r="X148" s="151" t="s">
        <v>106</v>
      </c>
      <c r="Y148" s="100"/>
      <c r="Z148" s="458" t="s">
        <v>2</v>
      </c>
      <c r="AA148" s="848">
        <f t="shared" si="64"/>
        <v>0</v>
      </c>
      <c r="AB148" s="405">
        <f t="shared" si="68"/>
        <v>0</v>
      </c>
      <c r="AC148" s="100"/>
      <c r="AD148" s="100"/>
      <c r="AE148" s="100"/>
      <c r="AF148" s="100"/>
      <c r="AG148" s="100"/>
      <c r="AH148" s="101"/>
      <c r="AI148" s="101"/>
      <c r="AJ148" s="100"/>
      <c r="AK148" s="101"/>
      <c r="AL148" s="101"/>
      <c r="AM148" s="100"/>
      <c r="AN148" s="97"/>
      <c r="AO148" s="97"/>
      <c r="AP148" s="97"/>
      <c r="AQ148" s="97"/>
      <c r="AR148" s="97"/>
      <c r="AS148" s="97"/>
      <c r="AT148" s="97"/>
      <c r="AU148" s="97"/>
      <c r="AV148" s="97"/>
      <c r="AW148" s="97"/>
      <c r="AX148" s="97"/>
      <c r="AY148" s="97"/>
      <c r="AZ148" s="97"/>
    </row>
    <row r="149" spans="1:52" s="39" customFormat="1" ht="18" hidden="1" outlineLevel="1" x14ac:dyDescent="0.3">
      <c r="A149" s="97"/>
      <c r="B149" s="147"/>
      <c r="C149" s="148" t="s">
        <v>265</v>
      </c>
      <c r="D149" s="166"/>
      <c r="E149" s="166"/>
      <c r="F149" s="166"/>
      <c r="G149" s="166"/>
      <c r="H149" s="149" t="s">
        <v>266</v>
      </c>
      <c r="I149" s="534" t="s">
        <v>750</v>
      </c>
      <c r="J149" s="534" t="s">
        <v>593</v>
      </c>
      <c r="K149" s="285" t="s">
        <v>593</v>
      </c>
      <c r="L149" s="285" t="s">
        <v>593</v>
      </c>
      <c r="M149" s="285" t="s">
        <v>593</v>
      </c>
      <c r="N149" s="285" t="s">
        <v>593</v>
      </c>
      <c r="O149" s="285" t="s">
        <v>593</v>
      </c>
      <c r="P149" s="285" t="s">
        <v>593</v>
      </c>
      <c r="Q149" s="285" t="s">
        <v>593</v>
      </c>
      <c r="R149" s="285" t="s">
        <v>593</v>
      </c>
      <c r="S149" s="285" t="s">
        <v>593</v>
      </c>
      <c r="T149" s="285" t="s">
        <v>593</v>
      </c>
      <c r="U149" s="525">
        <v>39.950000000000003</v>
      </c>
      <c r="V149" s="280">
        <v>39.950000000000003</v>
      </c>
      <c r="W149" s="150">
        <v>39.950000000000003</v>
      </c>
      <c r="X149" s="151" t="s">
        <v>106</v>
      </c>
      <c r="Y149" s="100"/>
      <c r="Z149" s="458" t="s">
        <v>2</v>
      </c>
      <c r="AA149" s="848">
        <f t="shared" si="64"/>
        <v>0</v>
      </c>
      <c r="AB149" s="405">
        <f t="shared" si="68"/>
        <v>0</v>
      </c>
      <c r="AC149" s="100"/>
      <c r="AD149" s="100"/>
      <c r="AE149" s="100"/>
      <c r="AF149" s="100"/>
      <c r="AG149" s="100"/>
      <c r="AH149" s="101"/>
      <c r="AI149" s="101"/>
      <c r="AJ149" s="100"/>
      <c r="AK149" s="101"/>
      <c r="AL149" s="101"/>
      <c r="AM149" s="100"/>
      <c r="AN149" s="97"/>
      <c r="AO149" s="97"/>
      <c r="AP149" s="97"/>
      <c r="AQ149" s="97"/>
      <c r="AR149" s="97"/>
      <c r="AS149" s="97"/>
      <c r="AT149" s="97"/>
      <c r="AU149" s="97"/>
      <c r="AV149" s="97"/>
      <c r="AW149" s="97"/>
      <c r="AX149" s="97"/>
      <c r="AY149" s="97"/>
      <c r="AZ149" s="97"/>
    </row>
    <row r="150" spans="1:52" s="39" customFormat="1" ht="18" hidden="1" outlineLevel="1" x14ac:dyDescent="0.3">
      <c r="A150" s="97"/>
      <c r="B150" s="454"/>
      <c r="C150" s="455" t="s">
        <v>382</v>
      </c>
      <c r="D150" s="166"/>
      <c r="E150" s="166"/>
      <c r="F150" s="166"/>
      <c r="G150" s="166"/>
      <c r="H150" s="149"/>
      <c r="I150" s="534"/>
      <c r="J150" s="534"/>
      <c r="K150" s="285"/>
      <c r="L150" s="285"/>
      <c r="M150" s="285"/>
      <c r="N150" s="285"/>
      <c r="O150" s="285"/>
      <c r="P150" s="285"/>
      <c r="Q150" s="285"/>
      <c r="R150" s="285"/>
      <c r="S150" s="285"/>
      <c r="T150" s="285"/>
      <c r="U150" s="525"/>
      <c r="V150" s="280"/>
      <c r="W150" s="150"/>
      <c r="X150" s="151"/>
      <c r="Y150" s="100"/>
      <c r="Z150" s="458" t="s">
        <v>2</v>
      </c>
      <c r="AA150" s="848" t="e">
        <f t="shared" si="64"/>
        <v>#DIV/0!</v>
      </c>
      <c r="AB150" s="405" t="e">
        <f t="shared" si="68"/>
        <v>#DIV/0!</v>
      </c>
      <c r="AC150" s="100"/>
      <c r="AD150" s="100"/>
      <c r="AE150" s="100"/>
      <c r="AF150" s="100"/>
      <c r="AG150" s="100"/>
      <c r="AH150" s="101"/>
      <c r="AI150" s="101"/>
      <c r="AJ150" s="100"/>
      <c r="AK150" s="101"/>
      <c r="AL150" s="101"/>
      <c r="AM150" s="100"/>
      <c r="AN150" s="97"/>
      <c r="AO150" s="97"/>
      <c r="AP150" s="97"/>
      <c r="AQ150" s="97"/>
      <c r="AR150" s="97"/>
      <c r="AS150" s="97"/>
      <c r="AT150" s="97"/>
      <c r="AU150" s="97"/>
      <c r="AV150" s="97"/>
      <c r="AW150" s="97"/>
      <c r="AX150" s="97"/>
      <c r="AY150" s="97"/>
      <c r="AZ150" s="97"/>
    </row>
    <row r="151" spans="1:52" s="39" customFormat="1" ht="18" hidden="1" outlineLevel="1" x14ac:dyDescent="0.3">
      <c r="A151" s="97"/>
      <c r="B151" s="147"/>
      <c r="C151" s="453" t="s">
        <v>333</v>
      </c>
      <c r="D151" s="162"/>
      <c r="E151" s="162"/>
      <c r="F151" s="162"/>
      <c r="G151" s="162"/>
      <c r="H151" s="149" t="s">
        <v>320</v>
      </c>
      <c r="I151" s="534" t="s">
        <v>750</v>
      </c>
      <c r="J151" s="534" t="s">
        <v>593</v>
      </c>
      <c r="K151" s="285" t="s">
        <v>593</v>
      </c>
      <c r="L151" s="285" t="s">
        <v>593</v>
      </c>
      <c r="M151" s="285" t="s">
        <v>593</v>
      </c>
      <c r="N151" s="285" t="s">
        <v>593</v>
      </c>
      <c r="O151" s="285" t="s">
        <v>593</v>
      </c>
      <c r="P151" s="285" t="s">
        <v>593</v>
      </c>
      <c r="Q151" s="285" t="s">
        <v>593</v>
      </c>
      <c r="R151" s="285" t="s">
        <v>593</v>
      </c>
      <c r="S151" s="285" t="s">
        <v>593</v>
      </c>
      <c r="T151" s="285" t="s">
        <v>593</v>
      </c>
      <c r="U151" s="525">
        <v>12.5</v>
      </c>
      <c r="V151" s="280">
        <v>12.5</v>
      </c>
      <c r="W151" s="150">
        <v>24.95</v>
      </c>
      <c r="X151" s="151" t="s">
        <v>364</v>
      </c>
      <c r="Y151" s="100"/>
      <c r="Z151" s="458" t="s">
        <v>2</v>
      </c>
      <c r="AA151" s="848">
        <f t="shared" si="64"/>
        <v>0</v>
      </c>
      <c r="AB151" s="405">
        <f t="shared" si="68"/>
        <v>0.49899799599198391</v>
      </c>
      <c r="AC151" s="100"/>
      <c r="AD151" s="100"/>
      <c r="AE151" s="100"/>
      <c r="AF151" s="100"/>
      <c r="AG151" s="100"/>
      <c r="AH151" s="101"/>
      <c r="AI151" s="101"/>
      <c r="AJ151" s="100"/>
      <c r="AK151" s="101"/>
      <c r="AL151" s="101"/>
      <c r="AM151" s="100"/>
      <c r="AN151" s="97"/>
      <c r="AO151" s="97"/>
      <c r="AP151" s="97"/>
      <c r="AQ151" s="97"/>
      <c r="AR151" s="97"/>
      <c r="AS151" s="97"/>
      <c r="AT151" s="97"/>
      <c r="AU151" s="97"/>
      <c r="AV151" s="97"/>
      <c r="AW151" s="97"/>
      <c r="AX151" s="97"/>
      <c r="AY151" s="97"/>
      <c r="AZ151" s="97"/>
    </row>
    <row r="152" spans="1:52" s="39" customFormat="1" ht="18" hidden="1" outlineLevel="1" x14ac:dyDescent="0.3">
      <c r="A152" s="97"/>
      <c r="B152" s="147"/>
      <c r="C152" s="453" t="s">
        <v>307</v>
      </c>
      <c r="D152" s="166"/>
      <c r="E152" s="166"/>
      <c r="F152" s="166"/>
      <c r="G152" s="166"/>
      <c r="H152" s="149" t="s">
        <v>320</v>
      </c>
      <c r="I152" s="534" t="s">
        <v>750</v>
      </c>
      <c r="J152" s="534" t="s">
        <v>593</v>
      </c>
      <c r="K152" s="285" t="s">
        <v>593</v>
      </c>
      <c r="L152" s="285" t="s">
        <v>593</v>
      </c>
      <c r="M152" s="285" t="s">
        <v>593</v>
      </c>
      <c r="N152" s="285" t="s">
        <v>593</v>
      </c>
      <c r="O152" s="285" t="s">
        <v>593</v>
      </c>
      <c r="P152" s="285" t="s">
        <v>593</v>
      </c>
      <c r="Q152" s="285" t="s">
        <v>593</v>
      </c>
      <c r="R152" s="285" t="s">
        <v>593</v>
      </c>
      <c r="S152" s="285" t="s">
        <v>593</v>
      </c>
      <c r="T152" s="285" t="s">
        <v>593</v>
      </c>
      <c r="U152" s="525">
        <v>10</v>
      </c>
      <c r="V152" s="280">
        <v>10</v>
      </c>
      <c r="W152" s="150">
        <v>19.95</v>
      </c>
      <c r="X152" s="151" t="s">
        <v>360</v>
      </c>
      <c r="Y152" s="100"/>
      <c r="Z152" s="458" t="s">
        <v>2</v>
      </c>
      <c r="AA152" s="848">
        <f t="shared" si="64"/>
        <v>0</v>
      </c>
      <c r="AB152" s="405">
        <f t="shared" ref="AB152" si="69">1-V152/W152</f>
        <v>0.49874686716791983</v>
      </c>
      <c r="AC152" s="100"/>
      <c r="AD152" s="100"/>
      <c r="AE152" s="100"/>
      <c r="AF152" s="100"/>
      <c r="AG152" s="100"/>
      <c r="AH152" s="101"/>
      <c r="AI152" s="101"/>
      <c r="AJ152" s="100"/>
      <c r="AK152" s="101"/>
      <c r="AL152" s="101"/>
      <c r="AM152" s="100"/>
      <c r="AN152" s="97"/>
      <c r="AO152" s="97"/>
      <c r="AP152" s="97"/>
      <c r="AQ152" s="97"/>
      <c r="AR152" s="97"/>
      <c r="AS152" s="97"/>
      <c r="AT152" s="97"/>
      <c r="AU152" s="97"/>
      <c r="AV152" s="97"/>
      <c r="AW152" s="97"/>
      <c r="AX152" s="97"/>
      <c r="AY152" s="97"/>
      <c r="AZ152" s="97"/>
    </row>
    <row r="153" spans="1:52" s="39" customFormat="1" ht="18" hidden="1" outlineLevel="1" x14ac:dyDescent="0.3">
      <c r="A153" s="97"/>
      <c r="B153" s="147"/>
      <c r="C153" s="453" t="s">
        <v>308</v>
      </c>
      <c r="D153" s="166"/>
      <c r="E153" s="166"/>
      <c r="F153" s="166"/>
      <c r="G153" s="166"/>
      <c r="H153" s="149" t="s">
        <v>320</v>
      </c>
      <c r="I153" s="534" t="s">
        <v>750</v>
      </c>
      <c r="J153" s="534" t="s">
        <v>593</v>
      </c>
      <c r="K153" s="285" t="s">
        <v>593</v>
      </c>
      <c r="L153" s="285" t="s">
        <v>593</v>
      </c>
      <c r="M153" s="285" t="s">
        <v>593</v>
      </c>
      <c r="N153" s="285" t="s">
        <v>593</v>
      </c>
      <c r="O153" s="285" t="s">
        <v>593</v>
      </c>
      <c r="P153" s="285" t="s">
        <v>593</v>
      </c>
      <c r="Q153" s="285" t="s">
        <v>593</v>
      </c>
      <c r="R153" s="285" t="s">
        <v>593</v>
      </c>
      <c r="S153" s="285" t="s">
        <v>593</v>
      </c>
      <c r="T153" s="285" t="s">
        <v>593</v>
      </c>
      <c r="U153" s="525">
        <v>10</v>
      </c>
      <c r="V153" s="280">
        <v>10</v>
      </c>
      <c r="W153" s="150">
        <v>19.95</v>
      </c>
      <c r="X153" s="151" t="s">
        <v>360</v>
      </c>
      <c r="Y153" s="100"/>
      <c r="Z153" s="458" t="s">
        <v>2</v>
      </c>
      <c r="AA153" s="848">
        <f t="shared" si="64"/>
        <v>0</v>
      </c>
      <c r="AB153" s="405">
        <f t="shared" ref="AB153:AB155" si="70">1-V153/W153</f>
        <v>0.49874686716791983</v>
      </c>
      <c r="AC153" s="100"/>
      <c r="AD153" s="100"/>
      <c r="AE153" s="100"/>
      <c r="AF153" s="100"/>
      <c r="AG153" s="100"/>
      <c r="AH153" s="101"/>
      <c r="AI153" s="101"/>
      <c r="AJ153" s="100"/>
      <c r="AK153" s="101"/>
      <c r="AL153" s="101"/>
      <c r="AM153" s="100"/>
      <c r="AN153" s="97"/>
      <c r="AO153" s="97"/>
      <c r="AP153" s="97"/>
      <c r="AQ153" s="97"/>
      <c r="AR153" s="97"/>
      <c r="AS153" s="97"/>
      <c r="AT153" s="97"/>
      <c r="AU153" s="97"/>
      <c r="AV153" s="97"/>
      <c r="AW153" s="97"/>
      <c r="AX153" s="97"/>
      <c r="AY153" s="97"/>
      <c r="AZ153" s="97"/>
    </row>
    <row r="154" spans="1:52" s="39" customFormat="1" ht="18" hidden="1" outlineLevel="1" x14ac:dyDescent="0.3">
      <c r="A154" s="97"/>
      <c r="B154" s="147"/>
      <c r="C154" s="453" t="s">
        <v>309</v>
      </c>
      <c r="D154" s="162"/>
      <c r="E154" s="162"/>
      <c r="F154" s="162"/>
      <c r="G154" s="162"/>
      <c r="H154" s="149" t="s">
        <v>320</v>
      </c>
      <c r="I154" s="534" t="s">
        <v>750</v>
      </c>
      <c r="J154" s="534" t="s">
        <v>593</v>
      </c>
      <c r="K154" s="285" t="s">
        <v>593</v>
      </c>
      <c r="L154" s="285" t="s">
        <v>593</v>
      </c>
      <c r="M154" s="285" t="s">
        <v>593</v>
      </c>
      <c r="N154" s="285" t="s">
        <v>593</v>
      </c>
      <c r="O154" s="285" t="s">
        <v>593</v>
      </c>
      <c r="P154" s="285" t="s">
        <v>593</v>
      </c>
      <c r="Q154" s="285" t="s">
        <v>593</v>
      </c>
      <c r="R154" s="285" t="s">
        <v>593</v>
      </c>
      <c r="S154" s="285" t="s">
        <v>593</v>
      </c>
      <c r="T154" s="285" t="s">
        <v>593</v>
      </c>
      <c r="U154" s="525">
        <v>15</v>
      </c>
      <c r="V154" s="280">
        <v>15</v>
      </c>
      <c r="W154" s="150">
        <v>29.95</v>
      </c>
      <c r="X154" s="151" t="s">
        <v>360</v>
      </c>
      <c r="Y154" s="100"/>
      <c r="Z154" s="458" t="s">
        <v>2</v>
      </c>
      <c r="AA154" s="848">
        <f t="shared" si="64"/>
        <v>0</v>
      </c>
      <c r="AB154" s="405">
        <f t="shared" si="70"/>
        <v>0.4991652754590985</v>
      </c>
      <c r="AC154" s="100"/>
      <c r="AD154" s="100"/>
      <c r="AE154" s="100"/>
      <c r="AF154" s="100"/>
      <c r="AG154" s="100"/>
      <c r="AH154" s="101"/>
      <c r="AI154" s="101"/>
      <c r="AJ154" s="100"/>
      <c r="AK154" s="101"/>
      <c r="AL154" s="101"/>
      <c r="AM154" s="100"/>
      <c r="AN154" s="97"/>
      <c r="AO154" s="97"/>
      <c r="AP154" s="97"/>
      <c r="AQ154" s="97"/>
      <c r="AR154" s="97"/>
      <c r="AS154" s="97"/>
      <c r="AT154" s="97"/>
      <c r="AU154" s="97"/>
      <c r="AV154" s="97"/>
      <c r="AW154" s="97"/>
      <c r="AX154" s="97"/>
      <c r="AY154" s="97"/>
      <c r="AZ154" s="97"/>
    </row>
    <row r="155" spans="1:52" s="39" customFormat="1" ht="18" hidden="1" outlineLevel="1" x14ac:dyDescent="0.3">
      <c r="A155" s="97"/>
      <c r="B155" s="147"/>
      <c r="C155" s="453" t="s">
        <v>310</v>
      </c>
      <c r="D155" s="162"/>
      <c r="E155" s="162"/>
      <c r="F155" s="162"/>
      <c r="G155" s="162"/>
      <c r="H155" s="149" t="s">
        <v>320</v>
      </c>
      <c r="I155" s="534" t="s">
        <v>750</v>
      </c>
      <c r="J155" s="534" t="s">
        <v>593</v>
      </c>
      <c r="K155" s="285" t="s">
        <v>593</v>
      </c>
      <c r="L155" s="285" t="s">
        <v>593</v>
      </c>
      <c r="M155" s="285" t="s">
        <v>593</v>
      </c>
      <c r="N155" s="285" t="s">
        <v>593</v>
      </c>
      <c r="O155" s="285" t="s">
        <v>593</v>
      </c>
      <c r="P155" s="285" t="s">
        <v>593</v>
      </c>
      <c r="Q155" s="285" t="s">
        <v>593</v>
      </c>
      <c r="R155" s="285" t="s">
        <v>593</v>
      </c>
      <c r="S155" s="285" t="s">
        <v>593</v>
      </c>
      <c r="T155" s="285" t="s">
        <v>593</v>
      </c>
      <c r="U155" s="525">
        <v>10</v>
      </c>
      <c r="V155" s="280">
        <v>10</v>
      </c>
      <c r="W155" s="150">
        <v>19.95</v>
      </c>
      <c r="X155" s="151" t="s">
        <v>360</v>
      </c>
      <c r="Y155" s="100"/>
      <c r="Z155" s="458" t="s">
        <v>2</v>
      </c>
      <c r="AA155" s="848">
        <f t="shared" si="64"/>
        <v>0</v>
      </c>
      <c r="AB155" s="405">
        <f t="shared" si="70"/>
        <v>0.49874686716791983</v>
      </c>
      <c r="AC155" s="100"/>
      <c r="AD155" s="100"/>
      <c r="AE155" s="100"/>
      <c r="AF155" s="100"/>
      <c r="AG155" s="100"/>
      <c r="AH155" s="101"/>
      <c r="AI155" s="101"/>
      <c r="AJ155" s="100"/>
      <c r="AK155" s="101"/>
      <c r="AL155" s="101"/>
      <c r="AM155" s="100"/>
      <c r="AN155" s="97"/>
      <c r="AO155" s="97"/>
      <c r="AP155" s="97"/>
      <c r="AQ155" s="97"/>
      <c r="AR155" s="97"/>
      <c r="AS155" s="97"/>
      <c r="AT155" s="97"/>
      <c r="AU155" s="97"/>
      <c r="AV155" s="97"/>
      <c r="AW155" s="97"/>
      <c r="AX155" s="97"/>
      <c r="AY155" s="97"/>
      <c r="AZ155" s="97"/>
    </row>
    <row r="156" spans="1:52" s="39" customFormat="1" ht="18" hidden="1" outlineLevel="1" x14ac:dyDescent="0.3">
      <c r="A156" s="97"/>
      <c r="B156" s="147"/>
      <c r="C156" s="453" t="s">
        <v>328</v>
      </c>
      <c r="D156" s="162"/>
      <c r="E156" s="162"/>
      <c r="F156" s="162"/>
      <c r="G156" s="162"/>
      <c r="H156" s="149" t="s">
        <v>320</v>
      </c>
      <c r="I156" s="534" t="s">
        <v>750</v>
      </c>
      <c r="J156" s="534" t="s">
        <v>593</v>
      </c>
      <c r="K156" s="285" t="s">
        <v>593</v>
      </c>
      <c r="L156" s="285" t="s">
        <v>593</v>
      </c>
      <c r="M156" s="285" t="s">
        <v>593</v>
      </c>
      <c r="N156" s="285" t="s">
        <v>593</v>
      </c>
      <c r="O156" s="285" t="s">
        <v>593</v>
      </c>
      <c r="P156" s="285" t="s">
        <v>593</v>
      </c>
      <c r="Q156" s="285" t="s">
        <v>593</v>
      </c>
      <c r="R156" s="285" t="s">
        <v>593</v>
      </c>
      <c r="S156" s="285" t="s">
        <v>593</v>
      </c>
      <c r="T156" s="285" t="s">
        <v>593</v>
      </c>
      <c r="U156" s="525">
        <v>10</v>
      </c>
      <c r="V156" s="280">
        <v>10</v>
      </c>
      <c r="W156" s="150">
        <v>19.95</v>
      </c>
      <c r="X156" s="151" t="s">
        <v>364</v>
      </c>
      <c r="Y156" s="100"/>
      <c r="Z156" s="458" t="s">
        <v>2</v>
      </c>
      <c r="AA156" s="848">
        <f t="shared" si="64"/>
        <v>0</v>
      </c>
      <c r="AB156" s="405">
        <f t="shared" ref="AB156" si="71">1-V156/W156</f>
        <v>0.49874686716791983</v>
      </c>
      <c r="AC156" s="100"/>
      <c r="AD156" s="100"/>
      <c r="AE156" s="100"/>
      <c r="AF156" s="100"/>
      <c r="AG156" s="100"/>
      <c r="AH156" s="101"/>
      <c r="AI156" s="101"/>
      <c r="AJ156" s="100"/>
      <c r="AK156" s="101"/>
      <c r="AL156" s="101"/>
      <c r="AM156" s="100"/>
      <c r="AN156" s="97"/>
      <c r="AO156" s="97"/>
      <c r="AP156" s="97"/>
      <c r="AQ156" s="97"/>
      <c r="AR156" s="97"/>
      <c r="AS156" s="97"/>
      <c r="AT156" s="97"/>
      <c r="AU156" s="97"/>
      <c r="AV156" s="97"/>
      <c r="AW156" s="97"/>
      <c r="AX156" s="97"/>
      <c r="AY156" s="97"/>
      <c r="AZ156" s="97"/>
    </row>
    <row r="157" spans="1:52" s="39" customFormat="1" ht="18" hidden="1" outlineLevel="1" x14ac:dyDescent="0.3">
      <c r="A157" s="97"/>
      <c r="B157" s="147"/>
      <c r="C157" s="453" t="s">
        <v>322</v>
      </c>
      <c r="D157" s="162"/>
      <c r="E157" s="162"/>
      <c r="F157" s="162"/>
      <c r="G157" s="162"/>
      <c r="H157" s="149" t="s">
        <v>320</v>
      </c>
      <c r="I157" s="534" t="s">
        <v>750</v>
      </c>
      <c r="J157" s="534" t="s">
        <v>593</v>
      </c>
      <c r="K157" s="285" t="s">
        <v>593</v>
      </c>
      <c r="L157" s="285" t="s">
        <v>593</v>
      </c>
      <c r="M157" s="285" t="s">
        <v>593</v>
      </c>
      <c r="N157" s="285" t="s">
        <v>593</v>
      </c>
      <c r="O157" s="285" t="s">
        <v>593</v>
      </c>
      <c r="P157" s="285" t="s">
        <v>593</v>
      </c>
      <c r="Q157" s="285" t="s">
        <v>593</v>
      </c>
      <c r="R157" s="285" t="s">
        <v>593</v>
      </c>
      <c r="S157" s="285" t="s">
        <v>593</v>
      </c>
      <c r="T157" s="285" t="s">
        <v>593</v>
      </c>
      <c r="U157" s="525">
        <v>5</v>
      </c>
      <c r="V157" s="280">
        <v>5</v>
      </c>
      <c r="W157" s="150">
        <v>9.9499999999999993</v>
      </c>
      <c r="X157" s="151" t="s">
        <v>360</v>
      </c>
      <c r="Y157" s="100"/>
      <c r="Z157" s="458" t="s">
        <v>2</v>
      </c>
      <c r="AA157" s="848">
        <f t="shared" si="64"/>
        <v>0</v>
      </c>
      <c r="AB157" s="405">
        <f t="shared" ref="AB157" si="72">1-V157/W157</f>
        <v>0.49748743718592958</v>
      </c>
      <c r="AC157" s="100"/>
      <c r="AD157" s="100"/>
      <c r="AE157" s="100"/>
      <c r="AF157" s="100"/>
      <c r="AG157" s="100"/>
      <c r="AH157" s="101"/>
      <c r="AI157" s="101"/>
      <c r="AJ157" s="100"/>
      <c r="AK157" s="101"/>
      <c r="AL157" s="101"/>
      <c r="AM157" s="100"/>
      <c r="AN157" s="97"/>
      <c r="AO157" s="97"/>
      <c r="AP157" s="97"/>
      <c r="AQ157" s="97"/>
      <c r="AR157" s="97"/>
      <c r="AS157" s="97"/>
      <c r="AT157" s="97"/>
      <c r="AU157" s="97"/>
      <c r="AV157" s="97"/>
      <c r="AW157" s="97"/>
      <c r="AX157" s="97"/>
      <c r="AY157" s="97"/>
      <c r="AZ157" s="97"/>
    </row>
    <row r="158" spans="1:52" s="39" customFormat="1" ht="18" hidden="1" outlineLevel="1" x14ac:dyDescent="0.3">
      <c r="A158" s="97"/>
      <c r="B158" s="147"/>
      <c r="C158" s="453" t="s">
        <v>323</v>
      </c>
      <c r="D158" s="162"/>
      <c r="E158" s="162"/>
      <c r="F158" s="162"/>
      <c r="G158" s="162"/>
      <c r="H158" s="149" t="s">
        <v>320</v>
      </c>
      <c r="I158" s="534" t="s">
        <v>750</v>
      </c>
      <c r="J158" s="534" t="s">
        <v>593</v>
      </c>
      <c r="K158" s="285" t="s">
        <v>593</v>
      </c>
      <c r="L158" s="285" t="s">
        <v>593</v>
      </c>
      <c r="M158" s="285" t="s">
        <v>593</v>
      </c>
      <c r="N158" s="285" t="s">
        <v>593</v>
      </c>
      <c r="O158" s="285" t="s">
        <v>593</v>
      </c>
      <c r="P158" s="285" t="s">
        <v>593</v>
      </c>
      <c r="Q158" s="285" t="s">
        <v>593</v>
      </c>
      <c r="R158" s="285" t="s">
        <v>593</v>
      </c>
      <c r="S158" s="285" t="s">
        <v>593</v>
      </c>
      <c r="T158" s="285" t="s">
        <v>593</v>
      </c>
      <c r="U158" s="525">
        <v>7.5</v>
      </c>
      <c r="V158" s="280">
        <v>7.5</v>
      </c>
      <c r="W158" s="150">
        <v>14.95</v>
      </c>
      <c r="X158" s="151" t="s">
        <v>360</v>
      </c>
      <c r="Y158" s="100"/>
      <c r="Z158" s="458" t="s">
        <v>2</v>
      </c>
      <c r="AA158" s="848">
        <f t="shared" si="64"/>
        <v>0</v>
      </c>
      <c r="AB158" s="405">
        <f t="shared" ref="AB158:AB163" si="73">1-V158/W158</f>
        <v>0.49832775919732442</v>
      </c>
      <c r="AC158" s="100"/>
      <c r="AD158" s="100"/>
      <c r="AE158" s="100"/>
      <c r="AF158" s="100"/>
      <c r="AG158" s="100"/>
      <c r="AH158" s="101"/>
      <c r="AI158" s="101"/>
      <c r="AJ158" s="100"/>
      <c r="AK158" s="101"/>
      <c r="AL158" s="101"/>
      <c r="AM158" s="100"/>
      <c r="AN158" s="97"/>
      <c r="AO158" s="97"/>
      <c r="AP158" s="97"/>
      <c r="AQ158" s="97"/>
      <c r="AR158" s="97"/>
      <c r="AS158" s="97"/>
      <c r="AT158" s="97"/>
      <c r="AU158" s="97"/>
      <c r="AV158" s="97"/>
      <c r="AW158" s="97"/>
      <c r="AX158" s="97"/>
      <c r="AY158" s="97"/>
      <c r="AZ158" s="97"/>
    </row>
    <row r="159" spans="1:52" s="39" customFormat="1" ht="18" hidden="1" outlineLevel="1" x14ac:dyDescent="0.3">
      <c r="A159" s="97"/>
      <c r="B159" s="147"/>
      <c r="C159" s="453" t="s">
        <v>324</v>
      </c>
      <c r="D159" s="162"/>
      <c r="E159" s="162"/>
      <c r="F159" s="162"/>
      <c r="G159" s="162"/>
      <c r="H159" s="149" t="s">
        <v>320</v>
      </c>
      <c r="I159" s="534" t="s">
        <v>750</v>
      </c>
      <c r="J159" s="534" t="s">
        <v>593</v>
      </c>
      <c r="K159" s="285" t="s">
        <v>593</v>
      </c>
      <c r="L159" s="285" t="s">
        <v>593</v>
      </c>
      <c r="M159" s="285" t="s">
        <v>593</v>
      </c>
      <c r="N159" s="285" t="s">
        <v>593</v>
      </c>
      <c r="O159" s="285" t="s">
        <v>593</v>
      </c>
      <c r="P159" s="285" t="s">
        <v>593</v>
      </c>
      <c r="Q159" s="285" t="s">
        <v>593</v>
      </c>
      <c r="R159" s="285" t="s">
        <v>593</v>
      </c>
      <c r="S159" s="285" t="s">
        <v>593</v>
      </c>
      <c r="T159" s="285" t="s">
        <v>593</v>
      </c>
      <c r="U159" s="525">
        <v>5</v>
      </c>
      <c r="V159" s="280">
        <v>5</v>
      </c>
      <c r="W159" s="150">
        <v>9.9499999999999993</v>
      </c>
      <c r="X159" s="151" t="s">
        <v>360</v>
      </c>
      <c r="Y159" s="100"/>
      <c r="Z159" s="458" t="s">
        <v>2</v>
      </c>
      <c r="AA159" s="848">
        <f t="shared" si="64"/>
        <v>0</v>
      </c>
      <c r="AB159" s="405">
        <f t="shared" si="73"/>
        <v>0.49748743718592958</v>
      </c>
      <c r="AC159" s="100"/>
      <c r="AD159" s="100"/>
      <c r="AE159" s="100"/>
      <c r="AF159" s="100"/>
      <c r="AG159" s="100"/>
      <c r="AH159" s="101"/>
      <c r="AI159" s="101"/>
      <c r="AJ159" s="100"/>
      <c r="AK159" s="101"/>
      <c r="AL159" s="101"/>
      <c r="AM159" s="100"/>
      <c r="AN159" s="97"/>
      <c r="AO159" s="97"/>
      <c r="AP159" s="97"/>
      <c r="AQ159" s="97"/>
      <c r="AR159" s="97"/>
      <c r="AS159" s="97"/>
      <c r="AT159" s="97"/>
      <c r="AU159" s="97"/>
      <c r="AV159" s="97"/>
      <c r="AW159" s="97"/>
      <c r="AX159" s="97"/>
      <c r="AY159" s="97"/>
      <c r="AZ159" s="97"/>
    </row>
    <row r="160" spans="1:52" s="39" customFormat="1" ht="18" hidden="1" outlineLevel="1" x14ac:dyDescent="0.3">
      <c r="A160" s="97"/>
      <c r="B160" s="147"/>
      <c r="C160" s="453" t="s">
        <v>288</v>
      </c>
      <c r="D160" s="162"/>
      <c r="E160" s="162"/>
      <c r="F160" s="162"/>
      <c r="G160" s="162"/>
      <c r="H160" s="149" t="s">
        <v>320</v>
      </c>
      <c r="I160" s="534" t="s">
        <v>750</v>
      </c>
      <c r="J160" s="534" t="s">
        <v>593</v>
      </c>
      <c r="K160" s="285" t="s">
        <v>593</v>
      </c>
      <c r="L160" s="285" t="s">
        <v>593</v>
      </c>
      <c r="M160" s="285" t="s">
        <v>593</v>
      </c>
      <c r="N160" s="285" t="s">
        <v>593</v>
      </c>
      <c r="O160" s="285" t="s">
        <v>593</v>
      </c>
      <c r="P160" s="285" t="s">
        <v>593</v>
      </c>
      <c r="Q160" s="285" t="s">
        <v>593</v>
      </c>
      <c r="R160" s="285" t="s">
        <v>593</v>
      </c>
      <c r="S160" s="285" t="s">
        <v>593</v>
      </c>
      <c r="T160" s="285" t="s">
        <v>593</v>
      </c>
      <c r="U160" s="525">
        <v>5</v>
      </c>
      <c r="V160" s="280">
        <v>5</v>
      </c>
      <c r="W160" s="150">
        <v>9.9499999999999993</v>
      </c>
      <c r="X160" s="151" t="s">
        <v>360</v>
      </c>
      <c r="Y160" s="100"/>
      <c r="Z160" s="458" t="s">
        <v>2</v>
      </c>
      <c r="AA160" s="848">
        <f t="shared" si="64"/>
        <v>0</v>
      </c>
      <c r="AB160" s="405">
        <f t="shared" si="73"/>
        <v>0.49748743718592958</v>
      </c>
      <c r="AC160" s="100"/>
      <c r="AD160" s="100"/>
      <c r="AE160" s="100"/>
      <c r="AF160" s="100"/>
      <c r="AG160" s="100"/>
      <c r="AH160" s="101"/>
      <c r="AI160" s="101"/>
      <c r="AJ160" s="100"/>
      <c r="AK160" s="101"/>
      <c r="AL160" s="101"/>
      <c r="AM160" s="100"/>
      <c r="AN160" s="97"/>
      <c r="AO160" s="97"/>
      <c r="AP160" s="97"/>
      <c r="AQ160" s="97"/>
      <c r="AR160" s="97"/>
      <c r="AS160" s="97"/>
      <c r="AT160" s="97"/>
      <c r="AU160" s="97"/>
      <c r="AV160" s="97"/>
      <c r="AW160" s="97"/>
      <c r="AX160" s="97"/>
      <c r="AY160" s="97"/>
      <c r="AZ160" s="97"/>
    </row>
    <row r="161" spans="1:52" s="39" customFormat="1" ht="18" hidden="1" outlineLevel="1" x14ac:dyDescent="0.3">
      <c r="A161" s="97"/>
      <c r="B161" s="147"/>
      <c r="C161" s="453" t="s">
        <v>289</v>
      </c>
      <c r="D161" s="166"/>
      <c r="E161" s="166"/>
      <c r="F161" s="166"/>
      <c r="G161" s="166"/>
      <c r="H161" s="149" t="s">
        <v>320</v>
      </c>
      <c r="I161" s="534" t="s">
        <v>750</v>
      </c>
      <c r="J161" s="534" t="s">
        <v>593</v>
      </c>
      <c r="K161" s="285" t="s">
        <v>593</v>
      </c>
      <c r="L161" s="285" t="s">
        <v>593</v>
      </c>
      <c r="M161" s="285" t="s">
        <v>593</v>
      </c>
      <c r="N161" s="285" t="s">
        <v>593</v>
      </c>
      <c r="O161" s="285" t="s">
        <v>593</v>
      </c>
      <c r="P161" s="285" t="s">
        <v>593</v>
      </c>
      <c r="Q161" s="285" t="s">
        <v>593</v>
      </c>
      <c r="R161" s="285" t="s">
        <v>593</v>
      </c>
      <c r="S161" s="285" t="s">
        <v>593</v>
      </c>
      <c r="T161" s="285" t="s">
        <v>593</v>
      </c>
      <c r="U161" s="525">
        <v>5</v>
      </c>
      <c r="V161" s="280">
        <v>5</v>
      </c>
      <c r="W161" s="150">
        <v>9.9499999999999993</v>
      </c>
      <c r="X161" s="151" t="s">
        <v>360</v>
      </c>
      <c r="Y161" s="100"/>
      <c r="Z161" s="458" t="s">
        <v>2</v>
      </c>
      <c r="AA161" s="848">
        <f t="shared" si="64"/>
        <v>0</v>
      </c>
      <c r="AB161" s="405">
        <f t="shared" si="73"/>
        <v>0.49748743718592958</v>
      </c>
      <c r="AC161" s="100"/>
      <c r="AD161" s="100"/>
      <c r="AE161" s="100"/>
      <c r="AF161" s="100"/>
      <c r="AG161" s="100"/>
      <c r="AH161" s="101"/>
      <c r="AI161" s="101"/>
      <c r="AJ161" s="100"/>
      <c r="AK161" s="101"/>
      <c r="AL161" s="101"/>
      <c r="AM161" s="100"/>
      <c r="AN161" s="97"/>
      <c r="AO161" s="97"/>
      <c r="AP161" s="97"/>
      <c r="AQ161" s="97"/>
      <c r="AR161" s="97"/>
      <c r="AS161" s="97"/>
      <c r="AT161" s="97"/>
      <c r="AU161" s="97"/>
      <c r="AV161" s="97"/>
      <c r="AW161" s="97"/>
      <c r="AX161" s="97"/>
      <c r="AY161" s="97"/>
      <c r="AZ161" s="97"/>
    </row>
    <row r="162" spans="1:52" s="39" customFormat="1" ht="18" hidden="1" outlineLevel="1" x14ac:dyDescent="0.3">
      <c r="A162" s="97"/>
      <c r="B162" s="147"/>
      <c r="C162" s="453" t="s">
        <v>290</v>
      </c>
      <c r="D162" s="166"/>
      <c r="E162" s="166"/>
      <c r="F162" s="166"/>
      <c r="G162" s="166"/>
      <c r="H162" s="149" t="s">
        <v>320</v>
      </c>
      <c r="I162" s="534" t="s">
        <v>750</v>
      </c>
      <c r="J162" s="534" t="s">
        <v>593</v>
      </c>
      <c r="K162" s="285" t="s">
        <v>593</v>
      </c>
      <c r="L162" s="285" t="s">
        <v>593</v>
      </c>
      <c r="M162" s="285" t="s">
        <v>593</v>
      </c>
      <c r="N162" s="285" t="s">
        <v>593</v>
      </c>
      <c r="O162" s="285" t="s">
        <v>593</v>
      </c>
      <c r="P162" s="285" t="s">
        <v>593</v>
      </c>
      <c r="Q162" s="285" t="s">
        <v>593</v>
      </c>
      <c r="R162" s="285" t="s">
        <v>593</v>
      </c>
      <c r="S162" s="285" t="s">
        <v>593</v>
      </c>
      <c r="T162" s="285" t="s">
        <v>593</v>
      </c>
      <c r="U162" s="525">
        <v>5</v>
      </c>
      <c r="V162" s="280">
        <v>5</v>
      </c>
      <c r="W162" s="150">
        <v>9.9499999999999993</v>
      </c>
      <c r="X162" s="151" t="s">
        <v>360</v>
      </c>
      <c r="Y162" s="100"/>
      <c r="Z162" s="458" t="s">
        <v>2</v>
      </c>
      <c r="AA162" s="848">
        <f t="shared" si="64"/>
        <v>0</v>
      </c>
      <c r="AB162" s="405">
        <f t="shared" si="73"/>
        <v>0.49748743718592958</v>
      </c>
      <c r="AC162" s="100"/>
      <c r="AD162" s="100"/>
      <c r="AE162" s="100"/>
      <c r="AF162" s="100"/>
      <c r="AG162" s="100"/>
      <c r="AH162" s="101"/>
      <c r="AI162" s="101"/>
      <c r="AJ162" s="100"/>
      <c r="AK162" s="101"/>
      <c r="AL162" s="101"/>
      <c r="AM162" s="100"/>
      <c r="AN162" s="97"/>
      <c r="AO162" s="97"/>
      <c r="AP162" s="97"/>
      <c r="AQ162" s="97"/>
      <c r="AR162" s="97"/>
      <c r="AS162" s="97"/>
      <c r="AT162" s="97"/>
      <c r="AU162" s="97"/>
      <c r="AV162" s="97"/>
      <c r="AW162" s="97"/>
      <c r="AX162" s="97"/>
      <c r="AY162" s="97"/>
      <c r="AZ162" s="97"/>
    </row>
    <row r="163" spans="1:52" s="39" customFormat="1" ht="18" hidden="1" outlineLevel="1" x14ac:dyDescent="0.3">
      <c r="A163" s="97"/>
      <c r="B163" s="147"/>
      <c r="C163" s="453" t="s">
        <v>291</v>
      </c>
      <c r="D163" s="162"/>
      <c r="E163" s="162"/>
      <c r="F163" s="162"/>
      <c r="G163" s="162"/>
      <c r="H163" s="149" t="s">
        <v>320</v>
      </c>
      <c r="I163" s="534" t="s">
        <v>750</v>
      </c>
      <c r="J163" s="534" t="s">
        <v>593</v>
      </c>
      <c r="K163" s="285" t="s">
        <v>593</v>
      </c>
      <c r="L163" s="285" t="s">
        <v>593</v>
      </c>
      <c r="M163" s="285" t="s">
        <v>593</v>
      </c>
      <c r="N163" s="285" t="s">
        <v>593</v>
      </c>
      <c r="O163" s="285" t="s">
        <v>593</v>
      </c>
      <c r="P163" s="285" t="s">
        <v>593</v>
      </c>
      <c r="Q163" s="285" t="s">
        <v>593</v>
      </c>
      <c r="R163" s="285" t="s">
        <v>593</v>
      </c>
      <c r="S163" s="285" t="s">
        <v>593</v>
      </c>
      <c r="T163" s="285" t="s">
        <v>593</v>
      </c>
      <c r="U163" s="525">
        <v>5</v>
      </c>
      <c r="V163" s="280">
        <v>5</v>
      </c>
      <c r="W163" s="150">
        <v>9.9499999999999993</v>
      </c>
      <c r="X163" s="151" t="s">
        <v>360</v>
      </c>
      <c r="Y163" s="100"/>
      <c r="Z163" s="458" t="s">
        <v>2</v>
      </c>
      <c r="AA163" s="848">
        <f t="shared" si="64"/>
        <v>0</v>
      </c>
      <c r="AB163" s="405">
        <f t="shared" si="73"/>
        <v>0.49748743718592958</v>
      </c>
      <c r="AC163" s="100"/>
      <c r="AD163" s="100"/>
      <c r="AE163" s="100"/>
      <c r="AF163" s="100"/>
      <c r="AG163" s="100"/>
      <c r="AH163" s="101"/>
      <c r="AI163" s="101"/>
      <c r="AJ163" s="100"/>
      <c r="AK163" s="101"/>
      <c r="AL163" s="101"/>
      <c r="AM163" s="100"/>
      <c r="AN163" s="97"/>
      <c r="AO163" s="97"/>
      <c r="AP163" s="97"/>
      <c r="AQ163" s="97"/>
      <c r="AR163" s="97"/>
      <c r="AS163" s="97"/>
      <c r="AT163" s="97"/>
      <c r="AU163" s="97"/>
      <c r="AV163" s="97"/>
      <c r="AW163" s="97"/>
      <c r="AX163" s="97"/>
      <c r="AY163" s="97"/>
      <c r="AZ163" s="97"/>
    </row>
    <row r="164" spans="1:52" s="39" customFormat="1" ht="18" hidden="1" outlineLevel="1" x14ac:dyDescent="0.3">
      <c r="A164" s="97"/>
      <c r="B164" s="147"/>
      <c r="C164" s="453" t="s">
        <v>284</v>
      </c>
      <c r="D164" s="162"/>
      <c r="E164" s="162"/>
      <c r="F164" s="162"/>
      <c r="G164" s="162"/>
      <c r="H164" s="149" t="s">
        <v>320</v>
      </c>
      <c r="I164" s="534" t="s">
        <v>750</v>
      </c>
      <c r="J164" s="534" t="s">
        <v>593</v>
      </c>
      <c r="K164" s="285" t="s">
        <v>593</v>
      </c>
      <c r="L164" s="285" t="s">
        <v>593</v>
      </c>
      <c r="M164" s="285" t="s">
        <v>593</v>
      </c>
      <c r="N164" s="285" t="s">
        <v>593</v>
      </c>
      <c r="O164" s="285" t="s">
        <v>593</v>
      </c>
      <c r="P164" s="285" t="s">
        <v>593</v>
      </c>
      <c r="Q164" s="285" t="s">
        <v>593</v>
      </c>
      <c r="R164" s="285" t="s">
        <v>593</v>
      </c>
      <c r="S164" s="285" t="s">
        <v>593</v>
      </c>
      <c r="T164" s="285" t="s">
        <v>593</v>
      </c>
      <c r="U164" s="525">
        <v>4</v>
      </c>
      <c r="V164" s="280">
        <v>4</v>
      </c>
      <c r="W164" s="150">
        <v>7.95</v>
      </c>
      <c r="X164" s="151" t="s">
        <v>364</v>
      </c>
      <c r="Y164" s="100"/>
      <c r="Z164" s="458" t="s">
        <v>2</v>
      </c>
      <c r="AA164" s="848">
        <f t="shared" si="64"/>
        <v>0</v>
      </c>
      <c r="AB164" s="405">
        <f t="shared" ref="AB164:AB165" si="74">1-V164/W164</f>
        <v>0.49685534591194969</v>
      </c>
      <c r="AC164" s="100"/>
      <c r="AD164" s="100"/>
      <c r="AE164" s="100"/>
      <c r="AF164" s="100"/>
      <c r="AG164" s="100"/>
      <c r="AH164" s="101"/>
      <c r="AI164" s="101"/>
      <c r="AJ164" s="100"/>
      <c r="AK164" s="101"/>
      <c r="AL164" s="101"/>
      <c r="AM164" s="100"/>
      <c r="AN164" s="97"/>
      <c r="AO164" s="97"/>
      <c r="AP164" s="97"/>
      <c r="AQ164" s="97"/>
      <c r="AR164" s="97"/>
      <c r="AS164" s="97"/>
      <c r="AT164" s="97"/>
      <c r="AU164" s="97"/>
      <c r="AV164" s="97"/>
      <c r="AW164" s="97"/>
      <c r="AX164" s="97"/>
      <c r="AY164" s="97"/>
      <c r="AZ164" s="97"/>
    </row>
    <row r="165" spans="1:52" s="39" customFormat="1" ht="18" hidden="1" outlineLevel="1" x14ac:dyDescent="0.3">
      <c r="A165" s="97"/>
      <c r="B165" s="147"/>
      <c r="C165" s="453" t="s">
        <v>285</v>
      </c>
      <c r="D165" s="162"/>
      <c r="E165" s="162"/>
      <c r="F165" s="162"/>
      <c r="G165" s="162"/>
      <c r="H165" s="149" t="s">
        <v>320</v>
      </c>
      <c r="I165" s="534" t="s">
        <v>750</v>
      </c>
      <c r="J165" s="534" t="s">
        <v>593</v>
      </c>
      <c r="K165" s="285" t="s">
        <v>593</v>
      </c>
      <c r="L165" s="285" t="s">
        <v>593</v>
      </c>
      <c r="M165" s="285" t="s">
        <v>593</v>
      </c>
      <c r="N165" s="285" t="s">
        <v>593</v>
      </c>
      <c r="O165" s="285" t="s">
        <v>593</v>
      </c>
      <c r="P165" s="285" t="s">
        <v>593</v>
      </c>
      <c r="Q165" s="285" t="s">
        <v>593</v>
      </c>
      <c r="R165" s="285" t="s">
        <v>593</v>
      </c>
      <c r="S165" s="285" t="s">
        <v>593</v>
      </c>
      <c r="T165" s="285" t="s">
        <v>593</v>
      </c>
      <c r="U165" s="525">
        <v>4</v>
      </c>
      <c r="V165" s="280">
        <v>4</v>
      </c>
      <c r="W165" s="150">
        <v>7.95</v>
      </c>
      <c r="X165" s="151" t="s">
        <v>364</v>
      </c>
      <c r="Y165" s="100"/>
      <c r="Z165" s="458" t="s">
        <v>2</v>
      </c>
      <c r="AA165" s="848">
        <f t="shared" si="64"/>
        <v>0</v>
      </c>
      <c r="AB165" s="405">
        <f t="shared" si="74"/>
        <v>0.49685534591194969</v>
      </c>
      <c r="AC165" s="100"/>
      <c r="AD165" s="100"/>
      <c r="AE165" s="100"/>
      <c r="AF165" s="100"/>
      <c r="AG165" s="100"/>
      <c r="AH165" s="101"/>
      <c r="AI165" s="101"/>
      <c r="AJ165" s="100"/>
      <c r="AK165" s="101"/>
      <c r="AL165" s="101"/>
      <c r="AM165" s="100"/>
      <c r="AN165" s="97"/>
      <c r="AO165" s="97"/>
      <c r="AP165" s="97"/>
      <c r="AQ165" s="97"/>
      <c r="AR165" s="97"/>
      <c r="AS165" s="97"/>
      <c r="AT165" s="97"/>
      <c r="AU165" s="97"/>
      <c r="AV165" s="97"/>
      <c r="AW165" s="97"/>
      <c r="AX165" s="97"/>
      <c r="AY165" s="97"/>
      <c r="AZ165" s="97"/>
    </row>
    <row r="166" spans="1:52" s="39" customFormat="1" ht="18" hidden="1" outlineLevel="1" x14ac:dyDescent="0.3">
      <c r="A166" s="97"/>
      <c r="B166" s="147"/>
      <c r="C166" s="453" t="s">
        <v>286</v>
      </c>
      <c r="D166" s="162"/>
      <c r="E166" s="162"/>
      <c r="F166" s="162"/>
      <c r="G166" s="162"/>
      <c r="H166" s="149" t="s">
        <v>320</v>
      </c>
      <c r="I166" s="534" t="s">
        <v>750</v>
      </c>
      <c r="J166" s="534" t="s">
        <v>593</v>
      </c>
      <c r="K166" s="285" t="s">
        <v>593</v>
      </c>
      <c r="L166" s="285" t="s">
        <v>593</v>
      </c>
      <c r="M166" s="285" t="s">
        <v>593</v>
      </c>
      <c r="N166" s="285" t="s">
        <v>593</v>
      </c>
      <c r="O166" s="285" t="s">
        <v>593</v>
      </c>
      <c r="P166" s="285" t="s">
        <v>593</v>
      </c>
      <c r="Q166" s="285" t="s">
        <v>593</v>
      </c>
      <c r="R166" s="285" t="s">
        <v>593</v>
      </c>
      <c r="S166" s="285" t="s">
        <v>593</v>
      </c>
      <c r="T166" s="285" t="s">
        <v>593</v>
      </c>
      <c r="U166" s="525">
        <v>6.5</v>
      </c>
      <c r="V166" s="280">
        <v>6.5</v>
      </c>
      <c r="W166" s="150">
        <v>12.95</v>
      </c>
      <c r="X166" s="151" t="s">
        <v>360</v>
      </c>
      <c r="Y166" s="100"/>
      <c r="Z166" s="458" t="s">
        <v>2</v>
      </c>
      <c r="AA166" s="848">
        <f>1-U166/V166</f>
        <v>0</v>
      </c>
      <c r="AB166" s="405">
        <f>1-V166/W166</f>
        <v>0.49806949806949807</v>
      </c>
      <c r="AC166" s="100"/>
      <c r="AD166" s="100"/>
      <c r="AE166" s="100"/>
      <c r="AF166" s="100"/>
      <c r="AG166" s="100"/>
      <c r="AH166" s="101"/>
      <c r="AI166" s="101"/>
      <c r="AJ166" s="100"/>
      <c r="AK166" s="101"/>
      <c r="AL166" s="101"/>
      <c r="AM166" s="100"/>
      <c r="AN166" s="97"/>
      <c r="AO166" s="97"/>
      <c r="AP166" s="97"/>
      <c r="AQ166" s="97"/>
      <c r="AR166" s="97"/>
      <c r="AS166" s="97"/>
      <c r="AT166" s="97"/>
      <c r="AU166" s="97"/>
      <c r="AV166" s="97"/>
      <c r="AW166" s="97"/>
      <c r="AX166" s="97"/>
      <c r="AY166" s="97"/>
      <c r="AZ166" s="97"/>
    </row>
    <row r="167" spans="1:52" s="39" customFormat="1" ht="18" hidden="1" outlineLevel="1" x14ac:dyDescent="0.3">
      <c r="A167" s="97"/>
      <c r="B167" s="147"/>
      <c r="C167" s="453" t="s">
        <v>287</v>
      </c>
      <c r="D167" s="162"/>
      <c r="E167" s="162"/>
      <c r="F167" s="162"/>
      <c r="G167" s="162"/>
      <c r="H167" s="149" t="s">
        <v>320</v>
      </c>
      <c r="I167" s="534" t="s">
        <v>750</v>
      </c>
      <c r="J167" s="534" t="s">
        <v>593</v>
      </c>
      <c r="K167" s="285" t="s">
        <v>593</v>
      </c>
      <c r="L167" s="285" t="s">
        <v>593</v>
      </c>
      <c r="M167" s="285" t="s">
        <v>593</v>
      </c>
      <c r="N167" s="285" t="s">
        <v>593</v>
      </c>
      <c r="O167" s="285" t="s">
        <v>593</v>
      </c>
      <c r="P167" s="285" t="s">
        <v>593</v>
      </c>
      <c r="Q167" s="285" t="s">
        <v>593</v>
      </c>
      <c r="R167" s="285" t="s">
        <v>593</v>
      </c>
      <c r="S167" s="285" t="s">
        <v>593</v>
      </c>
      <c r="T167" s="285" t="s">
        <v>593</v>
      </c>
      <c r="U167" s="525">
        <v>7.5</v>
      </c>
      <c r="V167" s="280">
        <v>7.5</v>
      </c>
      <c r="W167" s="150">
        <v>14.95</v>
      </c>
      <c r="X167" s="151" t="s">
        <v>360</v>
      </c>
      <c r="Y167" s="100"/>
      <c r="Z167" s="458" t="s">
        <v>2</v>
      </c>
      <c r="AA167" s="848">
        <f t="shared" ref="AA167" si="75">1-U167/V167</f>
        <v>0</v>
      </c>
      <c r="AB167" s="405">
        <f t="shared" ref="AB167" si="76">1-V167/W167</f>
        <v>0.49832775919732442</v>
      </c>
      <c r="AC167" s="100"/>
      <c r="AD167" s="100"/>
      <c r="AE167" s="100"/>
      <c r="AF167" s="100"/>
      <c r="AG167" s="100"/>
      <c r="AH167" s="101"/>
      <c r="AI167" s="101"/>
      <c r="AJ167" s="100"/>
      <c r="AK167" s="101"/>
      <c r="AL167" s="101"/>
      <c r="AM167" s="100"/>
      <c r="AN167" s="97"/>
      <c r="AO167" s="97"/>
      <c r="AP167" s="97"/>
      <c r="AQ167" s="97"/>
      <c r="AR167" s="97"/>
      <c r="AS167" s="97"/>
      <c r="AT167" s="97"/>
      <c r="AU167" s="97"/>
      <c r="AV167" s="97"/>
      <c r="AW167" s="97"/>
      <c r="AX167" s="97"/>
      <c r="AY167" s="97"/>
      <c r="AZ167" s="97"/>
    </row>
    <row r="168" spans="1:52" s="39" customFormat="1" ht="18" hidden="1" outlineLevel="1" x14ac:dyDescent="0.3">
      <c r="A168" s="97"/>
      <c r="B168" s="147"/>
      <c r="C168" s="453" t="s">
        <v>306</v>
      </c>
      <c r="D168" s="162"/>
      <c r="E168" s="162"/>
      <c r="F168" s="162"/>
      <c r="G168" s="162"/>
      <c r="H168" s="149" t="s">
        <v>320</v>
      </c>
      <c r="I168" s="534" t="s">
        <v>750</v>
      </c>
      <c r="J168" s="534" t="s">
        <v>593</v>
      </c>
      <c r="K168" s="285" t="s">
        <v>593</v>
      </c>
      <c r="L168" s="285" t="s">
        <v>593</v>
      </c>
      <c r="M168" s="285" t="s">
        <v>593</v>
      </c>
      <c r="N168" s="285" t="s">
        <v>593</v>
      </c>
      <c r="O168" s="285" t="s">
        <v>593</v>
      </c>
      <c r="P168" s="285" t="s">
        <v>593</v>
      </c>
      <c r="Q168" s="285" t="s">
        <v>593</v>
      </c>
      <c r="R168" s="285" t="s">
        <v>593</v>
      </c>
      <c r="S168" s="285" t="s">
        <v>593</v>
      </c>
      <c r="T168" s="285" t="s">
        <v>593</v>
      </c>
      <c r="U168" s="525">
        <v>5</v>
      </c>
      <c r="V168" s="280">
        <v>5</v>
      </c>
      <c r="W168" s="150">
        <v>9.9499999999999993</v>
      </c>
      <c r="X168" s="151" t="s">
        <v>360</v>
      </c>
      <c r="Y168" s="100"/>
      <c r="Z168" s="458" t="s">
        <v>2</v>
      </c>
      <c r="AA168" s="848">
        <f>1-U168/V168</f>
        <v>0</v>
      </c>
      <c r="AB168" s="405">
        <f>1-V168/W168</f>
        <v>0.49748743718592958</v>
      </c>
      <c r="AC168" s="100"/>
      <c r="AD168" s="100"/>
      <c r="AE168" s="100"/>
      <c r="AF168" s="100"/>
      <c r="AG168" s="100"/>
      <c r="AH168" s="101"/>
      <c r="AI168" s="101"/>
      <c r="AJ168" s="100"/>
      <c r="AK168" s="101"/>
      <c r="AL168" s="101"/>
      <c r="AM168" s="100"/>
      <c r="AN168" s="97"/>
      <c r="AO168" s="97"/>
      <c r="AP168" s="97"/>
      <c r="AQ168" s="97"/>
      <c r="AR168" s="97"/>
      <c r="AS168" s="97"/>
      <c r="AT168" s="97"/>
      <c r="AU168" s="97"/>
      <c r="AV168" s="97"/>
      <c r="AW168" s="97"/>
      <c r="AX168" s="97"/>
      <c r="AY168" s="97"/>
      <c r="AZ168" s="97"/>
    </row>
    <row r="169" spans="1:52" s="39" customFormat="1" ht="18" hidden="1" outlineLevel="1" x14ac:dyDescent="0.3">
      <c r="A169" s="97"/>
      <c r="B169" s="147"/>
      <c r="C169" s="453" t="s">
        <v>300</v>
      </c>
      <c r="D169" s="162"/>
      <c r="E169" s="162"/>
      <c r="F169" s="162"/>
      <c r="G169" s="162"/>
      <c r="H169" s="149" t="s">
        <v>330</v>
      </c>
      <c r="I169" s="534" t="s">
        <v>750</v>
      </c>
      <c r="J169" s="534" t="s">
        <v>593</v>
      </c>
      <c r="K169" s="285" t="s">
        <v>593</v>
      </c>
      <c r="L169" s="285" t="s">
        <v>593</v>
      </c>
      <c r="M169" s="285" t="s">
        <v>593</v>
      </c>
      <c r="N169" s="285" t="s">
        <v>593</v>
      </c>
      <c r="O169" s="285" t="s">
        <v>593</v>
      </c>
      <c r="P169" s="285" t="s">
        <v>593</v>
      </c>
      <c r="Q169" s="285" t="s">
        <v>593</v>
      </c>
      <c r="R169" s="285" t="s">
        <v>593</v>
      </c>
      <c r="S169" s="285" t="s">
        <v>593</v>
      </c>
      <c r="T169" s="285" t="s">
        <v>593</v>
      </c>
      <c r="U169" s="525">
        <v>7.5</v>
      </c>
      <c r="V169" s="280">
        <v>7.5</v>
      </c>
      <c r="W169" s="150">
        <v>14.95</v>
      </c>
      <c r="X169" s="151" t="s">
        <v>360</v>
      </c>
      <c r="Y169" s="100"/>
      <c r="Z169" s="458" t="s">
        <v>2</v>
      </c>
      <c r="AA169" s="848">
        <f>1-U169/V169</f>
        <v>0</v>
      </c>
      <c r="AB169" s="405">
        <f>1-V169/W169</f>
        <v>0.49832775919732442</v>
      </c>
      <c r="AC169" s="100"/>
      <c r="AD169" s="100"/>
      <c r="AE169" s="100"/>
      <c r="AF169" s="100"/>
      <c r="AG169" s="100"/>
      <c r="AH169" s="101"/>
      <c r="AI169" s="101"/>
      <c r="AJ169" s="100"/>
      <c r="AK169" s="101"/>
      <c r="AL169" s="101"/>
      <c r="AM169" s="100"/>
      <c r="AN169" s="97"/>
      <c r="AO169" s="97"/>
      <c r="AP169" s="97"/>
      <c r="AQ169" s="97"/>
      <c r="AR169" s="97"/>
      <c r="AS169" s="97"/>
      <c r="AT169" s="97"/>
      <c r="AU169" s="97"/>
      <c r="AV169" s="97"/>
      <c r="AW169" s="97"/>
      <c r="AX169" s="97"/>
      <c r="AY169" s="97"/>
      <c r="AZ169" s="97"/>
    </row>
    <row r="170" spans="1:52" s="39" customFormat="1" ht="18" hidden="1" outlineLevel="1" x14ac:dyDescent="0.3">
      <c r="A170" s="97"/>
      <c r="B170" s="147"/>
      <c r="C170" s="453" t="s">
        <v>301</v>
      </c>
      <c r="D170" s="162"/>
      <c r="E170" s="162"/>
      <c r="F170" s="162"/>
      <c r="G170" s="162"/>
      <c r="H170" s="149" t="s">
        <v>330</v>
      </c>
      <c r="I170" s="534" t="s">
        <v>750</v>
      </c>
      <c r="J170" s="534" t="s">
        <v>593</v>
      </c>
      <c r="K170" s="285" t="s">
        <v>593</v>
      </c>
      <c r="L170" s="285" t="s">
        <v>593</v>
      </c>
      <c r="M170" s="285" t="s">
        <v>593</v>
      </c>
      <c r="N170" s="285" t="s">
        <v>593</v>
      </c>
      <c r="O170" s="285" t="s">
        <v>593</v>
      </c>
      <c r="P170" s="285" t="s">
        <v>593</v>
      </c>
      <c r="Q170" s="285" t="s">
        <v>593</v>
      </c>
      <c r="R170" s="285" t="s">
        <v>593</v>
      </c>
      <c r="S170" s="285" t="s">
        <v>593</v>
      </c>
      <c r="T170" s="285" t="s">
        <v>593</v>
      </c>
      <c r="U170" s="525">
        <v>12.5</v>
      </c>
      <c r="V170" s="280">
        <v>12.5</v>
      </c>
      <c r="W170" s="150">
        <v>24.95</v>
      </c>
      <c r="X170" s="151" t="s">
        <v>360</v>
      </c>
      <c r="Y170" s="100"/>
      <c r="Z170" s="458" t="s">
        <v>2</v>
      </c>
      <c r="AA170" s="848">
        <f t="shared" ref="AA170:AA172" si="77">1-U170/V170</f>
        <v>0</v>
      </c>
      <c r="AB170" s="405">
        <f t="shared" ref="AB170:AB172" si="78">1-V170/W170</f>
        <v>0.49899799599198391</v>
      </c>
      <c r="AC170" s="100"/>
      <c r="AD170" s="100"/>
      <c r="AE170" s="100"/>
      <c r="AF170" s="100"/>
      <c r="AG170" s="100"/>
      <c r="AH170" s="101"/>
      <c r="AI170" s="101"/>
      <c r="AJ170" s="100"/>
      <c r="AK170" s="101"/>
      <c r="AL170" s="101"/>
      <c r="AM170" s="100"/>
      <c r="AN170" s="97"/>
      <c r="AO170" s="97"/>
      <c r="AP170" s="97"/>
      <c r="AQ170" s="97"/>
      <c r="AR170" s="97"/>
      <c r="AS170" s="97"/>
      <c r="AT170" s="97"/>
      <c r="AU170" s="97"/>
      <c r="AV170" s="97"/>
      <c r="AW170" s="97"/>
      <c r="AX170" s="97"/>
      <c r="AY170" s="97"/>
      <c r="AZ170" s="97"/>
    </row>
    <row r="171" spans="1:52" s="39" customFormat="1" ht="18" hidden="1" outlineLevel="1" x14ac:dyDescent="0.3">
      <c r="A171" s="97"/>
      <c r="B171" s="147"/>
      <c r="C171" s="453" t="s">
        <v>302</v>
      </c>
      <c r="D171" s="162"/>
      <c r="E171" s="162"/>
      <c r="F171" s="162"/>
      <c r="G171" s="162"/>
      <c r="H171" s="149" t="s">
        <v>330</v>
      </c>
      <c r="I171" s="534" t="s">
        <v>750</v>
      </c>
      <c r="J171" s="534" t="s">
        <v>593</v>
      </c>
      <c r="K171" s="285" t="s">
        <v>593</v>
      </c>
      <c r="L171" s="285" t="s">
        <v>593</v>
      </c>
      <c r="M171" s="285" t="s">
        <v>593</v>
      </c>
      <c r="N171" s="285" t="s">
        <v>593</v>
      </c>
      <c r="O171" s="285" t="s">
        <v>593</v>
      </c>
      <c r="P171" s="285" t="s">
        <v>593</v>
      </c>
      <c r="Q171" s="285" t="s">
        <v>593</v>
      </c>
      <c r="R171" s="285" t="s">
        <v>593</v>
      </c>
      <c r="S171" s="285" t="s">
        <v>593</v>
      </c>
      <c r="T171" s="285" t="s">
        <v>593</v>
      </c>
      <c r="U171" s="525">
        <v>12.5</v>
      </c>
      <c r="V171" s="280">
        <v>12.5</v>
      </c>
      <c r="W171" s="150">
        <v>24.95</v>
      </c>
      <c r="X171" s="151" t="s">
        <v>360</v>
      </c>
      <c r="Y171" s="100"/>
      <c r="Z171" s="458" t="s">
        <v>2</v>
      </c>
      <c r="AA171" s="848">
        <f t="shared" si="77"/>
        <v>0</v>
      </c>
      <c r="AB171" s="405">
        <f t="shared" si="78"/>
        <v>0.49899799599198391</v>
      </c>
      <c r="AC171" s="100"/>
      <c r="AD171" s="100"/>
      <c r="AE171" s="100"/>
      <c r="AF171" s="100"/>
      <c r="AG171" s="100"/>
      <c r="AH171" s="101"/>
      <c r="AI171" s="101"/>
      <c r="AJ171" s="100"/>
      <c r="AK171" s="101"/>
      <c r="AL171" s="101"/>
      <c r="AM171" s="100"/>
      <c r="AN171" s="97"/>
      <c r="AO171" s="97"/>
      <c r="AP171" s="97"/>
      <c r="AQ171" s="97"/>
      <c r="AR171" s="97"/>
      <c r="AS171" s="97"/>
      <c r="AT171" s="97"/>
      <c r="AU171" s="97"/>
      <c r="AV171" s="97"/>
      <c r="AW171" s="97"/>
      <c r="AX171" s="97"/>
      <c r="AY171" s="97"/>
      <c r="AZ171" s="97"/>
    </row>
    <row r="172" spans="1:52" s="39" customFormat="1" ht="18" hidden="1" outlineLevel="1" x14ac:dyDescent="0.3">
      <c r="A172" s="97"/>
      <c r="B172" s="147"/>
      <c r="C172" s="453" t="s">
        <v>303</v>
      </c>
      <c r="D172" s="162"/>
      <c r="E172" s="162"/>
      <c r="F172" s="162"/>
      <c r="G172" s="162"/>
      <c r="H172" s="149" t="s">
        <v>330</v>
      </c>
      <c r="I172" s="534" t="s">
        <v>750</v>
      </c>
      <c r="J172" s="534" t="s">
        <v>593</v>
      </c>
      <c r="K172" s="285" t="s">
        <v>593</v>
      </c>
      <c r="L172" s="285" t="s">
        <v>593</v>
      </c>
      <c r="M172" s="285" t="s">
        <v>593</v>
      </c>
      <c r="N172" s="285" t="s">
        <v>593</v>
      </c>
      <c r="O172" s="285" t="s">
        <v>593</v>
      </c>
      <c r="P172" s="285" t="s">
        <v>593</v>
      </c>
      <c r="Q172" s="285" t="s">
        <v>593</v>
      </c>
      <c r="R172" s="285" t="s">
        <v>593</v>
      </c>
      <c r="S172" s="285" t="s">
        <v>593</v>
      </c>
      <c r="T172" s="285" t="s">
        <v>593</v>
      </c>
      <c r="U172" s="525">
        <v>12.5</v>
      </c>
      <c r="V172" s="280">
        <v>12.5</v>
      </c>
      <c r="W172" s="150">
        <v>24.95</v>
      </c>
      <c r="X172" s="151" t="s">
        <v>360</v>
      </c>
      <c r="Y172" s="100"/>
      <c r="Z172" s="458" t="s">
        <v>2</v>
      </c>
      <c r="AA172" s="848">
        <f t="shared" si="77"/>
        <v>0</v>
      </c>
      <c r="AB172" s="405">
        <f t="shared" si="78"/>
        <v>0.49899799599198391</v>
      </c>
      <c r="AC172" s="100"/>
      <c r="AD172" s="100"/>
      <c r="AE172" s="100"/>
      <c r="AF172" s="100"/>
      <c r="AG172" s="100"/>
      <c r="AH172" s="101"/>
      <c r="AI172" s="101"/>
      <c r="AJ172" s="100"/>
      <c r="AK172" s="101"/>
      <c r="AL172" s="101"/>
      <c r="AM172" s="100"/>
      <c r="AN172" s="97"/>
      <c r="AO172" s="97"/>
      <c r="AP172" s="97"/>
      <c r="AQ172" s="97"/>
      <c r="AR172" s="97"/>
      <c r="AS172" s="97"/>
      <c r="AT172" s="97"/>
      <c r="AU172" s="97"/>
      <c r="AV172" s="97"/>
      <c r="AW172" s="97"/>
      <c r="AX172" s="97"/>
      <c r="AY172" s="97"/>
      <c r="AZ172" s="97"/>
    </row>
    <row r="173" spans="1:52" s="39" customFormat="1" ht="18" hidden="1" outlineLevel="1" x14ac:dyDescent="0.3">
      <c r="A173" s="97"/>
      <c r="B173" s="147"/>
      <c r="C173" s="453" t="s">
        <v>304</v>
      </c>
      <c r="D173" s="162"/>
      <c r="E173" s="162"/>
      <c r="F173" s="162"/>
      <c r="G173" s="162"/>
      <c r="H173" s="149" t="s">
        <v>330</v>
      </c>
      <c r="I173" s="534" t="s">
        <v>750</v>
      </c>
      <c r="J173" s="534" t="s">
        <v>593</v>
      </c>
      <c r="K173" s="285" t="s">
        <v>593</v>
      </c>
      <c r="L173" s="285" t="s">
        <v>593</v>
      </c>
      <c r="M173" s="285" t="s">
        <v>593</v>
      </c>
      <c r="N173" s="285" t="s">
        <v>593</v>
      </c>
      <c r="O173" s="285" t="s">
        <v>593</v>
      </c>
      <c r="P173" s="285" t="s">
        <v>593</v>
      </c>
      <c r="Q173" s="285" t="s">
        <v>593</v>
      </c>
      <c r="R173" s="285" t="s">
        <v>593</v>
      </c>
      <c r="S173" s="285" t="s">
        <v>593</v>
      </c>
      <c r="T173" s="285" t="s">
        <v>593</v>
      </c>
      <c r="U173" s="525">
        <v>12.5</v>
      </c>
      <c r="V173" s="280">
        <v>12.5</v>
      </c>
      <c r="W173" s="150">
        <v>24.95</v>
      </c>
      <c r="X173" s="151" t="s">
        <v>360</v>
      </c>
      <c r="Y173" s="100"/>
      <c r="Z173" s="458" t="s">
        <v>2</v>
      </c>
      <c r="AA173" s="848">
        <f>1-U173/V173</f>
        <v>0</v>
      </c>
      <c r="AB173" s="405">
        <f>1-V173/W173</f>
        <v>0.49899799599198391</v>
      </c>
      <c r="AC173" s="100"/>
      <c r="AD173" s="100"/>
      <c r="AE173" s="100"/>
      <c r="AF173" s="100"/>
      <c r="AG173" s="100"/>
      <c r="AH173" s="101"/>
      <c r="AI173" s="101"/>
      <c r="AJ173" s="100"/>
      <c r="AK173" s="101"/>
      <c r="AL173" s="101"/>
      <c r="AM173" s="100"/>
      <c r="AN173" s="97"/>
      <c r="AO173" s="97"/>
      <c r="AP173" s="97"/>
      <c r="AQ173" s="97"/>
      <c r="AR173" s="97"/>
      <c r="AS173" s="97"/>
      <c r="AT173" s="97"/>
      <c r="AU173" s="97"/>
      <c r="AV173" s="97"/>
      <c r="AW173" s="97"/>
      <c r="AX173" s="97"/>
      <c r="AY173" s="97"/>
      <c r="AZ173" s="97"/>
    </row>
    <row r="174" spans="1:52" s="39" customFormat="1" ht="18" hidden="1" outlineLevel="1" x14ac:dyDescent="0.3">
      <c r="A174" s="97"/>
      <c r="B174" s="147"/>
      <c r="C174" s="453" t="s">
        <v>305</v>
      </c>
      <c r="D174" s="162"/>
      <c r="E174" s="162"/>
      <c r="F174" s="162"/>
      <c r="G174" s="162"/>
      <c r="H174" s="149" t="s">
        <v>330</v>
      </c>
      <c r="I174" s="534" t="s">
        <v>750</v>
      </c>
      <c r="J174" s="534" t="s">
        <v>593</v>
      </c>
      <c r="K174" s="285" t="s">
        <v>593</v>
      </c>
      <c r="L174" s="285" t="s">
        <v>593</v>
      </c>
      <c r="M174" s="285" t="s">
        <v>593</v>
      </c>
      <c r="N174" s="285" t="s">
        <v>593</v>
      </c>
      <c r="O174" s="285" t="s">
        <v>593</v>
      </c>
      <c r="P174" s="285" t="s">
        <v>593</v>
      </c>
      <c r="Q174" s="285" t="s">
        <v>593</v>
      </c>
      <c r="R174" s="285" t="s">
        <v>593</v>
      </c>
      <c r="S174" s="285" t="s">
        <v>593</v>
      </c>
      <c r="T174" s="285" t="s">
        <v>593</v>
      </c>
      <c r="U174" s="525">
        <v>10</v>
      </c>
      <c r="V174" s="280">
        <v>10</v>
      </c>
      <c r="W174" s="150">
        <v>19.95</v>
      </c>
      <c r="X174" s="151" t="s">
        <v>360</v>
      </c>
      <c r="Y174" s="100"/>
      <c r="Z174" s="458" t="s">
        <v>2</v>
      </c>
      <c r="AA174" s="848">
        <f>1-U174/V174</f>
        <v>0</v>
      </c>
      <c r="AB174" s="405">
        <f>1-V174/W174</f>
        <v>0.49874686716791983</v>
      </c>
      <c r="AC174" s="100"/>
      <c r="AD174" s="100"/>
      <c r="AE174" s="100"/>
      <c r="AF174" s="100"/>
      <c r="AG174" s="100"/>
      <c r="AH174" s="101"/>
      <c r="AI174" s="101"/>
      <c r="AJ174" s="100"/>
      <c r="AK174" s="101"/>
      <c r="AL174" s="101"/>
      <c r="AM174" s="100"/>
      <c r="AN174" s="97"/>
      <c r="AO174" s="97"/>
      <c r="AP174" s="97"/>
      <c r="AQ174" s="97"/>
      <c r="AR174" s="97"/>
      <c r="AS174" s="97"/>
      <c r="AT174" s="97"/>
      <c r="AU174" s="97"/>
      <c r="AV174" s="97"/>
      <c r="AW174" s="97"/>
      <c r="AX174" s="97"/>
      <c r="AY174" s="97"/>
      <c r="AZ174" s="97"/>
    </row>
    <row r="175" spans="1:52" s="39" customFormat="1" ht="18" hidden="1" outlineLevel="1" x14ac:dyDescent="0.3">
      <c r="A175" s="97"/>
      <c r="B175" s="147"/>
      <c r="C175" s="453" t="s">
        <v>292</v>
      </c>
      <c r="D175" s="162"/>
      <c r="E175" s="162"/>
      <c r="F175" s="162"/>
      <c r="G175" s="162"/>
      <c r="H175" s="149" t="s">
        <v>320</v>
      </c>
      <c r="I175" s="534" t="s">
        <v>750</v>
      </c>
      <c r="J175" s="534" t="s">
        <v>593</v>
      </c>
      <c r="K175" s="285" t="s">
        <v>593</v>
      </c>
      <c r="L175" s="285" t="s">
        <v>593</v>
      </c>
      <c r="M175" s="285" t="s">
        <v>593</v>
      </c>
      <c r="N175" s="285" t="s">
        <v>593</v>
      </c>
      <c r="O175" s="285" t="s">
        <v>593</v>
      </c>
      <c r="P175" s="285" t="s">
        <v>593</v>
      </c>
      <c r="Q175" s="285" t="s">
        <v>593</v>
      </c>
      <c r="R175" s="285" t="s">
        <v>593</v>
      </c>
      <c r="S175" s="285" t="s">
        <v>593</v>
      </c>
      <c r="T175" s="285" t="s">
        <v>593</v>
      </c>
      <c r="U175" s="525">
        <v>5</v>
      </c>
      <c r="V175" s="280">
        <v>5</v>
      </c>
      <c r="W175" s="150">
        <v>9.9499999999999993</v>
      </c>
      <c r="X175" s="151" t="s">
        <v>360</v>
      </c>
      <c r="Y175" s="100"/>
      <c r="Z175" s="458" t="s">
        <v>2</v>
      </c>
      <c r="AA175" s="848">
        <f t="shared" ref="AA175:AA177" si="79">1-U175/V175</f>
        <v>0</v>
      </c>
      <c r="AB175" s="405">
        <f t="shared" ref="AB175:AB177" si="80">1-V175/W175</f>
        <v>0.49748743718592958</v>
      </c>
      <c r="AC175" s="100"/>
      <c r="AD175" s="100"/>
      <c r="AE175" s="100"/>
      <c r="AF175" s="100"/>
      <c r="AG175" s="100"/>
      <c r="AH175" s="101"/>
      <c r="AI175" s="101"/>
      <c r="AJ175" s="100"/>
      <c r="AK175" s="101"/>
      <c r="AL175" s="101"/>
      <c r="AM175" s="100"/>
      <c r="AN175" s="97"/>
      <c r="AO175" s="97"/>
      <c r="AP175" s="97"/>
      <c r="AQ175" s="97"/>
      <c r="AR175" s="97"/>
      <c r="AS175" s="97"/>
      <c r="AT175" s="97"/>
      <c r="AU175" s="97"/>
      <c r="AV175" s="97"/>
      <c r="AW175" s="97"/>
      <c r="AX175" s="97"/>
      <c r="AY175" s="97"/>
      <c r="AZ175" s="97"/>
    </row>
    <row r="176" spans="1:52" s="39" customFormat="1" ht="18" hidden="1" outlineLevel="1" x14ac:dyDescent="0.3">
      <c r="A176" s="97"/>
      <c r="B176" s="147"/>
      <c r="C176" s="453" t="s">
        <v>293</v>
      </c>
      <c r="D176" s="162"/>
      <c r="E176" s="162"/>
      <c r="F176" s="162"/>
      <c r="G176" s="162"/>
      <c r="H176" s="149" t="s">
        <v>320</v>
      </c>
      <c r="I176" s="534" t="s">
        <v>750</v>
      </c>
      <c r="J176" s="534" t="s">
        <v>593</v>
      </c>
      <c r="K176" s="285" t="s">
        <v>593</v>
      </c>
      <c r="L176" s="285" t="s">
        <v>593</v>
      </c>
      <c r="M176" s="285" t="s">
        <v>593</v>
      </c>
      <c r="N176" s="285" t="s">
        <v>593</v>
      </c>
      <c r="O176" s="285" t="s">
        <v>593</v>
      </c>
      <c r="P176" s="285" t="s">
        <v>593</v>
      </c>
      <c r="Q176" s="285" t="s">
        <v>593</v>
      </c>
      <c r="R176" s="285" t="s">
        <v>593</v>
      </c>
      <c r="S176" s="285" t="s">
        <v>593</v>
      </c>
      <c r="T176" s="285" t="s">
        <v>593</v>
      </c>
      <c r="U176" s="525">
        <v>6.5</v>
      </c>
      <c r="V176" s="280">
        <v>6.5</v>
      </c>
      <c r="W176" s="150">
        <v>12.95</v>
      </c>
      <c r="X176" s="151" t="s">
        <v>360</v>
      </c>
      <c r="Y176" s="100"/>
      <c r="Z176" s="458" t="s">
        <v>2</v>
      </c>
      <c r="AA176" s="848">
        <f t="shared" si="79"/>
        <v>0</v>
      </c>
      <c r="AB176" s="405">
        <f t="shared" si="80"/>
        <v>0.49806949806949807</v>
      </c>
      <c r="AC176" s="100"/>
      <c r="AD176" s="100"/>
      <c r="AE176" s="100"/>
      <c r="AF176" s="100"/>
      <c r="AG176" s="100"/>
      <c r="AH176" s="101"/>
      <c r="AI176" s="101"/>
      <c r="AJ176" s="100"/>
      <c r="AK176" s="101"/>
      <c r="AL176" s="101"/>
      <c r="AM176" s="100"/>
      <c r="AN176" s="97"/>
      <c r="AO176" s="97"/>
      <c r="AP176" s="97"/>
      <c r="AQ176" s="97"/>
      <c r="AR176" s="97"/>
      <c r="AS176" s="97"/>
      <c r="AT176" s="97"/>
      <c r="AU176" s="97"/>
      <c r="AV176" s="97"/>
      <c r="AW176" s="97"/>
      <c r="AX176" s="97"/>
      <c r="AY176" s="97"/>
      <c r="AZ176" s="97"/>
    </row>
    <row r="177" spans="1:52" s="39" customFormat="1" ht="18" hidden="1" outlineLevel="1" x14ac:dyDescent="0.3">
      <c r="A177" s="97"/>
      <c r="B177" s="147"/>
      <c r="C177" s="453" t="s">
        <v>294</v>
      </c>
      <c r="D177" s="162"/>
      <c r="E177" s="162"/>
      <c r="F177" s="162"/>
      <c r="G177" s="162"/>
      <c r="H177" s="149" t="s">
        <v>320</v>
      </c>
      <c r="I177" s="534" t="s">
        <v>750</v>
      </c>
      <c r="J177" s="534" t="s">
        <v>593</v>
      </c>
      <c r="K177" s="285" t="s">
        <v>593</v>
      </c>
      <c r="L177" s="285" t="s">
        <v>593</v>
      </c>
      <c r="M177" s="285" t="s">
        <v>593</v>
      </c>
      <c r="N177" s="285" t="s">
        <v>593</v>
      </c>
      <c r="O177" s="285" t="s">
        <v>593</v>
      </c>
      <c r="P177" s="285" t="s">
        <v>593</v>
      </c>
      <c r="Q177" s="285" t="s">
        <v>593</v>
      </c>
      <c r="R177" s="285" t="s">
        <v>593</v>
      </c>
      <c r="S177" s="285" t="s">
        <v>593</v>
      </c>
      <c r="T177" s="285" t="s">
        <v>593</v>
      </c>
      <c r="U177" s="525">
        <v>6.5</v>
      </c>
      <c r="V177" s="280">
        <v>6.5</v>
      </c>
      <c r="W177" s="150">
        <v>12.95</v>
      </c>
      <c r="X177" s="151" t="s">
        <v>360</v>
      </c>
      <c r="Y177" s="100"/>
      <c r="Z177" s="458" t="s">
        <v>2</v>
      </c>
      <c r="AA177" s="848">
        <f t="shared" si="79"/>
        <v>0</v>
      </c>
      <c r="AB177" s="405">
        <f t="shared" si="80"/>
        <v>0.49806949806949807</v>
      </c>
      <c r="AC177" s="100"/>
      <c r="AD177" s="100"/>
      <c r="AE177" s="100"/>
      <c r="AF177" s="100"/>
      <c r="AG177" s="100"/>
      <c r="AH177" s="101"/>
      <c r="AI177" s="101"/>
      <c r="AJ177" s="100"/>
      <c r="AK177" s="101"/>
      <c r="AL177" s="101"/>
      <c r="AM177" s="100"/>
      <c r="AN177" s="97"/>
      <c r="AO177" s="97"/>
      <c r="AP177" s="97"/>
      <c r="AQ177" s="97"/>
      <c r="AR177" s="97"/>
      <c r="AS177" s="97"/>
      <c r="AT177" s="97"/>
      <c r="AU177" s="97"/>
      <c r="AV177" s="97"/>
      <c r="AW177" s="97"/>
      <c r="AX177" s="97"/>
      <c r="AY177" s="97"/>
      <c r="AZ177" s="97"/>
    </row>
    <row r="178" spans="1:52" s="39" customFormat="1" ht="18" hidden="1" outlineLevel="1" x14ac:dyDescent="0.3">
      <c r="A178" s="97"/>
      <c r="B178" s="147"/>
      <c r="C178" s="453" t="s">
        <v>295</v>
      </c>
      <c r="D178" s="162"/>
      <c r="E178" s="162"/>
      <c r="F178" s="162"/>
      <c r="G178" s="162"/>
      <c r="H178" s="149" t="s">
        <v>320</v>
      </c>
      <c r="I178" s="534" t="s">
        <v>750</v>
      </c>
      <c r="J178" s="534" t="s">
        <v>593</v>
      </c>
      <c r="K178" s="285" t="s">
        <v>593</v>
      </c>
      <c r="L178" s="285" t="s">
        <v>593</v>
      </c>
      <c r="M178" s="285" t="s">
        <v>593</v>
      </c>
      <c r="N178" s="285" t="s">
        <v>593</v>
      </c>
      <c r="O178" s="285" t="s">
        <v>593</v>
      </c>
      <c r="P178" s="285" t="s">
        <v>593</v>
      </c>
      <c r="Q178" s="285" t="s">
        <v>593</v>
      </c>
      <c r="R178" s="285" t="s">
        <v>593</v>
      </c>
      <c r="S178" s="285" t="s">
        <v>593</v>
      </c>
      <c r="T178" s="285" t="s">
        <v>593</v>
      </c>
      <c r="U178" s="525">
        <v>6.5</v>
      </c>
      <c r="V178" s="280">
        <v>6.5</v>
      </c>
      <c r="W178" s="150">
        <v>12.95</v>
      </c>
      <c r="X178" s="151" t="s">
        <v>360</v>
      </c>
      <c r="Y178" s="100"/>
      <c r="Z178" s="458" t="s">
        <v>2</v>
      </c>
      <c r="AA178" s="848">
        <f>1-U178/V178</f>
        <v>0</v>
      </c>
      <c r="AB178" s="405">
        <f>1-V178/W178</f>
        <v>0.49806949806949807</v>
      </c>
      <c r="AC178" s="100"/>
      <c r="AD178" s="100"/>
      <c r="AE178" s="100"/>
      <c r="AF178" s="100"/>
      <c r="AG178" s="100"/>
      <c r="AH178" s="101"/>
      <c r="AI178" s="101"/>
      <c r="AJ178" s="100"/>
      <c r="AK178" s="101"/>
      <c r="AL178" s="101"/>
      <c r="AM178" s="100"/>
      <c r="AN178" s="97"/>
      <c r="AO178" s="97"/>
      <c r="AP178" s="97"/>
      <c r="AQ178" s="97"/>
      <c r="AR178" s="97"/>
      <c r="AS178" s="97"/>
      <c r="AT178" s="97"/>
      <c r="AU178" s="97"/>
      <c r="AV178" s="97"/>
      <c r="AW178" s="97"/>
      <c r="AX178" s="97"/>
      <c r="AY178" s="97"/>
      <c r="AZ178" s="97"/>
    </row>
    <row r="179" spans="1:52" s="39" customFormat="1" ht="18" hidden="1" outlineLevel="1" x14ac:dyDescent="0.3">
      <c r="A179" s="97"/>
      <c r="B179" s="147"/>
      <c r="C179" s="453" t="s">
        <v>296</v>
      </c>
      <c r="D179" s="162"/>
      <c r="E179" s="162"/>
      <c r="F179" s="162"/>
      <c r="G179" s="162"/>
      <c r="H179" s="149" t="s">
        <v>320</v>
      </c>
      <c r="I179" s="534" t="s">
        <v>750</v>
      </c>
      <c r="J179" s="534" t="s">
        <v>593</v>
      </c>
      <c r="K179" s="285" t="s">
        <v>593</v>
      </c>
      <c r="L179" s="285" t="s">
        <v>593</v>
      </c>
      <c r="M179" s="285" t="s">
        <v>593</v>
      </c>
      <c r="N179" s="285" t="s">
        <v>593</v>
      </c>
      <c r="O179" s="285" t="s">
        <v>593</v>
      </c>
      <c r="P179" s="285" t="s">
        <v>593</v>
      </c>
      <c r="Q179" s="285" t="s">
        <v>593</v>
      </c>
      <c r="R179" s="285" t="s">
        <v>593</v>
      </c>
      <c r="S179" s="285" t="s">
        <v>593</v>
      </c>
      <c r="T179" s="285" t="s">
        <v>593</v>
      </c>
      <c r="U179" s="525">
        <v>5</v>
      </c>
      <c r="V179" s="280">
        <v>5</v>
      </c>
      <c r="W179" s="150">
        <v>9.9499999999999993</v>
      </c>
      <c r="X179" s="151" t="s">
        <v>360</v>
      </c>
      <c r="Y179" s="100"/>
      <c r="Z179" s="458" t="s">
        <v>2</v>
      </c>
      <c r="AA179" s="848">
        <f t="shared" ref="AA179:AA207" si="81">1-U179/V179</f>
        <v>0</v>
      </c>
      <c r="AB179" s="405">
        <f t="shared" ref="AB179:AB181" si="82">1-V179/W179</f>
        <v>0.49748743718592958</v>
      </c>
      <c r="AC179" s="100"/>
      <c r="AD179" s="100"/>
      <c r="AE179" s="100"/>
      <c r="AF179" s="100"/>
      <c r="AG179" s="100"/>
      <c r="AH179" s="101"/>
      <c r="AI179" s="101"/>
      <c r="AJ179" s="100"/>
      <c r="AK179" s="101"/>
      <c r="AL179" s="101"/>
      <c r="AM179" s="100"/>
      <c r="AN179" s="97"/>
      <c r="AO179" s="97"/>
      <c r="AP179" s="97"/>
      <c r="AQ179" s="97"/>
      <c r="AR179" s="97"/>
      <c r="AS179" s="97"/>
      <c r="AT179" s="97"/>
      <c r="AU179" s="97"/>
      <c r="AV179" s="97"/>
      <c r="AW179" s="97"/>
      <c r="AX179" s="97"/>
      <c r="AY179" s="97"/>
      <c r="AZ179" s="97"/>
    </row>
    <row r="180" spans="1:52" s="39" customFormat="1" ht="18" hidden="1" outlineLevel="1" x14ac:dyDescent="0.3">
      <c r="A180" s="97"/>
      <c r="B180" s="147"/>
      <c r="C180" s="453" t="s">
        <v>297</v>
      </c>
      <c r="D180" s="162"/>
      <c r="E180" s="162"/>
      <c r="F180" s="162"/>
      <c r="G180" s="162"/>
      <c r="H180" s="149" t="s">
        <v>320</v>
      </c>
      <c r="I180" s="534" t="s">
        <v>750</v>
      </c>
      <c r="J180" s="534" t="s">
        <v>593</v>
      </c>
      <c r="K180" s="285" t="s">
        <v>593</v>
      </c>
      <c r="L180" s="285" t="s">
        <v>593</v>
      </c>
      <c r="M180" s="285" t="s">
        <v>593</v>
      </c>
      <c r="N180" s="285" t="s">
        <v>593</v>
      </c>
      <c r="O180" s="285" t="s">
        <v>593</v>
      </c>
      <c r="P180" s="285" t="s">
        <v>593</v>
      </c>
      <c r="Q180" s="285" t="s">
        <v>593</v>
      </c>
      <c r="R180" s="285" t="s">
        <v>593</v>
      </c>
      <c r="S180" s="285" t="s">
        <v>593</v>
      </c>
      <c r="T180" s="285" t="s">
        <v>593</v>
      </c>
      <c r="U180" s="525">
        <v>5</v>
      </c>
      <c r="V180" s="280">
        <v>5</v>
      </c>
      <c r="W180" s="150">
        <v>9.9499999999999993</v>
      </c>
      <c r="X180" s="151" t="s">
        <v>360</v>
      </c>
      <c r="Y180" s="100"/>
      <c r="Z180" s="458" t="s">
        <v>2</v>
      </c>
      <c r="AA180" s="848">
        <f t="shared" si="81"/>
        <v>0</v>
      </c>
      <c r="AB180" s="405">
        <f t="shared" si="82"/>
        <v>0.49748743718592958</v>
      </c>
      <c r="AC180" s="100"/>
      <c r="AD180" s="100"/>
      <c r="AE180" s="100"/>
      <c r="AF180" s="100"/>
      <c r="AG180" s="100"/>
      <c r="AH180" s="101"/>
      <c r="AI180" s="101"/>
      <c r="AJ180" s="100"/>
      <c r="AK180" s="101"/>
      <c r="AL180" s="101"/>
      <c r="AM180" s="100"/>
      <c r="AN180" s="97"/>
      <c r="AO180" s="97"/>
      <c r="AP180" s="97"/>
      <c r="AQ180" s="97"/>
      <c r="AR180" s="97"/>
      <c r="AS180" s="97"/>
      <c r="AT180" s="97"/>
      <c r="AU180" s="97"/>
      <c r="AV180" s="97"/>
      <c r="AW180" s="97"/>
      <c r="AX180" s="97"/>
      <c r="AY180" s="97"/>
      <c r="AZ180" s="97"/>
    </row>
    <row r="181" spans="1:52" s="39" customFormat="1" ht="18" hidden="1" outlineLevel="1" x14ac:dyDescent="0.3">
      <c r="A181" s="97"/>
      <c r="B181" s="147"/>
      <c r="C181" s="453" t="s">
        <v>298</v>
      </c>
      <c r="D181" s="166"/>
      <c r="E181" s="166"/>
      <c r="F181" s="166"/>
      <c r="G181" s="166"/>
      <c r="H181" s="149" t="s">
        <v>320</v>
      </c>
      <c r="I181" s="534" t="s">
        <v>750</v>
      </c>
      <c r="J181" s="534" t="s">
        <v>593</v>
      </c>
      <c r="K181" s="285" t="s">
        <v>593</v>
      </c>
      <c r="L181" s="285" t="s">
        <v>593</v>
      </c>
      <c r="M181" s="285" t="s">
        <v>593</v>
      </c>
      <c r="N181" s="285" t="s">
        <v>593</v>
      </c>
      <c r="O181" s="285" t="s">
        <v>593</v>
      </c>
      <c r="P181" s="285" t="s">
        <v>593</v>
      </c>
      <c r="Q181" s="285" t="s">
        <v>593</v>
      </c>
      <c r="R181" s="285" t="s">
        <v>593</v>
      </c>
      <c r="S181" s="285" t="s">
        <v>593</v>
      </c>
      <c r="T181" s="285" t="s">
        <v>593</v>
      </c>
      <c r="U181" s="525">
        <v>6.5</v>
      </c>
      <c r="V181" s="280">
        <v>6.5</v>
      </c>
      <c r="W181" s="150">
        <v>12.95</v>
      </c>
      <c r="X181" s="151" t="s">
        <v>360</v>
      </c>
      <c r="Y181" s="100"/>
      <c r="Z181" s="458" t="s">
        <v>2</v>
      </c>
      <c r="AA181" s="848">
        <f t="shared" si="81"/>
        <v>0</v>
      </c>
      <c r="AB181" s="405">
        <f t="shared" si="82"/>
        <v>0.49806949806949807</v>
      </c>
      <c r="AC181" s="100"/>
      <c r="AD181" s="100"/>
      <c r="AE181" s="100"/>
      <c r="AF181" s="100"/>
      <c r="AG181" s="100"/>
      <c r="AH181" s="101"/>
      <c r="AI181" s="101"/>
      <c r="AJ181" s="100"/>
      <c r="AK181" s="101"/>
      <c r="AL181" s="101"/>
      <c r="AM181" s="100"/>
      <c r="AN181" s="97"/>
      <c r="AO181" s="97"/>
      <c r="AP181" s="97"/>
      <c r="AQ181" s="97"/>
      <c r="AR181" s="97"/>
      <c r="AS181" s="97"/>
      <c r="AT181" s="97"/>
      <c r="AU181" s="97"/>
      <c r="AV181" s="97"/>
      <c r="AW181" s="97"/>
      <c r="AX181" s="97"/>
      <c r="AY181" s="97"/>
      <c r="AZ181" s="97"/>
    </row>
    <row r="182" spans="1:52" s="39" customFormat="1" ht="18" hidden="1" outlineLevel="1" x14ac:dyDescent="0.3">
      <c r="A182" s="97"/>
      <c r="B182" s="147"/>
      <c r="C182" s="453" t="s">
        <v>325</v>
      </c>
      <c r="D182" s="166"/>
      <c r="E182" s="166"/>
      <c r="F182" s="166"/>
      <c r="G182" s="166"/>
      <c r="H182" s="149" t="s">
        <v>320</v>
      </c>
      <c r="I182" s="534" t="s">
        <v>750</v>
      </c>
      <c r="J182" s="534" t="s">
        <v>593</v>
      </c>
      <c r="K182" s="285" t="s">
        <v>593</v>
      </c>
      <c r="L182" s="285" t="s">
        <v>593</v>
      </c>
      <c r="M182" s="285" t="s">
        <v>593</v>
      </c>
      <c r="N182" s="285" t="s">
        <v>593</v>
      </c>
      <c r="O182" s="285" t="s">
        <v>593</v>
      </c>
      <c r="P182" s="285" t="s">
        <v>593</v>
      </c>
      <c r="Q182" s="285" t="s">
        <v>593</v>
      </c>
      <c r="R182" s="285" t="s">
        <v>593</v>
      </c>
      <c r="S182" s="285" t="s">
        <v>593</v>
      </c>
      <c r="T182" s="285" t="s">
        <v>593</v>
      </c>
      <c r="U182" s="525">
        <v>6.5</v>
      </c>
      <c r="V182" s="280">
        <v>6.5</v>
      </c>
      <c r="W182" s="150">
        <v>12.95</v>
      </c>
      <c r="X182" s="151" t="s">
        <v>360</v>
      </c>
      <c r="Y182" s="100"/>
      <c r="Z182" s="458" t="s">
        <v>2</v>
      </c>
      <c r="AA182" s="848">
        <f t="shared" si="81"/>
        <v>0</v>
      </c>
      <c r="AB182" s="405">
        <f t="shared" ref="AB182" si="83">1-V182/W182</f>
        <v>0.49806949806949807</v>
      </c>
      <c r="AC182" s="100"/>
      <c r="AD182" s="100"/>
      <c r="AE182" s="100"/>
      <c r="AF182" s="100"/>
      <c r="AG182" s="100"/>
      <c r="AH182" s="101"/>
      <c r="AI182" s="101"/>
      <c r="AJ182" s="100"/>
      <c r="AK182" s="101"/>
      <c r="AL182" s="101"/>
      <c r="AM182" s="100"/>
      <c r="AN182" s="97"/>
      <c r="AO182" s="97"/>
      <c r="AP182" s="97"/>
      <c r="AQ182" s="97"/>
      <c r="AR182" s="97"/>
      <c r="AS182" s="97"/>
      <c r="AT182" s="97"/>
      <c r="AU182" s="97"/>
      <c r="AV182" s="97"/>
      <c r="AW182" s="97"/>
      <c r="AX182" s="97"/>
      <c r="AY182" s="97"/>
      <c r="AZ182" s="97"/>
    </row>
    <row r="183" spans="1:52" s="39" customFormat="1" ht="18" hidden="1" outlineLevel="1" x14ac:dyDescent="0.3">
      <c r="A183" s="97"/>
      <c r="B183" s="147"/>
      <c r="C183" s="453" t="s">
        <v>299</v>
      </c>
      <c r="D183" s="166"/>
      <c r="E183" s="166"/>
      <c r="F183" s="166"/>
      <c r="G183" s="166"/>
      <c r="H183" s="149" t="s">
        <v>320</v>
      </c>
      <c r="I183" s="534" t="s">
        <v>750</v>
      </c>
      <c r="J183" s="534" t="s">
        <v>593</v>
      </c>
      <c r="K183" s="285" t="s">
        <v>593</v>
      </c>
      <c r="L183" s="285" t="s">
        <v>593</v>
      </c>
      <c r="M183" s="285" t="s">
        <v>593</v>
      </c>
      <c r="N183" s="285" t="s">
        <v>593</v>
      </c>
      <c r="O183" s="285" t="s">
        <v>593</v>
      </c>
      <c r="P183" s="285" t="s">
        <v>593</v>
      </c>
      <c r="Q183" s="285" t="s">
        <v>593</v>
      </c>
      <c r="R183" s="285" t="s">
        <v>593</v>
      </c>
      <c r="S183" s="285" t="s">
        <v>593</v>
      </c>
      <c r="T183" s="285" t="s">
        <v>593</v>
      </c>
      <c r="U183" s="525">
        <v>6.5</v>
      </c>
      <c r="V183" s="280">
        <v>6.5</v>
      </c>
      <c r="W183" s="150">
        <v>12.95</v>
      </c>
      <c r="X183" s="151" t="s">
        <v>360</v>
      </c>
      <c r="Y183" s="100"/>
      <c r="Z183" s="458" t="s">
        <v>2</v>
      </c>
      <c r="AA183" s="848">
        <f t="shared" si="81"/>
        <v>0</v>
      </c>
      <c r="AB183" s="405">
        <f t="shared" ref="AB183:AB185" si="84">1-V183/W183</f>
        <v>0.49806949806949807</v>
      </c>
      <c r="AC183" s="100"/>
      <c r="AD183" s="100"/>
      <c r="AE183" s="100"/>
      <c r="AF183" s="100"/>
      <c r="AG183" s="100"/>
      <c r="AH183" s="101"/>
      <c r="AI183" s="101"/>
      <c r="AJ183" s="100"/>
      <c r="AK183" s="101"/>
      <c r="AL183" s="101"/>
      <c r="AM183" s="100"/>
      <c r="AN183" s="97"/>
      <c r="AO183" s="97"/>
      <c r="AP183" s="97"/>
      <c r="AQ183" s="97"/>
      <c r="AR183" s="97"/>
      <c r="AS183" s="97"/>
      <c r="AT183" s="97"/>
      <c r="AU183" s="97"/>
      <c r="AV183" s="97"/>
      <c r="AW183" s="97"/>
      <c r="AX183" s="97"/>
      <c r="AY183" s="97"/>
      <c r="AZ183" s="97"/>
    </row>
    <row r="184" spans="1:52" s="39" customFormat="1" ht="18" hidden="1" outlineLevel="1" x14ac:dyDescent="0.3">
      <c r="A184" s="97"/>
      <c r="B184" s="454"/>
      <c r="C184" s="455" t="s">
        <v>383</v>
      </c>
      <c r="D184" s="166"/>
      <c r="E184" s="166"/>
      <c r="F184" s="166"/>
      <c r="G184" s="166"/>
      <c r="H184" s="149"/>
      <c r="I184" s="534"/>
      <c r="J184" s="534"/>
      <c r="K184" s="285"/>
      <c r="L184" s="285"/>
      <c r="M184" s="285"/>
      <c r="N184" s="285"/>
      <c r="O184" s="285"/>
      <c r="P184" s="285"/>
      <c r="Q184" s="285"/>
      <c r="R184" s="285"/>
      <c r="S184" s="285"/>
      <c r="T184" s="285"/>
      <c r="U184" s="525"/>
      <c r="V184" s="280"/>
      <c r="W184" s="150"/>
      <c r="X184" s="151"/>
      <c r="Y184" s="100"/>
      <c r="Z184" s="458" t="s">
        <v>2</v>
      </c>
      <c r="AA184" s="848" t="e">
        <f t="shared" si="81"/>
        <v>#DIV/0!</v>
      </c>
      <c r="AB184" s="405" t="e">
        <f t="shared" si="84"/>
        <v>#DIV/0!</v>
      </c>
      <c r="AC184" s="100"/>
      <c r="AD184" s="100"/>
      <c r="AE184" s="100"/>
      <c r="AF184" s="100"/>
      <c r="AG184" s="100"/>
      <c r="AH184" s="101"/>
      <c r="AI184" s="101"/>
      <c r="AJ184" s="100"/>
      <c r="AK184" s="101"/>
      <c r="AL184" s="101"/>
      <c r="AM184" s="100"/>
      <c r="AN184" s="97"/>
      <c r="AO184" s="97"/>
      <c r="AP184" s="97"/>
      <c r="AQ184" s="97"/>
      <c r="AR184" s="97"/>
      <c r="AS184" s="97"/>
      <c r="AT184" s="97"/>
      <c r="AU184" s="97"/>
      <c r="AV184" s="97"/>
      <c r="AW184" s="97"/>
      <c r="AX184" s="97"/>
      <c r="AY184" s="97"/>
      <c r="AZ184" s="97"/>
    </row>
    <row r="185" spans="1:52" s="39" customFormat="1" ht="18" hidden="1" outlineLevel="1" x14ac:dyDescent="0.3">
      <c r="A185" s="97"/>
      <c r="B185" s="147"/>
      <c r="C185" s="148" t="s">
        <v>357</v>
      </c>
      <c r="D185" s="166"/>
      <c r="E185" s="166"/>
      <c r="F185" s="166"/>
      <c r="G185" s="166"/>
      <c r="H185" s="149"/>
      <c r="I185" s="534" t="s">
        <v>750</v>
      </c>
      <c r="J185" s="534" t="s">
        <v>593</v>
      </c>
      <c r="K185" s="285" t="s">
        <v>593</v>
      </c>
      <c r="L185" s="285" t="s">
        <v>593</v>
      </c>
      <c r="M185" s="285" t="s">
        <v>593</v>
      </c>
      <c r="N185" s="285" t="s">
        <v>593</v>
      </c>
      <c r="O185" s="285" t="s">
        <v>593</v>
      </c>
      <c r="P185" s="285" t="s">
        <v>593</v>
      </c>
      <c r="Q185" s="285" t="s">
        <v>593</v>
      </c>
      <c r="R185" s="285" t="s">
        <v>593</v>
      </c>
      <c r="S185" s="285" t="s">
        <v>593</v>
      </c>
      <c r="T185" s="285" t="s">
        <v>593</v>
      </c>
      <c r="U185" s="525">
        <v>150</v>
      </c>
      <c r="V185" s="280">
        <v>150</v>
      </c>
      <c r="W185" s="150">
        <v>199</v>
      </c>
      <c r="X185" s="151" t="s">
        <v>376</v>
      </c>
      <c r="Y185" s="100"/>
      <c r="Z185" s="458" t="s">
        <v>2</v>
      </c>
      <c r="AA185" s="848">
        <f t="shared" si="81"/>
        <v>0</v>
      </c>
      <c r="AB185" s="405">
        <f t="shared" si="84"/>
        <v>0.24623115577889443</v>
      </c>
      <c r="AC185" s="100"/>
      <c r="AD185" s="100"/>
      <c r="AE185" s="100"/>
      <c r="AF185" s="100"/>
      <c r="AG185" s="100"/>
      <c r="AH185" s="101"/>
      <c r="AI185" s="101"/>
      <c r="AJ185" s="100"/>
      <c r="AK185" s="101"/>
      <c r="AL185" s="101"/>
      <c r="AM185" s="100"/>
      <c r="AN185" s="97"/>
      <c r="AO185" s="97"/>
      <c r="AP185" s="97"/>
      <c r="AQ185" s="97"/>
      <c r="AR185" s="97"/>
      <c r="AS185" s="97"/>
      <c r="AT185" s="97"/>
      <c r="AU185" s="97"/>
      <c r="AV185" s="97"/>
      <c r="AW185" s="97"/>
      <c r="AX185" s="97"/>
      <c r="AY185" s="97"/>
      <c r="AZ185" s="97"/>
    </row>
    <row r="186" spans="1:52" s="39" customFormat="1" ht="18" hidden="1" outlineLevel="1" x14ac:dyDescent="0.3">
      <c r="A186" s="97"/>
      <c r="B186" s="147"/>
      <c r="C186" s="453" t="s">
        <v>361</v>
      </c>
      <c r="D186" s="162"/>
      <c r="E186" s="162"/>
      <c r="F186" s="162"/>
      <c r="G186" s="162"/>
      <c r="H186" s="149" t="s">
        <v>320</v>
      </c>
      <c r="I186" s="534" t="s">
        <v>750</v>
      </c>
      <c r="J186" s="534" t="s">
        <v>593</v>
      </c>
      <c r="K186" s="285" t="s">
        <v>593</v>
      </c>
      <c r="L186" s="285" t="s">
        <v>593</v>
      </c>
      <c r="M186" s="285" t="s">
        <v>593</v>
      </c>
      <c r="N186" s="285" t="s">
        <v>593</v>
      </c>
      <c r="O186" s="285" t="s">
        <v>593</v>
      </c>
      <c r="P186" s="285" t="s">
        <v>593</v>
      </c>
      <c r="Q186" s="285" t="s">
        <v>593</v>
      </c>
      <c r="R186" s="285" t="s">
        <v>593</v>
      </c>
      <c r="S186" s="285" t="s">
        <v>593</v>
      </c>
      <c r="T186" s="285" t="s">
        <v>593</v>
      </c>
      <c r="U186" s="525">
        <v>6.5</v>
      </c>
      <c r="V186" s="280">
        <v>6.5</v>
      </c>
      <c r="W186" s="150">
        <v>12.95</v>
      </c>
      <c r="X186" s="151" t="s">
        <v>360</v>
      </c>
      <c r="Y186" s="100"/>
      <c r="Z186" s="458" t="s">
        <v>2</v>
      </c>
      <c r="AA186" s="848">
        <f t="shared" si="81"/>
        <v>0</v>
      </c>
      <c r="AB186" s="405">
        <f t="shared" ref="AB186" si="85">1-V186/W186</f>
        <v>0.49806949806949807</v>
      </c>
      <c r="AC186" s="100"/>
      <c r="AD186" s="100"/>
      <c r="AE186" s="100"/>
      <c r="AF186" s="100"/>
      <c r="AG186" s="100"/>
      <c r="AH186" s="101"/>
      <c r="AI186" s="101"/>
      <c r="AJ186" s="100"/>
      <c r="AK186" s="101"/>
      <c r="AL186" s="101"/>
      <c r="AM186" s="100"/>
      <c r="AN186" s="97"/>
      <c r="AO186" s="97"/>
      <c r="AP186" s="97"/>
      <c r="AQ186" s="97"/>
      <c r="AR186" s="97"/>
      <c r="AS186" s="97"/>
      <c r="AT186" s="97"/>
      <c r="AU186" s="97"/>
      <c r="AV186" s="97"/>
      <c r="AW186" s="97"/>
      <c r="AX186" s="97"/>
      <c r="AY186" s="97"/>
      <c r="AZ186" s="97"/>
    </row>
    <row r="187" spans="1:52" s="39" customFormat="1" ht="18" hidden="1" outlineLevel="1" x14ac:dyDescent="0.3">
      <c r="A187" s="97"/>
      <c r="B187" s="147"/>
      <c r="C187" s="453" t="s">
        <v>327</v>
      </c>
      <c r="D187" s="162"/>
      <c r="E187" s="162"/>
      <c r="F187" s="162"/>
      <c r="G187" s="162"/>
      <c r="H187" s="149" t="s">
        <v>320</v>
      </c>
      <c r="I187" s="534" t="s">
        <v>750</v>
      </c>
      <c r="J187" s="534" t="s">
        <v>593</v>
      </c>
      <c r="K187" s="285" t="s">
        <v>593</v>
      </c>
      <c r="L187" s="285" t="s">
        <v>593</v>
      </c>
      <c r="M187" s="285" t="s">
        <v>593</v>
      </c>
      <c r="N187" s="285" t="s">
        <v>593</v>
      </c>
      <c r="O187" s="285" t="s">
        <v>593</v>
      </c>
      <c r="P187" s="285" t="s">
        <v>593</v>
      </c>
      <c r="Q187" s="285" t="s">
        <v>593</v>
      </c>
      <c r="R187" s="285" t="s">
        <v>593</v>
      </c>
      <c r="S187" s="285" t="s">
        <v>593</v>
      </c>
      <c r="T187" s="285" t="s">
        <v>593</v>
      </c>
      <c r="U187" s="525">
        <v>7.5</v>
      </c>
      <c r="V187" s="280">
        <v>7.5</v>
      </c>
      <c r="W187" s="150">
        <v>14.95</v>
      </c>
      <c r="X187" s="151" t="s">
        <v>360</v>
      </c>
      <c r="Y187" s="100"/>
      <c r="Z187" s="458" t="s">
        <v>2</v>
      </c>
      <c r="AA187" s="848">
        <f t="shared" si="81"/>
        <v>0</v>
      </c>
      <c r="AB187" s="405">
        <f t="shared" ref="AB187:AB188" si="86">1-V187/W187</f>
        <v>0.49832775919732442</v>
      </c>
      <c r="AC187" s="100"/>
      <c r="AD187" s="100"/>
      <c r="AE187" s="100"/>
      <c r="AF187" s="100"/>
      <c r="AG187" s="100"/>
      <c r="AH187" s="101"/>
      <c r="AI187" s="101"/>
      <c r="AJ187" s="100"/>
      <c r="AK187" s="101"/>
      <c r="AL187" s="101"/>
      <c r="AM187" s="100"/>
      <c r="AN187" s="97"/>
      <c r="AO187" s="97"/>
      <c r="AP187" s="97"/>
      <c r="AQ187" s="97"/>
      <c r="AR187" s="97"/>
      <c r="AS187" s="97"/>
      <c r="AT187" s="97"/>
      <c r="AU187" s="97"/>
      <c r="AV187" s="97"/>
      <c r="AW187" s="97"/>
      <c r="AX187" s="97"/>
      <c r="AY187" s="97"/>
      <c r="AZ187" s="97"/>
    </row>
    <row r="188" spans="1:52" s="39" customFormat="1" ht="18" hidden="1" outlineLevel="1" x14ac:dyDescent="0.3">
      <c r="A188" s="97"/>
      <c r="B188" s="147"/>
      <c r="C188" s="453" t="s">
        <v>329</v>
      </c>
      <c r="D188" s="162"/>
      <c r="E188" s="162"/>
      <c r="F188" s="162"/>
      <c r="G188" s="162"/>
      <c r="H188" s="149" t="s">
        <v>330</v>
      </c>
      <c r="I188" s="534" t="s">
        <v>750</v>
      </c>
      <c r="J188" s="534" t="s">
        <v>593</v>
      </c>
      <c r="K188" s="285" t="s">
        <v>593</v>
      </c>
      <c r="L188" s="285" t="s">
        <v>593</v>
      </c>
      <c r="M188" s="285" t="s">
        <v>593</v>
      </c>
      <c r="N188" s="285" t="s">
        <v>593</v>
      </c>
      <c r="O188" s="285" t="s">
        <v>593</v>
      </c>
      <c r="P188" s="285" t="s">
        <v>593</v>
      </c>
      <c r="Q188" s="285" t="s">
        <v>593</v>
      </c>
      <c r="R188" s="285" t="s">
        <v>593</v>
      </c>
      <c r="S188" s="285" t="s">
        <v>593</v>
      </c>
      <c r="T188" s="285" t="s">
        <v>593</v>
      </c>
      <c r="U188" s="525">
        <v>10</v>
      </c>
      <c r="V188" s="280">
        <v>10</v>
      </c>
      <c r="W188" s="150">
        <v>19.95</v>
      </c>
      <c r="X188" s="151" t="s">
        <v>360</v>
      </c>
      <c r="Y188" s="100"/>
      <c r="Z188" s="458" t="s">
        <v>2</v>
      </c>
      <c r="AA188" s="848">
        <f t="shared" si="81"/>
        <v>0</v>
      </c>
      <c r="AB188" s="405">
        <f t="shared" si="86"/>
        <v>0.49874686716791983</v>
      </c>
      <c r="AC188" s="100"/>
      <c r="AD188" s="100"/>
      <c r="AE188" s="100"/>
      <c r="AF188" s="100"/>
      <c r="AG188" s="100"/>
      <c r="AH188" s="101"/>
      <c r="AI188" s="101"/>
      <c r="AJ188" s="100"/>
      <c r="AK188" s="101"/>
      <c r="AL188" s="101"/>
      <c r="AM188" s="100"/>
      <c r="AN188" s="97"/>
      <c r="AO188" s="97"/>
      <c r="AP188" s="97"/>
      <c r="AQ188" s="97"/>
      <c r="AR188" s="97"/>
      <c r="AS188" s="97"/>
      <c r="AT188" s="97"/>
      <c r="AU188" s="97"/>
      <c r="AV188" s="97"/>
      <c r="AW188" s="97"/>
      <c r="AX188" s="97"/>
      <c r="AY188" s="97"/>
      <c r="AZ188" s="97"/>
    </row>
    <row r="189" spans="1:52" s="39" customFormat="1" ht="18" hidden="1" outlineLevel="1" x14ac:dyDescent="0.3">
      <c r="A189" s="97"/>
      <c r="B189" s="147"/>
      <c r="C189" s="453" t="s">
        <v>331</v>
      </c>
      <c r="D189" s="166"/>
      <c r="E189" s="166"/>
      <c r="F189" s="166"/>
      <c r="G189" s="166"/>
      <c r="H189" s="149" t="s">
        <v>221</v>
      </c>
      <c r="I189" s="534" t="s">
        <v>750</v>
      </c>
      <c r="J189" s="534" t="s">
        <v>593</v>
      </c>
      <c r="K189" s="285" t="s">
        <v>593</v>
      </c>
      <c r="L189" s="285" t="s">
        <v>593</v>
      </c>
      <c r="M189" s="285" t="s">
        <v>593</v>
      </c>
      <c r="N189" s="285" t="s">
        <v>593</v>
      </c>
      <c r="O189" s="285" t="s">
        <v>593</v>
      </c>
      <c r="P189" s="285" t="s">
        <v>593</v>
      </c>
      <c r="Q189" s="285" t="s">
        <v>593</v>
      </c>
      <c r="R189" s="285" t="s">
        <v>593</v>
      </c>
      <c r="S189" s="285" t="s">
        <v>593</v>
      </c>
      <c r="T189" s="285" t="s">
        <v>593</v>
      </c>
      <c r="U189" s="525">
        <v>10</v>
      </c>
      <c r="V189" s="280">
        <v>10</v>
      </c>
      <c r="W189" s="150">
        <v>19.95</v>
      </c>
      <c r="X189" s="151" t="s">
        <v>365</v>
      </c>
      <c r="Y189" s="100"/>
      <c r="Z189" s="458" t="s">
        <v>2</v>
      </c>
      <c r="AA189" s="848">
        <f t="shared" si="81"/>
        <v>0</v>
      </c>
      <c r="AB189" s="405">
        <f t="shared" ref="AB189:AB193" si="87">1-V189/W189</f>
        <v>0.49874686716791983</v>
      </c>
      <c r="AC189" s="100"/>
      <c r="AD189" s="100"/>
      <c r="AE189" s="100"/>
      <c r="AF189" s="100"/>
      <c r="AG189" s="100"/>
      <c r="AH189" s="101"/>
      <c r="AI189" s="101"/>
      <c r="AJ189" s="100"/>
      <c r="AK189" s="101"/>
      <c r="AL189" s="101"/>
      <c r="AM189" s="100"/>
      <c r="AN189" s="97"/>
      <c r="AO189" s="97"/>
      <c r="AP189" s="97"/>
      <c r="AQ189" s="97"/>
      <c r="AR189" s="97"/>
      <c r="AS189" s="97"/>
      <c r="AT189" s="97"/>
      <c r="AU189" s="97"/>
      <c r="AV189" s="97"/>
      <c r="AW189" s="97"/>
      <c r="AX189" s="97"/>
      <c r="AY189" s="97"/>
      <c r="AZ189" s="97"/>
    </row>
    <row r="190" spans="1:52" s="39" customFormat="1" ht="18" hidden="1" outlineLevel="1" x14ac:dyDescent="0.3">
      <c r="A190" s="97"/>
      <c r="B190" s="147"/>
      <c r="C190" s="453" t="s">
        <v>332</v>
      </c>
      <c r="D190" s="162"/>
      <c r="E190" s="162"/>
      <c r="F190" s="162"/>
      <c r="G190" s="162"/>
      <c r="H190" s="149" t="s">
        <v>219</v>
      </c>
      <c r="I190" s="534" t="s">
        <v>750</v>
      </c>
      <c r="J190" s="534" t="s">
        <v>593</v>
      </c>
      <c r="K190" s="285" t="s">
        <v>593</v>
      </c>
      <c r="L190" s="285" t="s">
        <v>593</v>
      </c>
      <c r="M190" s="285" t="s">
        <v>593</v>
      </c>
      <c r="N190" s="285" t="s">
        <v>593</v>
      </c>
      <c r="O190" s="285" t="s">
        <v>593</v>
      </c>
      <c r="P190" s="285" t="s">
        <v>593</v>
      </c>
      <c r="Q190" s="285" t="s">
        <v>593</v>
      </c>
      <c r="R190" s="285" t="s">
        <v>593</v>
      </c>
      <c r="S190" s="285" t="s">
        <v>593</v>
      </c>
      <c r="T190" s="285" t="s">
        <v>593</v>
      </c>
      <c r="U190" s="525">
        <v>10</v>
      </c>
      <c r="V190" s="280">
        <v>10</v>
      </c>
      <c r="W190" s="150">
        <v>19.95</v>
      </c>
      <c r="X190" s="151" t="s">
        <v>360</v>
      </c>
      <c r="Y190" s="100"/>
      <c r="Z190" s="458" t="s">
        <v>2</v>
      </c>
      <c r="AA190" s="848">
        <f t="shared" si="81"/>
        <v>0</v>
      </c>
      <c r="AB190" s="405">
        <f t="shared" si="87"/>
        <v>0.49874686716791983</v>
      </c>
      <c r="AC190" s="100"/>
      <c r="AD190" s="100"/>
      <c r="AE190" s="100"/>
      <c r="AF190" s="100"/>
      <c r="AG190" s="100"/>
      <c r="AH190" s="101"/>
      <c r="AI190" s="101"/>
      <c r="AJ190" s="100"/>
      <c r="AK190" s="101"/>
      <c r="AL190" s="101"/>
      <c r="AM190" s="100"/>
      <c r="AN190" s="97"/>
      <c r="AO190" s="97"/>
      <c r="AP190" s="97"/>
      <c r="AQ190" s="97"/>
      <c r="AR190" s="97"/>
      <c r="AS190" s="97"/>
      <c r="AT190" s="97"/>
      <c r="AU190" s="97"/>
      <c r="AV190" s="97"/>
      <c r="AW190" s="97"/>
      <c r="AX190" s="97"/>
      <c r="AY190" s="97"/>
      <c r="AZ190" s="97"/>
    </row>
    <row r="191" spans="1:52" s="39" customFormat="1" ht="18" hidden="1" outlineLevel="1" x14ac:dyDescent="0.3">
      <c r="A191" s="97"/>
      <c r="B191" s="454"/>
      <c r="C191" s="455" t="s">
        <v>385</v>
      </c>
      <c r="D191" s="166"/>
      <c r="E191" s="166"/>
      <c r="F191" s="166"/>
      <c r="G191" s="166"/>
      <c r="H191" s="149"/>
      <c r="I191" s="534"/>
      <c r="J191" s="534"/>
      <c r="K191" s="285"/>
      <c r="L191" s="285"/>
      <c r="M191" s="285"/>
      <c r="N191" s="285"/>
      <c r="O191" s="285"/>
      <c r="P191" s="285"/>
      <c r="Q191" s="285"/>
      <c r="R191" s="285"/>
      <c r="S191" s="285"/>
      <c r="T191" s="285"/>
      <c r="U191" s="525"/>
      <c r="V191" s="280"/>
      <c r="W191" s="150"/>
      <c r="X191" s="151"/>
      <c r="Y191" s="100"/>
      <c r="Z191" s="458" t="s">
        <v>2</v>
      </c>
      <c r="AA191" s="848" t="e">
        <f t="shared" si="81"/>
        <v>#DIV/0!</v>
      </c>
      <c r="AB191" s="405" t="e">
        <f t="shared" si="87"/>
        <v>#DIV/0!</v>
      </c>
      <c r="AC191" s="100"/>
      <c r="AD191" s="100"/>
      <c r="AE191" s="100"/>
      <c r="AF191" s="100"/>
      <c r="AG191" s="100"/>
      <c r="AH191" s="101"/>
      <c r="AI191" s="101"/>
      <c r="AJ191" s="100"/>
      <c r="AK191" s="101"/>
      <c r="AL191" s="101"/>
      <c r="AM191" s="100"/>
      <c r="AN191" s="97"/>
      <c r="AO191" s="97"/>
      <c r="AP191" s="97"/>
      <c r="AQ191" s="97"/>
      <c r="AR191" s="97"/>
      <c r="AS191" s="97"/>
      <c r="AT191" s="97"/>
      <c r="AU191" s="97"/>
      <c r="AV191" s="97"/>
      <c r="AW191" s="97"/>
      <c r="AX191" s="97"/>
      <c r="AY191" s="97"/>
      <c r="AZ191" s="97"/>
    </row>
    <row r="192" spans="1:52" s="39" customFormat="1" ht="18" hidden="1" outlineLevel="1" x14ac:dyDescent="0.3">
      <c r="A192" s="97"/>
      <c r="B192" s="147"/>
      <c r="C192" s="148" t="s">
        <v>356</v>
      </c>
      <c r="D192" s="166"/>
      <c r="E192" s="166"/>
      <c r="F192" s="166"/>
      <c r="G192" s="166"/>
      <c r="H192" s="149" t="s">
        <v>282</v>
      </c>
      <c r="I192" s="534" t="s">
        <v>750</v>
      </c>
      <c r="J192" s="534" t="s">
        <v>593</v>
      </c>
      <c r="K192" s="285" t="s">
        <v>593</v>
      </c>
      <c r="L192" s="285" t="s">
        <v>593</v>
      </c>
      <c r="M192" s="285" t="s">
        <v>593</v>
      </c>
      <c r="N192" s="285" t="s">
        <v>593</v>
      </c>
      <c r="O192" s="285" t="s">
        <v>593</v>
      </c>
      <c r="P192" s="285" t="s">
        <v>593</v>
      </c>
      <c r="Q192" s="285" t="s">
        <v>593</v>
      </c>
      <c r="R192" s="285" t="s">
        <v>593</v>
      </c>
      <c r="S192" s="285" t="s">
        <v>593</v>
      </c>
      <c r="T192" s="285" t="s">
        <v>593</v>
      </c>
      <c r="U192" s="525">
        <v>50</v>
      </c>
      <c r="V192" s="280">
        <v>50</v>
      </c>
      <c r="W192" s="150">
        <v>79.95</v>
      </c>
      <c r="X192" s="151" t="s">
        <v>375</v>
      </c>
      <c r="Y192" s="100"/>
      <c r="Z192" s="458" t="s">
        <v>2</v>
      </c>
      <c r="AA192" s="848">
        <f t="shared" si="81"/>
        <v>0</v>
      </c>
      <c r="AB192" s="405">
        <f t="shared" si="87"/>
        <v>0.37460913070669166</v>
      </c>
      <c r="AC192" s="100"/>
      <c r="AD192" s="100"/>
      <c r="AE192" s="100"/>
      <c r="AF192" s="100"/>
      <c r="AG192" s="100"/>
      <c r="AH192" s="101"/>
      <c r="AI192" s="101"/>
      <c r="AJ192" s="100"/>
      <c r="AK192" s="101"/>
      <c r="AL192" s="101"/>
      <c r="AM192" s="100"/>
      <c r="AN192" s="97"/>
      <c r="AO192" s="97"/>
      <c r="AP192" s="97"/>
      <c r="AQ192" s="97"/>
      <c r="AR192" s="97"/>
      <c r="AS192" s="97"/>
      <c r="AT192" s="97"/>
      <c r="AU192" s="97"/>
      <c r="AV192" s="97"/>
      <c r="AW192" s="97"/>
      <c r="AX192" s="97"/>
      <c r="AY192" s="97"/>
      <c r="AZ192" s="97"/>
    </row>
    <row r="193" spans="1:52" s="39" customFormat="1" ht="18" hidden="1" outlineLevel="1" x14ac:dyDescent="0.3">
      <c r="A193" s="97"/>
      <c r="B193" s="147"/>
      <c r="C193" s="148" t="s">
        <v>354</v>
      </c>
      <c r="D193" s="166"/>
      <c r="E193" s="166"/>
      <c r="F193" s="166"/>
      <c r="G193" s="166"/>
      <c r="H193" s="149" t="s">
        <v>282</v>
      </c>
      <c r="I193" s="534" t="s">
        <v>750</v>
      </c>
      <c r="J193" s="534" t="s">
        <v>593</v>
      </c>
      <c r="K193" s="285" t="s">
        <v>593</v>
      </c>
      <c r="L193" s="285" t="s">
        <v>593</v>
      </c>
      <c r="M193" s="285" t="s">
        <v>593</v>
      </c>
      <c r="N193" s="285" t="s">
        <v>593</v>
      </c>
      <c r="O193" s="285" t="s">
        <v>593</v>
      </c>
      <c r="P193" s="285" t="s">
        <v>593</v>
      </c>
      <c r="Q193" s="285" t="s">
        <v>593</v>
      </c>
      <c r="R193" s="285" t="s">
        <v>593</v>
      </c>
      <c r="S193" s="285" t="s">
        <v>593</v>
      </c>
      <c r="T193" s="285" t="s">
        <v>593</v>
      </c>
      <c r="U193" s="525">
        <v>50</v>
      </c>
      <c r="V193" s="280">
        <v>50</v>
      </c>
      <c r="W193" s="150">
        <v>69.95</v>
      </c>
      <c r="X193" s="151" t="s">
        <v>374</v>
      </c>
      <c r="Y193" s="100"/>
      <c r="Z193" s="458" t="s">
        <v>2</v>
      </c>
      <c r="AA193" s="848">
        <f t="shared" si="81"/>
        <v>0</v>
      </c>
      <c r="AB193" s="405">
        <f t="shared" si="87"/>
        <v>0.28520371694067193</v>
      </c>
      <c r="AC193" s="100"/>
      <c r="AD193" s="100"/>
      <c r="AE193" s="100"/>
      <c r="AF193" s="100"/>
      <c r="AG193" s="100"/>
      <c r="AH193" s="101"/>
      <c r="AI193" s="101"/>
      <c r="AJ193" s="100"/>
      <c r="AK193" s="101"/>
      <c r="AL193" s="101"/>
      <c r="AM193" s="100"/>
      <c r="AN193" s="97"/>
      <c r="AO193" s="97"/>
      <c r="AP193" s="97"/>
      <c r="AQ193" s="97"/>
      <c r="AR193" s="97"/>
      <c r="AS193" s="97"/>
      <c r="AT193" s="97"/>
      <c r="AU193" s="97"/>
      <c r="AV193" s="97"/>
      <c r="AW193" s="97"/>
      <c r="AX193" s="97"/>
      <c r="AY193" s="97"/>
      <c r="AZ193" s="97"/>
    </row>
    <row r="194" spans="1:52" s="39" customFormat="1" ht="18" hidden="1" outlineLevel="1" x14ac:dyDescent="0.3">
      <c r="A194" s="97"/>
      <c r="B194" s="147"/>
      <c r="C194" s="148" t="s">
        <v>363</v>
      </c>
      <c r="D194" s="166"/>
      <c r="E194" s="166"/>
      <c r="F194" s="166"/>
      <c r="G194" s="166"/>
      <c r="H194" s="149" t="s">
        <v>282</v>
      </c>
      <c r="I194" s="534" t="s">
        <v>750</v>
      </c>
      <c r="J194" s="534" t="s">
        <v>593</v>
      </c>
      <c r="K194" s="285" t="s">
        <v>593</v>
      </c>
      <c r="L194" s="285" t="s">
        <v>593</v>
      </c>
      <c r="M194" s="285" t="s">
        <v>593</v>
      </c>
      <c r="N194" s="285" t="s">
        <v>593</v>
      </c>
      <c r="O194" s="285" t="s">
        <v>593</v>
      </c>
      <c r="P194" s="285" t="s">
        <v>593</v>
      </c>
      <c r="Q194" s="285" t="s">
        <v>593</v>
      </c>
      <c r="R194" s="285" t="s">
        <v>593</v>
      </c>
      <c r="S194" s="285" t="s">
        <v>593</v>
      </c>
      <c r="T194" s="285" t="s">
        <v>593</v>
      </c>
      <c r="U194" s="525">
        <v>50</v>
      </c>
      <c r="V194" s="280">
        <v>50</v>
      </c>
      <c r="W194" s="150">
        <v>69.95</v>
      </c>
      <c r="X194" s="151" t="s">
        <v>374</v>
      </c>
      <c r="Y194" s="100"/>
      <c r="Z194" s="458" t="s">
        <v>2</v>
      </c>
      <c r="AA194" s="848">
        <f t="shared" si="81"/>
        <v>0</v>
      </c>
      <c r="AB194" s="405">
        <f t="shared" ref="AB194" si="88">1-V194/W194</f>
        <v>0.28520371694067193</v>
      </c>
      <c r="AC194" s="100"/>
      <c r="AD194" s="100"/>
      <c r="AE194" s="100"/>
      <c r="AF194" s="100"/>
      <c r="AG194" s="100"/>
      <c r="AH194" s="101"/>
      <c r="AI194" s="101"/>
      <c r="AJ194" s="100"/>
      <c r="AK194" s="101"/>
      <c r="AL194" s="101"/>
      <c r="AM194" s="100"/>
      <c r="AN194" s="97"/>
      <c r="AO194" s="97"/>
      <c r="AP194" s="97"/>
      <c r="AQ194" s="97"/>
      <c r="AR194" s="97"/>
      <c r="AS194" s="97"/>
      <c r="AT194" s="97"/>
      <c r="AU194" s="97"/>
      <c r="AV194" s="97"/>
      <c r="AW194" s="97"/>
      <c r="AX194" s="97"/>
      <c r="AY194" s="97"/>
      <c r="AZ194" s="97"/>
    </row>
    <row r="195" spans="1:52" s="39" customFormat="1" ht="18" hidden="1" outlineLevel="1" x14ac:dyDescent="0.3">
      <c r="A195" s="97"/>
      <c r="B195" s="147"/>
      <c r="C195" s="148" t="s">
        <v>362</v>
      </c>
      <c r="D195" s="166"/>
      <c r="E195" s="166"/>
      <c r="F195" s="166"/>
      <c r="G195" s="166"/>
      <c r="H195" s="149" t="s">
        <v>282</v>
      </c>
      <c r="I195" s="534" t="s">
        <v>750</v>
      </c>
      <c r="J195" s="534" t="s">
        <v>593</v>
      </c>
      <c r="K195" s="285" t="s">
        <v>593</v>
      </c>
      <c r="L195" s="285" t="s">
        <v>593</v>
      </c>
      <c r="M195" s="285" t="s">
        <v>593</v>
      </c>
      <c r="N195" s="285" t="s">
        <v>593</v>
      </c>
      <c r="O195" s="285" t="s">
        <v>593</v>
      </c>
      <c r="P195" s="285" t="s">
        <v>593</v>
      </c>
      <c r="Q195" s="285" t="s">
        <v>593</v>
      </c>
      <c r="R195" s="285" t="s">
        <v>593</v>
      </c>
      <c r="S195" s="285" t="s">
        <v>593</v>
      </c>
      <c r="T195" s="285" t="s">
        <v>593</v>
      </c>
      <c r="U195" s="525">
        <v>40</v>
      </c>
      <c r="V195" s="280">
        <v>40</v>
      </c>
      <c r="W195" s="150">
        <v>59.95</v>
      </c>
      <c r="X195" s="151" t="s">
        <v>366</v>
      </c>
      <c r="Y195" s="100"/>
      <c r="Z195" s="458" t="s">
        <v>2</v>
      </c>
      <c r="AA195" s="848">
        <f t="shared" si="81"/>
        <v>0</v>
      </c>
      <c r="AB195" s="405">
        <f t="shared" ref="AB195:AB197" si="89">1-V195/W195</f>
        <v>0.33277731442869063</v>
      </c>
      <c r="AC195" s="100"/>
      <c r="AD195" s="100"/>
      <c r="AE195" s="100"/>
      <c r="AF195" s="100"/>
      <c r="AG195" s="100"/>
      <c r="AH195" s="101"/>
      <c r="AI195" s="101"/>
      <c r="AJ195" s="100"/>
      <c r="AK195" s="101"/>
      <c r="AL195" s="101"/>
      <c r="AM195" s="100"/>
      <c r="AN195" s="97"/>
      <c r="AO195" s="97"/>
      <c r="AP195" s="97"/>
      <c r="AQ195" s="97"/>
      <c r="AR195" s="97"/>
      <c r="AS195" s="97"/>
      <c r="AT195" s="97"/>
      <c r="AU195" s="97"/>
      <c r="AV195" s="97"/>
      <c r="AW195" s="97"/>
      <c r="AX195" s="97"/>
      <c r="AY195" s="97"/>
      <c r="AZ195" s="97"/>
    </row>
    <row r="196" spans="1:52" s="39" customFormat="1" ht="18" hidden="1" outlineLevel="1" x14ac:dyDescent="0.3">
      <c r="A196" s="97"/>
      <c r="B196" s="147"/>
      <c r="C196" s="148" t="s">
        <v>346</v>
      </c>
      <c r="D196" s="166"/>
      <c r="E196" s="166"/>
      <c r="F196" s="166"/>
      <c r="G196" s="166"/>
      <c r="H196" s="149" t="s">
        <v>282</v>
      </c>
      <c r="I196" s="534" t="s">
        <v>750</v>
      </c>
      <c r="J196" s="534" t="s">
        <v>593</v>
      </c>
      <c r="K196" s="285" t="s">
        <v>593</v>
      </c>
      <c r="L196" s="285" t="s">
        <v>593</v>
      </c>
      <c r="M196" s="285" t="s">
        <v>593</v>
      </c>
      <c r="N196" s="285" t="s">
        <v>593</v>
      </c>
      <c r="O196" s="285" t="s">
        <v>593</v>
      </c>
      <c r="P196" s="285" t="s">
        <v>593</v>
      </c>
      <c r="Q196" s="285" t="s">
        <v>593</v>
      </c>
      <c r="R196" s="285" t="s">
        <v>593</v>
      </c>
      <c r="S196" s="285" t="s">
        <v>593</v>
      </c>
      <c r="T196" s="285" t="s">
        <v>593</v>
      </c>
      <c r="U196" s="525">
        <v>40</v>
      </c>
      <c r="V196" s="280">
        <v>40</v>
      </c>
      <c r="W196" s="150">
        <v>59.95</v>
      </c>
      <c r="X196" s="151" t="s">
        <v>371</v>
      </c>
      <c r="Y196" s="100"/>
      <c r="Z196" s="458" t="s">
        <v>2</v>
      </c>
      <c r="AA196" s="848">
        <f t="shared" si="81"/>
        <v>0</v>
      </c>
      <c r="AB196" s="405">
        <f t="shared" si="89"/>
        <v>0.33277731442869063</v>
      </c>
      <c r="AC196" s="100"/>
      <c r="AD196" s="100"/>
      <c r="AE196" s="100"/>
      <c r="AF196" s="100"/>
      <c r="AG196" s="100"/>
      <c r="AH196" s="101"/>
      <c r="AI196" s="101"/>
      <c r="AJ196" s="100"/>
      <c r="AK196" s="101"/>
      <c r="AL196" s="101"/>
      <c r="AM196" s="100"/>
      <c r="AN196" s="97"/>
      <c r="AO196" s="97"/>
      <c r="AP196" s="97"/>
      <c r="AQ196" s="97"/>
      <c r="AR196" s="97"/>
      <c r="AS196" s="97"/>
      <c r="AT196" s="97"/>
      <c r="AU196" s="97"/>
      <c r="AV196" s="97"/>
      <c r="AW196" s="97"/>
      <c r="AX196" s="97"/>
      <c r="AY196" s="97"/>
      <c r="AZ196" s="97"/>
    </row>
    <row r="197" spans="1:52" s="39" customFormat="1" ht="18" hidden="1" outlineLevel="1" x14ac:dyDescent="0.3">
      <c r="A197" s="97"/>
      <c r="B197" s="147"/>
      <c r="C197" s="148" t="s">
        <v>348</v>
      </c>
      <c r="D197" s="166"/>
      <c r="E197" s="166"/>
      <c r="F197" s="166"/>
      <c r="G197" s="166"/>
      <c r="H197" s="149" t="s">
        <v>282</v>
      </c>
      <c r="I197" s="534" t="s">
        <v>750</v>
      </c>
      <c r="J197" s="534" t="s">
        <v>593</v>
      </c>
      <c r="K197" s="285" t="s">
        <v>593</v>
      </c>
      <c r="L197" s="285" t="s">
        <v>593</v>
      </c>
      <c r="M197" s="285" t="s">
        <v>593</v>
      </c>
      <c r="N197" s="285" t="s">
        <v>593</v>
      </c>
      <c r="O197" s="285" t="s">
        <v>593</v>
      </c>
      <c r="P197" s="285" t="s">
        <v>593</v>
      </c>
      <c r="Q197" s="285" t="s">
        <v>593</v>
      </c>
      <c r="R197" s="285" t="s">
        <v>593</v>
      </c>
      <c r="S197" s="285" t="s">
        <v>593</v>
      </c>
      <c r="T197" s="285" t="s">
        <v>593</v>
      </c>
      <c r="U197" s="525">
        <v>40</v>
      </c>
      <c r="V197" s="280">
        <v>40</v>
      </c>
      <c r="W197" s="150">
        <v>59.95</v>
      </c>
      <c r="X197" s="151" t="s">
        <v>371</v>
      </c>
      <c r="Y197" s="100"/>
      <c r="Z197" s="458" t="s">
        <v>2</v>
      </c>
      <c r="AA197" s="848">
        <f t="shared" si="81"/>
        <v>0</v>
      </c>
      <c r="AB197" s="405">
        <f t="shared" si="89"/>
        <v>0.33277731442869063</v>
      </c>
      <c r="AC197" s="100"/>
      <c r="AD197" s="100"/>
      <c r="AE197" s="100"/>
      <c r="AF197" s="100"/>
      <c r="AG197" s="100"/>
      <c r="AH197" s="101"/>
      <c r="AI197" s="101"/>
      <c r="AJ197" s="100"/>
      <c r="AK197" s="101"/>
      <c r="AL197" s="101"/>
      <c r="AM197" s="100"/>
      <c r="AN197" s="97"/>
      <c r="AO197" s="97"/>
      <c r="AP197" s="97"/>
      <c r="AQ197" s="97"/>
      <c r="AR197" s="97"/>
      <c r="AS197" s="97"/>
      <c r="AT197" s="97"/>
      <c r="AU197" s="97"/>
      <c r="AV197" s="97"/>
      <c r="AW197" s="97"/>
      <c r="AX197" s="97"/>
      <c r="AY197" s="97"/>
      <c r="AZ197" s="97"/>
    </row>
    <row r="198" spans="1:52" s="39" customFormat="1" ht="18" hidden="1" outlineLevel="1" x14ac:dyDescent="0.3">
      <c r="A198" s="97"/>
      <c r="B198" s="147"/>
      <c r="C198" s="452" t="s">
        <v>358</v>
      </c>
      <c r="D198" s="166"/>
      <c r="E198" s="166"/>
      <c r="F198" s="166"/>
      <c r="G198" s="166"/>
      <c r="H198" s="149" t="s">
        <v>282</v>
      </c>
      <c r="I198" s="534" t="s">
        <v>750</v>
      </c>
      <c r="J198" s="534" t="s">
        <v>593</v>
      </c>
      <c r="K198" s="285" t="s">
        <v>593</v>
      </c>
      <c r="L198" s="285" t="s">
        <v>593</v>
      </c>
      <c r="M198" s="285" t="s">
        <v>593</v>
      </c>
      <c r="N198" s="285" t="s">
        <v>593</v>
      </c>
      <c r="O198" s="285" t="s">
        <v>593</v>
      </c>
      <c r="P198" s="285" t="s">
        <v>593</v>
      </c>
      <c r="Q198" s="285" t="s">
        <v>593</v>
      </c>
      <c r="R198" s="285" t="s">
        <v>593</v>
      </c>
      <c r="S198" s="285" t="s">
        <v>593</v>
      </c>
      <c r="T198" s="285" t="s">
        <v>593</v>
      </c>
      <c r="U198" s="525">
        <v>40</v>
      </c>
      <c r="V198" s="280">
        <v>40</v>
      </c>
      <c r="W198" s="150">
        <v>59.95</v>
      </c>
      <c r="X198" s="456" t="s">
        <v>359</v>
      </c>
      <c r="Y198" s="100"/>
      <c r="Z198" s="458" t="s">
        <v>2</v>
      </c>
      <c r="AA198" s="848">
        <f t="shared" si="81"/>
        <v>0</v>
      </c>
      <c r="AB198" s="405">
        <f t="shared" ref="AB198" si="90">1-V198/W198</f>
        <v>0.33277731442869063</v>
      </c>
      <c r="AC198" s="100"/>
      <c r="AD198" s="100"/>
      <c r="AE198" s="100"/>
      <c r="AF198" s="100"/>
      <c r="AG198" s="100"/>
      <c r="AH198" s="101"/>
      <c r="AI198" s="101"/>
      <c r="AJ198" s="100"/>
      <c r="AK198" s="101"/>
      <c r="AL198" s="101"/>
      <c r="AM198" s="100"/>
      <c r="AN198" s="97"/>
      <c r="AO198" s="97"/>
      <c r="AP198" s="97"/>
      <c r="AQ198" s="97"/>
      <c r="AR198" s="97"/>
      <c r="AS198" s="97"/>
      <c r="AT198" s="97"/>
      <c r="AU198" s="97"/>
      <c r="AV198" s="97"/>
      <c r="AW198" s="97"/>
      <c r="AX198" s="97"/>
      <c r="AY198" s="97"/>
      <c r="AZ198" s="97"/>
    </row>
    <row r="199" spans="1:52" s="39" customFormat="1" ht="18" hidden="1" outlineLevel="1" x14ac:dyDescent="0.3">
      <c r="A199" s="97"/>
      <c r="B199" s="147"/>
      <c r="C199" s="148" t="s">
        <v>345</v>
      </c>
      <c r="D199" s="166"/>
      <c r="E199" s="166"/>
      <c r="F199" s="166"/>
      <c r="G199" s="166"/>
      <c r="H199" s="149" t="s">
        <v>282</v>
      </c>
      <c r="I199" s="534" t="s">
        <v>750</v>
      </c>
      <c r="J199" s="534" t="s">
        <v>593</v>
      </c>
      <c r="K199" s="285" t="s">
        <v>593</v>
      </c>
      <c r="L199" s="285" t="s">
        <v>593</v>
      </c>
      <c r="M199" s="285" t="s">
        <v>593</v>
      </c>
      <c r="N199" s="285" t="s">
        <v>593</v>
      </c>
      <c r="O199" s="285" t="s">
        <v>593</v>
      </c>
      <c r="P199" s="285" t="s">
        <v>593</v>
      </c>
      <c r="Q199" s="285" t="s">
        <v>593</v>
      </c>
      <c r="R199" s="285" t="s">
        <v>593</v>
      </c>
      <c r="S199" s="285" t="s">
        <v>593</v>
      </c>
      <c r="T199" s="285" t="s">
        <v>593</v>
      </c>
      <c r="U199" s="525">
        <v>40</v>
      </c>
      <c r="V199" s="280">
        <v>40</v>
      </c>
      <c r="W199" s="150">
        <v>59.95</v>
      </c>
      <c r="X199" s="151" t="s">
        <v>371</v>
      </c>
      <c r="Y199" s="100"/>
      <c r="Z199" s="458" t="s">
        <v>2</v>
      </c>
      <c r="AA199" s="848">
        <f t="shared" si="81"/>
        <v>0</v>
      </c>
      <c r="AB199" s="405">
        <f t="shared" ref="AB199" si="91">1-V199/W199</f>
        <v>0.33277731442869063</v>
      </c>
      <c r="AC199" s="100"/>
      <c r="AD199" s="100"/>
      <c r="AE199" s="100"/>
      <c r="AF199" s="100"/>
      <c r="AG199" s="100"/>
      <c r="AH199" s="101"/>
      <c r="AI199" s="101"/>
      <c r="AJ199" s="100"/>
      <c r="AK199" s="101"/>
      <c r="AL199" s="101"/>
      <c r="AM199" s="100"/>
      <c r="AN199" s="97"/>
      <c r="AO199" s="97"/>
      <c r="AP199" s="97"/>
      <c r="AQ199" s="97"/>
      <c r="AR199" s="97"/>
      <c r="AS199" s="97"/>
      <c r="AT199" s="97"/>
      <c r="AU199" s="97"/>
      <c r="AV199" s="97"/>
      <c r="AW199" s="97"/>
      <c r="AX199" s="97"/>
      <c r="AY199" s="97"/>
      <c r="AZ199" s="97"/>
    </row>
    <row r="200" spans="1:52" s="39" customFormat="1" ht="18" hidden="1" outlineLevel="1" x14ac:dyDescent="0.3">
      <c r="A200" s="97"/>
      <c r="B200" s="147"/>
      <c r="C200" s="148" t="s">
        <v>347</v>
      </c>
      <c r="D200" s="166"/>
      <c r="E200" s="166"/>
      <c r="F200" s="166"/>
      <c r="G200" s="166"/>
      <c r="H200" s="149" t="s">
        <v>282</v>
      </c>
      <c r="I200" s="534" t="s">
        <v>750</v>
      </c>
      <c r="J200" s="534" t="s">
        <v>593</v>
      </c>
      <c r="K200" s="285" t="s">
        <v>593</v>
      </c>
      <c r="L200" s="285" t="s">
        <v>593</v>
      </c>
      <c r="M200" s="285" t="s">
        <v>593</v>
      </c>
      <c r="N200" s="285" t="s">
        <v>593</v>
      </c>
      <c r="O200" s="285" t="s">
        <v>593</v>
      </c>
      <c r="P200" s="285" t="s">
        <v>593</v>
      </c>
      <c r="Q200" s="285" t="s">
        <v>593</v>
      </c>
      <c r="R200" s="285" t="s">
        <v>593</v>
      </c>
      <c r="S200" s="285" t="s">
        <v>593</v>
      </c>
      <c r="T200" s="285" t="s">
        <v>593</v>
      </c>
      <c r="U200" s="525">
        <v>40</v>
      </c>
      <c r="V200" s="280">
        <v>40</v>
      </c>
      <c r="W200" s="150">
        <v>59.95</v>
      </c>
      <c r="X200" s="151" t="s">
        <v>371</v>
      </c>
      <c r="Y200" s="100"/>
      <c r="Z200" s="458" t="s">
        <v>2</v>
      </c>
      <c r="AA200" s="848">
        <f t="shared" si="81"/>
        <v>0</v>
      </c>
      <c r="AB200" s="405">
        <f t="shared" ref="AB200:AB205" si="92">1-V200/W200</f>
        <v>0.33277731442869063</v>
      </c>
      <c r="AC200" s="100"/>
      <c r="AD200" s="100"/>
      <c r="AE200" s="100"/>
      <c r="AF200" s="100"/>
      <c r="AG200" s="100"/>
      <c r="AH200" s="101"/>
      <c r="AI200" s="101"/>
      <c r="AJ200" s="100"/>
      <c r="AK200" s="101"/>
      <c r="AL200" s="101"/>
      <c r="AM200" s="100"/>
      <c r="AN200" s="97"/>
      <c r="AO200" s="97"/>
      <c r="AP200" s="97"/>
      <c r="AQ200" s="97"/>
      <c r="AR200" s="97"/>
      <c r="AS200" s="97"/>
      <c r="AT200" s="97"/>
      <c r="AU200" s="97"/>
      <c r="AV200" s="97"/>
      <c r="AW200" s="97"/>
      <c r="AX200" s="97"/>
      <c r="AY200" s="97"/>
      <c r="AZ200" s="97"/>
    </row>
    <row r="201" spans="1:52" s="39" customFormat="1" ht="18" hidden="1" outlineLevel="1" x14ac:dyDescent="0.3">
      <c r="A201" s="97"/>
      <c r="B201" s="147"/>
      <c r="C201" s="148" t="s">
        <v>349</v>
      </c>
      <c r="D201" s="166"/>
      <c r="E201" s="166"/>
      <c r="F201" s="166"/>
      <c r="G201" s="166"/>
      <c r="H201" s="149" t="s">
        <v>282</v>
      </c>
      <c r="I201" s="534" t="s">
        <v>750</v>
      </c>
      <c r="J201" s="534" t="s">
        <v>593</v>
      </c>
      <c r="K201" s="285" t="s">
        <v>593</v>
      </c>
      <c r="L201" s="285" t="s">
        <v>593</v>
      </c>
      <c r="M201" s="285" t="s">
        <v>593</v>
      </c>
      <c r="N201" s="285" t="s">
        <v>593</v>
      </c>
      <c r="O201" s="285" t="s">
        <v>593</v>
      </c>
      <c r="P201" s="285" t="s">
        <v>593</v>
      </c>
      <c r="Q201" s="285" t="s">
        <v>593</v>
      </c>
      <c r="R201" s="285" t="s">
        <v>593</v>
      </c>
      <c r="S201" s="285" t="s">
        <v>593</v>
      </c>
      <c r="T201" s="285" t="s">
        <v>593</v>
      </c>
      <c r="U201" s="525">
        <v>40</v>
      </c>
      <c r="V201" s="280">
        <v>40</v>
      </c>
      <c r="W201" s="150">
        <v>59.95</v>
      </c>
      <c r="X201" s="151" t="s">
        <v>366</v>
      </c>
      <c r="Y201" s="100"/>
      <c r="Z201" s="458" t="s">
        <v>2</v>
      </c>
      <c r="AA201" s="848">
        <f t="shared" si="81"/>
        <v>0</v>
      </c>
      <c r="AB201" s="405">
        <f t="shared" si="92"/>
        <v>0.33277731442869063</v>
      </c>
      <c r="AC201" s="100"/>
      <c r="AD201" s="100"/>
      <c r="AE201" s="100"/>
      <c r="AF201" s="100"/>
      <c r="AG201" s="100"/>
      <c r="AH201" s="101"/>
      <c r="AI201" s="101"/>
      <c r="AJ201" s="100"/>
      <c r="AK201" s="101"/>
      <c r="AL201" s="101"/>
      <c r="AM201" s="100"/>
      <c r="AN201" s="97"/>
      <c r="AO201" s="97"/>
      <c r="AP201" s="97"/>
      <c r="AQ201" s="97"/>
      <c r="AR201" s="97"/>
      <c r="AS201" s="97"/>
      <c r="AT201" s="97"/>
      <c r="AU201" s="97"/>
      <c r="AV201" s="97"/>
      <c r="AW201" s="97"/>
      <c r="AX201" s="97"/>
      <c r="AY201" s="97"/>
      <c r="AZ201" s="97"/>
    </row>
    <row r="202" spans="1:52" s="39" customFormat="1" ht="18" hidden="1" outlineLevel="1" x14ac:dyDescent="0.3">
      <c r="A202" s="97"/>
      <c r="B202" s="147"/>
      <c r="C202" s="148" t="s">
        <v>350</v>
      </c>
      <c r="D202" s="166"/>
      <c r="E202" s="166"/>
      <c r="F202" s="166"/>
      <c r="G202" s="166"/>
      <c r="H202" s="149" t="s">
        <v>282</v>
      </c>
      <c r="I202" s="534" t="s">
        <v>750</v>
      </c>
      <c r="J202" s="534" t="s">
        <v>593</v>
      </c>
      <c r="K202" s="285" t="s">
        <v>593</v>
      </c>
      <c r="L202" s="285" t="s">
        <v>593</v>
      </c>
      <c r="M202" s="285" t="s">
        <v>593</v>
      </c>
      <c r="N202" s="285" t="s">
        <v>593</v>
      </c>
      <c r="O202" s="285" t="s">
        <v>593</v>
      </c>
      <c r="P202" s="285" t="s">
        <v>593</v>
      </c>
      <c r="Q202" s="285" t="s">
        <v>593</v>
      </c>
      <c r="R202" s="285" t="s">
        <v>593</v>
      </c>
      <c r="S202" s="285" t="s">
        <v>593</v>
      </c>
      <c r="T202" s="285" t="s">
        <v>593</v>
      </c>
      <c r="U202" s="525">
        <v>45</v>
      </c>
      <c r="V202" s="280">
        <v>45</v>
      </c>
      <c r="W202" s="150">
        <v>64.95</v>
      </c>
      <c r="X202" s="151" t="s">
        <v>372</v>
      </c>
      <c r="Y202" s="100"/>
      <c r="Z202" s="458" t="s">
        <v>2</v>
      </c>
      <c r="AA202" s="848">
        <f t="shared" si="81"/>
        <v>0</v>
      </c>
      <c r="AB202" s="405">
        <f t="shared" si="92"/>
        <v>0.30715935334872979</v>
      </c>
      <c r="AC202" s="100"/>
      <c r="AD202" s="100"/>
      <c r="AE202" s="100"/>
      <c r="AF202" s="100"/>
      <c r="AG202" s="100"/>
      <c r="AH202" s="101"/>
      <c r="AI202" s="101"/>
      <c r="AJ202" s="100"/>
      <c r="AK202" s="101"/>
      <c r="AL202" s="101"/>
      <c r="AM202" s="100"/>
      <c r="AN202" s="97"/>
      <c r="AO202" s="97"/>
      <c r="AP202" s="97"/>
      <c r="AQ202" s="97"/>
      <c r="AR202" s="97"/>
      <c r="AS202" s="97"/>
      <c r="AT202" s="97"/>
      <c r="AU202" s="97"/>
      <c r="AV202" s="97"/>
      <c r="AW202" s="97"/>
      <c r="AX202" s="97"/>
      <c r="AY202" s="97"/>
      <c r="AZ202" s="97"/>
    </row>
    <row r="203" spans="1:52" s="39" customFormat="1" ht="18" hidden="1" outlineLevel="1" x14ac:dyDescent="0.3">
      <c r="A203" s="97"/>
      <c r="B203" s="454"/>
      <c r="C203" s="455" t="s">
        <v>384</v>
      </c>
      <c r="D203" s="166"/>
      <c r="E203" s="166"/>
      <c r="F203" s="166"/>
      <c r="G203" s="166"/>
      <c r="H203" s="149"/>
      <c r="I203" s="534"/>
      <c r="J203" s="534"/>
      <c r="K203" s="285"/>
      <c r="L203" s="285"/>
      <c r="M203" s="285"/>
      <c r="N203" s="285"/>
      <c r="O203" s="285"/>
      <c r="P203" s="285"/>
      <c r="Q203" s="285"/>
      <c r="R203" s="285"/>
      <c r="S203" s="285"/>
      <c r="T203" s="285"/>
      <c r="U203" s="525"/>
      <c r="V203" s="280"/>
      <c r="W203" s="150"/>
      <c r="X203" s="151"/>
      <c r="Y203" s="100"/>
      <c r="Z203" s="458" t="s">
        <v>2</v>
      </c>
      <c r="AA203" s="848" t="e">
        <f t="shared" si="81"/>
        <v>#DIV/0!</v>
      </c>
      <c r="AB203" s="405" t="e">
        <f t="shared" si="92"/>
        <v>#DIV/0!</v>
      </c>
      <c r="AC203" s="100"/>
      <c r="AD203" s="100"/>
      <c r="AE203" s="100"/>
      <c r="AF203" s="100"/>
      <c r="AG203" s="100"/>
      <c r="AH203" s="101"/>
      <c r="AI203" s="101"/>
      <c r="AJ203" s="100"/>
      <c r="AK203" s="101"/>
      <c r="AL203" s="101"/>
      <c r="AM203" s="100"/>
      <c r="AN203" s="97"/>
      <c r="AO203" s="97"/>
      <c r="AP203" s="97"/>
      <c r="AQ203" s="97"/>
      <c r="AR203" s="97"/>
      <c r="AS203" s="97"/>
      <c r="AT203" s="97"/>
      <c r="AU203" s="97"/>
      <c r="AV203" s="97"/>
      <c r="AW203" s="97"/>
      <c r="AX203" s="97"/>
      <c r="AY203" s="97"/>
      <c r="AZ203" s="97"/>
    </row>
    <row r="204" spans="1:52" s="39" customFormat="1" ht="18" hidden="1" outlineLevel="1" x14ac:dyDescent="0.3">
      <c r="A204" s="97"/>
      <c r="B204" s="147"/>
      <c r="C204" s="148" t="s">
        <v>352</v>
      </c>
      <c r="D204" s="166"/>
      <c r="E204" s="166"/>
      <c r="F204" s="166"/>
      <c r="G204" s="166"/>
      <c r="H204" s="149" t="s">
        <v>282</v>
      </c>
      <c r="I204" s="534" t="s">
        <v>750</v>
      </c>
      <c r="J204" s="534" t="s">
        <v>593</v>
      </c>
      <c r="K204" s="285" t="s">
        <v>593</v>
      </c>
      <c r="L204" s="285" t="s">
        <v>593</v>
      </c>
      <c r="M204" s="285" t="s">
        <v>593</v>
      </c>
      <c r="N204" s="285" t="s">
        <v>593</v>
      </c>
      <c r="O204" s="285" t="s">
        <v>593</v>
      </c>
      <c r="P204" s="285" t="s">
        <v>593</v>
      </c>
      <c r="Q204" s="285" t="s">
        <v>593</v>
      </c>
      <c r="R204" s="285" t="s">
        <v>593</v>
      </c>
      <c r="S204" s="285" t="s">
        <v>593</v>
      </c>
      <c r="T204" s="285" t="s">
        <v>593</v>
      </c>
      <c r="U204" s="525">
        <v>50</v>
      </c>
      <c r="V204" s="280">
        <v>50</v>
      </c>
      <c r="W204" s="150">
        <v>99.99</v>
      </c>
      <c r="X204" s="151" t="s">
        <v>369</v>
      </c>
      <c r="Y204" s="100"/>
      <c r="Z204" s="458" t="s">
        <v>2</v>
      </c>
      <c r="AA204" s="848">
        <f t="shared" si="81"/>
        <v>0</v>
      </c>
      <c r="AB204" s="405">
        <f t="shared" si="92"/>
        <v>0.49994999499949988</v>
      </c>
      <c r="AC204" s="100"/>
      <c r="AD204" s="100"/>
      <c r="AE204" s="100"/>
      <c r="AF204" s="100"/>
      <c r="AG204" s="100"/>
      <c r="AH204" s="101"/>
      <c r="AI204" s="101"/>
      <c r="AJ204" s="100"/>
      <c r="AK204" s="101"/>
      <c r="AL204" s="101"/>
      <c r="AM204" s="100"/>
      <c r="AN204" s="97"/>
      <c r="AO204" s="97"/>
      <c r="AP204" s="97"/>
      <c r="AQ204" s="97"/>
      <c r="AR204" s="97"/>
      <c r="AS204" s="97"/>
      <c r="AT204" s="97"/>
      <c r="AU204" s="97"/>
      <c r="AV204" s="97"/>
      <c r="AW204" s="97"/>
      <c r="AX204" s="97"/>
      <c r="AY204" s="97"/>
      <c r="AZ204" s="97"/>
    </row>
    <row r="205" spans="1:52" s="39" customFormat="1" ht="18" hidden="1" outlineLevel="1" x14ac:dyDescent="0.3">
      <c r="A205" s="97"/>
      <c r="B205" s="147"/>
      <c r="C205" s="148" t="s">
        <v>340</v>
      </c>
      <c r="D205" s="166"/>
      <c r="E205" s="166"/>
      <c r="F205" s="166"/>
      <c r="G205" s="166"/>
      <c r="H205" s="149" t="s">
        <v>282</v>
      </c>
      <c r="I205" s="534" t="s">
        <v>750</v>
      </c>
      <c r="J205" s="534" t="s">
        <v>593</v>
      </c>
      <c r="K205" s="285" t="s">
        <v>593</v>
      </c>
      <c r="L205" s="285" t="s">
        <v>593</v>
      </c>
      <c r="M205" s="285" t="s">
        <v>593</v>
      </c>
      <c r="N205" s="285" t="s">
        <v>593</v>
      </c>
      <c r="O205" s="285" t="s">
        <v>593</v>
      </c>
      <c r="P205" s="285" t="s">
        <v>593</v>
      </c>
      <c r="Q205" s="285" t="s">
        <v>593</v>
      </c>
      <c r="R205" s="285" t="s">
        <v>593</v>
      </c>
      <c r="S205" s="285" t="s">
        <v>593</v>
      </c>
      <c r="T205" s="285" t="s">
        <v>593</v>
      </c>
      <c r="U205" s="525">
        <v>35</v>
      </c>
      <c r="V205" s="280">
        <v>35</v>
      </c>
      <c r="W205" s="150">
        <v>69.989999999999995</v>
      </c>
      <c r="X205" s="151" t="s">
        <v>369</v>
      </c>
      <c r="Y205" s="100"/>
      <c r="Z205" s="458" t="s">
        <v>2</v>
      </c>
      <c r="AA205" s="848">
        <f t="shared" si="81"/>
        <v>0</v>
      </c>
      <c r="AB205" s="405">
        <f t="shared" si="92"/>
        <v>0.49992856122303186</v>
      </c>
      <c r="AC205" s="100"/>
      <c r="AD205" s="100"/>
      <c r="AE205" s="100"/>
      <c r="AF205" s="100"/>
      <c r="AG205" s="100"/>
      <c r="AH205" s="101"/>
      <c r="AI205" s="101"/>
      <c r="AJ205" s="100"/>
      <c r="AK205" s="101"/>
      <c r="AL205" s="101"/>
      <c r="AM205" s="100"/>
      <c r="AN205" s="97"/>
      <c r="AO205" s="97"/>
      <c r="AP205" s="97"/>
      <c r="AQ205" s="97"/>
      <c r="AR205" s="97"/>
      <c r="AS205" s="97"/>
      <c r="AT205" s="97"/>
      <c r="AU205" s="97"/>
      <c r="AV205" s="97"/>
      <c r="AW205" s="97"/>
      <c r="AX205" s="97"/>
      <c r="AY205" s="97"/>
      <c r="AZ205" s="97"/>
    </row>
    <row r="206" spans="1:52" s="39" customFormat="1" ht="18" hidden="1" outlineLevel="1" x14ac:dyDescent="0.3">
      <c r="A206" s="97"/>
      <c r="B206" s="147"/>
      <c r="C206" s="148" t="s">
        <v>342</v>
      </c>
      <c r="D206" s="162"/>
      <c r="E206" s="162"/>
      <c r="F206" s="162"/>
      <c r="G206" s="162"/>
      <c r="H206" s="149" t="s">
        <v>282</v>
      </c>
      <c r="I206" s="534" t="s">
        <v>750</v>
      </c>
      <c r="J206" s="534" t="s">
        <v>593</v>
      </c>
      <c r="K206" s="285" t="s">
        <v>593</v>
      </c>
      <c r="L206" s="285" t="s">
        <v>593</v>
      </c>
      <c r="M206" s="285" t="s">
        <v>593</v>
      </c>
      <c r="N206" s="285" t="s">
        <v>593</v>
      </c>
      <c r="O206" s="285" t="s">
        <v>593</v>
      </c>
      <c r="P206" s="285" t="s">
        <v>593</v>
      </c>
      <c r="Q206" s="285" t="s">
        <v>593</v>
      </c>
      <c r="R206" s="285" t="s">
        <v>593</v>
      </c>
      <c r="S206" s="285" t="s">
        <v>593</v>
      </c>
      <c r="T206" s="285" t="s">
        <v>593</v>
      </c>
      <c r="U206" s="525">
        <v>37.5</v>
      </c>
      <c r="V206" s="280">
        <v>37.5</v>
      </c>
      <c r="W206" s="150">
        <v>74.989999999999995</v>
      </c>
      <c r="X206" s="151" t="s">
        <v>370</v>
      </c>
      <c r="Y206" s="100"/>
      <c r="Z206" s="458" t="s">
        <v>2</v>
      </c>
      <c r="AA206" s="848">
        <f t="shared" si="81"/>
        <v>0</v>
      </c>
      <c r="AB206" s="405">
        <f t="shared" ref="AB206:AB207" si="93">1-V206/W206</f>
        <v>0.49993332444325911</v>
      </c>
      <c r="AC206" s="100"/>
      <c r="AD206" s="100"/>
      <c r="AE206" s="100"/>
      <c r="AF206" s="100"/>
      <c r="AG206" s="100"/>
      <c r="AH206" s="101"/>
      <c r="AI206" s="101"/>
      <c r="AJ206" s="100"/>
      <c r="AK206" s="101"/>
      <c r="AL206" s="101"/>
      <c r="AM206" s="100"/>
      <c r="AN206" s="97"/>
      <c r="AO206" s="97"/>
      <c r="AP206" s="97"/>
      <c r="AQ206" s="97"/>
      <c r="AR206" s="97"/>
      <c r="AS206" s="97"/>
      <c r="AT206" s="97"/>
      <c r="AU206" s="97"/>
      <c r="AV206" s="97"/>
      <c r="AW206" s="97"/>
      <c r="AX206" s="97"/>
      <c r="AY206" s="97"/>
      <c r="AZ206" s="97"/>
    </row>
    <row r="207" spans="1:52" s="39" customFormat="1" ht="18" hidden="1" outlineLevel="1" x14ac:dyDescent="0.3">
      <c r="A207" s="97"/>
      <c r="B207" s="147"/>
      <c r="C207" s="148" t="s">
        <v>343</v>
      </c>
      <c r="D207" s="166"/>
      <c r="E207" s="166"/>
      <c r="F207" s="166"/>
      <c r="G207" s="166"/>
      <c r="H207" s="149" t="s">
        <v>282</v>
      </c>
      <c r="I207" s="534" t="s">
        <v>750</v>
      </c>
      <c r="J207" s="534" t="s">
        <v>593</v>
      </c>
      <c r="K207" s="285" t="s">
        <v>593</v>
      </c>
      <c r="L207" s="285" t="s">
        <v>593</v>
      </c>
      <c r="M207" s="285" t="s">
        <v>593</v>
      </c>
      <c r="N207" s="285" t="s">
        <v>593</v>
      </c>
      <c r="O207" s="285" t="s">
        <v>593</v>
      </c>
      <c r="P207" s="285" t="s">
        <v>593</v>
      </c>
      <c r="Q207" s="285" t="s">
        <v>593</v>
      </c>
      <c r="R207" s="285" t="s">
        <v>593</v>
      </c>
      <c r="S207" s="285" t="s">
        <v>593</v>
      </c>
      <c r="T207" s="285" t="s">
        <v>593</v>
      </c>
      <c r="U207" s="525">
        <v>37.5</v>
      </c>
      <c r="V207" s="280">
        <v>37.5</v>
      </c>
      <c r="W207" s="150">
        <v>74.989999999999995</v>
      </c>
      <c r="X207" s="151" t="s">
        <v>370</v>
      </c>
      <c r="Y207" s="100"/>
      <c r="Z207" s="458" t="s">
        <v>2</v>
      </c>
      <c r="AA207" s="848">
        <f t="shared" si="81"/>
        <v>0</v>
      </c>
      <c r="AB207" s="405">
        <f t="shared" si="93"/>
        <v>0.49993332444325911</v>
      </c>
      <c r="AC207" s="100"/>
      <c r="AD207" s="100"/>
      <c r="AE207" s="100"/>
      <c r="AF207" s="100"/>
      <c r="AG207" s="100"/>
      <c r="AH207" s="101"/>
      <c r="AI207" s="101"/>
      <c r="AJ207" s="100"/>
      <c r="AK207" s="101"/>
      <c r="AL207" s="101"/>
      <c r="AM207" s="100"/>
      <c r="AN207" s="97"/>
      <c r="AO207" s="97"/>
      <c r="AP207" s="97"/>
      <c r="AQ207" s="97"/>
      <c r="AR207" s="97"/>
      <c r="AS207" s="97"/>
      <c r="AT207" s="97"/>
      <c r="AU207" s="97"/>
      <c r="AV207" s="97"/>
      <c r="AW207" s="97"/>
      <c r="AX207" s="97"/>
      <c r="AY207" s="97"/>
      <c r="AZ207" s="97"/>
    </row>
    <row r="208" spans="1:52" s="39" customFormat="1" ht="18" hidden="1" outlineLevel="1" x14ac:dyDescent="0.3">
      <c r="A208" s="97"/>
      <c r="B208" s="147"/>
      <c r="C208" s="148" t="s">
        <v>344</v>
      </c>
      <c r="D208" s="166"/>
      <c r="E208" s="166"/>
      <c r="F208" s="166"/>
      <c r="G208" s="166"/>
      <c r="H208" s="149" t="s">
        <v>282</v>
      </c>
      <c r="I208" s="534" t="s">
        <v>750</v>
      </c>
      <c r="J208" s="534" t="s">
        <v>593</v>
      </c>
      <c r="K208" s="285" t="s">
        <v>593</v>
      </c>
      <c r="L208" s="285" t="s">
        <v>593</v>
      </c>
      <c r="M208" s="285" t="s">
        <v>593</v>
      </c>
      <c r="N208" s="285" t="s">
        <v>593</v>
      </c>
      <c r="O208" s="285" t="s">
        <v>593</v>
      </c>
      <c r="P208" s="285" t="s">
        <v>593</v>
      </c>
      <c r="Q208" s="285" t="s">
        <v>593</v>
      </c>
      <c r="R208" s="285" t="s">
        <v>593</v>
      </c>
      <c r="S208" s="285" t="s">
        <v>593</v>
      </c>
      <c r="T208" s="285" t="s">
        <v>593</v>
      </c>
      <c r="U208" s="525">
        <v>37.5</v>
      </c>
      <c r="V208" s="280">
        <v>37.5</v>
      </c>
      <c r="W208" s="150">
        <v>74.989999999999995</v>
      </c>
      <c r="X208" s="151" t="s">
        <v>369</v>
      </c>
      <c r="Y208" s="100"/>
      <c r="Z208" s="458" t="s">
        <v>2</v>
      </c>
      <c r="AA208" s="848">
        <f>1-U208/V208</f>
        <v>0</v>
      </c>
      <c r="AB208" s="405">
        <f>1-V208/W208</f>
        <v>0.49993332444325911</v>
      </c>
      <c r="AC208" s="100"/>
      <c r="AD208" s="100"/>
      <c r="AE208" s="100"/>
      <c r="AF208" s="100"/>
      <c r="AG208" s="100"/>
      <c r="AH208" s="101"/>
      <c r="AI208" s="101"/>
      <c r="AJ208" s="100"/>
      <c r="AK208" s="101"/>
      <c r="AL208" s="101"/>
      <c r="AM208" s="100"/>
      <c r="AN208" s="97"/>
      <c r="AO208" s="97"/>
      <c r="AP208" s="97"/>
      <c r="AQ208" s="97"/>
      <c r="AR208" s="97"/>
      <c r="AS208" s="97"/>
      <c r="AT208" s="97"/>
      <c r="AU208" s="97"/>
      <c r="AV208" s="97"/>
      <c r="AW208" s="97"/>
      <c r="AX208" s="97"/>
      <c r="AY208" s="97"/>
      <c r="AZ208" s="97"/>
    </row>
    <row r="209" spans="1:52" s="39" customFormat="1" ht="18" hidden="1" outlineLevel="1" x14ac:dyDescent="0.3">
      <c r="A209" s="97"/>
      <c r="B209" s="147"/>
      <c r="C209" s="148" t="s">
        <v>351</v>
      </c>
      <c r="D209" s="166"/>
      <c r="E209" s="166"/>
      <c r="F209" s="166"/>
      <c r="G209" s="166"/>
      <c r="H209" s="149" t="s">
        <v>282</v>
      </c>
      <c r="I209" s="534" t="s">
        <v>750</v>
      </c>
      <c r="J209" s="534" t="s">
        <v>593</v>
      </c>
      <c r="K209" s="285" t="s">
        <v>593</v>
      </c>
      <c r="L209" s="285" t="s">
        <v>593</v>
      </c>
      <c r="M209" s="285" t="s">
        <v>593</v>
      </c>
      <c r="N209" s="285" t="s">
        <v>593</v>
      </c>
      <c r="O209" s="285" t="s">
        <v>593</v>
      </c>
      <c r="P209" s="285" t="s">
        <v>593</v>
      </c>
      <c r="Q209" s="285" t="s">
        <v>593</v>
      </c>
      <c r="R209" s="285" t="s">
        <v>593</v>
      </c>
      <c r="S209" s="285" t="s">
        <v>593</v>
      </c>
      <c r="T209" s="285" t="s">
        <v>593</v>
      </c>
      <c r="U209" s="525">
        <v>47.5</v>
      </c>
      <c r="V209" s="280">
        <v>47.5</v>
      </c>
      <c r="W209" s="150">
        <v>95</v>
      </c>
      <c r="X209" s="151" t="s">
        <v>369</v>
      </c>
      <c r="Y209" s="100"/>
      <c r="Z209" s="458" t="s">
        <v>2</v>
      </c>
      <c r="AA209" s="848">
        <f t="shared" ref="AA209:AA210" si="94">1-U209/V209</f>
        <v>0</v>
      </c>
      <c r="AB209" s="405">
        <f t="shared" ref="AB209" si="95">1-V209/W209</f>
        <v>0.5</v>
      </c>
      <c r="AC209" s="100"/>
      <c r="AD209" s="100"/>
      <c r="AE209" s="100"/>
      <c r="AF209" s="100"/>
      <c r="AG209" s="100"/>
      <c r="AH209" s="101"/>
      <c r="AI209" s="101"/>
      <c r="AJ209" s="100"/>
      <c r="AK209" s="101"/>
      <c r="AL209" s="101"/>
      <c r="AM209" s="100"/>
      <c r="AN209" s="97"/>
      <c r="AO209" s="97"/>
      <c r="AP209" s="97"/>
      <c r="AQ209" s="97"/>
      <c r="AR209" s="97"/>
      <c r="AS209" s="97"/>
      <c r="AT209" s="97"/>
      <c r="AU209" s="97"/>
      <c r="AV209" s="97"/>
      <c r="AW209" s="97"/>
      <c r="AX209" s="97"/>
      <c r="AY209" s="97"/>
      <c r="AZ209" s="97"/>
    </row>
    <row r="210" spans="1:52" s="39" customFormat="1" ht="18" hidden="1" outlineLevel="1" x14ac:dyDescent="0.3">
      <c r="A210" s="97"/>
      <c r="B210" s="147"/>
      <c r="C210" s="148" t="s">
        <v>353</v>
      </c>
      <c r="D210" s="166"/>
      <c r="E210" s="166"/>
      <c r="F210" s="166"/>
      <c r="G210" s="166"/>
      <c r="H210" s="149" t="s">
        <v>282</v>
      </c>
      <c r="I210" s="534" t="s">
        <v>750</v>
      </c>
      <c r="J210" s="534" t="s">
        <v>593</v>
      </c>
      <c r="K210" s="285" t="s">
        <v>593</v>
      </c>
      <c r="L210" s="285" t="s">
        <v>593</v>
      </c>
      <c r="M210" s="285" t="s">
        <v>593</v>
      </c>
      <c r="N210" s="285" t="s">
        <v>593</v>
      </c>
      <c r="O210" s="285" t="s">
        <v>593</v>
      </c>
      <c r="P210" s="285" t="s">
        <v>593</v>
      </c>
      <c r="Q210" s="285" t="s">
        <v>593</v>
      </c>
      <c r="R210" s="285" t="s">
        <v>593</v>
      </c>
      <c r="S210" s="285" t="s">
        <v>593</v>
      </c>
      <c r="T210" s="285" t="s">
        <v>593</v>
      </c>
      <c r="U210" s="525">
        <v>50</v>
      </c>
      <c r="V210" s="280">
        <v>50</v>
      </c>
      <c r="W210" s="150">
        <v>99.99</v>
      </c>
      <c r="X210" s="151" t="s">
        <v>373</v>
      </c>
      <c r="Y210" s="100"/>
      <c r="Z210" s="458" t="s">
        <v>2</v>
      </c>
      <c r="AA210" s="848">
        <f t="shared" si="94"/>
        <v>0</v>
      </c>
      <c r="AB210" s="405">
        <f t="shared" ref="AB210" si="96">1-V210/W210</f>
        <v>0.49994999499949988</v>
      </c>
      <c r="AC210" s="100"/>
      <c r="AD210" s="100"/>
      <c r="AE210" s="100"/>
      <c r="AF210" s="100"/>
      <c r="AG210" s="100"/>
      <c r="AH210" s="101"/>
      <c r="AI210" s="101"/>
      <c r="AJ210" s="100"/>
      <c r="AK210" s="101"/>
      <c r="AL210" s="101"/>
      <c r="AM210" s="100"/>
      <c r="AN210" s="97"/>
      <c r="AO210" s="97"/>
      <c r="AP210" s="97"/>
      <c r="AQ210" s="97"/>
      <c r="AR210" s="97"/>
      <c r="AS210" s="97"/>
      <c r="AT210" s="97"/>
      <c r="AU210" s="97"/>
      <c r="AV210" s="97"/>
      <c r="AW210" s="97"/>
      <c r="AX210" s="97"/>
      <c r="AY210" s="97"/>
      <c r="AZ210" s="97"/>
    </row>
    <row r="211" spans="1:52" s="39" customFormat="1" ht="18" hidden="1" outlineLevel="1" x14ac:dyDescent="0.3">
      <c r="A211" s="97"/>
      <c r="B211" s="147"/>
      <c r="C211" s="148" t="s">
        <v>355</v>
      </c>
      <c r="D211" s="166"/>
      <c r="E211" s="166"/>
      <c r="F211" s="166"/>
      <c r="G211" s="166"/>
      <c r="H211" s="149" t="s">
        <v>282</v>
      </c>
      <c r="I211" s="534" t="s">
        <v>750</v>
      </c>
      <c r="J211" s="534" t="s">
        <v>593</v>
      </c>
      <c r="K211" s="285" t="s">
        <v>593</v>
      </c>
      <c r="L211" s="285" t="s">
        <v>593</v>
      </c>
      <c r="M211" s="285" t="s">
        <v>593</v>
      </c>
      <c r="N211" s="285" t="s">
        <v>593</v>
      </c>
      <c r="O211" s="285" t="s">
        <v>593</v>
      </c>
      <c r="P211" s="285" t="s">
        <v>593</v>
      </c>
      <c r="Q211" s="285" t="s">
        <v>593</v>
      </c>
      <c r="R211" s="285" t="s">
        <v>593</v>
      </c>
      <c r="S211" s="285" t="s">
        <v>593</v>
      </c>
      <c r="T211" s="285" t="s">
        <v>593</v>
      </c>
      <c r="U211" s="525">
        <v>50</v>
      </c>
      <c r="V211" s="280">
        <v>50</v>
      </c>
      <c r="W211" s="150">
        <v>99.99</v>
      </c>
      <c r="X211" s="151" t="s">
        <v>370</v>
      </c>
      <c r="Y211" s="100"/>
      <c r="Z211" s="458" t="s">
        <v>2</v>
      </c>
      <c r="AA211" s="848">
        <f>1-U211/V211</f>
        <v>0</v>
      </c>
      <c r="AB211" s="405">
        <f>1-V211/W211</f>
        <v>0.49994999499949988</v>
      </c>
      <c r="AC211" s="100"/>
      <c r="AD211" s="100"/>
      <c r="AE211" s="100"/>
      <c r="AF211" s="100"/>
      <c r="AG211" s="100"/>
      <c r="AH211" s="101"/>
      <c r="AI211" s="101"/>
      <c r="AJ211" s="100"/>
      <c r="AK211" s="101"/>
      <c r="AL211" s="101"/>
      <c r="AM211" s="100"/>
      <c r="AN211" s="97"/>
      <c r="AO211" s="97"/>
      <c r="AP211" s="97"/>
      <c r="AQ211" s="97"/>
      <c r="AR211" s="97"/>
      <c r="AS211" s="97"/>
      <c r="AT211" s="97"/>
      <c r="AU211" s="97"/>
      <c r="AV211" s="97"/>
      <c r="AW211" s="97"/>
      <c r="AX211" s="97"/>
      <c r="AY211" s="97"/>
      <c r="AZ211" s="97"/>
    </row>
    <row r="212" spans="1:52" s="39" customFormat="1" ht="18.75" hidden="1" outlineLevel="1" thickBot="1" x14ac:dyDescent="0.35">
      <c r="A212" s="97"/>
      <c r="B212" s="185"/>
      <c r="C212" s="148" t="s">
        <v>341</v>
      </c>
      <c r="D212" s="166"/>
      <c r="E212" s="166"/>
      <c r="F212" s="166"/>
      <c r="G212" s="166"/>
      <c r="H212" s="149" t="s">
        <v>282</v>
      </c>
      <c r="I212" s="534" t="s">
        <v>750</v>
      </c>
      <c r="J212" s="534" t="s">
        <v>593</v>
      </c>
      <c r="K212" s="285" t="s">
        <v>593</v>
      </c>
      <c r="L212" s="285" t="s">
        <v>593</v>
      </c>
      <c r="M212" s="285" t="s">
        <v>593</v>
      </c>
      <c r="N212" s="285" t="s">
        <v>593</v>
      </c>
      <c r="O212" s="285" t="s">
        <v>593</v>
      </c>
      <c r="P212" s="285" t="s">
        <v>593</v>
      </c>
      <c r="Q212" s="285" t="s">
        <v>593</v>
      </c>
      <c r="R212" s="285" t="s">
        <v>593</v>
      </c>
      <c r="S212" s="285" t="s">
        <v>593</v>
      </c>
      <c r="T212" s="285" t="s">
        <v>593</v>
      </c>
      <c r="U212" s="525">
        <v>35</v>
      </c>
      <c r="V212" s="280">
        <v>35</v>
      </c>
      <c r="W212" s="150">
        <v>69.95</v>
      </c>
      <c r="X212" s="184" t="s">
        <v>370</v>
      </c>
      <c r="Y212" s="100"/>
      <c r="Z212" s="458" t="s">
        <v>2</v>
      </c>
      <c r="AA212" s="848">
        <f>1-U212/V212</f>
        <v>0</v>
      </c>
      <c r="AB212" s="405">
        <f>1-V212/W212</f>
        <v>0.49964260185847031</v>
      </c>
      <c r="AC212" s="100"/>
      <c r="AD212" s="100"/>
      <c r="AE212" s="100"/>
      <c r="AF212" s="100"/>
      <c r="AG212" s="100"/>
      <c r="AH212" s="101"/>
      <c r="AI212" s="101"/>
      <c r="AJ212" s="100"/>
      <c r="AK212" s="101"/>
      <c r="AL212" s="101"/>
      <c r="AM212" s="100"/>
      <c r="AN212" s="97"/>
      <c r="AO212" s="97"/>
      <c r="AP212" s="97"/>
      <c r="AQ212" s="97"/>
      <c r="AR212" s="97"/>
      <c r="AS212" s="97"/>
      <c r="AT212" s="97"/>
      <c r="AU212" s="97"/>
      <c r="AV212" s="97"/>
      <c r="AW212" s="97"/>
      <c r="AX212" s="97"/>
      <c r="AY212" s="97"/>
      <c r="AZ212" s="97"/>
    </row>
    <row r="213" spans="1:52" s="2" customFormat="1" collapsed="1" x14ac:dyDescent="0.3">
      <c r="A213" s="96"/>
      <c r="B213" s="102"/>
      <c r="C213" s="96"/>
      <c r="D213" s="113"/>
      <c r="E213" s="113"/>
      <c r="F213" s="113"/>
      <c r="G213" s="113"/>
      <c r="H213" s="96"/>
      <c r="I213" s="524"/>
      <c r="J213" s="524"/>
      <c r="K213" s="113"/>
      <c r="L213" s="113"/>
      <c r="M213" s="113"/>
      <c r="N213" s="113"/>
      <c r="O213" s="113"/>
      <c r="P213" s="113"/>
      <c r="Q213" s="113"/>
      <c r="R213" s="125"/>
      <c r="S213" s="113"/>
      <c r="T213" s="113"/>
      <c r="U213" s="121"/>
      <c r="V213" s="109"/>
      <c r="W213" s="96"/>
      <c r="X213" s="96"/>
      <c r="Y213" s="96"/>
      <c r="AA213" s="843"/>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row>
    <row r="214" spans="1:52" s="2" customFormat="1" x14ac:dyDescent="0.3">
      <c r="A214" s="96"/>
      <c r="B214" s="102"/>
      <c r="C214" s="96"/>
      <c r="D214" s="113"/>
      <c r="E214" s="113"/>
      <c r="F214" s="113"/>
      <c r="G214" s="113"/>
      <c r="H214" s="96"/>
      <c r="I214" s="524"/>
      <c r="J214" s="524"/>
      <c r="K214" s="113"/>
      <c r="L214" s="113"/>
      <c r="M214" s="113"/>
      <c r="N214" s="113"/>
      <c r="O214" s="113"/>
      <c r="P214" s="113"/>
      <c r="Q214" s="113"/>
      <c r="R214" s="125"/>
      <c r="S214" s="113"/>
      <c r="T214" s="113"/>
      <c r="U214" s="121"/>
      <c r="V214" s="109"/>
      <c r="W214" s="96"/>
      <c r="X214" s="96"/>
      <c r="Y214" s="96"/>
      <c r="AA214" s="843"/>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row>
    <row r="215" spans="1:52" s="2" customFormat="1" x14ac:dyDescent="0.3">
      <c r="A215" s="96"/>
      <c r="B215" s="102"/>
      <c r="C215" s="96"/>
      <c r="D215" s="113"/>
      <c r="E215" s="113"/>
      <c r="F215" s="113"/>
      <c r="G215" s="113"/>
      <c r="H215" s="96"/>
      <c r="I215" s="524"/>
      <c r="J215" s="524"/>
      <c r="K215" s="113"/>
      <c r="L215" s="113"/>
      <c r="M215" s="113"/>
      <c r="N215" s="113"/>
      <c r="O215" s="113"/>
      <c r="P215" s="113"/>
      <c r="Q215" s="113"/>
      <c r="R215" s="125"/>
      <c r="S215" s="113"/>
      <c r="T215" s="113"/>
      <c r="U215" s="121"/>
      <c r="V215" s="109"/>
      <c r="W215" s="96"/>
      <c r="X215" s="96"/>
      <c r="Y215" s="96"/>
      <c r="AA215" s="843"/>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row>
    <row r="216" spans="1:52" s="2" customFormat="1" x14ac:dyDescent="0.3">
      <c r="A216" s="96"/>
      <c r="B216" s="102"/>
      <c r="C216" s="96"/>
      <c r="D216" s="113"/>
      <c r="E216" s="113"/>
      <c r="F216" s="113"/>
      <c r="G216" s="113"/>
      <c r="H216" s="96"/>
      <c r="I216" s="524"/>
      <c r="J216" s="524"/>
      <c r="K216" s="113"/>
      <c r="L216" s="113"/>
      <c r="M216" s="113"/>
      <c r="N216" s="113"/>
      <c r="O216" s="113"/>
      <c r="P216" s="113"/>
      <c r="Q216" s="113"/>
      <c r="R216" s="125"/>
      <c r="S216" s="113"/>
      <c r="T216" s="113"/>
      <c r="U216" s="121"/>
      <c r="V216" s="109"/>
      <c r="W216" s="96"/>
      <c r="X216" s="96"/>
      <c r="Y216" s="96"/>
      <c r="AA216" s="843"/>
      <c r="AC216" s="96"/>
      <c r="AD216" s="96"/>
      <c r="AE216" s="96"/>
      <c r="AF216" s="96"/>
      <c r="AG216" s="96"/>
      <c r="AH216" s="96"/>
      <c r="AI216" s="96"/>
      <c r="AJ216" s="96"/>
      <c r="AK216" s="96"/>
      <c r="AL216" s="96"/>
      <c r="AM216" s="96"/>
      <c r="AN216" s="96"/>
      <c r="AO216" s="96"/>
      <c r="AP216" s="96"/>
      <c r="AQ216" s="96"/>
      <c r="AR216" s="96"/>
      <c r="AS216" s="96"/>
      <c r="AT216" s="96"/>
      <c r="AU216" s="96"/>
      <c r="AV216" s="96"/>
      <c r="AW216" s="96"/>
      <c r="AX216" s="96"/>
      <c r="AY216" s="96"/>
      <c r="AZ216" s="96"/>
    </row>
    <row r="217" spans="1:52" s="2" customFormat="1" x14ac:dyDescent="0.3">
      <c r="A217" s="96"/>
      <c r="B217" s="102"/>
      <c r="C217" s="96"/>
      <c r="D217" s="113"/>
      <c r="E217" s="113"/>
      <c r="F217" s="113"/>
      <c r="G217" s="113"/>
      <c r="H217" s="96"/>
      <c r="I217" s="524"/>
      <c r="J217" s="524"/>
      <c r="K217" s="113"/>
      <c r="L217" s="113"/>
      <c r="M217" s="113"/>
      <c r="N217" s="113"/>
      <c r="O217" s="113"/>
      <c r="P217" s="113"/>
      <c r="Q217" s="113"/>
      <c r="R217" s="113"/>
      <c r="S217" s="113"/>
      <c r="T217" s="113"/>
      <c r="U217" s="121"/>
      <c r="V217" s="109"/>
      <c r="W217" s="96"/>
      <c r="X217" s="96"/>
      <c r="Y217" s="96"/>
      <c r="AA217" s="843"/>
      <c r="AC217" s="96"/>
      <c r="AD217" s="96"/>
      <c r="AE217" s="96"/>
      <c r="AF217" s="96"/>
      <c r="AG217" s="96"/>
      <c r="AH217" s="96"/>
      <c r="AI217" s="96"/>
      <c r="AJ217" s="96"/>
      <c r="AK217" s="96"/>
      <c r="AL217" s="96"/>
      <c r="AM217" s="96"/>
      <c r="AN217" s="96"/>
      <c r="AO217" s="96"/>
      <c r="AP217" s="96"/>
      <c r="AQ217" s="96"/>
      <c r="AR217" s="96"/>
      <c r="AS217" s="96"/>
      <c r="AT217" s="96"/>
      <c r="AU217" s="96"/>
      <c r="AV217" s="96"/>
      <c r="AW217" s="96"/>
      <c r="AX217" s="96"/>
      <c r="AY217" s="96"/>
      <c r="AZ217" s="96"/>
    </row>
    <row r="218" spans="1:52" s="2" customFormat="1" x14ac:dyDescent="0.3">
      <c r="A218" s="96"/>
      <c r="B218" s="102"/>
      <c r="C218" s="96"/>
      <c r="D218" s="113"/>
      <c r="E218" s="113"/>
      <c r="F218" s="113"/>
      <c r="G218" s="113"/>
      <c r="H218" s="96"/>
      <c r="I218" s="524"/>
      <c r="J218" s="524"/>
      <c r="K218" s="113"/>
      <c r="L218" s="113"/>
      <c r="M218" s="113"/>
      <c r="N218" s="113"/>
      <c r="O218" s="113"/>
      <c r="P218" s="113"/>
      <c r="Q218" s="113"/>
      <c r="R218" s="113"/>
      <c r="S218" s="113"/>
      <c r="T218" s="113"/>
      <c r="U218" s="121"/>
      <c r="V218" s="109"/>
      <c r="W218" s="96"/>
      <c r="X218" s="96"/>
      <c r="Y218" s="96"/>
      <c r="AA218" s="843"/>
      <c r="AC218" s="96"/>
      <c r="AD218" s="96"/>
      <c r="AE218" s="96"/>
      <c r="AF218" s="96"/>
      <c r="AG218" s="96"/>
      <c r="AH218" s="96"/>
      <c r="AI218" s="96"/>
      <c r="AJ218" s="96"/>
      <c r="AK218" s="96"/>
      <c r="AL218" s="96"/>
      <c r="AM218" s="96"/>
      <c r="AN218" s="96"/>
      <c r="AO218" s="96"/>
      <c r="AP218" s="96"/>
      <c r="AQ218" s="96"/>
      <c r="AR218" s="96"/>
      <c r="AS218" s="96"/>
      <c r="AT218" s="96"/>
      <c r="AU218" s="96"/>
      <c r="AV218" s="96"/>
      <c r="AW218" s="96"/>
      <c r="AX218" s="96"/>
      <c r="AY218" s="96"/>
      <c r="AZ218" s="96"/>
    </row>
    <row r="219" spans="1:52" s="2" customFormat="1" x14ac:dyDescent="0.3">
      <c r="A219" s="96"/>
      <c r="B219" s="102"/>
      <c r="C219" s="96"/>
      <c r="D219" s="113"/>
      <c r="E219" s="113"/>
      <c r="F219" s="113"/>
      <c r="G219" s="113"/>
      <c r="H219" s="96"/>
      <c r="I219" s="524"/>
      <c r="J219" s="524"/>
      <c r="K219" s="113"/>
      <c r="L219" s="113"/>
      <c r="M219" s="113"/>
      <c r="N219" s="113"/>
      <c r="O219" s="113"/>
      <c r="P219" s="113"/>
      <c r="Q219" s="113"/>
      <c r="R219" s="113"/>
      <c r="S219" s="113"/>
      <c r="T219" s="113"/>
      <c r="U219" s="121"/>
      <c r="V219" s="109"/>
      <c r="W219" s="96"/>
      <c r="X219" s="96"/>
      <c r="Y219" s="96"/>
      <c r="AA219" s="843"/>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row>
    <row r="220" spans="1:52" s="2" customFormat="1" x14ac:dyDescent="0.3">
      <c r="A220" s="96"/>
      <c r="B220" s="102"/>
      <c r="C220" s="96"/>
      <c r="D220" s="113"/>
      <c r="E220" s="113"/>
      <c r="F220" s="113"/>
      <c r="G220" s="113"/>
      <c r="H220" s="96"/>
      <c r="I220" s="524"/>
      <c r="J220" s="524"/>
      <c r="K220" s="113"/>
      <c r="L220" s="113"/>
      <c r="M220" s="113"/>
      <c r="N220" s="113"/>
      <c r="O220" s="113"/>
      <c r="P220" s="113"/>
      <c r="Q220" s="113"/>
      <c r="R220" s="113"/>
      <c r="S220" s="113"/>
      <c r="T220" s="113"/>
      <c r="U220" s="121"/>
      <c r="V220" s="109"/>
      <c r="W220" s="96"/>
      <c r="X220" s="96"/>
      <c r="Y220" s="96"/>
      <c r="AA220" s="843"/>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96"/>
      <c r="AY220" s="96"/>
      <c r="AZ220" s="96"/>
    </row>
    <row r="221" spans="1:52" s="2" customFormat="1" x14ac:dyDescent="0.3">
      <c r="A221" s="96"/>
      <c r="B221" s="102"/>
      <c r="C221" s="96"/>
      <c r="D221" s="113"/>
      <c r="E221" s="113"/>
      <c r="F221" s="113"/>
      <c r="G221" s="113"/>
      <c r="H221" s="96"/>
      <c r="I221" s="524"/>
      <c r="J221" s="524"/>
      <c r="K221" s="113"/>
      <c r="L221" s="113"/>
      <c r="M221" s="113"/>
      <c r="N221" s="113"/>
      <c r="O221" s="113"/>
      <c r="P221" s="113"/>
      <c r="Q221" s="113"/>
      <c r="R221" s="113"/>
      <c r="S221" s="113"/>
      <c r="T221" s="113"/>
      <c r="U221" s="121"/>
      <c r="V221" s="109"/>
      <c r="W221" s="96"/>
      <c r="X221" s="96"/>
      <c r="Y221" s="96"/>
      <c r="AA221" s="843"/>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row>
    <row r="222" spans="1:52" s="2" customFormat="1" x14ac:dyDescent="0.3">
      <c r="A222" s="96"/>
      <c r="B222" s="102"/>
      <c r="C222" s="96"/>
      <c r="D222" s="113"/>
      <c r="E222" s="113"/>
      <c r="F222" s="113"/>
      <c r="G222" s="113"/>
      <c r="H222" s="96"/>
      <c r="I222" s="524"/>
      <c r="J222" s="524"/>
      <c r="K222" s="113"/>
      <c r="L222" s="113"/>
      <c r="M222" s="113"/>
      <c r="N222" s="113"/>
      <c r="O222" s="113"/>
      <c r="P222" s="113"/>
      <c r="Q222" s="113"/>
      <c r="R222" s="113"/>
      <c r="S222" s="113"/>
      <c r="T222" s="113"/>
      <c r="U222" s="121"/>
      <c r="V222" s="109"/>
      <c r="W222" s="96"/>
      <c r="X222" s="96"/>
      <c r="Y222" s="96"/>
      <c r="AA222" s="843"/>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96"/>
      <c r="AY222" s="96"/>
      <c r="AZ222" s="96"/>
    </row>
    <row r="223" spans="1:52" s="2" customFormat="1" x14ac:dyDescent="0.3">
      <c r="A223" s="96"/>
      <c r="B223" s="102"/>
      <c r="C223" s="96"/>
      <c r="D223" s="113"/>
      <c r="E223" s="113"/>
      <c r="F223" s="113"/>
      <c r="G223" s="113"/>
      <c r="H223" s="96"/>
      <c r="I223" s="524"/>
      <c r="J223" s="524"/>
      <c r="K223" s="113"/>
      <c r="L223" s="113"/>
      <c r="M223" s="113"/>
      <c r="N223" s="113"/>
      <c r="O223" s="113"/>
      <c r="P223" s="113"/>
      <c r="Q223" s="113"/>
      <c r="R223" s="113"/>
      <c r="S223" s="113"/>
      <c r="T223" s="113"/>
      <c r="U223" s="121"/>
      <c r="V223" s="109"/>
      <c r="W223" s="96"/>
      <c r="X223" s="96"/>
      <c r="Y223" s="96"/>
      <c r="AA223" s="843"/>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96"/>
      <c r="AZ223" s="96"/>
    </row>
    <row r="224" spans="1:52" s="2" customFormat="1" x14ac:dyDescent="0.3">
      <c r="A224" s="96"/>
      <c r="B224" s="102"/>
      <c r="C224" s="96"/>
      <c r="D224" s="113"/>
      <c r="E224" s="113"/>
      <c r="F224" s="113"/>
      <c r="G224" s="113"/>
      <c r="H224" s="96"/>
      <c r="I224" s="524"/>
      <c r="J224" s="524"/>
      <c r="K224" s="113"/>
      <c r="L224" s="113"/>
      <c r="M224" s="113"/>
      <c r="N224" s="113"/>
      <c r="O224" s="113"/>
      <c r="P224" s="113"/>
      <c r="Q224" s="113"/>
      <c r="R224" s="113"/>
      <c r="S224" s="113"/>
      <c r="T224" s="113"/>
      <c r="U224" s="121"/>
      <c r="V224" s="109"/>
      <c r="W224" s="110"/>
      <c r="X224" s="96"/>
      <c r="Y224" s="96"/>
      <c r="AA224" s="843"/>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row>
    <row r="225" spans="1:52" s="2" customFormat="1" x14ac:dyDescent="0.3">
      <c r="A225" s="96"/>
      <c r="B225" s="102"/>
      <c r="C225" s="96"/>
      <c r="D225" s="113"/>
      <c r="E225" s="113"/>
      <c r="F225" s="113"/>
      <c r="G225" s="113"/>
      <c r="H225" s="96"/>
      <c r="I225" s="524"/>
      <c r="J225" s="524"/>
      <c r="K225" s="113"/>
      <c r="L225" s="113"/>
      <c r="M225" s="113"/>
      <c r="N225" s="113"/>
      <c r="O225" s="113"/>
      <c r="P225" s="113"/>
      <c r="Q225" s="113"/>
      <c r="R225" s="113"/>
      <c r="S225" s="113"/>
      <c r="T225" s="113"/>
      <c r="U225" s="121"/>
      <c r="V225" s="109"/>
      <c r="W225" s="110"/>
      <c r="X225" s="96"/>
      <c r="Y225" s="96"/>
      <c r="AA225" s="843"/>
      <c r="AC225" s="96"/>
      <c r="AD225" s="96"/>
      <c r="AE225" s="96"/>
      <c r="AF225" s="96"/>
      <c r="AG225" s="96"/>
      <c r="AH225" s="96"/>
      <c r="AI225" s="96"/>
      <c r="AJ225" s="96"/>
      <c r="AK225" s="96"/>
      <c r="AL225" s="96"/>
      <c r="AM225" s="96"/>
      <c r="AN225" s="96"/>
      <c r="AO225" s="96"/>
      <c r="AP225" s="96"/>
      <c r="AQ225" s="96"/>
      <c r="AR225" s="96"/>
      <c r="AS225" s="96"/>
      <c r="AT225" s="96"/>
      <c r="AU225" s="96"/>
      <c r="AV225" s="96"/>
      <c r="AW225" s="96"/>
      <c r="AX225" s="96"/>
      <c r="AY225" s="96"/>
      <c r="AZ225" s="96"/>
    </row>
    <row r="226" spans="1:52" s="2" customFormat="1" x14ac:dyDescent="0.3">
      <c r="A226" s="96"/>
      <c r="B226" s="102"/>
      <c r="C226" s="96"/>
      <c r="D226" s="113"/>
      <c r="E226" s="113"/>
      <c r="F226" s="113"/>
      <c r="G226" s="113"/>
      <c r="H226" s="96"/>
      <c r="I226" s="524"/>
      <c r="J226" s="524"/>
      <c r="K226" s="113"/>
      <c r="L226" s="113"/>
      <c r="M226" s="113"/>
      <c r="N226" s="113"/>
      <c r="O226" s="113"/>
      <c r="P226" s="113"/>
      <c r="Q226" s="113"/>
      <c r="R226" s="113"/>
      <c r="S226" s="113"/>
      <c r="T226" s="113"/>
      <c r="U226" s="121"/>
      <c r="V226" s="109"/>
      <c r="W226" s="110"/>
      <c r="X226" s="96"/>
      <c r="Y226" s="96"/>
      <c r="AA226" s="843"/>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row>
    <row r="227" spans="1:52" s="2" customFormat="1" x14ac:dyDescent="0.3">
      <c r="A227" s="96"/>
      <c r="B227" s="102"/>
      <c r="C227" s="96"/>
      <c r="D227" s="113"/>
      <c r="E227" s="113"/>
      <c r="F227" s="113"/>
      <c r="G227" s="113"/>
      <c r="H227" s="96"/>
      <c r="I227" s="524"/>
      <c r="J227" s="524"/>
      <c r="K227" s="113"/>
      <c r="L227" s="113"/>
      <c r="M227" s="113"/>
      <c r="N227" s="113"/>
      <c r="O227" s="113"/>
      <c r="P227" s="113"/>
      <c r="Q227" s="113"/>
      <c r="R227" s="113"/>
      <c r="S227" s="113"/>
      <c r="T227" s="113"/>
      <c r="U227" s="121"/>
      <c r="V227" s="109"/>
      <c r="W227" s="110"/>
      <c r="X227" s="96"/>
      <c r="Y227" s="96"/>
      <c r="AA227" s="843"/>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96"/>
      <c r="AZ227" s="96"/>
    </row>
    <row r="228" spans="1:52" s="2" customFormat="1" x14ac:dyDescent="0.3">
      <c r="A228" s="96"/>
      <c r="B228" s="102"/>
      <c r="C228" s="96"/>
      <c r="D228" s="113"/>
      <c r="E228" s="113"/>
      <c r="F228" s="113"/>
      <c r="G228" s="113"/>
      <c r="H228" s="96"/>
      <c r="I228" s="524"/>
      <c r="J228" s="524"/>
      <c r="K228" s="113"/>
      <c r="L228" s="113"/>
      <c r="M228" s="113"/>
      <c r="N228" s="113"/>
      <c r="O228" s="113"/>
      <c r="P228" s="113"/>
      <c r="Q228" s="113"/>
      <c r="R228" s="113"/>
      <c r="S228" s="113"/>
      <c r="T228" s="113"/>
      <c r="U228" s="121"/>
      <c r="V228" s="109"/>
      <c r="W228" s="110"/>
      <c r="X228" s="96"/>
      <c r="Y228" s="96"/>
      <c r="AA228" s="843"/>
      <c r="AC228" s="96"/>
      <c r="AD228" s="96"/>
      <c r="AE228" s="96"/>
      <c r="AF228" s="96"/>
      <c r="AG228" s="96"/>
      <c r="AH228" s="96"/>
      <c r="AI228" s="96"/>
      <c r="AJ228" s="96"/>
      <c r="AK228" s="96"/>
      <c r="AL228" s="96"/>
      <c r="AM228" s="96"/>
      <c r="AN228" s="96"/>
      <c r="AO228" s="96"/>
      <c r="AP228" s="96"/>
      <c r="AQ228" s="96"/>
      <c r="AR228" s="96"/>
      <c r="AS228" s="96"/>
      <c r="AT228" s="96"/>
      <c r="AU228" s="96"/>
      <c r="AV228" s="96"/>
      <c r="AW228" s="96"/>
      <c r="AX228" s="96"/>
      <c r="AY228" s="96"/>
      <c r="AZ228" s="96"/>
    </row>
    <row r="229" spans="1:52" s="2" customFormat="1" x14ac:dyDescent="0.3">
      <c r="A229" s="96"/>
      <c r="B229" s="102"/>
      <c r="C229" s="96"/>
      <c r="D229" s="113"/>
      <c r="E229" s="113"/>
      <c r="F229" s="113"/>
      <c r="G229" s="113"/>
      <c r="H229" s="96"/>
      <c r="I229" s="524"/>
      <c r="J229" s="524"/>
      <c r="K229" s="113"/>
      <c r="L229" s="113"/>
      <c r="M229" s="113"/>
      <c r="N229" s="113"/>
      <c r="O229" s="113"/>
      <c r="P229" s="113"/>
      <c r="Q229" s="113"/>
      <c r="R229" s="113"/>
      <c r="S229" s="113"/>
      <c r="T229" s="113"/>
      <c r="U229" s="121"/>
      <c r="V229" s="109"/>
      <c r="W229" s="110"/>
      <c r="X229" s="96"/>
      <c r="Y229" s="96"/>
      <c r="AA229" s="843"/>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96"/>
      <c r="AZ229" s="96"/>
    </row>
    <row r="230" spans="1:52" s="2" customFormat="1" x14ac:dyDescent="0.3">
      <c r="A230" s="96"/>
      <c r="B230" s="102"/>
      <c r="C230" s="96"/>
      <c r="D230" s="113"/>
      <c r="E230" s="113"/>
      <c r="F230" s="113"/>
      <c r="G230" s="113"/>
      <c r="H230" s="96"/>
      <c r="I230" s="524"/>
      <c r="J230" s="524"/>
      <c r="K230" s="113"/>
      <c r="L230" s="113"/>
      <c r="M230" s="113"/>
      <c r="N230" s="113"/>
      <c r="O230" s="113"/>
      <c r="P230" s="113"/>
      <c r="Q230" s="113"/>
      <c r="R230" s="113"/>
      <c r="S230" s="113"/>
      <c r="T230" s="113"/>
      <c r="U230" s="121"/>
      <c r="V230" s="109"/>
      <c r="W230" s="110"/>
      <c r="X230" s="96"/>
      <c r="Y230" s="96"/>
      <c r="AA230" s="843"/>
      <c r="AC230" s="96"/>
      <c r="AD230" s="96"/>
      <c r="AE230" s="96"/>
      <c r="AF230" s="96"/>
      <c r="AG230" s="96"/>
      <c r="AH230" s="96"/>
      <c r="AI230" s="96"/>
      <c r="AJ230" s="96"/>
      <c r="AK230" s="96"/>
      <c r="AL230" s="96"/>
      <c r="AM230" s="96"/>
      <c r="AN230" s="96"/>
      <c r="AO230" s="96"/>
      <c r="AP230" s="96"/>
      <c r="AQ230" s="96"/>
      <c r="AR230" s="96"/>
      <c r="AS230" s="96"/>
      <c r="AT230" s="96"/>
      <c r="AU230" s="96"/>
      <c r="AV230" s="96"/>
      <c r="AW230" s="96"/>
      <c r="AX230" s="96"/>
      <c r="AY230" s="96"/>
      <c r="AZ230" s="96"/>
    </row>
    <row r="231" spans="1:52" s="2" customFormat="1" x14ac:dyDescent="0.3">
      <c r="A231" s="96"/>
      <c r="B231" s="102"/>
      <c r="C231" s="96"/>
      <c r="D231" s="113"/>
      <c r="E231" s="113"/>
      <c r="F231" s="113"/>
      <c r="G231" s="113"/>
      <c r="H231" s="96"/>
      <c r="I231" s="524"/>
      <c r="J231" s="524"/>
      <c r="K231" s="113"/>
      <c r="L231" s="113"/>
      <c r="M231" s="113"/>
      <c r="N231" s="113"/>
      <c r="O231" s="113"/>
      <c r="P231" s="113"/>
      <c r="Q231" s="113"/>
      <c r="R231" s="113"/>
      <c r="S231" s="113"/>
      <c r="T231" s="113"/>
      <c r="U231" s="121"/>
      <c r="V231" s="109"/>
      <c r="W231" s="110"/>
      <c r="X231" s="96"/>
      <c r="Y231" s="96"/>
      <c r="AA231" s="843"/>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96"/>
      <c r="AZ231" s="96"/>
    </row>
    <row r="232" spans="1:52" s="2" customFormat="1" x14ac:dyDescent="0.3">
      <c r="A232" s="96"/>
      <c r="B232" s="102"/>
      <c r="C232" s="96"/>
      <c r="D232" s="113"/>
      <c r="E232" s="113"/>
      <c r="F232" s="113"/>
      <c r="G232" s="113"/>
      <c r="H232" s="96"/>
      <c r="I232" s="524"/>
      <c r="J232" s="524"/>
      <c r="K232" s="113"/>
      <c r="L232" s="113"/>
      <c r="M232" s="113"/>
      <c r="N232" s="113"/>
      <c r="O232" s="113"/>
      <c r="P232" s="113"/>
      <c r="Q232" s="113"/>
      <c r="R232" s="113"/>
      <c r="S232" s="113"/>
      <c r="T232" s="113"/>
      <c r="U232" s="121"/>
      <c r="V232" s="109"/>
      <c r="W232" s="110"/>
      <c r="X232" s="96"/>
      <c r="Y232" s="96"/>
      <c r="AA232" s="843"/>
      <c r="AC232" s="96"/>
      <c r="AD232" s="96"/>
      <c r="AE232" s="96"/>
      <c r="AF232" s="96"/>
      <c r="AG232" s="96"/>
      <c r="AH232" s="96"/>
      <c r="AI232" s="96"/>
      <c r="AJ232" s="96"/>
      <c r="AK232" s="96"/>
      <c r="AL232" s="96"/>
      <c r="AM232" s="96"/>
      <c r="AN232" s="96"/>
      <c r="AO232" s="96"/>
      <c r="AP232" s="96"/>
      <c r="AQ232" s="96"/>
      <c r="AR232" s="96"/>
      <c r="AS232" s="96"/>
      <c r="AT232" s="96"/>
      <c r="AU232" s="96"/>
      <c r="AV232" s="96"/>
      <c r="AW232" s="96"/>
      <c r="AX232" s="96"/>
      <c r="AY232" s="96"/>
      <c r="AZ232" s="96"/>
    </row>
    <row r="233" spans="1:52" s="2" customFormat="1" x14ac:dyDescent="0.3">
      <c r="A233" s="96"/>
      <c r="B233" s="102"/>
      <c r="C233" s="96"/>
      <c r="D233" s="113"/>
      <c r="E233" s="113"/>
      <c r="F233" s="113"/>
      <c r="G233" s="113"/>
      <c r="H233" s="96"/>
      <c r="I233" s="524"/>
      <c r="J233" s="524"/>
      <c r="K233" s="113"/>
      <c r="L233" s="113"/>
      <c r="M233" s="113"/>
      <c r="N233" s="113"/>
      <c r="O233" s="113"/>
      <c r="P233" s="113"/>
      <c r="Q233" s="113"/>
      <c r="R233" s="113"/>
      <c r="S233" s="113"/>
      <c r="T233" s="113"/>
      <c r="U233" s="121"/>
      <c r="V233" s="109"/>
      <c r="W233" s="110"/>
      <c r="X233" s="96"/>
      <c r="Y233" s="96"/>
      <c r="AA233" s="843"/>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96"/>
      <c r="AZ233" s="96"/>
    </row>
    <row r="234" spans="1:52" s="2" customFormat="1" x14ac:dyDescent="0.3">
      <c r="A234" s="96"/>
      <c r="B234" s="102"/>
      <c r="C234" s="96"/>
      <c r="D234" s="113"/>
      <c r="E234" s="113"/>
      <c r="F234" s="113"/>
      <c r="G234" s="113"/>
      <c r="H234" s="96"/>
      <c r="I234" s="524"/>
      <c r="J234" s="524"/>
      <c r="K234" s="113"/>
      <c r="L234" s="113"/>
      <c r="M234" s="113"/>
      <c r="N234" s="113"/>
      <c r="O234" s="113"/>
      <c r="P234" s="113"/>
      <c r="Q234" s="113"/>
      <c r="R234" s="113"/>
      <c r="S234" s="113"/>
      <c r="T234" s="113"/>
      <c r="U234" s="121"/>
      <c r="V234" s="109"/>
      <c r="W234" s="110"/>
      <c r="X234" s="96"/>
      <c r="Y234" s="96"/>
      <c r="AA234" s="843"/>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row>
    <row r="235" spans="1:52" s="2" customFormat="1" x14ac:dyDescent="0.3">
      <c r="A235" s="96"/>
      <c r="B235" s="102"/>
      <c r="C235" s="96"/>
      <c r="D235" s="113"/>
      <c r="E235" s="113"/>
      <c r="F235" s="113"/>
      <c r="G235" s="113"/>
      <c r="H235" s="96"/>
      <c r="I235" s="524"/>
      <c r="J235" s="524"/>
      <c r="K235" s="113"/>
      <c r="L235" s="113"/>
      <c r="M235" s="113"/>
      <c r="N235" s="113"/>
      <c r="O235" s="113"/>
      <c r="P235" s="113"/>
      <c r="Q235" s="113"/>
      <c r="R235" s="113"/>
      <c r="S235" s="113"/>
      <c r="T235" s="113"/>
      <c r="U235" s="121"/>
      <c r="V235" s="109"/>
      <c r="W235" s="110"/>
      <c r="X235" s="96"/>
      <c r="Y235" s="96"/>
      <c r="AA235" s="843"/>
      <c r="AC235" s="96"/>
      <c r="AD235" s="96"/>
      <c r="AE235" s="96"/>
      <c r="AF235" s="96"/>
      <c r="AG235" s="96"/>
      <c r="AH235" s="96"/>
      <c r="AI235" s="96"/>
      <c r="AJ235" s="96"/>
      <c r="AK235" s="96"/>
      <c r="AL235" s="96"/>
      <c r="AM235" s="96"/>
      <c r="AN235" s="96"/>
      <c r="AO235" s="96"/>
      <c r="AP235" s="96"/>
      <c r="AQ235" s="96"/>
      <c r="AR235" s="96"/>
      <c r="AS235" s="96"/>
      <c r="AT235" s="96"/>
      <c r="AU235" s="96"/>
      <c r="AV235" s="96"/>
      <c r="AW235" s="96"/>
      <c r="AX235" s="96"/>
      <c r="AY235" s="96"/>
      <c r="AZ235" s="96"/>
    </row>
    <row r="236" spans="1:52" s="2" customFormat="1" x14ac:dyDescent="0.3">
      <c r="A236" s="96"/>
      <c r="B236" s="102"/>
      <c r="C236" s="96"/>
      <c r="D236" s="113"/>
      <c r="E236" s="113"/>
      <c r="F236" s="113"/>
      <c r="G236" s="113"/>
      <c r="H236" s="96"/>
      <c r="I236" s="524"/>
      <c r="J236" s="524"/>
      <c r="K236" s="113"/>
      <c r="L236" s="113"/>
      <c r="M236" s="113"/>
      <c r="N236" s="113"/>
      <c r="O236" s="113"/>
      <c r="P236" s="113"/>
      <c r="Q236" s="113"/>
      <c r="R236" s="113"/>
      <c r="S236" s="113"/>
      <c r="T236" s="113"/>
      <c r="U236" s="121"/>
      <c r="V236" s="109"/>
      <c r="W236" s="110"/>
      <c r="X236" s="96"/>
      <c r="Y236" s="96"/>
      <c r="AA236" s="843"/>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c r="AZ236" s="96"/>
    </row>
    <row r="237" spans="1:52" s="2" customFormat="1" x14ac:dyDescent="0.3">
      <c r="A237" s="96"/>
      <c r="B237" s="102"/>
      <c r="C237" s="96"/>
      <c r="D237" s="113"/>
      <c r="E237" s="113"/>
      <c r="F237" s="113"/>
      <c r="G237" s="113"/>
      <c r="H237" s="96"/>
      <c r="I237" s="524"/>
      <c r="J237" s="524"/>
      <c r="K237" s="113"/>
      <c r="L237" s="113"/>
      <c r="M237" s="113"/>
      <c r="N237" s="113"/>
      <c r="O237" s="113"/>
      <c r="P237" s="113"/>
      <c r="Q237" s="113"/>
      <c r="R237" s="113"/>
      <c r="S237" s="113"/>
      <c r="T237" s="113"/>
      <c r="U237" s="121"/>
      <c r="V237" s="109"/>
      <c r="W237" s="110"/>
      <c r="X237" s="96"/>
      <c r="Y237" s="96"/>
      <c r="AA237" s="843"/>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96"/>
      <c r="AZ237" s="96"/>
    </row>
    <row r="238" spans="1:52" s="2" customFormat="1" x14ac:dyDescent="0.3">
      <c r="A238" s="96"/>
      <c r="B238" s="102"/>
      <c r="C238" s="96"/>
      <c r="D238" s="113"/>
      <c r="E238" s="113"/>
      <c r="F238" s="113"/>
      <c r="G238" s="113"/>
      <c r="H238" s="96"/>
      <c r="I238" s="524"/>
      <c r="J238" s="524"/>
      <c r="K238" s="113"/>
      <c r="L238" s="113"/>
      <c r="M238" s="113"/>
      <c r="N238" s="113"/>
      <c r="O238" s="113"/>
      <c r="P238" s="113"/>
      <c r="Q238" s="113"/>
      <c r="R238" s="113"/>
      <c r="S238" s="113"/>
      <c r="T238" s="113"/>
      <c r="U238" s="121"/>
      <c r="V238" s="109"/>
      <c r="W238" s="110"/>
      <c r="X238" s="96"/>
      <c r="Y238" s="96"/>
      <c r="AA238" s="843"/>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row>
    <row r="239" spans="1:52" s="2" customFormat="1" x14ac:dyDescent="0.3">
      <c r="A239" s="96"/>
      <c r="B239" s="102"/>
      <c r="C239" s="96"/>
      <c r="D239" s="113"/>
      <c r="E239" s="113"/>
      <c r="F239" s="113"/>
      <c r="G239" s="113"/>
      <c r="H239" s="96"/>
      <c r="I239" s="524"/>
      <c r="J239" s="524"/>
      <c r="K239" s="113"/>
      <c r="L239" s="113"/>
      <c r="M239" s="113"/>
      <c r="N239" s="113"/>
      <c r="O239" s="113"/>
      <c r="P239" s="113"/>
      <c r="Q239" s="113"/>
      <c r="R239" s="113"/>
      <c r="S239" s="113"/>
      <c r="T239" s="113"/>
      <c r="U239" s="121"/>
      <c r="V239" s="109"/>
      <c r="W239" s="110"/>
      <c r="X239" s="96"/>
      <c r="Y239" s="96"/>
      <c r="AA239" s="843"/>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row>
    <row r="240" spans="1:52" s="2" customFormat="1" x14ac:dyDescent="0.3">
      <c r="A240" s="96"/>
      <c r="B240" s="102"/>
      <c r="C240" s="96"/>
      <c r="D240" s="113"/>
      <c r="E240" s="113"/>
      <c r="F240" s="113"/>
      <c r="G240" s="113"/>
      <c r="H240" s="96"/>
      <c r="I240" s="524"/>
      <c r="J240" s="524"/>
      <c r="K240" s="113"/>
      <c r="L240" s="113"/>
      <c r="M240" s="113"/>
      <c r="N240" s="113"/>
      <c r="O240" s="113"/>
      <c r="P240" s="113"/>
      <c r="Q240" s="113"/>
      <c r="R240" s="113"/>
      <c r="S240" s="113"/>
      <c r="T240" s="113"/>
      <c r="U240" s="121"/>
      <c r="V240" s="109"/>
      <c r="W240" s="110"/>
      <c r="X240" s="96"/>
      <c r="Y240" s="96"/>
      <c r="AA240" s="843"/>
      <c r="AC240" s="96"/>
      <c r="AD240" s="96"/>
      <c r="AE240" s="96"/>
      <c r="AF240" s="96"/>
      <c r="AG240" s="96"/>
      <c r="AH240" s="96"/>
      <c r="AI240" s="96"/>
      <c r="AJ240" s="96"/>
      <c r="AK240" s="96"/>
      <c r="AL240" s="96"/>
      <c r="AM240" s="96"/>
      <c r="AN240" s="96"/>
      <c r="AO240" s="96"/>
      <c r="AP240" s="96"/>
      <c r="AQ240" s="96"/>
      <c r="AR240" s="96"/>
      <c r="AS240" s="96"/>
      <c r="AT240" s="96"/>
      <c r="AU240" s="96"/>
      <c r="AV240" s="96"/>
      <c r="AW240" s="96"/>
      <c r="AX240" s="96"/>
      <c r="AY240" s="96"/>
      <c r="AZ240" s="96"/>
    </row>
    <row r="241" spans="1:52" s="2" customFormat="1" x14ac:dyDescent="0.3">
      <c r="A241" s="96"/>
      <c r="B241" s="102"/>
      <c r="C241" s="96"/>
      <c r="D241" s="113"/>
      <c r="E241" s="113"/>
      <c r="F241" s="113"/>
      <c r="G241" s="113"/>
      <c r="H241" s="96"/>
      <c r="I241" s="524"/>
      <c r="J241" s="524"/>
      <c r="K241" s="113"/>
      <c r="L241" s="113"/>
      <c r="M241" s="113"/>
      <c r="N241" s="113"/>
      <c r="O241" s="113"/>
      <c r="P241" s="113"/>
      <c r="Q241" s="113"/>
      <c r="R241" s="113"/>
      <c r="S241" s="113"/>
      <c r="T241" s="113"/>
      <c r="U241" s="121"/>
      <c r="V241" s="109"/>
      <c r="W241" s="110"/>
      <c r="X241" s="96"/>
      <c r="Y241" s="96"/>
      <c r="AA241" s="843"/>
      <c r="AC241" s="96"/>
      <c r="AD241" s="96"/>
      <c r="AE241" s="96"/>
      <c r="AF241" s="96"/>
      <c r="AG241" s="96"/>
      <c r="AH241" s="96"/>
      <c r="AI241" s="96"/>
      <c r="AJ241" s="96"/>
      <c r="AK241" s="96"/>
      <c r="AL241" s="96"/>
      <c r="AM241" s="96"/>
      <c r="AN241" s="96"/>
      <c r="AO241" s="96"/>
      <c r="AP241" s="96"/>
      <c r="AQ241" s="96"/>
      <c r="AR241" s="96"/>
      <c r="AS241" s="96"/>
      <c r="AT241" s="96"/>
      <c r="AU241" s="96"/>
      <c r="AV241" s="96"/>
      <c r="AW241" s="96"/>
      <c r="AX241" s="96"/>
      <c r="AY241" s="96"/>
      <c r="AZ241" s="96"/>
    </row>
    <row r="242" spans="1:52" s="2" customFormat="1" x14ac:dyDescent="0.3">
      <c r="A242" s="96"/>
      <c r="B242" s="102"/>
      <c r="C242" s="96"/>
      <c r="D242" s="113"/>
      <c r="E242" s="113"/>
      <c r="F242" s="113"/>
      <c r="G242" s="113"/>
      <c r="H242" s="96"/>
      <c r="I242" s="524"/>
      <c r="J242" s="524"/>
      <c r="K242" s="113"/>
      <c r="L242" s="113"/>
      <c r="M242" s="113"/>
      <c r="N242" s="113"/>
      <c r="O242" s="113"/>
      <c r="P242" s="113"/>
      <c r="Q242" s="113"/>
      <c r="R242" s="113"/>
      <c r="S242" s="113"/>
      <c r="T242" s="113"/>
      <c r="U242" s="121"/>
      <c r="V242" s="109"/>
      <c r="W242" s="110"/>
      <c r="X242" s="96"/>
      <c r="Y242" s="96"/>
      <c r="AA242" s="843"/>
      <c r="AC242" s="96"/>
      <c r="AD242" s="96"/>
      <c r="AE242" s="96"/>
      <c r="AF242" s="96"/>
      <c r="AG242" s="96"/>
      <c r="AH242" s="96"/>
      <c r="AI242" s="96"/>
      <c r="AJ242" s="96"/>
      <c r="AK242" s="96"/>
      <c r="AL242" s="96"/>
      <c r="AM242" s="96"/>
      <c r="AN242" s="96"/>
      <c r="AO242" s="96"/>
      <c r="AP242" s="96"/>
      <c r="AQ242" s="96"/>
      <c r="AR242" s="96"/>
      <c r="AS242" s="96"/>
      <c r="AT242" s="96"/>
      <c r="AU242" s="96"/>
      <c r="AV242" s="96"/>
      <c r="AW242" s="96"/>
      <c r="AX242" s="96"/>
      <c r="AY242" s="96"/>
      <c r="AZ242" s="96"/>
    </row>
    <row r="243" spans="1:52" x14ac:dyDescent="0.3">
      <c r="B243" s="102"/>
      <c r="C243" s="96"/>
      <c r="D243" s="113"/>
      <c r="E243" s="113"/>
      <c r="F243" s="113"/>
      <c r="G243" s="113"/>
      <c r="H243" s="96"/>
      <c r="I243" s="524"/>
      <c r="J243" s="524"/>
      <c r="K243" s="113"/>
      <c r="L243" s="113"/>
      <c r="M243" s="113"/>
      <c r="N243" s="113"/>
      <c r="O243" s="113"/>
      <c r="P243" s="113"/>
      <c r="Q243" s="113"/>
      <c r="R243" s="113"/>
      <c r="S243" s="113"/>
      <c r="T243" s="113"/>
      <c r="U243" s="121"/>
      <c r="V243" s="109"/>
      <c r="W243" s="110"/>
      <c r="X243" s="96"/>
    </row>
  </sheetData>
  <sheetProtection algorithmName="SHA-512" hashValue="kOm4BBth7Z18rOH7YoNBdUTpnotDSpW98b9AnfARc99b7Kl2FnT4gl1+w/c63IMn3mP7DFc+v2xdqpAgdc9AeQ==" saltValue="/fFYZiUirXqa4GDVZ/Uyxg==" spinCount="100000" sheet="1" objects="1" scenarios="1"/>
  <protectedRanges>
    <protectedRange sqref="Y53 Y48 Y56" name="Wert CF Paket"/>
    <protectedRange sqref="B70:B73 B60:B68" name="Auswahlfelder_1"/>
    <protectedRange sqref="B118:B122 B146:B149 B114:B116 B130:B144 B124:B125 B127:B128 B192:B202 B151:B183 B185:B190 B204:B212 B77:B79 B53 B25 B59 B32 B36 B40 B8 B44:B48 B56:B59" name="Auswahlfelder"/>
    <protectedRange sqref="V6" name="Steuersatz"/>
  </protectedRanges>
  <mergeCells count="23">
    <mergeCell ref="U97:X105"/>
    <mergeCell ref="C84:F95"/>
    <mergeCell ref="B97:B100"/>
    <mergeCell ref="B102:B103"/>
    <mergeCell ref="B104:B105"/>
    <mergeCell ref="I97:T97"/>
    <mergeCell ref="C97:H97"/>
    <mergeCell ref="C103:H103"/>
    <mergeCell ref="C104:H104"/>
    <mergeCell ref="C105:H105"/>
    <mergeCell ref="C99:H99"/>
    <mergeCell ref="C100:H100"/>
    <mergeCell ref="C102:H102"/>
    <mergeCell ref="C98:H98"/>
    <mergeCell ref="I3:I4"/>
    <mergeCell ref="C83:H83"/>
    <mergeCell ref="C81:H81"/>
    <mergeCell ref="C80:H80"/>
    <mergeCell ref="B1:X1"/>
    <mergeCell ref="B3:C3"/>
    <mergeCell ref="B4:B5"/>
    <mergeCell ref="D3:H4"/>
    <mergeCell ref="U3:X5"/>
  </mergeCells>
  <phoneticPr fontId="5" type="noConversion"/>
  <conditionalFormatting sqref="I8:T79">
    <cfRule type="expression" dxfId="28" priority="4">
      <formula>OR(AND($B8="x",I8="µ"),AND($B8="x",I8="Included"))</formula>
    </cfRule>
    <cfRule type="expression" dxfId="27" priority="5">
      <formula>OR(AND($B8="x",I8="Add-on"),AND($B8="x",I8="Buy after CF"))</formula>
    </cfRule>
    <cfRule type="expression" dxfId="26" priority="6">
      <formula>AND($B8="x",I8="Included")</formula>
    </cfRule>
  </conditionalFormatting>
  <conditionalFormatting sqref="I83:T83">
    <cfRule type="top10" dxfId="25" priority="235" bottom="1" rank="1"/>
    <cfRule type="colorScale" priority="278">
      <colorScale>
        <cfvo type="min"/>
        <cfvo type="percentile" val="50"/>
        <cfvo type="max"/>
        <color rgb="FF63BE7B"/>
        <color rgb="FFFFEB84"/>
        <color rgb="FFF8696B"/>
      </colorScale>
    </cfRule>
  </conditionalFormatting>
  <conditionalFormatting sqref="I84:T84">
    <cfRule type="top10" dxfId="24" priority="25" rank="1"/>
  </conditionalFormatting>
  <conditionalFormatting sqref="I84:T91 I93:T95">
    <cfRule type="cellIs" dxfId="23" priority="615" operator="lessThan">
      <formula>0</formula>
    </cfRule>
  </conditionalFormatting>
  <conditionalFormatting sqref="I85:T85">
    <cfRule type="top10" dxfId="22" priority="24" rank="1"/>
  </conditionalFormatting>
  <conditionalFormatting sqref="I86:T86">
    <cfRule type="top10" dxfId="21" priority="23" rank="1"/>
  </conditionalFormatting>
  <conditionalFormatting sqref="I87:T87">
    <cfRule type="top10" dxfId="20" priority="22" rank="1"/>
  </conditionalFormatting>
  <conditionalFormatting sqref="I88:T88">
    <cfRule type="top10" dxfId="19" priority="21" rank="1"/>
  </conditionalFormatting>
  <conditionalFormatting sqref="I89:T89">
    <cfRule type="top10" dxfId="18" priority="20" rank="1"/>
  </conditionalFormatting>
  <conditionalFormatting sqref="I90:T90">
    <cfRule type="top10" dxfId="17" priority="19" rank="1"/>
  </conditionalFormatting>
  <conditionalFormatting sqref="I91:T91">
    <cfRule type="top10" dxfId="16" priority="18" rank="1"/>
  </conditionalFormatting>
  <conditionalFormatting sqref="I92:T92">
    <cfRule type="top10" dxfId="15" priority="17" rank="1"/>
  </conditionalFormatting>
  <conditionalFormatting sqref="I93:T93">
    <cfRule type="top10" dxfId="14" priority="16" rank="1"/>
  </conditionalFormatting>
  <conditionalFormatting sqref="I94:T94">
    <cfRule type="top10" dxfId="13" priority="15" rank="1"/>
  </conditionalFormatting>
  <conditionalFormatting sqref="I95:T95">
    <cfRule type="top10" dxfId="12" priority="14" rank="1"/>
  </conditionalFormatting>
  <conditionalFormatting sqref="I98:T98">
    <cfRule type="top10" dxfId="11" priority="12" bottom="1" rank="1"/>
  </conditionalFormatting>
  <conditionalFormatting sqref="I99:T99">
    <cfRule type="top10" dxfId="10" priority="13" rank="1"/>
    <cfRule type="colorScale" priority="958">
      <colorScale>
        <cfvo type="min"/>
        <cfvo type="percentile" val="50"/>
        <cfvo type="max"/>
        <color rgb="FFF8696B"/>
        <color rgb="FFFFEB84"/>
        <color rgb="FF63BE7B"/>
      </colorScale>
    </cfRule>
  </conditionalFormatting>
  <conditionalFormatting sqref="I99:T100">
    <cfRule type="cellIs" dxfId="9" priority="29" operator="lessThan">
      <formula>0</formula>
    </cfRule>
  </conditionalFormatting>
  <conditionalFormatting sqref="I100:T100">
    <cfRule type="top10" dxfId="8" priority="11" rank="1"/>
    <cfRule type="colorScale" priority="973">
      <colorScale>
        <cfvo type="min"/>
        <cfvo type="percentile" val="50"/>
        <cfvo type="max"/>
        <color rgb="FFF8696B"/>
        <color rgb="FFFFEB84"/>
        <color rgb="FF63BE7B"/>
      </colorScale>
    </cfRule>
  </conditionalFormatting>
  <conditionalFormatting sqref="I102:T102">
    <cfRule type="top10" dxfId="7" priority="10" rank="1"/>
  </conditionalFormatting>
  <conditionalFormatting sqref="I103:T103">
    <cfRule type="top10" dxfId="6" priority="9" rank="1"/>
  </conditionalFormatting>
  <conditionalFormatting sqref="I104:T104">
    <cfRule type="top10" dxfId="5" priority="8" rank="1"/>
    <cfRule type="colorScale" priority="995">
      <colorScale>
        <cfvo type="min"/>
        <cfvo type="percentile" val="50"/>
        <cfvo type="max"/>
        <color rgb="FFF8696B"/>
        <color rgb="FFFFEB84"/>
        <color rgb="FF63BE7B"/>
      </colorScale>
    </cfRule>
  </conditionalFormatting>
  <conditionalFormatting sqref="I105:T105">
    <cfRule type="top10" dxfId="4" priority="7" rank="1"/>
    <cfRule type="colorScale" priority="996">
      <colorScale>
        <cfvo type="min"/>
        <cfvo type="percentile" val="50"/>
        <cfvo type="max"/>
        <color rgb="FFF8696B"/>
        <color rgb="FFFFEB84"/>
        <color rgb="FF63BE7B"/>
      </colorScale>
    </cfRule>
  </conditionalFormatting>
  <conditionalFormatting sqref="I113:T212">
    <cfRule type="expression" dxfId="3" priority="33">
      <formula>OR(AND($B113="x",I113="µ"),AND($B113="x",I113="Included"))</formula>
    </cfRule>
    <cfRule type="expression" dxfId="2" priority="34">
      <formula>OR(AND($B113="x",I113="Add-on"),AND($B113="x",I113="Buy after CF"))</formula>
    </cfRule>
    <cfRule type="expression" dxfId="1" priority="35">
      <formula>AND($B113="x",I113="Included")</formula>
    </cfRule>
  </conditionalFormatting>
  <dataValidations count="1">
    <dataValidation type="list" allowBlank="1" showInputMessage="1" showErrorMessage="1" sqref="B113:B212 B56:B73 B77:B79 B40 B36 B32 B25 B8 B53 B44:B48" xr:uid="{D30EEA0A-86A0-48D5-A10D-3ABC9F2C4A3A}">
      <formula1>$B$108:$B$109</formula1>
    </dataValidation>
  </dataValidations>
  <pageMargins left="0.15748031496062992" right="0.47244094488188981" top="7.874015748031496E-2" bottom="0.11811023622047245" header="3.937007874015748E-2" footer="7.874015748031496E-2"/>
  <pageSetup paperSize="9" scale="43" fitToHeight="0" orientation="landscape" r:id="rId1"/>
  <rowBreaks count="2" manualBreakCount="2">
    <brk id="81" max="24" man="1"/>
    <brk id="149" max="18" man="1"/>
  </rowBreaks>
  <ignoredErrors>
    <ignoredError sqref="I7:J7 D19 D50:E52" numberStoredAsText="1"/>
    <ignoredError sqref="V80:V81" 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527D0-F2C9-4418-98F3-4B6AC922F366}">
  <sheetPr>
    <tabColor theme="7"/>
    <pageSetUpPr fitToPage="1"/>
  </sheetPr>
  <dimension ref="A1:G61"/>
  <sheetViews>
    <sheetView showGridLines="0" zoomScaleNormal="100" workbookViewId="0">
      <pane xSplit="2" ySplit="7" topLeftCell="C8" activePane="bottomRight" state="frozen"/>
      <selection pane="topRight" activeCell="C1" sqref="C1"/>
      <selection pane="bottomLeft" activeCell="A8" sqref="A8"/>
      <selection pane="bottomRight" sqref="A1:G1"/>
    </sheetView>
  </sheetViews>
  <sheetFormatPr baseColWidth="10" defaultRowHeight="16.5" outlineLevelCol="1" x14ac:dyDescent="0.3"/>
  <cols>
    <col min="1" max="1" width="11.42578125" style="599" customWidth="1"/>
    <col min="2" max="2" width="23.28515625" style="599" bestFit="1" customWidth="1"/>
    <col min="3" max="3" width="61.28515625" style="599" bestFit="1" customWidth="1"/>
    <col min="4" max="4" width="43.85546875" style="599" customWidth="1"/>
    <col min="5" max="5" width="104.5703125" style="599" hidden="1" customWidth="1" outlineLevel="1"/>
    <col min="6" max="6" width="35.7109375" style="622" customWidth="1" collapsed="1"/>
    <col min="7" max="7" width="12.28515625" style="694" bestFit="1" customWidth="1"/>
    <col min="8" max="16384" width="11.42578125" style="599"/>
  </cols>
  <sheetData>
    <row r="1" spans="1:7" ht="21" thickBot="1" x14ac:dyDescent="0.35">
      <c r="A1" s="992" t="s">
        <v>561</v>
      </c>
      <c r="B1" s="993"/>
      <c r="C1" s="993"/>
      <c r="D1" s="993"/>
      <c r="E1" s="993"/>
      <c r="F1" s="993"/>
      <c r="G1" s="994"/>
    </row>
    <row r="2" spans="1:7" s="47" customFormat="1" ht="13.5" x14ac:dyDescent="0.25">
      <c r="A2" s="47" t="s">
        <v>695</v>
      </c>
      <c r="F2" s="631"/>
      <c r="G2" s="696"/>
    </row>
    <row r="3" spans="1:7" s="47" customFormat="1" ht="13.5" x14ac:dyDescent="0.25">
      <c r="A3" s="47" t="s">
        <v>696</v>
      </c>
      <c r="F3" s="631"/>
      <c r="G3" s="696"/>
    </row>
    <row r="4" spans="1:7" s="47" customFormat="1" ht="13.5" x14ac:dyDescent="0.25">
      <c r="A4" s="47" t="s">
        <v>697</v>
      </c>
      <c r="F4" s="631"/>
      <c r="G4" s="696"/>
    </row>
    <row r="5" spans="1:7" x14ac:dyDescent="0.3">
      <c r="A5" s="621" t="s">
        <v>693</v>
      </c>
    </row>
    <row r="6" spans="1:7" x14ac:dyDescent="0.3">
      <c r="A6" s="621" t="s">
        <v>698</v>
      </c>
    </row>
    <row r="7" spans="1:7" s="623" customFormat="1" ht="15" x14ac:dyDescent="0.25">
      <c r="A7" s="623" t="s">
        <v>501</v>
      </c>
      <c r="B7" s="623" t="s">
        <v>557</v>
      </c>
      <c r="C7" s="623" t="s">
        <v>528</v>
      </c>
      <c r="D7" s="623" t="s">
        <v>583</v>
      </c>
      <c r="E7" s="623" t="s">
        <v>445</v>
      </c>
      <c r="F7" s="623" t="s">
        <v>446</v>
      </c>
      <c r="G7" s="697" t="s">
        <v>573</v>
      </c>
    </row>
    <row r="8" spans="1:7" x14ac:dyDescent="0.3">
      <c r="A8" s="599" t="s">
        <v>482</v>
      </c>
      <c r="B8" s="597" t="s">
        <v>579</v>
      </c>
      <c r="C8" s="599" t="s">
        <v>580</v>
      </c>
      <c r="D8" s="599" t="s">
        <v>582</v>
      </c>
      <c r="F8" s="850" t="s">
        <v>584</v>
      </c>
      <c r="G8" s="626" t="s">
        <v>586</v>
      </c>
    </row>
    <row r="9" spans="1:7" x14ac:dyDescent="0.3">
      <c r="A9" s="599" t="s">
        <v>482</v>
      </c>
      <c r="B9" s="597" t="s">
        <v>579</v>
      </c>
      <c r="C9" s="599" t="s">
        <v>1067</v>
      </c>
      <c r="D9" s="599" t="s">
        <v>582</v>
      </c>
      <c r="F9" s="624" t="s">
        <v>1074</v>
      </c>
      <c r="G9" s="626" t="s">
        <v>1075</v>
      </c>
    </row>
    <row r="10" spans="1:7" x14ac:dyDescent="0.3">
      <c r="A10" s="599" t="s">
        <v>482</v>
      </c>
      <c r="B10" s="597" t="s">
        <v>549</v>
      </c>
      <c r="C10" s="599" t="s">
        <v>550</v>
      </c>
      <c r="D10" s="599" t="s">
        <v>443</v>
      </c>
      <c r="E10" s="599" t="s">
        <v>444</v>
      </c>
      <c r="F10" s="624" t="s">
        <v>447</v>
      </c>
      <c r="G10" s="626">
        <v>4.4560185185185189E-3</v>
      </c>
    </row>
    <row r="11" spans="1:7" x14ac:dyDescent="0.3">
      <c r="A11" s="599" t="s">
        <v>482</v>
      </c>
      <c r="B11" s="597" t="s">
        <v>549</v>
      </c>
      <c r="C11" s="599" t="s">
        <v>550</v>
      </c>
      <c r="D11" s="598" t="s">
        <v>448</v>
      </c>
      <c r="E11" s="599" t="s">
        <v>449</v>
      </c>
      <c r="F11" s="624" t="s">
        <v>530</v>
      </c>
      <c r="G11" s="626">
        <v>1.1111111111111112E-2</v>
      </c>
    </row>
    <row r="12" spans="1:7" x14ac:dyDescent="0.3">
      <c r="A12" s="599" t="s">
        <v>482</v>
      </c>
      <c r="B12" s="597" t="s">
        <v>549</v>
      </c>
      <c r="C12" s="599" t="s">
        <v>550</v>
      </c>
      <c r="D12" s="599" t="s">
        <v>450</v>
      </c>
      <c r="E12" s="599" t="s">
        <v>452</v>
      </c>
      <c r="F12" s="624" t="s">
        <v>458</v>
      </c>
      <c r="G12" s="626">
        <v>1.0243055555555556E-2</v>
      </c>
    </row>
    <row r="13" spans="1:7" x14ac:dyDescent="0.3">
      <c r="A13" s="599" t="s">
        <v>482</v>
      </c>
      <c r="B13" s="597" t="s">
        <v>549</v>
      </c>
      <c r="C13" s="599" t="s">
        <v>552</v>
      </c>
      <c r="D13" s="599" t="s">
        <v>453</v>
      </c>
      <c r="E13" s="599" t="s">
        <v>454</v>
      </c>
      <c r="F13" s="624" t="s">
        <v>568</v>
      </c>
      <c r="G13" s="626">
        <v>8.4490740740740739E-4</v>
      </c>
    </row>
    <row r="14" spans="1:7" x14ac:dyDescent="0.3">
      <c r="A14" s="599" t="s">
        <v>482</v>
      </c>
      <c r="B14" s="597" t="s">
        <v>532</v>
      </c>
      <c r="C14" s="599" t="s">
        <v>560</v>
      </c>
      <c r="D14" s="599" t="s">
        <v>474</v>
      </c>
      <c r="E14" s="599" t="s">
        <v>475</v>
      </c>
      <c r="F14" s="624" t="s">
        <v>509</v>
      </c>
      <c r="G14" s="626">
        <v>4.7754629629629633E-2</v>
      </c>
    </row>
    <row r="15" spans="1:7" x14ac:dyDescent="0.3">
      <c r="A15" s="599" t="s">
        <v>482</v>
      </c>
      <c r="B15" s="597" t="s">
        <v>569</v>
      </c>
      <c r="C15" s="599" t="s">
        <v>551</v>
      </c>
      <c r="D15" s="599" t="s">
        <v>450</v>
      </c>
      <c r="E15" s="599" t="s">
        <v>451</v>
      </c>
      <c r="F15" s="624" t="s">
        <v>457</v>
      </c>
      <c r="G15" s="626">
        <v>4.6851851851851853E-2</v>
      </c>
    </row>
    <row r="16" spans="1:7" x14ac:dyDescent="0.3">
      <c r="A16" s="599" t="s">
        <v>482</v>
      </c>
      <c r="B16" s="597" t="s">
        <v>555</v>
      </c>
      <c r="C16" s="599" t="s">
        <v>553</v>
      </c>
      <c r="D16" s="599" t="s">
        <v>455</v>
      </c>
      <c r="E16" s="599" t="s">
        <v>456</v>
      </c>
      <c r="F16" s="624" t="s">
        <v>459</v>
      </c>
      <c r="G16" s="626">
        <v>4.409722222222222E-3</v>
      </c>
    </row>
    <row r="17" spans="1:7" x14ac:dyDescent="0.3">
      <c r="A17" s="599" t="s">
        <v>482</v>
      </c>
      <c r="B17" s="597" t="s">
        <v>555</v>
      </c>
      <c r="C17" s="599" t="s">
        <v>598</v>
      </c>
      <c r="D17" s="599" t="s">
        <v>455</v>
      </c>
      <c r="F17" s="624" t="s">
        <v>597</v>
      </c>
      <c r="G17" s="626" t="s">
        <v>4</v>
      </c>
    </row>
    <row r="18" spans="1:7" x14ac:dyDescent="0.3">
      <c r="A18" s="599" t="s">
        <v>482</v>
      </c>
      <c r="B18" s="625" t="s">
        <v>554</v>
      </c>
      <c r="C18" s="599" t="s">
        <v>553</v>
      </c>
      <c r="D18" s="599" t="s">
        <v>463</v>
      </c>
      <c r="E18" s="599" t="s">
        <v>464</v>
      </c>
      <c r="F18" s="624" t="s">
        <v>503</v>
      </c>
      <c r="G18" s="626">
        <v>3.2256944444444442E-2</v>
      </c>
    </row>
    <row r="19" spans="1:7" x14ac:dyDescent="0.3">
      <c r="A19" s="599" t="s">
        <v>482</v>
      </c>
      <c r="B19" s="625" t="s">
        <v>699</v>
      </c>
      <c r="C19" s="599" t="s">
        <v>558</v>
      </c>
      <c r="D19" s="599" t="s">
        <v>461</v>
      </c>
      <c r="E19" s="599" t="s">
        <v>462</v>
      </c>
      <c r="F19" s="624" t="s">
        <v>502</v>
      </c>
      <c r="G19" s="626">
        <v>7.273148148148148E-2</v>
      </c>
    </row>
    <row r="20" spans="1:7" x14ac:dyDescent="0.3">
      <c r="A20" s="599" t="s">
        <v>482</v>
      </c>
      <c r="B20" s="625" t="s">
        <v>700</v>
      </c>
      <c r="C20" s="599" t="s">
        <v>558</v>
      </c>
      <c r="D20" s="599" t="s">
        <v>465</v>
      </c>
      <c r="E20" s="599" t="s">
        <v>466</v>
      </c>
      <c r="F20" s="624" t="s">
        <v>504</v>
      </c>
      <c r="G20" s="626">
        <v>4.2013888888888892E-2</v>
      </c>
    </row>
    <row r="21" spans="1:7" x14ac:dyDescent="0.3">
      <c r="A21" s="599" t="s">
        <v>482</v>
      </c>
      <c r="B21" s="625" t="s">
        <v>700</v>
      </c>
      <c r="C21" s="599" t="s">
        <v>558</v>
      </c>
      <c r="D21" s="599" t="s">
        <v>467</v>
      </c>
      <c r="E21" s="599" t="s">
        <v>468</v>
      </c>
      <c r="F21" s="624" t="s">
        <v>505</v>
      </c>
      <c r="G21" s="626">
        <v>4.372685185185185E-2</v>
      </c>
    </row>
    <row r="22" spans="1:7" x14ac:dyDescent="0.3">
      <c r="A22" s="599" t="s">
        <v>482</v>
      </c>
      <c r="B22" s="625" t="s">
        <v>700</v>
      </c>
      <c r="C22" s="599" t="s">
        <v>558</v>
      </c>
      <c r="D22" s="599" t="s">
        <v>469</v>
      </c>
      <c r="E22" s="599" t="s">
        <v>470</v>
      </c>
      <c r="F22" s="624" t="s">
        <v>506</v>
      </c>
      <c r="G22" s="626">
        <v>3.2083333333333332E-2</v>
      </c>
    </row>
    <row r="23" spans="1:7" x14ac:dyDescent="0.3">
      <c r="A23" s="599" t="s">
        <v>482</v>
      </c>
      <c r="B23" s="625" t="s">
        <v>700</v>
      </c>
      <c r="C23" s="599" t="s">
        <v>558</v>
      </c>
      <c r="D23" s="599" t="s">
        <v>471</v>
      </c>
      <c r="E23" s="599" t="s">
        <v>472</v>
      </c>
      <c r="F23" s="624" t="s">
        <v>507</v>
      </c>
      <c r="G23" s="626">
        <v>0.10164351851851852</v>
      </c>
    </row>
    <row r="24" spans="1:7" x14ac:dyDescent="0.3">
      <c r="A24" s="599" t="s">
        <v>482</v>
      </c>
      <c r="B24" s="625" t="s">
        <v>700</v>
      </c>
      <c r="C24" s="599" t="s">
        <v>559</v>
      </c>
      <c r="D24" s="599" t="s">
        <v>471</v>
      </c>
      <c r="E24" s="599" t="s">
        <v>473</v>
      </c>
      <c r="F24" s="624" t="s">
        <v>508</v>
      </c>
      <c r="G24" s="626">
        <v>0.15988425925925925</v>
      </c>
    </row>
    <row r="25" spans="1:7" x14ac:dyDescent="0.3">
      <c r="E25" s="624"/>
    </row>
    <row r="26" spans="1:7" s="623" customFormat="1" ht="15" x14ac:dyDescent="0.25">
      <c r="A26" s="627" t="s">
        <v>460</v>
      </c>
      <c r="B26" s="628"/>
      <c r="C26" s="628"/>
      <c r="D26" s="629"/>
      <c r="E26" s="628"/>
      <c r="F26" s="630"/>
      <c r="G26" s="695"/>
    </row>
    <row r="27" spans="1:7" ht="17.25" thickBot="1" x14ac:dyDescent="0.35"/>
    <row r="28" spans="1:7" ht="21" thickBot="1" x14ac:dyDescent="0.35">
      <c r="A28" s="992" t="s">
        <v>694</v>
      </c>
      <c r="B28" s="993"/>
      <c r="C28" s="993"/>
      <c r="D28" s="993"/>
      <c r="E28" s="993"/>
      <c r="F28" s="993"/>
      <c r="G28" s="994"/>
    </row>
    <row r="30" spans="1:7" s="623" customFormat="1" ht="15" x14ac:dyDescent="0.25">
      <c r="A30" s="623" t="s">
        <v>501</v>
      </c>
      <c r="B30" s="623" t="s">
        <v>557</v>
      </c>
      <c r="C30" s="623" t="s">
        <v>528</v>
      </c>
      <c r="D30" s="623" t="s">
        <v>583</v>
      </c>
      <c r="E30" s="623" t="s">
        <v>445</v>
      </c>
      <c r="F30" s="623" t="s">
        <v>446</v>
      </c>
      <c r="G30" s="697" t="s">
        <v>573</v>
      </c>
    </row>
    <row r="31" spans="1:7" x14ac:dyDescent="0.3">
      <c r="A31" s="599" t="s">
        <v>692</v>
      </c>
      <c r="B31" s="597" t="s">
        <v>577</v>
      </c>
      <c r="C31" s="599" t="s">
        <v>581</v>
      </c>
      <c r="D31" s="599" t="s">
        <v>582</v>
      </c>
      <c r="F31" s="624" t="s">
        <v>578</v>
      </c>
      <c r="G31" s="626" t="s">
        <v>586</v>
      </c>
    </row>
    <row r="32" spans="1:7" x14ac:dyDescent="0.3">
      <c r="A32" s="599" t="s">
        <v>692</v>
      </c>
      <c r="B32" s="597" t="s">
        <v>577</v>
      </c>
      <c r="C32" s="599" t="s">
        <v>1068</v>
      </c>
      <c r="D32" s="599" t="s">
        <v>582</v>
      </c>
      <c r="F32" s="624" t="s">
        <v>1069</v>
      </c>
      <c r="G32" s="626" t="s">
        <v>1075</v>
      </c>
    </row>
    <row r="33" spans="1:7" x14ac:dyDescent="0.3">
      <c r="A33" s="599" t="s">
        <v>692</v>
      </c>
      <c r="B33" s="597" t="s">
        <v>534</v>
      </c>
      <c r="C33" s="599" t="s">
        <v>535</v>
      </c>
      <c r="D33" s="599" t="s">
        <v>476</v>
      </c>
      <c r="E33" s="599" t="s">
        <v>477</v>
      </c>
      <c r="F33" s="624" t="s">
        <v>510</v>
      </c>
      <c r="G33" s="626">
        <v>2.4641203703703703E-2</v>
      </c>
    </row>
    <row r="34" spans="1:7" x14ac:dyDescent="0.3">
      <c r="A34" s="599" t="s">
        <v>692</v>
      </c>
      <c r="B34" s="597" t="s">
        <v>534</v>
      </c>
      <c r="C34" s="599" t="s">
        <v>535</v>
      </c>
      <c r="D34" s="599" t="s">
        <v>478</v>
      </c>
      <c r="E34" s="599" t="s">
        <v>479</v>
      </c>
      <c r="F34" s="624" t="s">
        <v>511</v>
      </c>
      <c r="G34" s="626">
        <v>1.2175925925925925E-2</v>
      </c>
    </row>
    <row r="35" spans="1:7" x14ac:dyDescent="0.3">
      <c r="A35" s="599" t="s">
        <v>692</v>
      </c>
      <c r="B35" s="597" t="s">
        <v>532</v>
      </c>
      <c r="C35" s="599" t="s">
        <v>1070</v>
      </c>
      <c r="D35" s="599" t="s">
        <v>474</v>
      </c>
      <c r="F35" s="624" t="s">
        <v>1071</v>
      </c>
      <c r="G35" s="626">
        <v>8.5532407407407404E-2</v>
      </c>
    </row>
    <row r="36" spans="1:7" x14ac:dyDescent="0.3">
      <c r="A36" s="599" t="s">
        <v>692</v>
      </c>
      <c r="B36" s="597" t="s">
        <v>532</v>
      </c>
      <c r="C36" s="599" t="s">
        <v>1072</v>
      </c>
      <c r="D36" s="599" t="s">
        <v>474</v>
      </c>
      <c r="F36" s="624" t="s">
        <v>1073</v>
      </c>
      <c r="G36" s="626">
        <v>4.2789351851851849E-2</v>
      </c>
    </row>
    <row r="37" spans="1:7" x14ac:dyDescent="0.3">
      <c r="A37" s="599" t="s">
        <v>692</v>
      </c>
      <c r="B37" s="597" t="s">
        <v>575</v>
      </c>
      <c r="C37" s="599" t="s">
        <v>585</v>
      </c>
      <c r="D37" s="599" t="s">
        <v>474</v>
      </c>
      <c r="F37" s="624" t="s">
        <v>576</v>
      </c>
      <c r="G37" s="626">
        <v>5.0763888888888886E-2</v>
      </c>
    </row>
    <row r="38" spans="1:7" x14ac:dyDescent="0.3">
      <c r="A38" s="599" t="s">
        <v>692</v>
      </c>
      <c r="B38" s="597" t="s">
        <v>532</v>
      </c>
      <c r="C38" s="599" t="s">
        <v>543</v>
      </c>
      <c r="D38" s="599" t="s">
        <v>474</v>
      </c>
      <c r="E38" s="599" t="s">
        <v>495</v>
      </c>
      <c r="F38" s="624" t="s">
        <v>523</v>
      </c>
      <c r="G38" s="626">
        <v>4.9305555555555554E-2</v>
      </c>
    </row>
    <row r="39" spans="1:7" x14ac:dyDescent="0.3">
      <c r="A39" s="599" t="s">
        <v>692</v>
      </c>
      <c r="B39" s="597" t="s">
        <v>556</v>
      </c>
      <c r="C39" s="599" t="s">
        <v>531</v>
      </c>
      <c r="D39" s="599" t="s">
        <v>455</v>
      </c>
      <c r="E39" s="599" t="s">
        <v>485</v>
      </c>
      <c r="F39" s="624" t="s">
        <v>514</v>
      </c>
      <c r="G39" s="626">
        <v>4.0509259259259257E-3</v>
      </c>
    </row>
    <row r="40" spans="1:7" x14ac:dyDescent="0.3">
      <c r="A40" s="599" t="s">
        <v>692</v>
      </c>
      <c r="B40" s="597" t="s">
        <v>556</v>
      </c>
      <c r="C40" s="599" t="s">
        <v>595</v>
      </c>
      <c r="D40" s="599" t="s">
        <v>455</v>
      </c>
      <c r="F40" s="624" t="s">
        <v>596</v>
      </c>
      <c r="G40" s="626" t="s">
        <v>4</v>
      </c>
    </row>
    <row r="41" spans="1:7" x14ac:dyDescent="0.3">
      <c r="A41" s="599" t="s">
        <v>692</v>
      </c>
      <c r="B41" s="597" t="s">
        <v>537</v>
      </c>
      <c r="C41" s="599" t="s">
        <v>545</v>
      </c>
      <c r="D41" s="599" t="s">
        <v>483</v>
      </c>
      <c r="E41" s="599" t="s">
        <v>484</v>
      </c>
      <c r="F41" s="624" t="s">
        <v>513</v>
      </c>
      <c r="G41" s="626">
        <v>9.6307870370370377E-2</v>
      </c>
    </row>
    <row r="42" spans="1:7" x14ac:dyDescent="0.3">
      <c r="A42" s="599" t="s">
        <v>692</v>
      </c>
      <c r="B42" s="597" t="s">
        <v>534</v>
      </c>
      <c r="C42" s="599" t="s">
        <v>602</v>
      </c>
      <c r="D42" s="599" t="s">
        <v>474</v>
      </c>
      <c r="F42" s="624" t="s">
        <v>609</v>
      </c>
      <c r="G42" s="626" t="s">
        <v>4</v>
      </c>
    </row>
    <row r="43" spans="1:7" x14ac:dyDescent="0.3">
      <c r="A43" s="599" t="s">
        <v>692</v>
      </c>
      <c r="B43" s="597" t="s">
        <v>534</v>
      </c>
      <c r="C43" s="599" t="s">
        <v>605</v>
      </c>
      <c r="D43" s="599" t="s">
        <v>474</v>
      </c>
      <c r="F43" s="624" t="s">
        <v>608</v>
      </c>
      <c r="G43" s="626" t="s">
        <v>4</v>
      </c>
    </row>
    <row r="44" spans="1:7" x14ac:dyDescent="0.3">
      <c r="A44" s="599" t="s">
        <v>692</v>
      </c>
      <c r="B44" s="597" t="s">
        <v>534</v>
      </c>
      <c r="C44" s="599" t="s">
        <v>606</v>
      </c>
      <c r="D44" s="599" t="s">
        <v>474</v>
      </c>
      <c r="F44" s="624" t="s">
        <v>607</v>
      </c>
      <c r="G44" s="626" t="s">
        <v>4</v>
      </c>
    </row>
    <row r="45" spans="1:7" x14ac:dyDescent="0.3">
      <c r="A45" s="599" t="s">
        <v>692</v>
      </c>
      <c r="B45" s="597" t="s">
        <v>534</v>
      </c>
      <c r="C45" s="599" t="s">
        <v>603</v>
      </c>
      <c r="D45" s="599" t="s">
        <v>474</v>
      </c>
      <c r="F45" s="624" t="s">
        <v>604</v>
      </c>
      <c r="G45" s="626" t="s">
        <v>4</v>
      </c>
    </row>
    <row r="46" spans="1:7" x14ac:dyDescent="0.3">
      <c r="A46" s="599" t="s">
        <v>692</v>
      </c>
      <c r="B46" s="625" t="s">
        <v>536</v>
      </c>
      <c r="C46" s="599" t="s">
        <v>539</v>
      </c>
      <c r="D46" s="599" t="s">
        <v>455</v>
      </c>
      <c r="E46" s="599" t="s">
        <v>486</v>
      </c>
      <c r="F46" s="624" t="s">
        <v>515</v>
      </c>
      <c r="G46" s="626">
        <v>0.14586805555555554</v>
      </c>
    </row>
    <row r="47" spans="1:7" x14ac:dyDescent="0.3">
      <c r="A47" s="599" t="s">
        <v>692</v>
      </c>
      <c r="B47" s="625" t="s">
        <v>536</v>
      </c>
      <c r="C47" s="599" t="s">
        <v>540</v>
      </c>
      <c r="D47" s="599" t="s">
        <v>483</v>
      </c>
      <c r="E47" s="599" t="s">
        <v>489</v>
      </c>
      <c r="F47" s="624" t="s">
        <v>517</v>
      </c>
      <c r="G47" s="626">
        <v>6.6493055555555555E-2</v>
      </c>
    </row>
    <row r="48" spans="1:7" x14ac:dyDescent="0.3">
      <c r="A48" s="599" t="s">
        <v>692</v>
      </c>
      <c r="B48" s="625" t="s">
        <v>536</v>
      </c>
      <c r="C48" s="599" t="s">
        <v>562</v>
      </c>
      <c r="D48" s="599" t="s">
        <v>487</v>
      </c>
      <c r="E48" s="599" t="s">
        <v>488</v>
      </c>
      <c r="F48" s="624" t="s">
        <v>516</v>
      </c>
      <c r="G48" s="626">
        <v>7.7835648148148154E-2</v>
      </c>
    </row>
    <row r="49" spans="1:7" x14ac:dyDescent="0.3">
      <c r="A49" s="599" t="s">
        <v>692</v>
      </c>
      <c r="B49" s="625" t="s">
        <v>536</v>
      </c>
      <c r="C49" s="599" t="s">
        <v>563</v>
      </c>
      <c r="D49" s="599" t="s">
        <v>483</v>
      </c>
      <c r="E49" s="599" t="s">
        <v>490</v>
      </c>
      <c r="F49" s="624" t="s">
        <v>518</v>
      </c>
      <c r="G49" s="626">
        <v>0.18800925925925926</v>
      </c>
    </row>
    <row r="50" spans="1:7" x14ac:dyDescent="0.3">
      <c r="A50" s="599" t="s">
        <v>692</v>
      </c>
      <c r="B50" s="625" t="s">
        <v>538</v>
      </c>
      <c r="C50" s="599" t="s">
        <v>541</v>
      </c>
      <c r="D50" s="599" t="s">
        <v>474</v>
      </c>
      <c r="E50" s="599" t="s">
        <v>491</v>
      </c>
      <c r="F50" s="624" t="s">
        <v>519</v>
      </c>
      <c r="G50" s="626">
        <v>8.430555555555555E-2</v>
      </c>
    </row>
    <row r="51" spans="1:7" x14ac:dyDescent="0.3">
      <c r="A51" s="599" t="s">
        <v>692</v>
      </c>
      <c r="B51" s="625" t="s">
        <v>538</v>
      </c>
      <c r="C51" s="599" t="s">
        <v>542</v>
      </c>
      <c r="D51" s="599" t="s">
        <v>474</v>
      </c>
      <c r="E51" s="599" t="s">
        <v>494</v>
      </c>
      <c r="F51" s="624" t="s">
        <v>522</v>
      </c>
      <c r="G51" s="626">
        <v>9.2476851851851852E-2</v>
      </c>
    </row>
    <row r="52" spans="1:7" x14ac:dyDescent="0.3">
      <c r="A52" s="599" t="s">
        <v>692</v>
      </c>
      <c r="B52" s="625" t="s">
        <v>536</v>
      </c>
      <c r="C52" s="599" t="s">
        <v>564</v>
      </c>
      <c r="D52" s="599" t="s">
        <v>474</v>
      </c>
      <c r="E52" s="599" t="s">
        <v>492</v>
      </c>
      <c r="F52" s="624" t="s">
        <v>520</v>
      </c>
      <c r="G52" s="626">
        <v>3.2037037037037037E-2</v>
      </c>
    </row>
    <row r="53" spans="1:7" x14ac:dyDescent="0.3">
      <c r="A53" s="599" t="s">
        <v>692</v>
      </c>
      <c r="B53" s="625" t="s">
        <v>536</v>
      </c>
      <c r="C53" s="599" t="s">
        <v>565</v>
      </c>
      <c r="D53" s="599" t="s">
        <v>474</v>
      </c>
      <c r="E53" s="599" t="s">
        <v>493</v>
      </c>
      <c r="F53" s="624" t="s">
        <v>521</v>
      </c>
      <c r="G53" s="626">
        <v>6.7326388888888894E-2</v>
      </c>
    </row>
    <row r="54" spans="1:7" x14ac:dyDescent="0.3">
      <c r="A54" s="599" t="s">
        <v>692</v>
      </c>
      <c r="B54" s="625" t="s">
        <v>536</v>
      </c>
      <c r="C54" s="599" t="s">
        <v>570</v>
      </c>
      <c r="D54" s="599" t="s">
        <v>455</v>
      </c>
      <c r="E54" s="599" t="s">
        <v>486</v>
      </c>
      <c r="F54" s="624" t="s">
        <v>515</v>
      </c>
      <c r="G54" s="626" t="s">
        <v>1091</v>
      </c>
    </row>
    <row r="55" spans="1:7" x14ac:dyDescent="0.3">
      <c r="A55" s="599" t="s">
        <v>692</v>
      </c>
      <c r="B55" s="625" t="s">
        <v>536</v>
      </c>
      <c r="C55" s="599" t="s">
        <v>571</v>
      </c>
      <c r="D55" s="599" t="s">
        <v>455</v>
      </c>
      <c r="E55" s="599" t="s">
        <v>486</v>
      </c>
      <c r="F55" s="624" t="s">
        <v>572</v>
      </c>
      <c r="G55" s="626" t="s">
        <v>1092</v>
      </c>
    </row>
    <row r="56" spans="1:7" x14ac:dyDescent="0.3">
      <c r="A56" s="599" t="s">
        <v>692</v>
      </c>
      <c r="B56" s="597" t="s">
        <v>544</v>
      </c>
      <c r="C56" s="599" t="s">
        <v>533</v>
      </c>
      <c r="D56" s="599" t="s">
        <v>455</v>
      </c>
      <c r="E56" s="599" t="s">
        <v>496</v>
      </c>
      <c r="F56" s="624" t="s">
        <v>524</v>
      </c>
      <c r="G56" s="626">
        <v>4.9166666666666664E-2</v>
      </c>
    </row>
    <row r="57" spans="1:7" x14ac:dyDescent="0.3">
      <c r="A57" s="599" t="s">
        <v>692</v>
      </c>
      <c r="B57" s="597" t="s">
        <v>544</v>
      </c>
      <c r="C57" s="599" t="s">
        <v>533</v>
      </c>
      <c r="D57" s="599" t="s">
        <v>480</v>
      </c>
      <c r="E57" s="599" t="s">
        <v>481</v>
      </c>
      <c r="F57" s="624" t="s">
        <v>512</v>
      </c>
      <c r="G57" s="626">
        <v>4.1539351851851855E-2</v>
      </c>
    </row>
    <row r="58" spans="1:7" x14ac:dyDescent="0.3">
      <c r="A58" s="599" t="s">
        <v>692</v>
      </c>
      <c r="B58" s="597" t="s">
        <v>546</v>
      </c>
      <c r="C58" s="599" t="s">
        <v>567</v>
      </c>
      <c r="D58" s="599" t="s">
        <v>455</v>
      </c>
      <c r="E58" s="599" t="s">
        <v>497</v>
      </c>
      <c r="F58" s="624" t="s">
        <v>525</v>
      </c>
      <c r="G58" s="626">
        <v>1.3738425925925926E-2</v>
      </c>
    </row>
    <row r="59" spans="1:7" x14ac:dyDescent="0.3">
      <c r="A59" s="599" t="s">
        <v>692</v>
      </c>
      <c r="B59" s="597" t="s">
        <v>546</v>
      </c>
      <c r="C59" s="599" t="s">
        <v>566</v>
      </c>
      <c r="D59" s="599" t="s">
        <v>474</v>
      </c>
      <c r="E59" s="599" t="s">
        <v>498</v>
      </c>
      <c r="F59" s="624" t="s">
        <v>529</v>
      </c>
      <c r="G59" s="626">
        <v>3.4097222222222223E-2</v>
      </c>
    </row>
    <row r="60" spans="1:7" x14ac:dyDescent="0.3">
      <c r="A60" s="599" t="s">
        <v>692</v>
      </c>
      <c r="B60" s="597" t="s">
        <v>546</v>
      </c>
      <c r="C60" s="599" t="s">
        <v>548</v>
      </c>
      <c r="D60" s="599" t="s">
        <v>455</v>
      </c>
      <c r="E60" s="599" t="s">
        <v>499</v>
      </c>
      <c r="F60" s="624" t="s">
        <v>526</v>
      </c>
      <c r="G60" s="626">
        <v>2.7997685185185184E-2</v>
      </c>
    </row>
    <row r="61" spans="1:7" x14ac:dyDescent="0.3">
      <c r="A61" s="599" t="s">
        <v>692</v>
      </c>
      <c r="B61" s="597" t="s">
        <v>546</v>
      </c>
      <c r="C61" s="599" t="s">
        <v>547</v>
      </c>
      <c r="D61" s="599" t="s">
        <v>474</v>
      </c>
      <c r="E61" s="599" t="s">
        <v>500</v>
      </c>
      <c r="F61" s="624" t="s">
        <v>527</v>
      </c>
      <c r="G61" s="626">
        <v>7.0462962962962963E-2</v>
      </c>
    </row>
  </sheetData>
  <sheetProtection algorithmName="SHA-512" hashValue="r6P2PohG19Bzclejj7CV+YVn/psYmLkfsXmpARy8GFB1c5hH7o9JRflWjTe6Kx0kzpPJqo5S84ZxUcIB8FaQ6g==" saltValue="r1X8f8EatT+j+lN311bRnQ==" spinCount="100000" sheet="1" objects="1" scenarios="1"/>
  <mergeCells count="2">
    <mergeCell ref="A28:G28"/>
    <mergeCell ref="A1:G1"/>
  </mergeCells>
  <hyperlinks>
    <hyperlink ref="F10" r:id="rId1" xr:uid="{B34E6676-C105-47C0-98EB-CB9797921962}"/>
    <hyperlink ref="F15" r:id="rId2" xr:uid="{E8F0B9DA-78AD-4CCA-BA06-081D607732AE}"/>
    <hyperlink ref="F12" r:id="rId3" xr:uid="{D026DE80-6630-4DD0-BF13-D94DC304157F}"/>
    <hyperlink ref="F16" r:id="rId4" xr:uid="{38E10063-DDD3-4C6B-9E38-02D4E2548992}"/>
    <hyperlink ref="A26" r:id="rId5" display="mailto:gernot@hinter-dsa.de?subject=Aventuria%20Playthroughs%20-%20Missing%20link/video" xr:uid="{4C7C5CF3-3DDF-43B0-921B-2B4C1C67D755}"/>
    <hyperlink ref="F19" r:id="rId6" xr:uid="{0AFE9FAB-D572-468D-98F8-7E3E0A025671}"/>
    <hyperlink ref="F18" r:id="rId7" xr:uid="{2B4FB739-1D9F-4A98-A839-40E5F5B4EC87}"/>
    <hyperlink ref="F20" r:id="rId8" xr:uid="{E714E76E-C8A4-4AF5-8BB8-8E7C651EDFB7}"/>
    <hyperlink ref="F21" r:id="rId9" xr:uid="{F1257B80-ED8B-4A7D-9035-7153CBAF7AD9}"/>
    <hyperlink ref="F22" r:id="rId10" xr:uid="{4778067E-64E1-4FAC-B9C8-A3C925102CA1}"/>
    <hyperlink ref="F23" r:id="rId11" xr:uid="{FE1C3C22-DA9E-495E-8BC5-20505FD28B02}"/>
    <hyperlink ref="F24" r:id="rId12" xr:uid="{B174C7A1-DB16-448E-8687-D9ABC5D8385F}"/>
    <hyperlink ref="F14" r:id="rId13" xr:uid="{028C947A-9732-48AC-9D5F-07B4A4119FE7}"/>
    <hyperlink ref="F33" r:id="rId14" xr:uid="{84A5ECC2-2853-4308-BD05-A421A2D154EE}"/>
    <hyperlink ref="F34" r:id="rId15" xr:uid="{247259D0-5B65-47F5-984C-EFBC9E577BCE}"/>
    <hyperlink ref="F57" r:id="rId16" xr:uid="{B5DCA37E-C06D-48F2-9C43-CCD7B094CC23}"/>
    <hyperlink ref="F41" r:id="rId17" xr:uid="{284F0A49-4FD4-48E1-9DC4-A2A22CD1B45E}"/>
    <hyperlink ref="F39" r:id="rId18" xr:uid="{1C174F8B-3B83-4B6B-B034-F02E299ECBF9}"/>
    <hyperlink ref="F46" r:id="rId19" xr:uid="{4C4BB4EA-95CF-46C5-9637-441274C192B6}"/>
    <hyperlink ref="F48" r:id="rId20" xr:uid="{D20DB20C-5693-4245-945B-3DB7BC3ED657}"/>
    <hyperlink ref="F47" r:id="rId21" xr:uid="{9500810D-A6D6-48D4-9F07-31D6DC944155}"/>
    <hyperlink ref="F49" r:id="rId22" xr:uid="{35E07D75-639C-40A4-B890-C6CE1F089EB4}"/>
    <hyperlink ref="F50" r:id="rId23" xr:uid="{879DCF6B-B40D-4200-8481-F71BCEDA26B3}"/>
    <hyperlink ref="F52" r:id="rId24" xr:uid="{A9479D0F-07F1-4116-A21C-C21FD542C2AA}"/>
    <hyperlink ref="F53" r:id="rId25" xr:uid="{3C5DC97D-CF6D-4079-820C-032598121392}"/>
    <hyperlink ref="F51" r:id="rId26" xr:uid="{AFD59EE9-4171-4BC5-8BB1-BED775ACC551}"/>
    <hyperlink ref="F38" r:id="rId27" xr:uid="{CFC9A684-870D-4D1C-B938-C690FA144AA8}"/>
    <hyperlink ref="F56" r:id="rId28" xr:uid="{5279AFB3-CD52-4E8C-AC58-C3FD678CF630}"/>
    <hyperlink ref="F58" r:id="rId29" xr:uid="{EC5965CC-9C1D-4376-B1FB-461FDC4982D8}"/>
    <hyperlink ref="F59" r:id="rId30" xr:uid="{1E97EB7F-A0F9-425C-9868-39BDE25F098F}"/>
    <hyperlink ref="F60" r:id="rId31" xr:uid="{97A3E5D1-CC8A-465D-BAD2-D03C44FF427B}"/>
    <hyperlink ref="F61" r:id="rId32" xr:uid="{71B56A62-FEF4-494E-B6E6-B48669C87523}"/>
    <hyperlink ref="F31" r:id="rId33" xr:uid="{33BD17D4-5547-42D7-B34B-C7597C75FCF7}"/>
    <hyperlink ref="F8" r:id="rId34" xr:uid="{A863B682-908E-405E-857F-5B1BC126F6F9}"/>
    <hyperlink ref="F40" r:id="rId35" xr:uid="{0B0F6595-541D-4E4B-BC7E-B1618E8AF39B}"/>
    <hyperlink ref="F17" r:id="rId36" xr:uid="{FDA1FD67-027F-4F69-9DCA-A401721C3C91}"/>
    <hyperlink ref="F45" r:id="rId37" xr:uid="{C6F6EE16-426F-4BAC-8123-D19E6D45C6BF}"/>
    <hyperlink ref="F44" r:id="rId38" xr:uid="{50FFA8BF-C7F7-4F59-A9AC-D10327849EE8}"/>
    <hyperlink ref="F43" r:id="rId39" xr:uid="{26A6931D-F6A7-4D77-BBC2-1ABA1736EB0D}"/>
    <hyperlink ref="F42" r:id="rId40" xr:uid="{F34E472F-0B33-478C-884E-4B34969EA365}"/>
    <hyperlink ref="F36" r:id="rId41" xr:uid="{F3761A55-9719-4507-94A9-360037CCAA93}"/>
  </hyperlinks>
  <pageMargins left="0.22" right="0.21" top="0.43" bottom="0.38" header="0.3" footer="0.3"/>
  <pageSetup paperSize="9" scale="55" orientation="landscape" r:id="rId42"/>
  <tableParts count="2">
    <tablePart r:id="rId43"/>
    <tablePart r:id="rId4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3EBAD-4D26-4C21-8CAF-A84E878DA355}">
  <sheetPr>
    <tabColor rgb="FF7030A0"/>
    <pageSetUpPr fitToPage="1"/>
  </sheetPr>
  <dimension ref="A1:F242"/>
  <sheetViews>
    <sheetView showGridLines="0" zoomScaleNormal="100" workbookViewId="0">
      <pane xSplit="2" ySplit="5" topLeftCell="C6" activePane="bottomRight" state="frozen"/>
      <selection pane="topRight" activeCell="C1" sqref="C1"/>
      <selection pane="bottomLeft" activeCell="A6" sqref="A6"/>
      <selection pane="bottomRight" sqref="A1:F1"/>
    </sheetView>
  </sheetViews>
  <sheetFormatPr baseColWidth="10" defaultRowHeight="13.5" x14ac:dyDescent="0.25"/>
  <cols>
    <col min="1" max="1" width="68.28515625" style="47" bestFit="1" customWidth="1"/>
    <col min="2" max="2" width="8" style="87" bestFit="1" customWidth="1"/>
    <col min="3" max="6" width="74.42578125" style="47" customWidth="1"/>
    <col min="7" max="7" width="34" style="47" customWidth="1"/>
    <col min="8" max="16384" width="11.42578125" style="47"/>
  </cols>
  <sheetData>
    <row r="1" spans="1:6" ht="21" thickBot="1" x14ac:dyDescent="0.35">
      <c r="A1" s="992" t="s">
        <v>626</v>
      </c>
      <c r="B1" s="993"/>
      <c r="C1" s="993"/>
      <c r="D1" s="993"/>
      <c r="E1" s="993"/>
      <c r="F1" s="994"/>
    </row>
    <row r="2" spans="1:6" ht="15" customHeight="1" x14ac:dyDescent="0.3">
      <c r="A2" s="635" t="s">
        <v>627</v>
      </c>
      <c r="B2" s="635" t="s">
        <v>627</v>
      </c>
      <c r="C2" s="635"/>
      <c r="D2" s="635"/>
      <c r="E2" s="711" t="s">
        <v>943</v>
      </c>
      <c r="F2" s="820"/>
    </row>
    <row r="3" spans="1:6" ht="15" customHeight="1" x14ac:dyDescent="0.3">
      <c r="A3" s="842" t="s">
        <v>1056</v>
      </c>
      <c r="B3" s="49"/>
      <c r="C3" s="49"/>
      <c r="D3" s="49"/>
      <c r="E3" s="711"/>
      <c r="F3" s="852" t="s">
        <v>1081</v>
      </c>
    </row>
    <row r="4" spans="1:6" s="770" customFormat="1" ht="20.25" x14ac:dyDescent="0.3">
      <c r="A4" s="1001" t="s">
        <v>628</v>
      </c>
      <c r="B4" s="1001" t="s">
        <v>629</v>
      </c>
      <c r="C4" s="1002" t="s">
        <v>630</v>
      </c>
      <c r="D4" s="1003"/>
      <c r="E4" s="1004"/>
      <c r="F4" s="1005" t="s">
        <v>634</v>
      </c>
    </row>
    <row r="5" spans="1:6" s="770" customFormat="1" ht="20.25" x14ac:dyDescent="0.3">
      <c r="A5" s="1001"/>
      <c r="B5" s="1001"/>
      <c r="C5" s="790" t="s">
        <v>631</v>
      </c>
      <c r="D5" s="791" t="s">
        <v>632</v>
      </c>
      <c r="E5" s="792" t="s">
        <v>633</v>
      </c>
      <c r="F5" s="1005"/>
    </row>
    <row r="6" spans="1:6" ht="15" x14ac:dyDescent="0.3">
      <c r="A6" s="712" t="s">
        <v>635</v>
      </c>
      <c r="B6" s="713"/>
      <c r="C6" s="712"/>
      <c r="D6" s="714"/>
      <c r="E6" s="715"/>
      <c r="F6" s="716"/>
    </row>
    <row r="7" spans="1:6" ht="15" customHeight="1" x14ac:dyDescent="0.3">
      <c r="A7" s="717" t="s">
        <v>636</v>
      </c>
      <c r="B7" s="718" t="s">
        <v>3</v>
      </c>
      <c r="C7" s="717" t="s">
        <v>637</v>
      </c>
      <c r="D7" s="717" t="s">
        <v>638</v>
      </c>
      <c r="E7" s="719" t="s">
        <v>638</v>
      </c>
      <c r="F7" s="720" t="s">
        <v>639</v>
      </c>
    </row>
    <row r="8" spans="1:6" ht="15" customHeight="1" x14ac:dyDescent="0.3">
      <c r="A8" s="717" t="s">
        <v>640</v>
      </c>
      <c r="B8" s="718" t="s">
        <v>3</v>
      </c>
      <c r="C8" s="717" t="s">
        <v>641</v>
      </c>
      <c r="D8" s="717" t="s">
        <v>641</v>
      </c>
      <c r="E8" s="719" t="s">
        <v>641</v>
      </c>
      <c r="F8" s="720" t="s">
        <v>639</v>
      </c>
    </row>
    <row r="9" spans="1:6" ht="15" customHeight="1" x14ac:dyDescent="0.25">
      <c r="A9" s="733" t="s">
        <v>642</v>
      </c>
      <c r="B9" s="762" t="s">
        <v>3</v>
      </c>
      <c r="C9" s="733" t="s">
        <v>643</v>
      </c>
      <c r="D9" s="733" t="s">
        <v>644</v>
      </c>
      <c r="E9" s="738" t="s">
        <v>644</v>
      </c>
      <c r="F9" s="737" t="s">
        <v>689</v>
      </c>
    </row>
    <row r="10" spans="1:6" ht="15" customHeight="1" x14ac:dyDescent="0.3">
      <c r="A10" s="733" t="s">
        <v>645</v>
      </c>
      <c r="B10" s="762" t="s">
        <v>3</v>
      </c>
      <c r="C10" s="735" t="s">
        <v>646</v>
      </c>
      <c r="D10" s="735" t="s">
        <v>646</v>
      </c>
      <c r="E10" s="738" t="s">
        <v>647</v>
      </c>
      <c r="F10" s="737" t="s">
        <v>689</v>
      </c>
    </row>
    <row r="11" spans="1:6" ht="15" customHeight="1" x14ac:dyDescent="0.3">
      <c r="A11" s="733" t="s">
        <v>648</v>
      </c>
      <c r="B11" s="762" t="s">
        <v>3</v>
      </c>
      <c r="C11" s="735" t="s">
        <v>646</v>
      </c>
      <c r="D11" s="735" t="s">
        <v>646</v>
      </c>
      <c r="E11" s="738" t="s">
        <v>649</v>
      </c>
      <c r="F11" s="737" t="s">
        <v>690</v>
      </c>
    </row>
    <row r="12" spans="1:6" ht="15" customHeight="1" thickBot="1" x14ac:dyDescent="0.3">
      <c r="A12" s="781" t="s">
        <v>650</v>
      </c>
      <c r="B12" s="782" t="s">
        <v>3</v>
      </c>
      <c r="C12" s="781" t="s">
        <v>651</v>
      </c>
      <c r="D12" s="781" t="s">
        <v>651</v>
      </c>
      <c r="E12" s="783" t="s">
        <v>651</v>
      </c>
      <c r="F12" s="784" t="s">
        <v>691</v>
      </c>
    </row>
    <row r="13" spans="1:6" x14ac:dyDescent="0.25">
      <c r="A13" s="773"/>
      <c r="B13" s="777"/>
      <c r="C13" s="773"/>
      <c r="D13" s="773"/>
      <c r="E13" s="773"/>
      <c r="F13" s="773"/>
    </row>
    <row r="14" spans="1:6" ht="15" x14ac:dyDescent="0.3">
      <c r="A14" s="712" t="s">
        <v>652</v>
      </c>
      <c r="B14" s="713"/>
      <c r="C14" s="724"/>
      <c r="D14" s="724"/>
      <c r="E14" s="725"/>
      <c r="F14" s="726"/>
    </row>
    <row r="15" spans="1:6" ht="15" x14ac:dyDescent="0.3">
      <c r="A15" s="727" t="s">
        <v>653</v>
      </c>
      <c r="B15" s="728"/>
      <c r="C15" s="729"/>
      <c r="D15" s="729"/>
      <c r="E15" s="730"/>
      <c r="F15" s="731"/>
    </row>
    <row r="16" spans="1:6" ht="15" x14ac:dyDescent="0.3">
      <c r="A16" s="717" t="s">
        <v>654</v>
      </c>
      <c r="B16" s="723">
        <v>1</v>
      </c>
      <c r="C16" s="722" t="s">
        <v>646</v>
      </c>
      <c r="D16" s="722" t="s">
        <v>646</v>
      </c>
      <c r="E16" s="719" t="s">
        <v>654</v>
      </c>
      <c r="F16" s="720" t="s">
        <v>639</v>
      </c>
    </row>
    <row r="17" spans="1:6" ht="15" x14ac:dyDescent="0.3">
      <c r="A17" s="733" t="s">
        <v>918</v>
      </c>
      <c r="B17" s="734">
        <v>1</v>
      </c>
      <c r="C17" s="735" t="s">
        <v>646</v>
      </c>
      <c r="D17" s="735" t="s">
        <v>646</v>
      </c>
      <c r="E17" s="736" t="s">
        <v>646</v>
      </c>
      <c r="F17" s="737" t="s">
        <v>655</v>
      </c>
    </row>
    <row r="18" spans="1:6" ht="6" customHeight="1" x14ac:dyDescent="0.25">
      <c r="A18" s="771"/>
      <c r="B18" s="772"/>
      <c r="C18" s="771"/>
      <c r="D18" s="771"/>
      <c r="E18" s="771"/>
      <c r="F18" s="771"/>
    </row>
    <row r="19" spans="1:6" ht="15" x14ac:dyDescent="0.3">
      <c r="A19" s="727" t="s">
        <v>657</v>
      </c>
      <c r="B19" s="728"/>
      <c r="C19" s="729"/>
      <c r="D19" s="729"/>
      <c r="E19" s="730"/>
      <c r="F19" s="731"/>
    </row>
    <row r="20" spans="1:6" ht="15" customHeight="1" x14ac:dyDescent="0.25">
      <c r="A20" s="733" t="s">
        <v>658</v>
      </c>
      <c r="B20" s="734">
        <v>1</v>
      </c>
      <c r="C20" s="733" t="s">
        <v>659</v>
      </c>
      <c r="D20" s="733" t="s">
        <v>660</v>
      </c>
      <c r="E20" s="738" t="s">
        <v>661</v>
      </c>
      <c r="F20" s="737" t="s">
        <v>656</v>
      </c>
    </row>
    <row r="21" spans="1:6" x14ac:dyDescent="0.25">
      <c r="A21" s="739" t="s">
        <v>662</v>
      </c>
      <c r="B21" s="740">
        <v>1</v>
      </c>
      <c r="C21" s="739" t="s">
        <v>646</v>
      </c>
      <c r="D21" s="739" t="s">
        <v>660</v>
      </c>
      <c r="E21" s="741" t="s">
        <v>660</v>
      </c>
      <c r="F21" s="742" t="s">
        <v>688</v>
      </c>
    </row>
    <row r="22" spans="1:6" ht="15" x14ac:dyDescent="0.3">
      <c r="A22" s="717" t="s">
        <v>663</v>
      </c>
      <c r="B22" s="723">
        <v>1</v>
      </c>
      <c r="C22" s="717" t="s">
        <v>664</v>
      </c>
      <c r="D22" s="717" t="s">
        <v>664</v>
      </c>
      <c r="E22" s="719" t="s">
        <v>664</v>
      </c>
      <c r="F22" s="743" t="s">
        <v>687</v>
      </c>
    </row>
    <row r="23" spans="1:6" ht="15" x14ac:dyDescent="0.3">
      <c r="A23" s="717" t="s">
        <v>665</v>
      </c>
      <c r="B23" s="723">
        <v>1</v>
      </c>
      <c r="C23" s="717" t="s">
        <v>666</v>
      </c>
      <c r="D23" s="717" t="s">
        <v>666</v>
      </c>
      <c r="E23" s="719" t="s">
        <v>666</v>
      </c>
      <c r="F23" s="743" t="s">
        <v>687</v>
      </c>
    </row>
    <row r="24" spans="1:6" x14ac:dyDescent="0.25">
      <c r="A24" s="733" t="s">
        <v>667</v>
      </c>
      <c r="B24" s="734">
        <v>1</v>
      </c>
      <c r="C24" s="733" t="s">
        <v>666</v>
      </c>
      <c r="D24" s="733" t="s">
        <v>666</v>
      </c>
      <c r="E24" s="738" t="s">
        <v>666</v>
      </c>
      <c r="F24" s="737" t="s">
        <v>656</v>
      </c>
    </row>
    <row r="25" spans="1:6" ht="15" x14ac:dyDescent="0.3">
      <c r="A25" s="717" t="s">
        <v>668</v>
      </c>
      <c r="B25" s="723">
        <v>1</v>
      </c>
      <c r="C25" s="717" t="s">
        <v>669</v>
      </c>
      <c r="D25" s="717" t="s">
        <v>669</v>
      </c>
      <c r="E25" s="719" t="s">
        <v>669</v>
      </c>
      <c r="F25" s="743" t="s">
        <v>687</v>
      </c>
    </row>
    <row r="26" spans="1:6" ht="15" x14ac:dyDescent="0.3">
      <c r="A26" s="717" t="s">
        <v>670</v>
      </c>
      <c r="B26" s="723">
        <v>1</v>
      </c>
      <c r="C26" s="717" t="s">
        <v>669</v>
      </c>
      <c r="D26" s="717" t="s">
        <v>669</v>
      </c>
      <c r="E26" s="719" t="s">
        <v>669</v>
      </c>
      <c r="F26" s="743" t="s">
        <v>687</v>
      </c>
    </row>
    <row r="27" spans="1:6" ht="15" x14ac:dyDescent="0.3">
      <c r="A27" s="717" t="s">
        <v>671</v>
      </c>
      <c r="B27" s="723">
        <v>1</v>
      </c>
      <c r="C27" s="717" t="s">
        <v>669</v>
      </c>
      <c r="D27" s="717" t="s">
        <v>669</v>
      </c>
      <c r="E27" s="719" t="s">
        <v>669</v>
      </c>
      <c r="F27" s="743" t="s">
        <v>687</v>
      </c>
    </row>
    <row r="28" spans="1:6" ht="15" x14ac:dyDescent="0.3">
      <c r="A28" s="717" t="s">
        <v>599</v>
      </c>
      <c r="B28" s="723">
        <v>1</v>
      </c>
      <c r="C28" s="717" t="s">
        <v>669</v>
      </c>
      <c r="D28" s="717" t="s">
        <v>669</v>
      </c>
      <c r="E28" s="719" t="s">
        <v>669</v>
      </c>
      <c r="F28" s="743" t="s">
        <v>687</v>
      </c>
    </row>
    <row r="29" spans="1:6" ht="15" x14ac:dyDescent="0.3">
      <c r="A29" s="717" t="s">
        <v>672</v>
      </c>
      <c r="B29" s="723">
        <v>1</v>
      </c>
      <c r="C29" s="717" t="s">
        <v>669</v>
      </c>
      <c r="D29" s="717" t="s">
        <v>669</v>
      </c>
      <c r="E29" s="719" t="s">
        <v>669</v>
      </c>
      <c r="F29" s="743" t="s">
        <v>687</v>
      </c>
    </row>
    <row r="30" spans="1:6" ht="15" x14ac:dyDescent="0.3">
      <c r="A30" s="717" t="s">
        <v>673</v>
      </c>
      <c r="B30" s="723">
        <v>1</v>
      </c>
      <c r="C30" s="717" t="s">
        <v>669</v>
      </c>
      <c r="D30" s="717" t="s">
        <v>669</v>
      </c>
      <c r="E30" s="719" t="s">
        <v>669</v>
      </c>
      <c r="F30" s="743" t="s">
        <v>687</v>
      </c>
    </row>
    <row r="31" spans="1:6" ht="15" x14ac:dyDescent="0.3">
      <c r="A31" s="717" t="s">
        <v>674</v>
      </c>
      <c r="B31" s="723">
        <v>1</v>
      </c>
      <c r="C31" s="722" t="s">
        <v>646</v>
      </c>
      <c r="D31" s="717" t="s">
        <v>675</v>
      </c>
      <c r="E31" s="719" t="s">
        <v>675</v>
      </c>
      <c r="F31" s="743" t="s">
        <v>687</v>
      </c>
    </row>
    <row r="32" spans="1:6" ht="15" x14ac:dyDescent="0.3">
      <c r="A32" s="717" t="s">
        <v>676</v>
      </c>
      <c r="B32" s="723">
        <v>1</v>
      </c>
      <c r="C32" s="722" t="s">
        <v>646</v>
      </c>
      <c r="D32" s="717" t="s">
        <v>677</v>
      </c>
      <c r="E32" s="719" t="s">
        <v>677</v>
      </c>
      <c r="F32" s="743" t="s">
        <v>687</v>
      </c>
    </row>
    <row r="33" spans="1:6" ht="15" x14ac:dyDescent="0.3">
      <c r="A33" s="717" t="s">
        <v>678</v>
      </c>
      <c r="B33" s="723">
        <v>2</v>
      </c>
      <c r="C33" s="722" t="s">
        <v>646</v>
      </c>
      <c r="D33" s="717" t="s">
        <v>679</v>
      </c>
      <c r="E33" s="719" t="s">
        <v>679</v>
      </c>
      <c r="F33" s="743" t="s">
        <v>687</v>
      </c>
    </row>
    <row r="34" spans="1:6" ht="15" x14ac:dyDescent="0.3">
      <c r="A34" s="717" t="s">
        <v>680</v>
      </c>
      <c r="B34" s="723">
        <v>1</v>
      </c>
      <c r="C34" s="722" t="s">
        <v>646</v>
      </c>
      <c r="D34" s="717" t="s">
        <v>681</v>
      </c>
      <c r="E34" s="719" t="s">
        <v>681</v>
      </c>
      <c r="F34" s="743" t="s">
        <v>687</v>
      </c>
    </row>
    <row r="35" spans="1:6" ht="15" x14ac:dyDescent="0.3">
      <c r="A35" s="733" t="s">
        <v>682</v>
      </c>
      <c r="B35" s="734">
        <v>4</v>
      </c>
      <c r="C35" s="735" t="s">
        <v>646</v>
      </c>
      <c r="D35" s="735" t="s">
        <v>646</v>
      </c>
      <c r="E35" s="738" t="s">
        <v>683</v>
      </c>
      <c r="F35" s="737" t="s">
        <v>656</v>
      </c>
    </row>
    <row r="36" spans="1:6" ht="15" x14ac:dyDescent="0.3">
      <c r="A36" s="733" t="s">
        <v>684</v>
      </c>
      <c r="B36" s="734">
        <v>1</v>
      </c>
      <c r="C36" s="735" t="s">
        <v>646</v>
      </c>
      <c r="D36" s="735" t="s">
        <v>646</v>
      </c>
      <c r="E36" s="738" t="s">
        <v>683</v>
      </c>
      <c r="F36" s="737" t="s">
        <v>656</v>
      </c>
    </row>
    <row r="37" spans="1:6" ht="15" x14ac:dyDescent="0.3">
      <c r="A37" s="739" t="s">
        <v>804</v>
      </c>
      <c r="B37" s="740">
        <v>1</v>
      </c>
      <c r="C37" s="744" t="s">
        <v>646</v>
      </c>
      <c r="D37" s="744" t="s">
        <v>646</v>
      </c>
      <c r="E37" s="745" t="s">
        <v>646</v>
      </c>
      <c r="F37" s="746" t="s">
        <v>685</v>
      </c>
    </row>
    <row r="38" spans="1:6" ht="15" x14ac:dyDescent="0.3">
      <c r="A38" s="739" t="s">
        <v>803</v>
      </c>
      <c r="B38" s="740">
        <v>1</v>
      </c>
      <c r="C38" s="744" t="s">
        <v>646</v>
      </c>
      <c r="D38" s="744" t="s">
        <v>646</v>
      </c>
      <c r="E38" s="745" t="s">
        <v>646</v>
      </c>
      <c r="F38" s="746" t="s">
        <v>686</v>
      </c>
    </row>
    <row r="39" spans="1:6" ht="6" customHeight="1" x14ac:dyDescent="0.25">
      <c r="A39" s="771"/>
      <c r="B39" s="772"/>
      <c r="C39" s="771"/>
      <c r="D39" s="771"/>
      <c r="E39" s="771"/>
      <c r="F39" s="771"/>
    </row>
    <row r="40" spans="1:6" ht="15" x14ac:dyDescent="0.3">
      <c r="A40" s="727" t="s">
        <v>837</v>
      </c>
      <c r="B40" s="728"/>
      <c r="C40" s="729"/>
      <c r="D40" s="729"/>
      <c r="E40" s="730"/>
      <c r="F40" s="731"/>
    </row>
    <row r="41" spans="1:6" ht="15" customHeight="1" x14ac:dyDescent="0.25">
      <c r="A41" s="733" t="s">
        <v>838</v>
      </c>
      <c r="B41" s="734">
        <v>3</v>
      </c>
      <c r="C41" s="733" t="s">
        <v>659</v>
      </c>
      <c r="D41" s="733" t="s">
        <v>660</v>
      </c>
      <c r="E41" s="738" t="s">
        <v>839</v>
      </c>
      <c r="F41" s="737" t="s">
        <v>656</v>
      </c>
    </row>
    <row r="42" spans="1:6" ht="15" customHeight="1" x14ac:dyDescent="0.25">
      <c r="A42" s="747" t="s">
        <v>840</v>
      </c>
      <c r="B42" s="748">
        <v>3</v>
      </c>
      <c r="C42" s="733" t="s">
        <v>664</v>
      </c>
      <c r="D42" s="733" t="s">
        <v>664</v>
      </c>
      <c r="E42" s="738" t="s">
        <v>841</v>
      </c>
      <c r="F42" s="737" t="s">
        <v>656</v>
      </c>
    </row>
    <row r="43" spans="1:6" ht="15" customHeight="1" x14ac:dyDescent="0.25">
      <c r="A43" s="733" t="s">
        <v>842</v>
      </c>
      <c r="B43" s="734">
        <v>3</v>
      </c>
      <c r="C43" s="733" t="s">
        <v>666</v>
      </c>
      <c r="D43" s="733" t="s">
        <v>666</v>
      </c>
      <c r="E43" s="738" t="s">
        <v>843</v>
      </c>
      <c r="F43" s="737" t="s">
        <v>656</v>
      </c>
    </row>
    <row r="44" spans="1:6" ht="15" customHeight="1" x14ac:dyDescent="0.3">
      <c r="A44" s="717" t="s">
        <v>844</v>
      </c>
      <c r="B44" s="723">
        <v>4</v>
      </c>
      <c r="C44" s="717" t="s">
        <v>845</v>
      </c>
      <c r="D44" s="717" t="s">
        <v>845</v>
      </c>
      <c r="E44" s="719" t="s">
        <v>845</v>
      </c>
      <c r="F44" s="743" t="s">
        <v>687</v>
      </c>
    </row>
    <row r="45" spans="1:6" ht="15" customHeight="1" x14ac:dyDescent="0.3">
      <c r="A45" s="717" t="s">
        <v>846</v>
      </c>
      <c r="B45" s="723">
        <v>4</v>
      </c>
      <c r="C45" s="722" t="s">
        <v>646</v>
      </c>
      <c r="D45" s="722" t="s">
        <v>646</v>
      </c>
      <c r="E45" s="719" t="s">
        <v>683</v>
      </c>
      <c r="F45" s="743" t="s">
        <v>687</v>
      </c>
    </row>
    <row r="46" spans="1:6" ht="15" customHeight="1" x14ac:dyDescent="0.3">
      <c r="A46" s="717" t="s">
        <v>847</v>
      </c>
      <c r="B46" s="723">
        <v>3</v>
      </c>
      <c r="C46" s="722" t="s">
        <v>646</v>
      </c>
      <c r="D46" s="722" t="s">
        <v>646</v>
      </c>
      <c r="E46" s="719" t="s">
        <v>683</v>
      </c>
      <c r="F46" s="743" t="s">
        <v>687</v>
      </c>
    </row>
    <row r="47" spans="1:6" ht="6" customHeight="1" x14ac:dyDescent="0.25">
      <c r="A47" s="771"/>
      <c r="B47" s="772"/>
      <c r="C47" s="771"/>
      <c r="D47" s="771"/>
      <c r="E47" s="771"/>
      <c r="F47" s="771"/>
    </row>
    <row r="48" spans="1:6" ht="15" x14ac:dyDescent="0.3">
      <c r="A48" s="727" t="s">
        <v>864</v>
      </c>
      <c r="B48" s="728"/>
      <c r="C48" s="729"/>
      <c r="D48" s="729"/>
      <c r="E48" s="730"/>
      <c r="F48" s="731"/>
    </row>
    <row r="49" spans="1:6" ht="15" x14ac:dyDescent="0.3">
      <c r="A49" s="717" t="s">
        <v>850</v>
      </c>
      <c r="B49" s="723">
        <v>1</v>
      </c>
      <c r="C49" s="717" t="s">
        <v>851</v>
      </c>
      <c r="D49" s="717" t="s">
        <v>851</v>
      </c>
      <c r="E49" s="719" t="s">
        <v>851</v>
      </c>
      <c r="F49" s="743" t="s">
        <v>687</v>
      </c>
    </row>
    <row r="50" spans="1:6" ht="15" x14ac:dyDescent="0.3">
      <c r="A50" s="717" t="s">
        <v>852</v>
      </c>
      <c r="B50" s="723">
        <v>1</v>
      </c>
      <c r="C50" s="722" t="s">
        <v>646</v>
      </c>
      <c r="D50" s="722" t="s">
        <v>646</v>
      </c>
      <c r="E50" s="719" t="s">
        <v>853</v>
      </c>
      <c r="F50" s="743" t="s">
        <v>687</v>
      </c>
    </row>
    <row r="51" spans="1:6" ht="15" x14ac:dyDescent="0.3">
      <c r="A51" s="717" t="s">
        <v>854</v>
      </c>
      <c r="B51" s="723">
        <v>1</v>
      </c>
      <c r="C51" s="722" t="s">
        <v>646</v>
      </c>
      <c r="D51" s="717" t="s">
        <v>855</v>
      </c>
      <c r="E51" s="719" t="s">
        <v>855</v>
      </c>
      <c r="F51" s="743" t="s">
        <v>687</v>
      </c>
    </row>
    <row r="52" spans="1:6" ht="15" x14ac:dyDescent="0.3">
      <c r="A52" s="733" t="s">
        <v>856</v>
      </c>
      <c r="B52" s="734">
        <v>1</v>
      </c>
      <c r="C52" s="735" t="s">
        <v>646</v>
      </c>
      <c r="D52" s="735" t="s">
        <v>646</v>
      </c>
      <c r="E52" s="736" t="s">
        <v>646</v>
      </c>
      <c r="F52" s="737" t="s">
        <v>655</v>
      </c>
    </row>
    <row r="53" spans="1:6" ht="6" customHeight="1" x14ac:dyDescent="0.25">
      <c r="A53" s="771"/>
      <c r="B53" s="772"/>
      <c r="C53" s="771"/>
      <c r="D53" s="771"/>
      <c r="E53" s="771"/>
      <c r="F53" s="771"/>
    </row>
    <row r="54" spans="1:6" ht="15" x14ac:dyDescent="0.3">
      <c r="A54" s="727" t="s">
        <v>865</v>
      </c>
      <c r="B54" s="728"/>
      <c r="C54" s="729"/>
      <c r="D54" s="729"/>
      <c r="E54" s="730"/>
      <c r="F54" s="731"/>
    </row>
    <row r="55" spans="1:6" ht="15" x14ac:dyDescent="0.3">
      <c r="A55" s="733" t="s">
        <v>857</v>
      </c>
      <c r="B55" s="734">
        <v>4</v>
      </c>
      <c r="C55" s="735" t="s">
        <v>646</v>
      </c>
      <c r="D55" s="735" t="s">
        <v>646</v>
      </c>
      <c r="E55" s="736" t="s">
        <v>646</v>
      </c>
      <c r="F55" s="737" t="s">
        <v>656</v>
      </c>
    </row>
    <row r="56" spans="1:6" ht="15" x14ac:dyDescent="0.3">
      <c r="A56" s="733" t="s">
        <v>858</v>
      </c>
      <c r="B56" s="734">
        <v>8</v>
      </c>
      <c r="C56" s="735" t="s">
        <v>646</v>
      </c>
      <c r="D56" s="735" t="s">
        <v>646</v>
      </c>
      <c r="E56" s="736" t="s">
        <v>646</v>
      </c>
      <c r="F56" s="737" t="s">
        <v>656</v>
      </c>
    </row>
    <row r="57" spans="1:6" ht="15" x14ac:dyDescent="0.3">
      <c r="A57" s="749" t="s">
        <v>859</v>
      </c>
      <c r="B57" s="750" t="s">
        <v>425</v>
      </c>
      <c r="C57" s="722" t="s">
        <v>646</v>
      </c>
      <c r="D57" s="722" t="s">
        <v>646</v>
      </c>
      <c r="E57" s="732" t="s">
        <v>646</v>
      </c>
      <c r="F57" s="751" t="s">
        <v>860</v>
      </c>
    </row>
    <row r="58" spans="1:6" ht="6" customHeight="1" x14ac:dyDescent="0.25">
      <c r="A58" s="771"/>
      <c r="B58" s="772"/>
      <c r="C58" s="771"/>
      <c r="D58" s="771"/>
      <c r="E58" s="771"/>
      <c r="F58" s="771"/>
    </row>
    <row r="59" spans="1:6" ht="15" x14ac:dyDescent="0.3">
      <c r="A59" s="727" t="s">
        <v>866</v>
      </c>
      <c r="B59" s="728"/>
      <c r="C59" s="729"/>
      <c r="D59" s="729"/>
      <c r="E59" s="730"/>
      <c r="F59" s="731"/>
    </row>
    <row r="60" spans="1:6" ht="15" x14ac:dyDescent="0.3">
      <c r="A60" s="752" t="s">
        <v>931</v>
      </c>
      <c r="B60" s="753" t="s">
        <v>431</v>
      </c>
      <c r="C60" s="754" t="s">
        <v>646</v>
      </c>
      <c r="D60" s="752" t="s">
        <v>861</v>
      </c>
      <c r="E60" s="755" t="s">
        <v>861</v>
      </c>
      <c r="F60" s="756" t="s">
        <v>1100</v>
      </c>
    </row>
    <row r="61" spans="1:6" ht="15" x14ac:dyDescent="0.3">
      <c r="A61" s="752" t="s">
        <v>862</v>
      </c>
      <c r="B61" s="753" t="s">
        <v>431</v>
      </c>
      <c r="C61" s="754" t="s">
        <v>646</v>
      </c>
      <c r="D61" s="752" t="s">
        <v>863</v>
      </c>
      <c r="E61" s="755" t="s">
        <v>863</v>
      </c>
      <c r="F61" s="756" t="s">
        <v>1100</v>
      </c>
    </row>
    <row r="62" spans="1:6" ht="6" customHeight="1" x14ac:dyDescent="0.25">
      <c r="A62" s="771"/>
      <c r="B62" s="772"/>
      <c r="C62" s="771"/>
      <c r="D62" s="771"/>
      <c r="E62" s="771"/>
      <c r="F62" s="771"/>
    </row>
    <row r="63" spans="1:6" ht="15" x14ac:dyDescent="0.3">
      <c r="A63" s="727" t="s">
        <v>867</v>
      </c>
      <c r="B63" s="728"/>
      <c r="C63" s="729"/>
      <c r="D63" s="729"/>
      <c r="E63" s="730"/>
      <c r="F63" s="731"/>
    </row>
    <row r="64" spans="1:6" ht="15" x14ac:dyDescent="0.3">
      <c r="A64" s="717" t="s">
        <v>868</v>
      </c>
      <c r="B64" s="718">
        <v>1</v>
      </c>
      <c r="C64" s="722" t="s">
        <v>646</v>
      </c>
      <c r="D64" s="722" t="s">
        <v>646</v>
      </c>
      <c r="E64" s="719" t="s">
        <v>869</v>
      </c>
      <c r="F64" s="743" t="s">
        <v>687</v>
      </c>
    </row>
    <row r="65" spans="1:6" ht="15" x14ac:dyDescent="0.3">
      <c r="A65" s="757" t="s">
        <v>870</v>
      </c>
      <c r="B65" s="758">
        <v>1</v>
      </c>
      <c r="C65" s="759" t="s">
        <v>646</v>
      </c>
      <c r="D65" s="759" t="s">
        <v>646</v>
      </c>
      <c r="E65" s="760" t="s">
        <v>646</v>
      </c>
      <c r="F65" s="761" t="s">
        <v>871</v>
      </c>
    </row>
    <row r="66" spans="1:6" ht="15.75" thickBot="1" x14ac:dyDescent="0.35">
      <c r="A66" s="785" t="s">
        <v>600</v>
      </c>
      <c r="B66" s="786">
        <v>1</v>
      </c>
      <c r="C66" s="787" t="s">
        <v>646</v>
      </c>
      <c r="D66" s="787" t="s">
        <v>646</v>
      </c>
      <c r="E66" s="788" t="s">
        <v>646</v>
      </c>
      <c r="F66" s="789" t="s">
        <v>872</v>
      </c>
    </row>
    <row r="67" spans="1:6" x14ac:dyDescent="0.25">
      <c r="A67" s="773"/>
      <c r="B67" s="777"/>
      <c r="C67" s="773"/>
      <c r="D67" s="773"/>
      <c r="E67" s="773"/>
      <c r="F67" s="773"/>
    </row>
    <row r="68" spans="1:6" ht="15" x14ac:dyDescent="0.3">
      <c r="A68" s="712" t="s">
        <v>873</v>
      </c>
      <c r="B68" s="713"/>
      <c r="C68" s="724"/>
      <c r="D68" s="724"/>
      <c r="E68" s="725"/>
      <c r="F68" s="726"/>
    </row>
    <row r="69" spans="1:6" ht="15" x14ac:dyDescent="0.3">
      <c r="A69" s="727" t="s">
        <v>874</v>
      </c>
      <c r="B69" s="728"/>
      <c r="C69" s="729"/>
      <c r="D69" s="729"/>
      <c r="E69" s="730"/>
      <c r="F69" s="731"/>
    </row>
    <row r="70" spans="1:6" ht="15" x14ac:dyDescent="0.3">
      <c r="A70" s="717" t="s">
        <v>922</v>
      </c>
      <c r="B70" s="718"/>
      <c r="C70" s="717" t="s">
        <v>875</v>
      </c>
      <c r="D70" s="717" t="s">
        <v>876</v>
      </c>
      <c r="E70" s="719" t="s">
        <v>877</v>
      </c>
      <c r="F70" s="743" t="s">
        <v>687</v>
      </c>
    </row>
    <row r="71" spans="1:6" ht="15" x14ac:dyDescent="0.3">
      <c r="A71" s="733" t="s">
        <v>923</v>
      </c>
      <c r="B71" s="762"/>
      <c r="C71" s="735" t="s">
        <v>646</v>
      </c>
      <c r="D71" s="735" t="s">
        <v>646</v>
      </c>
      <c r="E71" s="736" t="s">
        <v>646</v>
      </c>
      <c r="F71" s="737" t="s">
        <v>848</v>
      </c>
    </row>
    <row r="72" spans="1:6" ht="15" x14ac:dyDescent="0.3">
      <c r="A72" s="717" t="s">
        <v>878</v>
      </c>
      <c r="B72" s="718"/>
      <c r="C72" s="717" t="s">
        <v>875</v>
      </c>
      <c r="D72" s="717" t="s">
        <v>876</v>
      </c>
      <c r="E72" s="719" t="s">
        <v>877</v>
      </c>
      <c r="F72" s="743" t="s">
        <v>687</v>
      </c>
    </row>
    <row r="73" spans="1:6" ht="15" x14ac:dyDescent="0.3">
      <c r="A73" s="733" t="s">
        <v>919</v>
      </c>
      <c r="B73" s="762"/>
      <c r="C73" s="735" t="s">
        <v>646</v>
      </c>
      <c r="D73" s="735" t="s">
        <v>646</v>
      </c>
      <c r="E73" s="736" t="s">
        <v>646</v>
      </c>
      <c r="F73" s="737" t="s">
        <v>848</v>
      </c>
    </row>
    <row r="74" spans="1:6" ht="15" x14ac:dyDescent="0.3">
      <c r="A74" s="717" t="s">
        <v>924</v>
      </c>
      <c r="B74" s="718"/>
      <c r="C74" s="717" t="s">
        <v>875</v>
      </c>
      <c r="D74" s="717" t="s">
        <v>876</v>
      </c>
      <c r="E74" s="719" t="s">
        <v>877</v>
      </c>
      <c r="F74" s="743" t="s">
        <v>687</v>
      </c>
    </row>
    <row r="75" spans="1:6" ht="15" x14ac:dyDescent="0.3">
      <c r="A75" s="733" t="s">
        <v>925</v>
      </c>
      <c r="B75" s="762"/>
      <c r="C75" s="735" t="s">
        <v>646</v>
      </c>
      <c r="D75" s="735" t="s">
        <v>646</v>
      </c>
      <c r="E75" s="736" t="s">
        <v>646</v>
      </c>
      <c r="F75" s="737" t="s">
        <v>848</v>
      </c>
    </row>
    <row r="76" spans="1:6" ht="15" x14ac:dyDescent="0.3">
      <c r="A76" s="717" t="s">
        <v>920</v>
      </c>
      <c r="B76" s="718"/>
      <c r="C76" s="717" t="s">
        <v>875</v>
      </c>
      <c r="D76" s="717" t="s">
        <v>876</v>
      </c>
      <c r="E76" s="719" t="s">
        <v>877</v>
      </c>
      <c r="F76" s="743" t="s">
        <v>687</v>
      </c>
    </row>
    <row r="77" spans="1:6" ht="15" x14ac:dyDescent="0.3">
      <c r="A77" s="733" t="s">
        <v>921</v>
      </c>
      <c r="B77" s="762"/>
      <c r="C77" s="735" t="s">
        <v>646</v>
      </c>
      <c r="D77" s="735" t="s">
        <v>646</v>
      </c>
      <c r="E77" s="736" t="s">
        <v>646</v>
      </c>
      <c r="F77" s="737" t="s">
        <v>848</v>
      </c>
    </row>
    <row r="78" spans="1:6" ht="15" x14ac:dyDescent="0.3">
      <c r="A78" s="717" t="s">
        <v>879</v>
      </c>
      <c r="B78" s="718"/>
      <c r="C78" s="717" t="s">
        <v>875</v>
      </c>
      <c r="D78" s="717" t="s">
        <v>876</v>
      </c>
      <c r="E78" s="719" t="s">
        <v>877</v>
      </c>
      <c r="F78" s="743" t="s">
        <v>687</v>
      </c>
    </row>
    <row r="79" spans="1:6" ht="15" x14ac:dyDescent="0.3">
      <c r="A79" s="733" t="s">
        <v>880</v>
      </c>
      <c r="B79" s="762"/>
      <c r="C79" s="735" t="s">
        <v>646</v>
      </c>
      <c r="D79" s="735" t="s">
        <v>646</v>
      </c>
      <c r="E79" s="736" t="s">
        <v>646</v>
      </c>
      <c r="F79" s="737" t="s">
        <v>848</v>
      </c>
    </row>
    <row r="80" spans="1:6" ht="15" x14ac:dyDescent="0.3">
      <c r="A80" s="717" t="s">
        <v>926</v>
      </c>
      <c r="B80" s="718"/>
      <c r="C80" s="717" t="s">
        <v>875</v>
      </c>
      <c r="D80" s="717" t="s">
        <v>876</v>
      </c>
      <c r="E80" s="719" t="s">
        <v>877</v>
      </c>
      <c r="F80" s="743" t="s">
        <v>687</v>
      </c>
    </row>
    <row r="81" spans="1:6" ht="15" x14ac:dyDescent="0.3">
      <c r="A81" s="733" t="s">
        <v>927</v>
      </c>
      <c r="B81" s="762"/>
      <c r="C81" s="735" t="s">
        <v>646</v>
      </c>
      <c r="D81" s="735" t="s">
        <v>646</v>
      </c>
      <c r="E81" s="736" t="s">
        <v>646</v>
      </c>
      <c r="F81" s="737" t="s">
        <v>848</v>
      </c>
    </row>
    <row r="82" spans="1:6" ht="6" customHeight="1" x14ac:dyDescent="0.25">
      <c r="A82" s="771"/>
      <c r="B82" s="772"/>
      <c r="C82" s="771"/>
      <c r="D82" s="771"/>
      <c r="E82" s="771"/>
      <c r="F82" s="771"/>
    </row>
    <row r="83" spans="1:6" ht="15" x14ac:dyDescent="0.3">
      <c r="A83" s="727" t="s">
        <v>881</v>
      </c>
      <c r="B83" s="728"/>
      <c r="C83" s="729"/>
      <c r="D83" s="729"/>
      <c r="E83" s="730"/>
      <c r="F83" s="731"/>
    </row>
    <row r="84" spans="1:6" ht="15" x14ac:dyDescent="0.3">
      <c r="A84" s="717" t="s">
        <v>882</v>
      </c>
      <c r="B84" s="723"/>
      <c r="C84" s="717" t="s">
        <v>883</v>
      </c>
      <c r="D84" s="717" t="s">
        <v>883</v>
      </c>
      <c r="E84" s="719" t="s">
        <v>884</v>
      </c>
      <c r="F84" s="743" t="s">
        <v>687</v>
      </c>
    </row>
    <row r="85" spans="1:6" ht="15" x14ac:dyDescent="0.3">
      <c r="A85" s="717" t="s">
        <v>885</v>
      </c>
      <c r="B85" s="723"/>
      <c r="C85" s="717" t="s">
        <v>886</v>
      </c>
      <c r="D85" s="717" t="s">
        <v>886</v>
      </c>
      <c r="E85" s="719" t="s">
        <v>886</v>
      </c>
      <c r="F85" s="743" t="s">
        <v>687</v>
      </c>
    </row>
    <row r="86" spans="1:6" ht="15" x14ac:dyDescent="0.3">
      <c r="A86" s="717" t="s">
        <v>887</v>
      </c>
      <c r="B86" s="723"/>
      <c r="C86" s="717" t="s">
        <v>888</v>
      </c>
      <c r="D86" s="717" t="s">
        <v>888</v>
      </c>
      <c r="E86" s="719" t="s">
        <v>889</v>
      </c>
      <c r="F86" s="743" t="s">
        <v>687</v>
      </c>
    </row>
    <row r="87" spans="1:6" ht="15" x14ac:dyDescent="0.3">
      <c r="A87" s="717" t="s">
        <v>890</v>
      </c>
      <c r="B87" s="723"/>
      <c r="C87" s="717" t="s">
        <v>888</v>
      </c>
      <c r="D87" s="717" t="s">
        <v>888</v>
      </c>
      <c r="E87" s="719" t="s">
        <v>889</v>
      </c>
      <c r="F87" s="743" t="s">
        <v>687</v>
      </c>
    </row>
    <row r="88" spans="1:6" ht="15" x14ac:dyDescent="0.3">
      <c r="A88" s="717" t="s">
        <v>891</v>
      </c>
      <c r="B88" s="723"/>
      <c r="C88" s="717" t="s">
        <v>888</v>
      </c>
      <c r="D88" s="717" t="s">
        <v>888</v>
      </c>
      <c r="E88" s="719" t="s">
        <v>889</v>
      </c>
      <c r="F88" s="743" t="s">
        <v>687</v>
      </c>
    </row>
    <row r="89" spans="1:6" ht="15" x14ac:dyDescent="0.3">
      <c r="A89" s="717" t="s">
        <v>892</v>
      </c>
      <c r="B89" s="723"/>
      <c r="C89" s="717" t="s">
        <v>888</v>
      </c>
      <c r="D89" s="717" t="s">
        <v>888</v>
      </c>
      <c r="E89" s="719" t="s">
        <v>889</v>
      </c>
      <c r="F89" s="743" t="s">
        <v>687</v>
      </c>
    </row>
    <row r="90" spans="1:6" ht="15" x14ac:dyDescent="0.3">
      <c r="A90" s="717" t="s">
        <v>893</v>
      </c>
      <c r="B90" s="723"/>
      <c r="C90" s="722" t="s">
        <v>646</v>
      </c>
      <c r="D90" s="717" t="s">
        <v>894</v>
      </c>
      <c r="E90" s="719" t="s">
        <v>895</v>
      </c>
      <c r="F90" s="743" t="s">
        <v>687</v>
      </c>
    </row>
    <row r="91" spans="1:6" ht="15" x14ac:dyDescent="0.3">
      <c r="A91" s="717" t="s">
        <v>896</v>
      </c>
      <c r="B91" s="723"/>
      <c r="C91" s="722" t="s">
        <v>646</v>
      </c>
      <c r="D91" s="717" t="s">
        <v>897</v>
      </c>
      <c r="E91" s="719" t="s">
        <v>898</v>
      </c>
      <c r="F91" s="743" t="s">
        <v>687</v>
      </c>
    </row>
    <row r="92" spans="1:6" ht="15" x14ac:dyDescent="0.3">
      <c r="A92" s="717" t="s">
        <v>899</v>
      </c>
      <c r="B92" s="723"/>
      <c r="C92" s="722" t="s">
        <v>646</v>
      </c>
      <c r="D92" s="717" t="s">
        <v>900</v>
      </c>
      <c r="E92" s="719" t="s">
        <v>901</v>
      </c>
      <c r="F92" s="743" t="s">
        <v>687</v>
      </c>
    </row>
    <row r="93" spans="1:6" ht="15" x14ac:dyDescent="0.3">
      <c r="A93" s="717" t="s">
        <v>902</v>
      </c>
      <c r="B93" s="723"/>
      <c r="C93" s="722" t="s">
        <v>646</v>
      </c>
      <c r="D93" s="717" t="s">
        <v>903</v>
      </c>
      <c r="E93" s="719" t="s">
        <v>904</v>
      </c>
      <c r="F93" s="743" t="s">
        <v>687</v>
      </c>
    </row>
    <row r="94" spans="1:6" ht="15" x14ac:dyDescent="0.3">
      <c r="A94" s="717" t="s">
        <v>905</v>
      </c>
      <c r="B94" s="723"/>
      <c r="C94" s="722" t="s">
        <v>646</v>
      </c>
      <c r="D94" s="722" t="s">
        <v>646</v>
      </c>
      <c r="E94" s="719" t="s">
        <v>906</v>
      </c>
      <c r="F94" s="743" t="s">
        <v>687</v>
      </c>
    </row>
    <row r="95" spans="1:6" ht="15" x14ac:dyDescent="0.3">
      <c r="A95" s="717" t="s">
        <v>907</v>
      </c>
      <c r="B95" s="723"/>
      <c r="C95" s="722" t="s">
        <v>646</v>
      </c>
      <c r="D95" s="722" t="s">
        <v>646</v>
      </c>
      <c r="E95" s="719" t="s">
        <v>908</v>
      </c>
      <c r="F95" s="743" t="s">
        <v>687</v>
      </c>
    </row>
    <row r="96" spans="1:6" ht="15" x14ac:dyDescent="0.3">
      <c r="A96" s="717" t="s">
        <v>909</v>
      </c>
      <c r="B96" s="723"/>
      <c r="C96" s="722" t="s">
        <v>646</v>
      </c>
      <c r="D96" s="717" t="s">
        <v>910</v>
      </c>
      <c r="E96" s="719" t="s">
        <v>911</v>
      </c>
      <c r="F96" s="743" t="s">
        <v>687</v>
      </c>
    </row>
    <row r="97" spans="1:6" ht="15" x14ac:dyDescent="0.3">
      <c r="A97" s="752" t="s">
        <v>912</v>
      </c>
      <c r="B97" s="753"/>
      <c r="C97" s="754" t="s">
        <v>646</v>
      </c>
      <c r="D97" s="754" t="s">
        <v>646</v>
      </c>
      <c r="E97" s="763" t="s">
        <v>646</v>
      </c>
      <c r="F97" s="756" t="s">
        <v>849</v>
      </c>
    </row>
    <row r="98" spans="1:6" ht="15" x14ac:dyDescent="0.3">
      <c r="A98" s="739" t="s">
        <v>929</v>
      </c>
      <c r="B98" s="740"/>
      <c r="C98" s="744" t="s">
        <v>646</v>
      </c>
      <c r="D98" s="744" t="s">
        <v>646</v>
      </c>
      <c r="E98" s="745" t="s">
        <v>646</v>
      </c>
      <c r="F98" s="742" t="s">
        <v>914</v>
      </c>
    </row>
    <row r="99" spans="1:6" ht="15" x14ac:dyDescent="0.3">
      <c r="A99" s="739" t="s">
        <v>930</v>
      </c>
      <c r="B99" s="740"/>
      <c r="C99" s="744" t="s">
        <v>646</v>
      </c>
      <c r="D99" s="744" t="s">
        <v>646</v>
      </c>
      <c r="E99" s="745" t="s">
        <v>646</v>
      </c>
      <c r="F99" s="764" t="s">
        <v>915</v>
      </c>
    </row>
    <row r="100" spans="1:6" ht="15.75" thickBot="1" x14ac:dyDescent="0.35">
      <c r="A100" s="765" t="s">
        <v>913</v>
      </c>
      <c r="B100" s="766"/>
      <c r="C100" s="767" t="s">
        <v>646</v>
      </c>
      <c r="D100" s="767" t="s">
        <v>646</v>
      </c>
      <c r="E100" s="768" t="s">
        <v>646</v>
      </c>
      <c r="F100" s="769" t="s">
        <v>916</v>
      </c>
    </row>
    <row r="102" spans="1:6" ht="14.25" thickBot="1" x14ac:dyDescent="0.3"/>
    <row r="103" spans="1:6" ht="21" thickBot="1" x14ac:dyDescent="0.35">
      <c r="A103" s="992" t="s">
        <v>933</v>
      </c>
      <c r="B103" s="993"/>
      <c r="C103" s="994"/>
    </row>
    <row r="104" spans="1:6" ht="15.75" thickBot="1" x14ac:dyDescent="0.3">
      <c r="A104" s="852" t="s">
        <v>1081</v>
      </c>
    </row>
    <row r="105" spans="1:6" s="770" customFormat="1" ht="21" thickBot="1" x14ac:dyDescent="0.35">
      <c r="A105" s="998" t="s">
        <v>934</v>
      </c>
      <c r="B105" s="999"/>
      <c r="C105" s="1000"/>
      <c r="D105" s="47"/>
      <c r="E105" s="47"/>
      <c r="F105" s="47"/>
    </row>
    <row r="106" spans="1:6" ht="15" x14ac:dyDescent="0.3">
      <c r="A106" s="712" t="s">
        <v>635</v>
      </c>
      <c r="B106" s="774"/>
      <c r="C106" s="779"/>
    </row>
    <row r="107" spans="1:6" ht="15" customHeight="1" x14ac:dyDescent="0.25">
      <c r="A107" s="733" t="s">
        <v>642</v>
      </c>
      <c r="B107" s="762" t="s">
        <v>3</v>
      </c>
      <c r="C107" s="737" t="s">
        <v>689</v>
      </c>
    </row>
    <row r="108" spans="1:6" ht="15" customHeight="1" x14ac:dyDescent="0.25">
      <c r="A108" s="733" t="s">
        <v>645</v>
      </c>
      <c r="B108" s="762" t="s">
        <v>3</v>
      </c>
      <c r="C108" s="737" t="s">
        <v>689</v>
      </c>
    </row>
    <row r="109" spans="1:6" ht="15" customHeight="1" x14ac:dyDescent="0.25">
      <c r="A109" s="733" t="s">
        <v>648</v>
      </c>
      <c r="B109" s="762" t="s">
        <v>3</v>
      </c>
      <c r="C109" s="737" t="s">
        <v>690</v>
      </c>
    </row>
    <row r="110" spans="1:6" ht="15" customHeight="1" thickBot="1" x14ac:dyDescent="0.3">
      <c r="A110" s="781" t="s">
        <v>650</v>
      </c>
      <c r="B110" s="782" t="s">
        <v>3</v>
      </c>
      <c r="C110" s="784" t="s">
        <v>691</v>
      </c>
    </row>
    <row r="111" spans="1:6" x14ac:dyDescent="0.25">
      <c r="A111" s="773"/>
      <c r="B111" s="777"/>
      <c r="C111" s="773"/>
    </row>
    <row r="112" spans="1:6" ht="15" x14ac:dyDescent="0.3">
      <c r="A112" s="712" t="s">
        <v>652</v>
      </c>
      <c r="B112" s="713"/>
      <c r="C112" s="726"/>
    </row>
    <row r="113" spans="1:3" ht="15" x14ac:dyDescent="0.3">
      <c r="A113" s="727" t="s">
        <v>653</v>
      </c>
      <c r="B113" s="728"/>
      <c r="C113" s="731"/>
    </row>
    <row r="114" spans="1:3" x14ac:dyDescent="0.25">
      <c r="A114" s="733" t="s">
        <v>918</v>
      </c>
      <c r="B114" s="734">
        <v>1</v>
      </c>
      <c r="C114" s="737" t="s">
        <v>655</v>
      </c>
    </row>
    <row r="115" spans="1:3" ht="6" customHeight="1" x14ac:dyDescent="0.25">
      <c r="A115" s="771"/>
      <c r="B115" s="772"/>
      <c r="C115" s="771"/>
    </row>
    <row r="116" spans="1:3" ht="15" x14ac:dyDescent="0.3">
      <c r="A116" s="727" t="s">
        <v>657</v>
      </c>
      <c r="B116" s="728"/>
      <c r="C116" s="731"/>
    </row>
    <row r="117" spans="1:3" ht="15" customHeight="1" x14ac:dyDescent="0.25">
      <c r="A117" s="733" t="s">
        <v>658</v>
      </c>
      <c r="B117" s="734">
        <v>1</v>
      </c>
      <c r="C117" s="737" t="s">
        <v>656</v>
      </c>
    </row>
    <row r="118" spans="1:3" ht="15" customHeight="1" x14ac:dyDescent="0.25">
      <c r="A118" s="733" t="s">
        <v>667</v>
      </c>
      <c r="B118" s="734">
        <v>1</v>
      </c>
      <c r="C118" s="737" t="s">
        <v>656</v>
      </c>
    </row>
    <row r="119" spans="1:3" ht="15" customHeight="1" x14ac:dyDescent="0.25">
      <c r="A119" s="733" t="s">
        <v>682</v>
      </c>
      <c r="B119" s="734">
        <v>4</v>
      </c>
      <c r="C119" s="737" t="s">
        <v>656</v>
      </c>
    </row>
    <row r="120" spans="1:3" ht="15" customHeight="1" x14ac:dyDescent="0.25">
      <c r="A120" s="733" t="s">
        <v>684</v>
      </c>
      <c r="B120" s="734">
        <v>1</v>
      </c>
      <c r="C120" s="737" t="s">
        <v>656</v>
      </c>
    </row>
    <row r="121" spans="1:3" ht="15" customHeight="1" x14ac:dyDescent="0.25">
      <c r="A121" s="739" t="s">
        <v>662</v>
      </c>
      <c r="B121" s="740">
        <v>1</v>
      </c>
      <c r="C121" s="742" t="s">
        <v>688</v>
      </c>
    </row>
    <row r="122" spans="1:3" ht="15" customHeight="1" x14ac:dyDescent="0.25">
      <c r="A122" s="739" t="s">
        <v>804</v>
      </c>
      <c r="B122" s="740">
        <v>1</v>
      </c>
      <c r="C122" s="746" t="s">
        <v>685</v>
      </c>
    </row>
    <row r="123" spans="1:3" ht="15" customHeight="1" x14ac:dyDescent="0.25">
      <c r="A123" s="739" t="s">
        <v>803</v>
      </c>
      <c r="B123" s="740">
        <v>1</v>
      </c>
      <c r="C123" s="746" t="s">
        <v>686</v>
      </c>
    </row>
    <row r="124" spans="1:3" ht="6" customHeight="1" x14ac:dyDescent="0.25">
      <c r="A124" s="771"/>
      <c r="B124" s="772"/>
      <c r="C124" s="771"/>
    </row>
    <row r="125" spans="1:3" ht="15" x14ac:dyDescent="0.3">
      <c r="A125" s="727" t="s">
        <v>837</v>
      </c>
      <c r="B125" s="728"/>
      <c r="C125" s="731"/>
    </row>
    <row r="126" spans="1:3" ht="15" customHeight="1" x14ac:dyDescent="0.25">
      <c r="A126" s="733" t="s">
        <v>838</v>
      </c>
      <c r="B126" s="734">
        <v>3</v>
      </c>
      <c r="C126" s="737" t="s">
        <v>656</v>
      </c>
    </row>
    <row r="127" spans="1:3" ht="15" customHeight="1" x14ac:dyDescent="0.25">
      <c r="A127" s="747" t="s">
        <v>840</v>
      </c>
      <c r="B127" s="748">
        <v>3</v>
      </c>
      <c r="C127" s="737" t="s">
        <v>656</v>
      </c>
    </row>
    <row r="128" spans="1:3" ht="15" customHeight="1" x14ac:dyDescent="0.25">
      <c r="A128" s="733" t="s">
        <v>842</v>
      </c>
      <c r="B128" s="734">
        <v>3</v>
      </c>
      <c r="C128" s="737" t="s">
        <v>656</v>
      </c>
    </row>
    <row r="129" spans="1:3" ht="6" customHeight="1" x14ac:dyDescent="0.25">
      <c r="A129" s="771"/>
      <c r="B129" s="772"/>
      <c r="C129" s="771"/>
    </row>
    <row r="130" spans="1:3" ht="15" x14ac:dyDescent="0.3">
      <c r="A130" s="727" t="s">
        <v>864</v>
      </c>
      <c r="B130" s="728"/>
      <c r="C130" s="731"/>
    </row>
    <row r="131" spans="1:3" ht="15" customHeight="1" x14ac:dyDescent="0.25">
      <c r="A131" s="733" t="s">
        <v>856</v>
      </c>
      <c r="B131" s="734">
        <v>1</v>
      </c>
      <c r="C131" s="737" t="s">
        <v>655</v>
      </c>
    </row>
    <row r="132" spans="1:3" ht="6" customHeight="1" x14ac:dyDescent="0.25">
      <c r="A132" s="771"/>
      <c r="B132" s="772"/>
      <c r="C132" s="771"/>
    </row>
    <row r="133" spans="1:3" ht="15" x14ac:dyDescent="0.3">
      <c r="A133" s="727" t="s">
        <v>865</v>
      </c>
      <c r="B133" s="728"/>
      <c r="C133" s="731"/>
    </row>
    <row r="134" spans="1:3" ht="15" customHeight="1" x14ac:dyDescent="0.25">
      <c r="A134" s="733" t="s">
        <v>857</v>
      </c>
      <c r="B134" s="734">
        <v>4</v>
      </c>
      <c r="C134" s="737" t="s">
        <v>656</v>
      </c>
    </row>
    <row r="135" spans="1:3" ht="15" customHeight="1" x14ac:dyDescent="0.25">
      <c r="A135" s="733" t="s">
        <v>858</v>
      </c>
      <c r="B135" s="734">
        <v>8</v>
      </c>
      <c r="C135" s="737" t="s">
        <v>656</v>
      </c>
    </row>
    <row r="136" spans="1:3" ht="6" customHeight="1" x14ac:dyDescent="0.25">
      <c r="A136" s="771"/>
      <c r="B136" s="772"/>
      <c r="C136" s="771"/>
    </row>
    <row r="137" spans="1:3" ht="15" x14ac:dyDescent="0.3">
      <c r="A137" s="727" t="s">
        <v>866</v>
      </c>
      <c r="B137" s="728"/>
      <c r="C137" s="731"/>
    </row>
    <row r="138" spans="1:3" ht="15" customHeight="1" x14ac:dyDescent="0.25">
      <c r="A138" s="752" t="s">
        <v>931</v>
      </c>
      <c r="B138" s="753" t="s">
        <v>431</v>
      </c>
      <c r="C138" s="756" t="s">
        <v>1100</v>
      </c>
    </row>
    <row r="139" spans="1:3" ht="15" customHeight="1" x14ac:dyDescent="0.25">
      <c r="A139" s="752" t="s">
        <v>862</v>
      </c>
      <c r="B139" s="753" t="s">
        <v>431</v>
      </c>
      <c r="C139" s="756" t="s">
        <v>1100</v>
      </c>
    </row>
    <row r="140" spans="1:3" ht="6" customHeight="1" x14ac:dyDescent="0.25">
      <c r="A140" s="771"/>
      <c r="B140" s="772"/>
      <c r="C140" s="771"/>
    </row>
    <row r="141" spans="1:3" ht="15" x14ac:dyDescent="0.3">
      <c r="A141" s="727" t="s">
        <v>867</v>
      </c>
      <c r="B141" s="728"/>
      <c r="C141" s="731"/>
    </row>
    <row r="142" spans="1:3" ht="15" customHeight="1" x14ac:dyDescent="0.25">
      <c r="A142" s="757" t="s">
        <v>870</v>
      </c>
      <c r="B142" s="758">
        <v>1</v>
      </c>
      <c r="C142" s="761" t="s">
        <v>871</v>
      </c>
    </row>
    <row r="143" spans="1:3" ht="15" customHeight="1" thickBot="1" x14ac:dyDescent="0.3">
      <c r="A143" s="785" t="s">
        <v>600</v>
      </c>
      <c r="B143" s="786">
        <v>1</v>
      </c>
      <c r="C143" s="789" t="s">
        <v>872</v>
      </c>
    </row>
    <row r="144" spans="1:3" x14ac:dyDescent="0.25">
      <c r="A144" s="773"/>
      <c r="B144" s="777"/>
      <c r="C144" s="773"/>
    </row>
    <row r="145" spans="1:6" ht="15" x14ac:dyDescent="0.3">
      <c r="A145" s="712" t="s">
        <v>873</v>
      </c>
      <c r="B145" s="713"/>
      <c r="C145" s="726"/>
    </row>
    <row r="146" spans="1:6" ht="15" x14ac:dyDescent="0.3">
      <c r="A146" s="727" t="s">
        <v>874</v>
      </c>
      <c r="B146" s="728"/>
      <c r="C146" s="731"/>
    </row>
    <row r="147" spans="1:6" ht="15" customHeight="1" x14ac:dyDescent="0.25">
      <c r="A147" s="733" t="s">
        <v>601</v>
      </c>
      <c r="B147" s="762" t="s">
        <v>3</v>
      </c>
      <c r="C147" s="737" t="s">
        <v>848</v>
      </c>
    </row>
    <row r="148" spans="1:6" ht="15" customHeight="1" x14ac:dyDescent="0.25">
      <c r="A148" s="733" t="s">
        <v>616</v>
      </c>
      <c r="B148" s="762" t="s">
        <v>3</v>
      </c>
      <c r="C148" s="737" t="s">
        <v>848</v>
      </c>
    </row>
    <row r="149" spans="1:6" ht="15" customHeight="1" x14ac:dyDescent="0.25">
      <c r="A149" s="733" t="s">
        <v>617</v>
      </c>
      <c r="B149" s="762" t="s">
        <v>3</v>
      </c>
      <c r="C149" s="737" t="s">
        <v>848</v>
      </c>
    </row>
    <row r="150" spans="1:6" ht="15" customHeight="1" x14ac:dyDescent="0.25">
      <c r="A150" s="733" t="s">
        <v>618</v>
      </c>
      <c r="B150" s="762" t="s">
        <v>3</v>
      </c>
      <c r="C150" s="737" t="s">
        <v>848</v>
      </c>
    </row>
    <row r="151" spans="1:6" ht="15" customHeight="1" x14ac:dyDescent="0.25">
      <c r="A151" s="733" t="s">
        <v>619</v>
      </c>
      <c r="B151" s="762" t="s">
        <v>3</v>
      </c>
      <c r="C151" s="737" t="s">
        <v>848</v>
      </c>
    </row>
    <row r="152" spans="1:6" ht="15" customHeight="1" x14ac:dyDescent="0.25">
      <c r="A152" s="733" t="s">
        <v>620</v>
      </c>
      <c r="B152" s="762" t="s">
        <v>3</v>
      </c>
      <c r="C152" s="737" t="s">
        <v>848</v>
      </c>
    </row>
    <row r="153" spans="1:6" ht="6" customHeight="1" x14ac:dyDescent="0.25">
      <c r="A153" s="771"/>
      <c r="B153" s="772"/>
      <c r="C153" s="771"/>
    </row>
    <row r="154" spans="1:6" ht="15" customHeight="1" x14ac:dyDescent="0.3">
      <c r="A154" s="727" t="s">
        <v>881</v>
      </c>
      <c r="B154" s="728"/>
      <c r="C154" s="731"/>
      <c r="E154" s="191" t="s">
        <v>574</v>
      </c>
    </row>
    <row r="155" spans="1:6" ht="15" customHeight="1" x14ac:dyDescent="0.25">
      <c r="A155" s="752" t="s">
        <v>912</v>
      </c>
      <c r="B155" s="753" t="s">
        <v>3</v>
      </c>
      <c r="C155" s="756" t="s">
        <v>849</v>
      </c>
    </row>
    <row r="156" spans="1:6" ht="15" customHeight="1" x14ac:dyDescent="0.25">
      <c r="A156" s="739" t="s">
        <v>929</v>
      </c>
      <c r="B156" s="740" t="s">
        <v>3</v>
      </c>
      <c r="C156" s="742" t="s">
        <v>914</v>
      </c>
    </row>
    <row r="157" spans="1:6" ht="15" customHeight="1" x14ac:dyDescent="0.25">
      <c r="A157" s="739" t="s">
        <v>930</v>
      </c>
      <c r="B157" s="740" t="s">
        <v>3</v>
      </c>
      <c r="C157" s="764" t="s">
        <v>915</v>
      </c>
    </row>
    <row r="158" spans="1:6" ht="15" customHeight="1" thickBot="1" x14ac:dyDescent="0.3">
      <c r="A158" s="765" t="s">
        <v>913</v>
      </c>
      <c r="B158" s="766" t="s">
        <v>3</v>
      </c>
      <c r="C158" s="769" t="s">
        <v>916</v>
      </c>
    </row>
    <row r="159" spans="1:6" ht="14.25" thickBot="1" x14ac:dyDescent="0.3"/>
    <row r="160" spans="1:6" s="770" customFormat="1" ht="21" thickBot="1" x14ac:dyDescent="0.35">
      <c r="A160" s="995" t="s">
        <v>935</v>
      </c>
      <c r="B160" s="996"/>
      <c r="C160" s="997"/>
      <c r="D160" s="47"/>
      <c r="E160" s="47"/>
      <c r="F160" s="47"/>
    </row>
    <row r="161" spans="1:3" ht="15" x14ac:dyDescent="0.3">
      <c r="A161" s="712" t="s">
        <v>635</v>
      </c>
      <c r="B161" s="774"/>
      <c r="C161" s="779"/>
    </row>
    <row r="162" spans="1:3" ht="15" customHeight="1" x14ac:dyDescent="0.25">
      <c r="A162" s="717" t="s">
        <v>636</v>
      </c>
      <c r="B162" s="718" t="s">
        <v>3</v>
      </c>
      <c r="C162" s="721" t="s">
        <v>638</v>
      </c>
    </row>
    <row r="163" spans="1:3" ht="15" customHeight="1" x14ac:dyDescent="0.25">
      <c r="A163" s="717" t="s">
        <v>640</v>
      </c>
      <c r="B163" s="718" t="s">
        <v>3</v>
      </c>
      <c r="C163" s="721" t="s">
        <v>641</v>
      </c>
    </row>
    <row r="164" spans="1:3" ht="15" customHeight="1" x14ac:dyDescent="0.25">
      <c r="A164" s="733" t="s">
        <v>642</v>
      </c>
      <c r="B164" s="762" t="s">
        <v>3</v>
      </c>
      <c r="C164" s="737" t="s">
        <v>644</v>
      </c>
    </row>
    <row r="165" spans="1:3" ht="15" customHeight="1" x14ac:dyDescent="0.25">
      <c r="A165" s="733" t="s">
        <v>645</v>
      </c>
      <c r="B165" s="762" t="s">
        <v>3</v>
      </c>
      <c r="C165" s="737" t="s">
        <v>647</v>
      </c>
    </row>
    <row r="166" spans="1:3" ht="15" customHeight="1" x14ac:dyDescent="0.25">
      <c r="A166" s="733" t="s">
        <v>648</v>
      </c>
      <c r="B166" s="762" t="s">
        <v>3</v>
      </c>
      <c r="C166" s="737" t="s">
        <v>649</v>
      </c>
    </row>
    <row r="167" spans="1:3" ht="15" customHeight="1" thickBot="1" x14ac:dyDescent="0.3">
      <c r="A167" s="781" t="s">
        <v>650</v>
      </c>
      <c r="B167" s="782" t="s">
        <v>3</v>
      </c>
      <c r="C167" s="784" t="s">
        <v>651</v>
      </c>
    </row>
    <row r="168" spans="1:3" x14ac:dyDescent="0.25">
      <c r="A168" s="773"/>
      <c r="B168" s="777"/>
      <c r="C168" s="773"/>
    </row>
    <row r="169" spans="1:3" ht="15" x14ac:dyDescent="0.3">
      <c r="A169" s="712" t="s">
        <v>652</v>
      </c>
      <c r="B169" s="713"/>
      <c r="C169" s="726"/>
    </row>
    <row r="170" spans="1:3" ht="15" x14ac:dyDescent="0.3">
      <c r="A170" s="727" t="s">
        <v>653</v>
      </c>
      <c r="B170" s="728"/>
      <c r="C170" s="731"/>
    </row>
    <row r="171" spans="1:3" x14ac:dyDescent="0.25">
      <c r="A171" s="717" t="s">
        <v>654</v>
      </c>
      <c r="B171" s="723">
        <v>1</v>
      </c>
      <c r="C171" s="719" t="s">
        <v>654</v>
      </c>
    </row>
    <row r="172" spans="1:3" ht="6" customHeight="1" x14ac:dyDescent="0.25">
      <c r="A172" s="771"/>
      <c r="B172" s="772"/>
      <c r="C172" s="771"/>
    </row>
    <row r="173" spans="1:3" ht="15" x14ac:dyDescent="0.3">
      <c r="A173" s="727" t="s">
        <v>657</v>
      </c>
      <c r="B173" s="728"/>
      <c r="C173" s="731"/>
    </row>
    <row r="174" spans="1:3" ht="15" customHeight="1" x14ac:dyDescent="0.25">
      <c r="A174" s="733" t="s">
        <v>658</v>
      </c>
      <c r="B174" s="734">
        <v>1</v>
      </c>
      <c r="C174" s="738" t="s">
        <v>661</v>
      </c>
    </row>
    <row r="175" spans="1:3" ht="15" customHeight="1" x14ac:dyDescent="0.25">
      <c r="A175" s="739" t="s">
        <v>662</v>
      </c>
      <c r="B175" s="740">
        <v>1</v>
      </c>
      <c r="C175" s="741" t="s">
        <v>660</v>
      </c>
    </row>
    <row r="176" spans="1:3" ht="15" customHeight="1" x14ac:dyDescent="0.25">
      <c r="A176" s="717" t="s">
        <v>663</v>
      </c>
      <c r="B176" s="723">
        <v>1</v>
      </c>
      <c r="C176" s="719" t="s">
        <v>664</v>
      </c>
    </row>
    <row r="177" spans="1:3" ht="15" customHeight="1" x14ac:dyDescent="0.25">
      <c r="A177" s="717" t="s">
        <v>665</v>
      </c>
      <c r="B177" s="723">
        <v>1</v>
      </c>
      <c r="C177" s="719" t="s">
        <v>666</v>
      </c>
    </row>
    <row r="178" spans="1:3" ht="15" customHeight="1" x14ac:dyDescent="0.25">
      <c r="A178" s="733" t="s">
        <v>667</v>
      </c>
      <c r="B178" s="734">
        <v>1</v>
      </c>
      <c r="C178" s="738" t="s">
        <v>666</v>
      </c>
    </row>
    <row r="179" spans="1:3" ht="15" customHeight="1" x14ac:dyDescent="0.25">
      <c r="A179" s="717" t="s">
        <v>668</v>
      </c>
      <c r="B179" s="723">
        <v>1</v>
      </c>
      <c r="C179" s="719" t="s">
        <v>669</v>
      </c>
    </row>
    <row r="180" spans="1:3" ht="15" customHeight="1" x14ac:dyDescent="0.25">
      <c r="A180" s="717" t="s">
        <v>670</v>
      </c>
      <c r="B180" s="723">
        <v>1</v>
      </c>
      <c r="C180" s="719" t="s">
        <v>669</v>
      </c>
    </row>
    <row r="181" spans="1:3" ht="15" customHeight="1" x14ac:dyDescent="0.25">
      <c r="A181" s="717" t="s">
        <v>671</v>
      </c>
      <c r="B181" s="723">
        <v>1</v>
      </c>
      <c r="C181" s="719" t="s">
        <v>669</v>
      </c>
    </row>
    <row r="182" spans="1:3" ht="15" customHeight="1" x14ac:dyDescent="0.25">
      <c r="A182" s="717" t="s">
        <v>599</v>
      </c>
      <c r="B182" s="723">
        <v>1</v>
      </c>
      <c r="C182" s="719" t="s">
        <v>669</v>
      </c>
    </row>
    <row r="183" spans="1:3" ht="15" customHeight="1" x14ac:dyDescent="0.25">
      <c r="A183" s="717" t="s">
        <v>672</v>
      </c>
      <c r="B183" s="723">
        <v>1</v>
      </c>
      <c r="C183" s="719" t="s">
        <v>669</v>
      </c>
    </row>
    <row r="184" spans="1:3" ht="15" customHeight="1" x14ac:dyDescent="0.25">
      <c r="A184" s="717" t="s">
        <v>673</v>
      </c>
      <c r="B184" s="723">
        <v>1</v>
      </c>
      <c r="C184" s="719" t="s">
        <v>669</v>
      </c>
    </row>
    <row r="185" spans="1:3" ht="15" customHeight="1" x14ac:dyDescent="0.25">
      <c r="A185" s="717" t="s">
        <v>674</v>
      </c>
      <c r="B185" s="723">
        <v>1</v>
      </c>
      <c r="C185" s="719" t="s">
        <v>675</v>
      </c>
    </row>
    <row r="186" spans="1:3" ht="15" customHeight="1" x14ac:dyDescent="0.25">
      <c r="A186" s="717" t="s">
        <v>676</v>
      </c>
      <c r="B186" s="723">
        <v>1</v>
      </c>
      <c r="C186" s="719" t="s">
        <v>677</v>
      </c>
    </row>
    <row r="187" spans="1:3" ht="15" customHeight="1" x14ac:dyDescent="0.25">
      <c r="A187" s="717" t="s">
        <v>678</v>
      </c>
      <c r="B187" s="723">
        <v>2</v>
      </c>
      <c r="C187" s="719" t="s">
        <v>679</v>
      </c>
    </row>
    <row r="188" spans="1:3" ht="15" customHeight="1" x14ac:dyDescent="0.25">
      <c r="A188" s="717" t="s">
        <v>680</v>
      </c>
      <c r="B188" s="723">
        <v>1</v>
      </c>
      <c r="C188" s="719" t="s">
        <v>681</v>
      </c>
    </row>
    <row r="189" spans="1:3" ht="15" customHeight="1" x14ac:dyDescent="0.25">
      <c r="A189" s="733" t="s">
        <v>682</v>
      </c>
      <c r="B189" s="734">
        <v>4</v>
      </c>
      <c r="C189" s="738" t="s">
        <v>683</v>
      </c>
    </row>
    <row r="190" spans="1:3" ht="15" customHeight="1" x14ac:dyDescent="0.25">
      <c r="A190" s="733" t="s">
        <v>684</v>
      </c>
      <c r="B190" s="734">
        <v>1</v>
      </c>
      <c r="C190" s="738" t="s">
        <v>683</v>
      </c>
    </row>
    <row r="191" spans="1:3" ht="6" customHeight="1" x14ac:dyDescent="0.25">
      <c r="A191" s="771"/>
      <c r="B191" s="772"/>
      <c r="C191" s="771"/>
    </row>
    <row r="192" spans="1:3" ht="15" x14ac:dyDescent="0.3">
      <c r="A192" s="727" t="s">
        <v>837</v>
      </c>
      <c r="B192" s="728"/>
      <c r="C192" s="731"/>
    </row>
    <row r="193" spans="1:3" ht="15" customHeight="1" x14ac:dyDescent="0.25">
      <c r="A193" s="733" t="s">
        <v>838</v>
      </c>
      <c r="B193" s="734">
        <v>3</v>
      </c>
      <c r="C193" s="738" t="s">
        <v>839</v>
      </c>
    </row>
    <row r="194" spans="1:3" ht="15" customHeight="1" x14ac:dyDescent="0.25">
      <c r="A194" s="747" t="s">
        <v>840</v>
      </c>
      <c r="B194" s="748">
        <v>3</v>
      </c>
      <c r="C194" s="738" t="s">
        <v>841</v>
      </c>
    </row>
    <row r="195" spans="1:3" ht="15" customHeight="1" x14ac:dyDescent="0.25">
      <c r="A195" s="733" t="s">
        <v>842</v>
      </c>
      <c r="B195" s="734">
        <v>3</v>
      </c>
      <c r="C195" s="738" t="s">
        <v>843</v>
      </c>
    </row>
    <row r="196" spans="1:3" ht="15" customHeight="1" x14ac:dyDescent="0.25">
      <c r="A196" s="717" t="s">
        <v>844</v>
      </c>
      <c r="B196" s="723">
        <v>4</v>
      </c>
      <c r="C196" s="719" t="s">
        <v>845</v>
      </c>
    </row>
    <row r="197" spans="1:3" ht="15" customHeight="1" x14ac:dyDescent="0.25">
      <c r="A197" s="717" t="s">
        <v>846</v>
      </c>
      <c r="B197" s="723">
        <v>4</v>
      </c>
      <c r="C197" s="719" t="s">
        <v>683</v>
      </c>
    </row>
    <row r="198" spans="1:3" ht="15" customHeight="1" x14ac:dyDescent="0.25">
      <c r="A198" s="717" t="s">
        <v>847</v>
      </c>
      <c r="B198" s="723">
        <v>3</v>
      </c>
      <c r="C198" s="719" t="s">
        <v>683</v>
      </c>
    </row>
    <row r="199" spans="1:3" ht="6" customHeight="1" x14ac:dyDescent="0.25">
      <c r="A199" s="771"/>
      <c r="B199" s="772"/>
      <c r="C199" s="771"/>
    </row>
    <row r="200" spans="1:3" ht="15" x14ac:dyDescent="0.3">
      <c r="A200" s="727" t="s">
        <v>864</v>
      </c>
      <c r="B200" s="728"/>
      <c r="C200" s="730"/>
    </row>
    <row r="201" spans="1:3" ht="15" customHeight="1" x14ac:dyDescent="0.25">
      <c r="A201" s="717" t="s">
        <v>850</v>
      </c>
      <c r="B201" s="723">
        <v>1</v>
      </c>
      <c r="C201" s="719" t="s">
        <v>851</v>
      </c>
    </row>
    <row r="202" spans="1:3" ht="15" customHeight="1" x14ac:dyDescent="0.25">
      <c r="A202" s="717" t="s">
        <v>852</v>
      </c>
      <c r="B202" s="723">
        <v>1</v>
      </c>
      <c r="C202" s="719" t="s">
        <v>853</v>
      </c>
    </row>
    <row r="203" spans="1:3" ht="15" customHeight="1" x14ac:dyDescent="0.25">
      <c r="A203" s="733" t="s">
        <v>854</v>
      </c>
      <c r="B203" s="734">
        <v>1</v>
      </c>
      <c r="C203" s="738" t="s">
        <v>855</v>
      </c>
    </row>
    <row r="204" spans="1:3" ht="6" customHeight="1" x14ac:dyDescent="0.25">
      <c r="A204" s="771"/>
      <c r="B204" s="772"/>
      <c r="C204" s="771"/>
    </row>
    <row r="205" spans="1:3" ht="15" x14ac:dyDescent="0.3">
      <c r="A205" s="727" t="s">
        <v>865</v>
      </c>
      <c r="B205" s="728"/>
      <c r="C205" s="731"/>
    </row>
    <row r="206" spans="1:3" ht="15" customHeight="1" x14ac:dyDescent="0.3">
      <c r="A206" s="749" t="s">
        <v>937</v>
      </c>
      <c r="B206" s="750"/>
      <c r="C206" s="720"/>
    </row>
    <row r="207" spans="1:3" ht="6" customHeight="1" x14ac:dyDescent="0.25">
      <c r="A207" s="771"/>
      <c r="B207" s="772"/>
      <c r="C207" s="771"/>
    </row>
    <row r="208" spans="1:3" ht="15" x14ac:dyDescent="0.3">
      <c r="A208" s="727" t="s">
        <v>866</v>
      </c>
      <c r="B208" s="728"/>
      <c r="C208" s="730"/>
    </row>
    <row r="209" spans="1:3" ht="15" customHeight="1" x14ac:dyDescent="0.25">
      <c r="A209" s="752" t="s">
        <v>931</v>
      </c>
      <c r="B209" s="753" t="s">
        <v>431</v>
      </c>
      <c r="C209" s="755" t="s">
        <v>861</v>
      </c>
    </row>
    <row r="210" spans="1:3" ht="15" customHeight="1" x14ac:dyDescent="0.25">
      <c r="A210" s="752" t="s">
        <v>862</v>
      </c>
      <c r="B210" s="753" t="s">
        <v>431</v>
      </c>
      <c r="C210" s="755" t="s">
        <v>863</v>
      </c>
    </row>
    <row r="211" spans="1:3" ht="6" customHeight="1" x14ac:dyDescent="0.25">
      <c r="A211" s="771"/>
      <c r="B211" s="772"/>
      <c r="C211" s="771"/>
    </row>
    <row r="212" spans="1:3" ht="15" x14ac:dyDescent="0.3">
      <c r="A212" s="727" t="s">
        <v>867</v>
      </c>
      <c r="B212" s="728"/>
      <c r="C212" s="731"/>
    </row>
    <row r="213" spans="1:3" ht="15" customHeight="1" thickBot="1" x14ac:dyDescent="0.3">
      <c r="A213" s="775" t="s">
        <v>868</v>
      </c>
      <c r="B213" s="778">
        <v>1</v>
      </c>
      <c r="C213" s="802" t="s">
        <v>869</v>
      </c>
    </row>
    <row r="214" spans="1:3" x14ac:dyDescent="0.25">
      <c r="A214" s="773"/>
      <c r="B214" s="777"/>
      <c r="C214" s="773"/>
    </row>
    <row r="215" spans="1:3" ht="15" x14ac:dyDescent="0.3">
      <c r="A215" s="712" t="s">
        <v>873</v>
      </c>
      <c r="B215" s="713"/>
      <c r="C215" s="726"/>
    </row>
    <row r="216" spans="1:3" ht="15" customHeight="1" x14ac:dyDescent="0.3">
      <c r="A216" s="727" t="s">
        <v>874</v>
      </c>
      <c r="B216" s="728"/>
      <c r="C216" s="731"/>
    </row>
    <row r="217" spans="1:3" ht="15" customHeight="1" x14ac:dyDescent="0.25">
      <c r="A217" s="733" t="s">
        <v>922</v>
      </c>
      <c r="B217" s="762" t="s">
        <v>3</v>
      </c>
      <c r="C217" s="737" t="s">
        <v>877</v>
      </c>
    </row>
    <row r="218" spans="1:3" ht="15" customHeight="1" x14ac:dyDescent="0.25">
      <c r="A218" s="733" t="s">
        <v>878</v>
      </c>
      <c r="B218" s="762" t="s">
        <v>3</v>
      </c>
      <c r="C218" s="737" t="s">
        <v>877</v>
      </c>
    </row>
    <row r="219" spans="1:3" ht="15" customHeight="1" x14ac:dyDescent="0.25">
      <c r="A219" s="733" t="s">
        <v>924</v>
      </c>
      <c r="B219" s="762" t="s">
        <v>3</v>
      </c>
      <c r="C219" s="737" t="s">
        <v>877</v>
      </c>
    </row>
    <row r="220" spans="1:3" ht="15" customHeight="1" x14ac:dyDescent="0.25">
      <c r="A220" s="733" t="s">
        <v>920</v>
      </c>
      <c r="B220" s="762" t="s">
        <v>3</v>
      </c>
      <c r="C220" s="737" t="s">
        <v>877</v>
      </c>
    </row>
    <row r="221" spans="1:3" ht="15" customHeight="1" x14ac:dyDescent="0.25">
      <c r="A221" s="733" t="s">
        <v>879</v>
      </c>
      <c r="B221" s="762" t="s">
        <v>3</v>
      </c>
      <c r="C221" s="737" t="s">
        <v>877</v>
      </c>
    </row>
    <row r="222" spans="1:3" ht="15" customHeight="1" x14ac:dyDescent="0.25">
      <c r="A222" s="733" t="s">
        <v>926</v>
      </c>
      <c r="B222" s="762" t="s">
        <v>3</v>
      </c>
      <c r="C222" s="737" t="s">
        <v>877</v>
      </c>
    </row>
    <row r="223" spans="1:3" ht="6" customHeight="1" x14ac:dyDescent="0.25">
      <c r="A223" s="771"/>
      <c r="B223" s="772"/>
      <c r="C223" s="771"/>
    </row>
    <row r="224" spans="1:3" ht="15" customHeight="1" x14ac:dyDescent="0.3">
      <c r="A224" s="727" t="s">
        <v>881</v>
      </c>
      <c r="B224" s="728"/>
      <c r="C224" s="731"/>
    </row>
    <row r="225" spans="1:3" ht="15" customHeight="1" x14ac:dyDescent="0.25">
      <c r="A225" s="717" t="s">
        <v>882</v>
      </c>
      <c r="B225" s="723" t="s">
        <v>3</v>
      </c>
      <c r="C225" s="721" t="s">
        <v>884</v>
      </c>
    </row>
    <row r="226" spans="1:3" ht="15" customHeight="1" x14ac:dyDescent="0.25">
      <c r="A226" s="717" t="s">
        <v>887</v>
      </c>
      <c r="B226" s="723" t="s">
        <v>3</v>
      </c>
      <c r="C226" s="721" t="s">
        <v>889</v>
      </c>
    </row>
    <row r="227" spans="1:3" ht="15" customHeight="1" x14ac:dyDescent="0.25">
      <c r="A227" s="717" t="s">
        <v>890</v>
      </c>
      <c r="B227" s="723" t="s">
        <v>3</v>
      </c>
      <c r="C227" s="721" t="s">
        <v>889</v>
      </c>
    </row>
    <row r="228" spans="1:3" ht="15" customHeight="1" x14ac:dyDescent="0.25">
      <c r="A228" s="717" t="s">
        <v>891</v>
      </c>
      <c r="B228" s="723" t="s">
        <v>3</v>
      </c>
      <c r="C228" s="721" t="s">
        <v>889</v>
      </c>
    </row>
    <row r="229" spans="1:3" ht="15" customHeight="1" x14ac:dyDescent="0.25">
      <c r="A229" s="717" t="s">
        <v>892</v>
      </c>
      <c r="B229" s="723" t="s">
        <v>3</v>
      </c>
      <c r="C229" s="721" t="s">
        <v>889</v>
      </c>
    </row>
    <row r="230" spans="1:3" ht="15" customHeight="1" x14ac:dyDescent="0.25">
      <c r="A230" s="717" t="s">
        <v>893</v>
      </c>
      <c r="B230" s="723" t="s">
        <v>3</v>
      </c>
      <c r="C230" s="721" t="s">
        <v>895</v>
      </c>
    </row>
    <row r="231" spans="1:3" ht="15" customHeight="1" x14ac:dyDescent="0.25">
      <c r="A231" s="717" t="s">
        <v>896</v>
      </c>
      <c r="B231" s="723" t="s">
        <v>3</v>
      </c>
      <c r="C231" s="721" t="s">
        <v>898</v>
      </c>
    </row>
    <row r="232" spans="1:3" ht="15" customHeight="1" x14ac:dyDescent="0.25">
      <c r="A232" s="717" t="s">
        <v>899</v>
      </c>
      <c r="B232" s="723" t="s">
        <v>3</v>
      </c>
      <c r="C232" s="721" t="s">
        <v>901</v>
      </c>
    </row>
    <row r="233" spans="1:3" ht="15" customHeight="1" x14ac:dyDescent="0.25">
      <c r="A233" s="717" t="s">
        <v>902</v>
      </c>
      <c r="B233" s="723" t="s">
        <v>3</v>
      </c>
      <c r="C233" s="721" t="s">
        <v>904</v>
      </c>
    </row>
    <row r="234" spans="1:3" ht="15" customHeight="1" x14ac:dyDescent="0.25">
      <c r="A234" s="717" t="s">
        <v>905</v>
      </c>
      <c r="B234" s="723" t="s">
        <v>3</v>
      </c>
      <c r="C234" s="721" t="s">
        <v>906</v>
      </c>
    </row>
    <row r="235" spans="1:3" ht="15" customHeight="1" x14ac:dyDescent="0.25">
      <c r="A235" s="717" t="s">
        <v>907</v>
      </c>
      <c r="B235" s="723" t="s">
        <v>3</v>
      </c>
      <c r="C235" s="721" t="s">
        <v>908</v>
      </c>
    </row>
    <row r="236" spans="1:3" ht="15" customHeight="1" x14ac:dyDescent="0.25">
      <c r="A236" s="717" t="s">
        <v>909</v>
      </c>
      <c r="B236" s="723" t="s">
        <v>3</v>
      </c>
      <c r="C236" s="721" t="s">
        <v>911</v>
      </c>
    </row>
    <row r="237" spans="1:3" ht="15" customHeight="1" thickBot="1" x14ac:dyDescent="0.3">
      <c r="A237" s="775" t="s">
        <v>885</v>
      </c>
      <c r="B237" s="776" t="s">
        <v>3</v>
      </c>
      <c r="C237" s="780" t="s">
        <v>886</v>
      </c>
    </row>
    <row r="242" spans="5:5" ht="15" x14ac:dyDescent="0.3">
      <c r="E242" s="191" t="s">
        <v>936</v>
      </c>
    </row>
  </sheetData>
  <sheetProtection algorithmName="SHA-512" hashValue="jzEsgMXBgyWnQxg+kXz4mKTcfGUOAFsr8tEjkGi8xwijmRC5+JrX7xc9G30HVcsGsAAHam1p/Ks4pOni2CuXPg==" saltValue="nvRklgYWSfNwrO4/gFqvVQ==" spinCount="100000" sheet="1" objects="1" scenarios="1"/>
  <mergeCells count="8">
    <mergeCell ref="A160:C160"/>
    <mergeCell ref="A105:C105"/>
    <mergeCell ref="A103:C103"/>
    <mergeCell ref="A1:F1"/>
    <mergeCell ref="A4:A5"/>
    <mergeCell ref="B4:B5"/>
    <mergeCell ref="C4:E4"/>
    <mergeCell ref="F4:F5"/>
  </mergeCells>
  <hyperlinks>
    <hyperlink ref="F3" r:id="rId1" location="/section/chalices-of-power-58879" display="See adventures on crowdfunding page" xr:uid="{B01AB306-2DE2-42AC-962D-D68204BDE29B}"/>
    <hyperlink ref="A104" r:id="rId2" location="/section/chalices-of-power-58879" display="See adventures on crowdfunding page" xr:uid="{628D8C9D-F466-40F1-8E0F-ECCE09B0A294}"/>
  </hyperlinks>
  <pageMargins left="0.15748031496062992" right="0.15748031496062992" top="7.874015748031496E-2" bottom="7.874015748031496E-2" header="3.937007874015748E-2" footer="3.937007874015748E-2"/>
  <pageSetup paperSize="9" scale="39" fitToHeight="0" orientation="landscape" r:id="rId3"/>
  <rowBreaks count="2" manualBreakCount="2">
    <brk id="101" max="5" man="1"/>
    <brk id="159" max="5" man="1"/>
  </rowBreaks>
  <colBreaks count="1" manualBreakCount="1">
    <brk id="3" max="244" man="1"/>
  </col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91607-C50B-4A97-BAA8-5384ACC3627A}">
  <sheetPr>
    <tabColor rgb="FF7030A0"/>
    <pageSetUpPr fitToPage="1"/>
  </sheetPr>
  <dimension ref="A1:C66"/>
  <sheetViews>
    <sheetView showGridLines="0" zoomScaleNormal="100" workbookViewId="0">
      <pane xSplit="1" ySplit="3" topLeftCell="B4" activePane="bottomRight" state="frozen"/>
      <selection pane="topRight" activeCell="B1" sqref="B1"/>
      <selection pane="bottomLeft" activeCell="A4" sqref="A4"/>
      <selection pane="bottomRight" sqref="A1:C1"/>
    </sheetView>
  </sheetViews>
  <sheetFormatPr baseColWidth="10" defaultRowHeight="15.75" x14ac:dyDescent="0.25"/>
  <cols>
    <col min="1" max="1" width="72.85546875" style="822" bestFit="1" customWidth="1"/>
    <col min="2" max="2" width="97.140625" style="822" bestFit="1" customWidth="1"/>
    <col min="3" max="3" width="112.140625" style="822" bestFit="1" customWidth="1"/>
    <col min="4" max="4" width="34" style="822" customWidth="1"/>
    <col min="5" max="16384" width="11.42578125" style="822"/>
  </cols>
  <sheetData>
    <row r="1" spans="1:3" s="821" customFormat="1" ht="21.75" thickBot="1" x14ac:dyDescent="0.4">
      <c r="A1" s="992" t="s">
        <v>1053</v>
      </c>
      <c r="B1" s="993"/>
      <c r="C1" s="994"/>
    </row>
    <row r="2" spans="1:3" x14ac:dyDescent="0.25">
      <c r="A2" s="1006" t="s">
        <v>1056</v>
      </c>
      <c r="B2" s="1006"/>
      <c r="C2" s="851" t="s">
        <v>1080</v>
      </c>
    </row>
    <row r="3" spans="1:3" s="770" customFormat="1" ht="16.5" x14ac:dyDescent="0.3">
      <c r="A3" s="823" t="s">
        <v>944</v>
      </c>
      <c r="B3" s="824" t="s">
        <v>630</v>
      </c>
      <c r="C3" s="825" t="s">
        <v>634</v>
      </c>
    </row>
    <row r="4" spans="1:3" ht="16.5" x14ac:dyDescent="0.3">
      <c r="A4" s="826" t="s">
        <v>946</v>
      </c>
      <c r="B4" s="826"/>
      <c r="C4" s="827"/>
    </row>
    <row r="5" spans="1:3" ht="15" customHeight="1" x14ac:dyDescent="0.25">
      <c r="A5" s="828" t="s">
        <v>636</v>
      </c>
      <c r="B5" s="828" t="s">
        <v>945</v>
      </c>
      <c r="C5" s="829" t="s">
        <v>639</v>
      </c>
    </row>
    <row r="6" spans="1:3" ht="15" customHeight="1" thickBot="1" x14ac:dyDescent="0.3">
      <c r="A6" s="830" t="s">
        <v>640</v>
      </c>
      <c r="B6" s="830" t="s">
        <v>641</v>
      </c>
      <c r="C6" s="831" t="s">
        <v>639</v>
      </c>
    </row>
    <row r="7" spans="1:3" ht="6" customHeight="1" x14ac:dyDescent="0.25">
      <c r="A7" s="832"/>
      <c r="B7" s="832"/>
      <c r="C7" s="832"/>
    </row>
    <row r="8" spans="1:3" ht="16.5" x14ac:dyDescent="0.3">
      <c r="A8" s="826" t="s">
        <v>947</v>
      </c>
      <c r="B8" s="833"/>
      <c r="C8" s="834"/>
    </row>
    <row r="9" spans="1:3" x14ac:dyDescent="0.25">
      <c r="A9" s="828" t="s">
        <v>948</v>
      </c>
      <c r="B9" s="828" t="s">
        <v>951</v>
      </c>
      <c r="C9" s="829" t="s">
        <v>639</v>
      </c>
    </row>
    <row r="10" spans="1:3" ht="16.5" thickBot="1" x14ac:dyDescent="0.3">
      <c r="A10" s="830" t="s">
        <v>949</v>
      </c>
      <c r="B10" s="830" t="s">
        <v>950</v>
      </c>
      <c r="C10" s="835" t="s">
        <v>1048</v>
      </c>
    </row>
    <row r="11" spans="1:3" ht="6" customHeight="1" x14ac:dyDescent="0.25">
      <c r="A11" s="832"/>
      <c r="B11" s="832"/>
      <c r="C11" s="832"/>
    </row>
    <row r="12" spans="1:3" ht="16.5" x14ac:dyDescent="0.3">
      <c r="A12" s="826" t="s">
        <v>964</v>
      </c>
      <c r="B12" s="833"/>
      <c r="C12" s="834"/>
    </row>
    <row r="13" spans="1:3" x14ac:dyDescent="0.25">
      <c r="A13" s="828" t="s">
        <v>952</v>
      </c>
      <c r="B13" s="828" t="s">
        <v>957</v>
      </c>
      <c r="C13" s="836" t="s">
        <v>959</v>
      </c>
    </row>
    <row r="14" spans="1:3" x14ac:dyDescent="0.25">
      <c r="A14" s="828" t="s">
        <v>954</v>
      </c>
      <c r="B14" s="828" t="s">
        <v>963</v>
      </c>
      <c r="C14" s="836" t="s">
        <v>959</v>
      </c>
    </row>
    <row r="15" spans="1:3" x14ac:dyDescent="0.25">
      <c r="A15" s="828" t="s">
        <v>1054</v>
      </c>
      <c r="B15" s="828" t="s">
        <v>957</v>
      </c>
      <c r="C15" s="836" t="s">
        <v>1055</v>
      </c>
    </row>
    <row r="16" spans="1:3" x14ac:dyDescent="0.25">
      <c r="A16" s="828" t="s">
        <v>1036</v>
      </c>
      <c r="B16" s="828" t="s">
        <v>962</v>
      </c>
      <c r="C16" s="836" t="s">
        <v>959</v>
      </c>
    </row>
    <row r="17" spans="1:3" x14ac:dyDescent="0.25">
      <c r="A17" s="828" t="s">
        <v>953</v>
      </c>
      <c r="B17" s="828" t="s">
        <v>957</v>
      </c>
      <c r="C17" s="836" t="s">
        <v>959</v>
      </c>
    </row>
    <row r="18" spans="1:3" x14ac:dyDescent="0.25">
      <c r="A18" s="828" t="s">
        <v>961</v>
      </c>
      <c r="B18" s="828" t="s">
        <v>957</v>
      </c>
      <c r="C18" s="836" t="s">
        <v>959</v>
      </c>
    </row>
    <row r="19" spans="1:3" x14ac:dyDescent="0.25">
      <c r="A19" s="828" t="s">
        <v>1037</v>
      </c>
      <c r="B19" s="828" t="s">
        <v>957</v>
      </c>
      <c r="C19" s="836" t="s">
        <v>959</v>
      </c>
    </row>
    <row r="20" spans="1:3" x14ac:dyDescent="0.25">
      <c r="A20" s="828" t="s">
        <v>955</v>
      </c>
      <c r="B20" s="828" t="s">
        <v>957</v>
      </c>
      <c r="C20" s="829" t="s">
        <v>639</v>
      </c>
    </row>
    <row r="21" spans="1:3" x14ac:dyDescent="0.25">
      <c r="A21" s="828" t="s">
        <v>956</v>
      </c>
      <c r="B21" s="828" t="s">
        <v>957</v>
      </c>
      <c r="C21" s="836" t="s">
        <v>959</v>
      </c>
    </row>
    <row r="22" spans="1:3" ht="16.5" thickBot="1" x14ac:dyDescent="0.3">
      <c r="A22" s="830" t="s">
        <v>1035</v>
      </c>
      <c r="B22" s="830" t="s">
        <v>958</v>
      </c>
      <c r="C22" s="835" t="s">
        <v>960</v>
      </c>
    </row>
    <row r="23" spans="1:3" ht="6" customHeight="1" x14ac:dyDescent="0.25">
      <c r="A23" s="832"/>
      <c r="B23" s="832"/>
      <c r="C23" s="832"/>
    </row>
    <row r="24" spans="1:3" ht="16.5" x14ac:dyDescent="0.3">
      <c r="A24" s="826" t="s">
        <v>965</v>
      </c>
      <c r="B24" s="833"/>
      <c r="C24" s="834"/>
    </row>
    <row r="25" spans="1:3" x14ac:dyDescent="0.25">
      <c r="A25" s="828" t="s">
        <v>968</v>
      </c>
      <c r="B25" s="828" t="s">
        <v>981</v>
      </c>
      <c r="C25" s="829" t="s">
        <v>639</v>
      </c>
    </row>
    <row r="26" spans="1:3" x14ac:dyDescent="0.25">
      <c r="A26" s="828" t="s">
        <v>970</v>
      </c>
      <c r="B26" s="828" t="s">
        <v>983</v>
      </c>
      <c r="C26" s="836" t="s">
        <v>995</v>
      </c>
    </row>
    <row r="27" spans="1:3" x14ac:dyDescent="0.25">
      <c r="A27" s="828" t="s">
        <v>969</v>
      </c>
      <c r="B27" s="828" t="s">
        <v>982</v>
      </c>
      <c r="C27" s="836" t="s">
        <v>994</v>
      </c>
    </row>
    <row r="28" spans="1:3" x14ac:dyDescent="0.25">
      <c r="A28" s="828" t="s">
        <v>967</v>
      </c>
      <c r="B28" s="828" t="s">
        <v>981</v>
      </c>
      <c r="C28" s="829" t="s">
        <v>639</v>
      </c>
    </row>
    <row r="29" spans="1:3" x14ac:dyDescent="0.25">
      <c r="A29" s="828" t="s">
        <v>1043</v>
      </c>
      <c r="B29" s="828" t="s">
        <v>986</v>
      </c>
      <c r="C29" s="836" t="s">
        <v>1044</v>
      </c>
    </row>
    <row r="30" spans="1:3" x14ac:dyDescent="0.25">
      <c r="A30" s="828" t="s">
        <v>975</v>
      </c>
      <c r="B30" s="828" t="s">
        <v>987</v>
      </c>
      <c r="C30" s="837" t="s">
        <v>999</v>
      </c>
    </row>
    <row r="31" spans="1:3" x14ac:dyDescent="0.25">
      <c r="A31" s="828" t="s">
        <v>976</v>
      </c>
      <c r="B31" s="828" t="s">
        <v>988</v>
      </c>
      <c r="C31" s="836" t="s">
        <v>1000</v>
      </c>
    </row>
    <row r="32" spans="1:3" x14ac:dyDescent="0.25">
      <c r="A32" s="828" t="s">
        <v>1034</v>
      </c>
      <c r="B32" s="828" t="s">
        <v>990</v>
      </c>
      <c r="C32" s="836" t="s">
        <v>1003</v>
      </c>
    </row>
    <row r="33" spans="1:3" x14ac:dyDescent="0.25">
      <c r="A33" s="828" t="s">
        <v>972</v>
      </c>
      <c r="B33" s="828" t="s">
        <v>1051</v>
      </c>
      <c r="C33" s="836" t="s">
        <v>997</v>
      </c>
    </row>
    <row r="34" spans="1:3" x14ac:dyDescent="0.25">
      <c r="A34" s="828" t="s">
        <v>979</v>
      </c>
      <c r="B34" s="828" t="s">
        <v>992</v>
      </c>
      <c r="C34" s="829" t="s">
        <v>639</v>
      </c>
    </row>
    <row r="35" spans="1:3" x14ac:dyDescent="0.25">
      <c r="A35" s="828" t="s">
        <v>974</v>
      </c>
      <c r="B35" s="828" t="s">
        <v>985</v>
      </c>
      <c r="C35" s="837" t="s">
        <v>998</v>
      </c>
    </row>
    <row r="36" spans="1:3" x14ac:dyDescent="0.25">
      <c r="A36" s="828" t="s">
        <v>1039</v>
      </c>
      <c r="B36" s="828" t="s">
        <v>991</v>
      </c>
      <c r="C36" s="836" t="s">
        <v>1040</v>
      </c>
    </row>
    <row r="37" spans="1:3" x14ac:dyDescent="0.25">
      <c r="A37" s="828" t="s">
        <v>966</v>
      </c>
      <c r="B37" s="828" t="s">
        <v>980</v>
      </c>
      <c r="C37" s="836" t="s">
        <v>993</v>
      </c>
    </row>
    <row r="38" spans="1:3" x14ac:dyDescent="0.25">
      <c r="A38" s="828" t="s">
        <v>977</v>
      </c>
      <c r="B38" s="828" t="s">
        <v>985</v>
      </c>
      <c r="C38" s="837" t="s">
        <v>1001</v>
      </c>
    </row>
    <row r="39" spans="1:3" x14ac:dyDescent="0.25">
      <c r="A39" s="838" t="s">
        <v>1038</v>
      </c>
      <c r="B39" s="828" t="s">
        <v>986</v>
      </c>
      <c r="C39" s="836" t="s">
        <v>959</v>
      </c>
    </row>
    <row r="40" spans="1:3" x14ac:dyDescent="0.25">
      <c r="A40" s="828" t="s">
        <v>971</v>
      </c>
      <c r="B40" s="828" t="s">
        <v>984</v>
      </c>
      <c r="C40" s="836" t="s">
        <v>996</v>
      </c>
    </row>
    <row r="41" spans="1:3" x14ac:dyDescent="0.25">
      <c r="A41" s="828" t="s">
        <v>978</v>
      </c>
      <c r="B41" s="828" t="s">
        <v>989</v>
      </c>
      <c r="C41" s="836" t="s">
        <v>1002</v>
      </c>
    </row>
    <row r="42" spans="1:3" x14ac:dyDescent="0.25">
      <c r="A42" s="840" t="s">
        <v>973</v>
      </c>
      <c r="B42" s="840" t="s">
        <v>1049</v>
      </c>
      <c r="C42" s="836" t="s">
        <v>1050</v>
      </c>
    </row>
    <row r="43" spans="1:3" ht="16.5" thickBot="1" x14ac:dyDescent="0.3">
      <c r="A43" s="830" t="s">
        <v>1097</v>
      </c>
      <c r="B43" s="830" t="s">
        <v>1098</v>
      </c>
      <c r="C43" s="835" t="s">
        <v>1099</v>
      </c>
    </row>
    <row r="44" spans="1:3" ht="6" customHeight="1" x14ac:dyDescent="0.25">
      <c r="A44" s="832"/>
      <c r="B44" s="832"/>
      <c r="C44" s="832"/>
    </row>
    <row r="45" spans="1:3" ht="16.5" x14ac:dyDescent="0.3">
      <c r="A45" s="826" t="s">
        <v>1004</v>
      </c>
      <c r="B45" s="833"/>
      <c r="C45" s="834"/>
    </row>
    <row r="46" spans="1:3" x14ac:dyDescent="0.25">
      <c r="A46" s="828" t="s">
        <v>1009</v>
      </c>
      <c r="B46" s="828" t="s">
        <v>1052</v>
      </c>
      <c r="C46" s="836" t="s">
        <v>1027</v>
      </c>
    </row>
    <row r="47" spans="1:3" x14ac:dyDescent="0.25">
      <c r="A47" s="828" t="s">
        <v>1010</v>
      </c>
      <c r="B47" s="828" t="s">
        <v>986</v>
      </c>
      <c r="C47" s="829" t="s">
        <v>1028</v>
      </c>
    </row>
    <row r="48" spans="1:3" x14ac:dyDescent="0.25">
      <c r="A48" s="828" t="s">
        <v>1008</v>
      </c>
      <c r="B48" s="828" t="s">
        <v>986</v>
      </c>
      <c r="C48" s="836" t="s">
        <v>959</v>
      </c>
    </row>
    <row r="49" spans="1:3" x14ac:dyDescent="0.25">
      <c r="A49" s="828" t="s">
        <v>1011</v>
      </c>
      <c r="B49" s="828" t="s">
        <v>986</v>
      </c>
      <c r="C49" s="837" t="s">
        <v>1030</v>
      </c>
    </row>
    <row r="50" spans="1:3" x14ac:dyDescent="0.25">
      <c r="A50" s="828" t="s">
        <v>1006</v>
      </c>
      <c r="B50" s="839" t="s">
        <v>1021</v>
      </c>
      <c r="C50" s="836" t="s">
        <v>1026</v>
      </c>
    </row>
    <row r="51" spans="1:3" x14ac:dyDescent="0.25">
      <c r="A51" s="828" t="s">
        <v>1045</v>
      </c>
      <c r="B51" s="828" t="s">
        <v>1023</v>
      </c>
      <c r="C51" s="836" t="s">
        <v>1029</v>
      </c>
    </row>
    <row r="52" spans="1:3" x14ac:dyDescent="0.25">
      <c r="A52" s="828" t="s">
        <v>1005</v>
      </c>
      <c r="B52" s="839" t="s">
        <v>1020</v>
      </c>
      <c r="C52" s="836" t="s">
        <v>1026</v>
      </c>
    </row>
    <row r="53" spans="1:3" x14ac:dyDescent="0.25">
      <c r="A53" s="828" t="s">
        <v>1046</v>
      </c>
      <c r="B53" s="828" t="s">
        <v>986</v>
      </c>
      <c r="C53" s="829" t="s">
        <v>1028</v>
      </c>
    </row>
    <row r="54" spans="1:3" x14ac:dyDescent="0.25">
      <c r="A54" s="828" t="s">
        <v>1041</v>
      </c>
      <c r="B54" s="828" t="s">
        <v>1018</v>
      </c>
      <c r="C54" s="836" t="s">
        <v>959</v>
      </c>
    </row>
    <row r="55" spans="1:3" x14ac:dyDescent="0.25">
      <c r="A55" s="828" t="s">
        <v>1042</v>
      </c>
      <c r="B55" s="828" t="s">
        <v>1019</v>
      </c>
      <c r="C55" s="836" t="s">
        <v>959</v>
      </c>
    </row>
    <row r="56" spans="1:3" ht="16.5" thickBot="1" x14ac:dyDescent="0.3">
      <c r="A56" s="830" t="s">
        <v>1007</v>
      </c>
      <c r="B56" s="830" t="s">
        <v>1022</v>
      </c>
      <c r="C56" s="835" t="s">
        <v>959</v>
      </c>
    </row>
    <row r="57" spans="1:3" ht="6" customHeight="1" x14ac:dyDescent="0.25">
      <c r="A57" s="832"/>
      <c r="B57" s="832"/>
      <c r="C57" s="832"/>
    </row>
    <row r="58" spans="1:3" ht="16.5" x14ac:dyDescent="0.3">
      <c r="A58" s="826" t="s">
        <v>1012</v>
      </c>
      <c r="B58" s="833"/>
      <c r="C58" s="834"/>
    </row>
    <row r="59" spans="1:3" x14ac:dyDescent="0.25">
      <c r="A59" s="828" t="s">
        <v>1047</v>
      </c>
      <c r="B59" s="828" t="s">
        <v>986</v>
      </c>
      <c r="C59" s="836" t="s">
        <v>959</v>
      </c>
    </row>
    <row r="60" spans="1:3" x14ac:dyDescent="0.25">
      <c r="A60" s="828" t="s">
        <v>1014</v>
      </c>
      <c r="B60" s="828" t="s">
        <v>957</v>
      </c>
      <c r="C60" s="836" t="s">
        <v>1032</v>
      </c>
    </row>
    <row r="61" spans="1:3" ht="15.75" customHeight="1" x14ac:dyDescent="0.3">
      <c r="A61" s="822" t="s">
        <v>1015</v>
      </c>
      <c r="B61" s="828" t="s">
        <v>1025</v>
      </c>
      <c r="C61" s="836" t="s">
        <v>1033</v>
      </c>
    </row>
    <row r="62" spans="1:3" ht="17.25" customHeight="1" thickBot="1" x14ac:dyDescent="0.3">
      <c r="A62" s="830" t="s">
        <v>1013</v>
      </c>
      <c r="B62" s="830" t="s">
        <v>1024</v>
      </c>
      <c r="C62" s="835" t="s">
        <v>1031</v>
      </c>
    </row>
    <row r="63" spans="1:3" ht="6" customHeight="1" x14ac:dyDescent="0.25"/>
    <row r="64" spans="1:3" x14ac:dyDescent="0.25">
      <c r="A64" s="841" t="s">
        <v>1016</v>
      </c>
    </row>
    <row r="66" spans="1:1" x14ac:dyDescent="0.25">
      <c r="A66" s="627" t="s">
        <v>1017</v>
      </c>
    </row>
  </sheetData>
  <sheetProtection algorithmName="SHA-512" hashValue="NXKZ0ICvmsUCpHdrRDKsGGPnXX4tlRYbB3bcMlCi0mSd1GSQZQ6UiCxOo2Uu/Fan/J4suiob1ucWG31n2+03eQ==" saltValue="A0lhEuAaMCWDV/s9sySVSA==" spinCount="100000" sheet="1" objects="1" scenarios="1"/>
  <sortState xmlns:xlrd2="http://schemas.microsoft.com/office/spreadsheetml/2017/richdata2" ref="A25:C43">
    <sortCondition ref="A25:A43"/>
  </sortState>
  <mergeCells count="2">
    <mergeCell ref="A1:C1"/>
    <mergeCell ref="A2:B2"/>
  </mergeCells>
  <hyperlinks>
    <hyperlink ref="A66" r:id="rId1" display="mailto:gernot@hinter-dsa.de?subject=Aventuria%20Playthroughs%20-%20Missing%20link/video" xr:uid="{BC85F7B8-6462-4D10-A113-0158B7461D73}"/>
    <hyperlink ref="C2" r:id="rId2" xr:uid="{B3FB9464-284D-466A-9A85-542101FA74FE}"/>
  </hyperlinks>
  <pageMargins left="0.15748031496062992" right="0.15748031496062992" top="7.874015748031496E-2" bottom="7.874015748031496E-2" header="3.937007874015748E-2" footer="3.937007874015748E-2"/>
  <pageSetup paperSize="9" scale="43" fitToHeight="0" orientation="landscape" r:id="rId3"/>
  <rowBreaks count="2" manualBreakCount="2">
    <brk id="68" max="5" man="1"/>
    <brk id="161" max="5" man="1"/>
  </rowBreaks>
  <colBreaks count="1" manualBreakCount="1">
    <brk id="3" max="6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FCFFB-A6C8-44D5-9EEA-D05540228E43}">
  <sheetPr>
    <pageSetUpPr fitToPage="1"/>
  </sheetPr>
  <dimension ref="A1:B11"/>
  <sheetViews>
    <sheetView showGridLines="0" zoomScaleNormal="100" workbookViewId="0">
      <pane xSplit="1" ySplit="1" topLeftCell="B2" activePane="bottomRight" state="frozen"/>
      <selection pane="topRight" activeCell="B1" sqref="B1"/>
      <selection pane="bottomLeft" activeCell="A2" sqref="A2"/>
      <selection pane="bottomRight" sqref="A1:B1"/>
    </sheetView>
  </sheetViews>
  <sheetFormatPr baseColWidth="10" defaultRowHeight="16.5" x14ac:dyDescent="0.3"/>
  <cols>
    <col min="1" max="1" width="11.42578125" style="709"/>
    <col min="2" max="2" width="103.140625" style="599" bestFit="1" customWidth="1"/>
    <col min="3" max="16384" width="11.42578125" style="599"/>
  </cols>
  <sheetData>
    <row r="1" spans="1:2" x14ac:dyDescent="0.3">
      <c r="A1" s="709" t="s">
        <v>624</v>
      </c>
      <c r="B1" s="1097" t="s">
        <v>625</v>
      </c>
    </row>
    <row r="2" spans="1:2" x14ac:dyDescent="0.3">
      <c r="A2" s="859">
        <v>45695</v>
      </c>
      <c r="B2" s="710" t="s">
        <v>623</v>
      </c>
    </row>
    <row r="3" spans="1:2" x14ac:dyDescent="0.3">
      <c r="A3" s="859">
        <v>45696</v>
      </c>
      <c r="B3" s="599" t="s">
        <v>1079</v>
      </c>
    </row>
    <row r="4" spans="1:2" x14ac:dyDescent="0.3">
      <c r="A4" s="859">
        <v>45697</v>
      </c>
      <c r="B4" s="599" t="s">
        <v>1078</v>
      </c>
    </row>
    <row r="5" spans="1:2" x14ac:dyDescent="0.3">
      <c r="A5" s="859">
        <v>45698</v>
      </c>
      <c r="B5" s="599" t="s">
        <v>1078</v>
      </c>
    </row>
    <row r="6" spans="1:2" x14ac:dyDescent="0.3">
      <c r="A6" s="859">
        <v>45699</v>
      </c>
      <c r="B6" s="599" t="s">
        <v>1077</v>
      </c>
    </row>
    <row r="7" spans="1:2" x14ac:dyDescent="0.3">
      <c r="A7" s="859">
        <v>45702</v>
      </c>
      <c r="B7" s="599" t="s">
        <v>1076</v>
      </c>
    </row>
    <row r="8" spans="1:2" x14ac:dyDescent="0.3">
      <c r="A8" s="859">
        <v>45703</v>
      </c>
      <c r="B8" s="599" t="s">
        <v>1078</v>
      </c>
    </row>
    <row r="9" spans="1:2" x14ac:dyDescent="0.3">
      <c r="A9" s="859">
        <v>45704</v>
      </c>
      <c r="B9" s="599" t="s">
        <v>1096</v>
      </c>
    </row>
    <row r="10" spans="1:2" x14ac:dyDescent="0.3">
      <c r="A10" s="859">
        <v>45705</v>
      </c>
      <c r="B10" s="599" t="s">
        <v>1102</v>
      </c>
    </row>
    <row r="11" spans="1:2" ht="33" x14ac:dyDescent="0.3">
      <c r="A11" s="859">
        <v>45707</v>
      </c>
      <c r="B11" s="710" t="s">
        <v>1113</v>
      </c>
    </row>
  </sheetData>
  <sheetProtection algorithmName="SHA-512" hashValue="WZyi1QYBBzHUOI/7N8zmZMtDrDggvVo2JypK8fRYu6efa5JxzNxSsd6PxTS78Z/44zZk8XcngpNIHyetI3yykQ==" saltValue="/03UCWEyWtmoilg4uQumNg==" spinCount="100000" sheet="1" objects="1" scenarios="1"/>
  <pageMargins left="0.28999999999999998" right="0.7" top="0.78740157499999996" bottom="0.78740157499999996" header="0.3" footer="0.3"/>
  <pageSetup paperSize="9"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66489-48CB-4CB3-A14C-D94BAC65D341}">
  <sheetPr codeName="Tabelle3">
    <tabColor rgb="FFFF0000"/>
  </sheetPr>
  <dimension ref="A1:EL207"/>
  <sheetViews>
    <sheetView showGridLines="0" workbookViewId="0">
      <pane xSplit="1" ySplit="4" topLeftCell="B63" activePane="bottomRight" state="frozen"/>
      <selection pane="topRight" activeCell="C1" sqref="C1"/>
      <selection pane="bottomLeft" activeCell="A3" sqref="A3"/>
      <selection pane="bottomRight"/>
    </sheetView>
  </sheetViews>
  <sheetFormatPr baseColWidth="10" defaultRowHeight="15" outlineLevelRow="2" x14ac:dyDescent="0.25"/>
  <cols>
    <col min="1" max="1" width="16.85546875" style="12" bestFit="1" customWidth="1"/>
    <col min="2" max="3" width="11.5703125" style="3" customWidth="1"/>
    <col min="4" max="4" width="11.5703125" style="20" customWidth="1"/>
    <col min="5" max="5" width="12.140625" style="12" bestFit="1" customWidth="1"/>
    <col min="6" max="6" width="11.5703125" style="12" bestFit="1" customWidth="1"/>
    <col min="7" max="7" width="11.5703125" style="20" customWidth="1"/>
    <col min="8" max="8" width="12.140625" style="12" bestFit="1" customWidth="1"/>
    <col min="9" max="9" width="11.5703125" style="12" bestFit="1" customWidth="1"/>
    <col min="10" max="10" width="11.5703125" style="12" customWidth="1"/>
    <col min="11" max="12" width="11.5703125" style="12" bestFit="1" customWidth="1"/>
    <col min="13" max="13" width="11.5703125" style="12" customWidth="1"/>
    <col min="14" max="14" width="12.140625" style="12" bestFit="1" customWidth="1"/>
    <col min="15" max="15" width="11.5703125" style="12" bestFit="1" customWidth="1"/>
    <col min="16" max="16" width="11.5703125" style="12" customWidth="1"/>
    <col min="17" max="17" width="12.140625" style="12" bestFit="1" customWidth="1"/>
    <col min="18" max="18" width="11.5703125" style="12" bestFit="1" customWidth="1"/>
    <col min="19" max="19" width="11.5703125" style="12" customWidth="1"/>
    <col min="20" max="20" width="12.140625" style="12" bestFit="1" customWidth="1"/>
    <col min="21" max="21" width="11.5703125" style="12" bestFit="1" customWidth="1"/>
    <col min="22" max="22" width="11.5703125" style="12" customWidth="1"/>
    <col min="23" max="23" width="12.140625" style="12" bestFit="1" customWidth="1"/>
    <col min="24" max="24" width="11.5703125" style="12" bestFit="1" customWidth="1"/>
    <col min="25" max="25" width="11.5703125" style="12" customWidth="1"/>
    <col min="26" max="26" width="12.140625" style="12" bestFit="1" customWidth="1"/>
    <col min="27" max="27" width="11.5703125" style="12" bestFit="1" customWidth="1"/>
    <col min="28" max="28" width="11.5703125" style="12" customWidth="1"/>
    <col min="29" max="30" width="11.5703125" style="12" bestFit="1" customWidth="1"/>
    <col min="31" max="31" width="11.5703125" style="12" customWidth="1"/>
    <col min="32" max="32" width="12.140625" style="12" bestFit="1" customWidth="1"/>
    <col min="33" max="33" width="11.5703125" style="12" bestFit="1" customWidth="1"/>
    <col min="34" max="40" width="11.5703125" style="12" customWidth="1"/>
    <col min="41" max="49" width="11.42578125" style="12"/>
    <col min="59" max="59" width="11.42578125" style="171"/>
    <col min="60" max="60" width="6.42578125" style="171" bestFit="1" customWidth="1"/>
    <col min="61" max="63" width="8.7109375" style="171" customWidth="1"/>
    <col min="64" max="64" width="9.140625" style="171" bestFit="1" customWidth="1"/>
    <col min="65" max="72" width="8.7109375" style="171" customWidth="1"/>
    <col min="73" max="73" width="6.140625" style="171" customWidth="1"/>
    <col min="74" max="74" width="6.42578125" style="171" bestFit="1" customWidth="1"/>
    <col min="75" max="75" width="5.5703125" bestFit="1" customWidth="1"/>
    <col min="76" max="76" width="5.28515625" bestFit="1" customWidth="1"/>
    <col min="77" max="82" width="5.28515625" customWidth="1"/>
    <col min="83" max="83" width="11.42578125" style="4"/>
    <col min="84" max="84" width="11.42578125" style="5"/>
    <col min="85" max="85" width="11.42578125" style="10"/>
    <col min="86" max="86" width="11.42578125" style="13"/>
    <col min="87" max="87" width="11.42578125" style="4"/>
    <col min="88" max="88" width="11.42578125" style="5"/>
    <col min="89" max="89" width="11.42578125" style="4"/>
    <col min="90" max="90" width="11.42578125" style="5"/>
    <col min="91" max="91" width="11.42578125" style="4"/>
    <col min="92" max="92" width="11.42578125" style="5"/>
    <col min="93" max="93" width="11.42578125" style="4"/>
    <col min="94" max="94" width="11.42578125" style="5"/>
    <col min="95" max="95" width="11.42578125" style="4"/>
    <col min="96" max="96" width="11.42578125" style="5"/>
    <col min="97" max="97" width="11.42578125" style="4"/>
    <col min="98" max="98" width="11.42578125" style="5"/>
    <col min="99" max="99" width="11.42578125" style="4"/>
    <col min="100" max="100" width="11.42578125" style="5"/>
    <col min="101" max="101" width="11.42578125" style="4"/>
    <col min="102" max="102" width="11.42578125" style="5"/>
    <col min="103" max="103" width="11.42578125" style="4"/>
    <col min="104" max="104" width="11.42578125" style="5"/>
    <col min="105" max="105" width="11.42578125" style="4"/>
    <col min="106" max="106" width="11.42578125" style="5"/>
    <col min="107" max="107" width="11.42578125" style="4"/>
    <col min="108" max="108" width="11.42578125" style="5"/>
    <col min="109" max="109" width="11.42578125" style="4"/>
    <col min="110" max="110" width="11.42578125" style="5"/>
    <col min="111" max="111" width="11.42578125" style="4"/>
    <col min="112" max="112" width="11.42578125" style="5"/>
    <col min="113" max="113" width="2.85546875" customWidth="1"/>
    <col min="114" max="114" width="6.85546875" customWidth="1"/>
    <col min="115" max="115" width="2.85546875" customWidth="1"/>
    <col min="116" max="116" width="6.85546875" customWidth="1"/>
    <col min="117" max="117" width="2.85546875" customWidth="1"/>
    <col min="118" max="118" width="6.85546875" customWidth="1"/>
    <col min="119" max="119" width="2.85546875" customWidth="1"/>
    <col min="120" max="120" width="6.85546875" customWidth="1"/>
    <col min="121" max="121" width="2.85546875" customWidth="1"/>
    <col min="122" max="122" width="6.85546875" customWidth="1"/>
    <col min="123" max="123" width="2.85546875" customWidth="1"/>
    <col min="124" max="124" width="6.85546875" customWidth="1"/>
    <col min="125" max="125" width="2.85546875" customWidth="1"/>
    <col min="126" max="126" width="6.85546875" customWidth="1"/>
    <col min="127" max="127" width="2.85546875" customWidth="1"/>
    <col min="128" max="128" width="6.85546875" customWidth="1"/>
    <col min="129" max="129" width="2.85546875" customWidth="1"/>
    <col min="130" max="130" width="6.85546875" customWidth="1"/>
    <col min="131" max="131" width="2.85546875" customWidth="1"/>
    <col min="132" max="132" width="6.85546875" customWidth="1"/>
    <col min="133" max="133" width="2.85546875" customWidth="1"/>
    <col min="134" max="134" width="6.85546875" customWidth="1"/>
    <col min="135" max="135" width="2.85546875" customWidth="1"/>
    <col min="136" max="136" width="6.85546875" customWidth="1"/>
    <col min="137" max="137" width="2.85546875" customWidth="1"/>
    <col min="138" max="138" width="6.85546875" customWidth="1"/>
    <col min="139" max="139" width="2.85546875" customWidth="1"/>
    <col min="140" max="140" width="6.85546875" customWidth="1"/>
    <col min="141" max="141" width="2.85546875" customWidth="1"/>
    <col min="142" max="142" width="6.85546875" customWidth="1"/>
  </cols>
  <sheetData>
    <row r="1" spans="1:142" x14ac:dyDescent="0.25">
      <c r="A1" s="12" t="s">
        <v>205</v>
      </c>
      <c r="E1" s="3"/>
      <c r="F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606"/>
      <c r="AR1" s="3"/>
      <c r="AS1" s="3"/>
      <c r="AT1" s="3"/>
      <c r="AU1" s="3"/>
      <c r="AV1" s="3"/>
      <c r="AW1" s="3"/>
      <c r="BW1" s="253"/>
      <c r="BX1" s="253"/>
      <c r="BY1" s="253"/>
      <c r="BZ1" s="253"/>
      <c r="CA1" s="253"/>
      <c r="CB1" s="253"/>
      <c r="CC1" s="253"/>
      <c r="CD1" s="253"/>
      <c r="CE1" s="1010" t="s">
        <v>245</v>
      </c>
      <c r="CF1" s="1010"/>
      <c r="CG1" s="267"/>
      <c r="CH1" s="268"/>
      <c r="CI1" s="1010" t="s">
        <v>245</v>
      </c>
      <c r="CJ1" s="1010"/>
      <c r="CK1" s="265"/>
      <c r="CL1" s="266"/>
      <c r="CM1" s="1010" t="s">
        <v>622</v>
      </c>
      <c r="CN1" s="1010"/>
      <c r="CO1" s="265"/>
      <c r="CP1" s="266"/>
      <c r="CQ1" s="265"/>
      <c r="CR1" s="266"/>
      <c r="CS1" s="265"/>
      <c r="CT1" s="266"/>
      <c r="CU1" s="265"/>
      <c r="CV1" s="266"/>
      <c r="CW1" s="265"/>
      <c r="CX1" s="266"/>
      <c r="CY1" s="1010" t="s">
        <v>622</v>
      </c>
      <c r="CZ1" s="1010"/>
      <c r="DA1" s="1010"/>
      <c r="DB1" s="1010"/>
      <c r="DC1" s="265"/>
      <c r="DD1" s="266"/>
      <c r="DE1" s="265"/>
      <c r="DF1" s="266"/>
      <c r="DG1" s="265"/>
      <c r="DH1" s="266"/>
      <c r="DI1" s="1010" t="s">
        <v>141</v>
      </c>
      <c r="DJ1" s="1010"/>
      <c r="DK1" s="253"/>
      <c r="DL1" s="253"/>
      <c r="DM1" s="253"/>
      <c r="DN1" s="253"/>
      <c r="DO1" s="1010" t="s">
        <v>142</v>
      </c>
      <c r="DP1" s="1010"/>
      <c r="DQ1" s="1010" t="s">
        <v>247</v>
      </c>
      <c r="DR1" s="1010"/>
      <c r="DS1" s="265"/>
      <c r="DT1" s="266"/>
      <c r="DU1" s="265"/>
      <c r="DV1" s="266"/>
      <c r="DW1" s="1010" t="s">
        <v>141</v>
      </c>
      <c r="DX1" s="1010"/>
      <c r="DY1" s="265"/>
      <c r="DZ1" s="266"/>
      <c r="EA1" s="1010" t="s">
        <v>142</v>
      </c>
      <c r="EB1" s="1010"/>
      <c r="EC1" s="1010"/>
      <c r="ED1" s="1010"/>
      <c r="EE1" s="1010"/>
      <c r="EF1" s="1010"/>
      <c r="EG1" s="1010" t="s">
        <v>142</v>
      </c>
      <c r="EH1" s="1010"/>
      <c r="EI1" s="265"/>
      <c r="EJ1" s="266"/>
      <c r="EK1" s="265"/>
      <c r="EL1" s="266"/>
    </row>
    <row r="2" spans="1:142" ht="15.75" hidden="1" outlineLevel="1" thickBot="1" x14ac:dyDescent="0.3">
      <c r="A2" s="357" t="s">
        <v>237</v>
      </c>
      <c r="E2" s="3"/>
      <c r="F2" s="3"/>
      <c r="H2" s="3"/>
      <c r="I2" s="3"/>
      <c r="J2" s="3"/>
      <c r="K2" s="3"/>
      <c r="L2" s="3"/>
      <c r="M2" s="3"/>
      <c r="N2" s="3"/>
      <c r="O2" s="3"/>
      <c r="P2" s="3"/>
      <c r="Q2" s="3"/>
      <c r="R2" s="3"/>
      <c r="S2" s="3"/>
      <c r="T2" s="3"/>
      <c r="U2" s="3"/>
      <c r="V2" s="3"/>
      <c r="W2" s="3"/>
      <c r="X2" s="3"/>
      <c r="Y2" s="3"/>
      <c r="Z2" s="3"/>
      <c r="AA2" s="3"/>
      <c r="AB2" s="3"/>
      <c r="AC2" s="3"/>
      <c r="AD2" s="3"/>
      <c r="AE2" s="3"/>
      <c r="AF2" s="1008" t="s">
        <v>406</v>
      </c>
      <c r="AG2" s="1008"/>
      <c r="AH2" s="1008"/>
      <c r="AI2" s="3"/>
      <c r="AJ2" s="3"/>
      <c r="AK2" s="3"/>
      <c r="AL2" s="1008" t="s">
        <v>406</v>
      </c>
      <c r="AM2" s="1008"/>
      <c r="AN2" s="1008"/>
      <c r="AO2" s="3"/>
      <c r="AP2" s="3"/>
      <c r="AQ2" s="3"/>
      <c r="AR2" s="3"/>
      <c r="AS2" s="3"/>
      <c r="AT2" s="3"/>
      <c r="AU2" s="608" t="s">
        <v>437</v>
      </c>
      <c r="AV2" s="3"/>
      <c r="AW2" s="3"/>
      <c r="BW2" s="253"/>
      <c r="BX2" s="253"/>
      <c r="BY2" s="1028" t="s">
        <v>621</v>
      </c>
      <c r="BZ2" s="1028"/>
      <c r="CA2" s="253"/>
      <c r="CB2" s="253"/>
      <c r="CC2" s="253"/>
      <c r="CD2" s="253"/>
      <c r="CE2" s="1010" t="s">
        <v>244</v>
      </c>
      <c r="CF2" s="1010"/>
      <c r="CG2" s="267"/>
      <c r="CH2" s="268"/>
      <c r="CI2" s="1010" t="s">
        <v>244</v>
      </c>
      <c r="CJ2" s="1010"/>
      <c r="CK2" s="265"/>
      <c r="CL2" s="266"/>
      <c r="CM2" s="1010" t="s">
        <v>244</v>
      </c>
      <c r="CN2" s="1010"/>
      <c r="CO2" s="265"/>
      <c r="CP2" s="266"/>
      <c r="CQ2" s="265"/>
      <c r="CR2" s="266"/>
      <c r="CS2" s="265"/>
      <c r="CT2" s="266"/>
      <c r="CU2" s="265"/>
      <c r="CV2" s="266"/>
      <c r="CW2" s="265"/>
      <c r="CX2" s="266"/>
      <c r="CY2" s="1023" t="s">
        <v>406</v>
      </c>
      <c r="CZ2" s="1023"/>
      <c r="DA2" s="265"/>
      <c r="DB2" s="265"/>
      <c r="DC2" s="1023" t="s">
        <v>406</v>
      </c>
      <c r="DD2" s="1023"/>
      <c r="DE2" s="265"/>
      <c r="DF2" s="266"/>
      <c r="DG2" s="266"/>
      <c r="DH2" s="266"/>
      <c r="DI2" s="265"/>
      <c r="DJ2" s="265"/>
      <c r="DK2" s="253"/>
      <c r="DL2" s="253"/>
      <c r="DM2" s="253"/>
      <c r="DN2" s="253"/>
      <c r="DO2" s="265"/>
      <c r="DP2" s="265"/>
      <c r="DQ2" s="265"/>
      <c r="DR2" s="265"/>
      <c r="DS2" s="265"/>
      <c r="DT2" s="266"/>
      <c r="DU2" s="265"/>
      <c r="DV2" s="266"/>
      <c r="DW2" s="265"/>
      <c r="DX2" s="265"/>
      <c r="DY2" s="265"/>
      <c r="DZ2" s="266"/>
      <c r="EA2" s="265"/>
      <c r="EB2" s="265"/>
      <c r="EC2" s="265"/>
      <c r="ED2" s="265"/>
      <c r="EE2" s="265"/>
      <c r="EF2" s="265"/>
      <c r="EG2" s="265"/>
      <c r="EH2" s="265"/>
      <c r="EI2" s="265"/>
      <c r="EJ2" s="266"/>
      <c r="EK2" s="265"/>
      <c r="EL2" s="266"/>
    </row>
    <row r="3" spans="1:142" ht="15.75" hidden="1" outlineLevel="1" thickBot="1" x14ac:dyDescent="0.3">
      <c r="B3" s="1034" t="s">
        <v>225</v>
      </c>
      <c r="C3" s="1035"/>
      <c r="D3" s="1035"/>
      <c r="E3" s="1041" t="s">
        <v>222</v>
      </c>
      <c r="F3" s="1042"/>
      <c r="G3" s="1042"/>
      <c r="H3" s="1043" t="s">
        <v>223</v>
      </c>
      <c r="I3" s="1044"/>
      <c r="J3" s="1044"/>
      <c r="K3" s="1034" t="s">
        <v>224</v>
      </c>
      <c r="L3" s="1035"/>
      <c r="M3" s="1035"/>
      <c r="N3" s="1046" t="s">
        <v>226</v>
      </c>
      <c r="O3" s="1047"/>
      <c r="P3" s="1047"/>
      <c r="Q3" s="1050" t="s">
        <v>57</v>
      </c>
      <c r="R3" s="1051"/>
      <c r="S3" s="1051"/>
      <c r="T3" s="1050" t="s">
        <v>227</v>
      </c>
      <c r="U3" s="1051"/>
      <c r="V3" s="1051"/>
      <c r="W3" s="1043" t="s">
        <v>228</v>
      </c>
      <c r="X3" s="1044"/>
      <c r="Y3" s="1044"/>
      <c r="Z3" s="1046" t="s">
        <v>230</v>
      </c>
      <c r="AA3" s="1047"/>
      <c r="AB3" s="1047"/>
      <c r="AC3" s="1043" t="s">
        <v>229</v>
      </c>
      <c r="AD3" s="1044"/>
      <c r="AE3" s="1044"/>
      <c r="AF3" s="1050" t="s">
        <v>231</v>
      </c>
      <c r="AG3" s="1051"/>
      <c r="AH3" s="1051"/>
      <c r="AI3" s="1050" t="s">
        <v>206</v>
      </c>
      <c r="AJ3" s="1051"/>
      <c r="AK3" s="1051"/>
      <c r="AL3" s="1043" t="s">
        <v>399</v>
      </c>
      <c r="AM3" s="1044"/>
      <c r="AN3" s="1044"/>
      <c r="AO3" s="1046" t="s">
        <v>251</v>
      </c>
      <c r="AP3" s="1047"/>
      <c r="AQ3" s="1047"/>
      <c r="AR3" s="1046" t="s">
        <v>400</v>
      </c>
      <c r="AS3" s="1047"/>
      <c r="AT3" s="1047"/>
      <c r="AU3" s="1034" t="s">
        <v>432</v>
      </c>
      <c r="AV3" s="1035"/>
      <c r="AW3" s="1035"/>
      <c r="BI3" s="274" t="s">
        <v>140</v>
      </c>
      <c r="BW3" s="1029" t="s">
        <v>149</v>
      </c>
      <c r="BX3" s="1029"/>
      <c r="BY3" s="1029"/>
      <c r="BZ3" s="1029"/>
      <c r="CA3" s="1029"/>
      <c r="CB3" s="1029"/>
      <c r="CC3" s="1029"/>
      <c r="CD3" s="1029"/>
      <c r="CE3" s="1020" t="s">
        <v>128</v>
      </c>
      <c r="CF3" s="1020" t="s">
        <v>81</v>
      </c>
      <c r="CG3" s="1021" t="s">
        <v>129</v>
      </c>
      <c r="CH3" s="1021" t="s">
        <v>85</v>
      </c>
      <c r="CI3" s="1022" t="s">
        <v>130</v>
      </c>
      <c r="CJ3" s="1012" t="s">
        <v>83</v>
      </c>
      <c r="CK3" s="1019" t="s">
        <v>131</v>
      </c>
      <c r="CL3" s="1033" t="s">
        <v>45</v>
      </c>
      <c r="CM3" s="1017" t="s">
        <v>132</v>
      </c>
      <c r="CN3" s="1018" t="s">
        <v>56</v>
      </c>
      <c r="CO3" s="1015" t="s">
        <v>133</v>
      </c>
      <c r="CP3" s="1016" t="s">
        <v>66</v>
      </c>
      <c r="CQ3" s="1015" t="s">
        <v>134</v>
      </c>
      <c r="CR3" s="1016" t="s">
        <v>87</v>
      </c>
      <c r="CS3" s="1011" t="s">
        <v>135</v>
      </c>
      <c r="CT3" s="1012" t="s">
        <v>89</v>
      </c>
      <c r="CU3" s="1017" t="s">
        <v>136</v>
      </c>
      <c r="CV3" s="1018" t="s">
        <v>96</v>
      </c>
      <c r="CW3" s="1011" t="s">
        <v>137</v>
      </c>
      <c r="CX3" s="1012" t="s">
        <v>105</v>
      </c>
      <c r="CY3" s="1015" t="s">
        <v>138</v>
      </c>
      <c r="CZ3" s="1016" t="s">
        <v>112</v>
      </c>
      <c r="DA3" s="1015" t="s">
        <v>232</v>
      </c>
      <c r="DB3" s="1016" t="s">
        <v>112</v>
      </c>
      <c r="DC3" s="1011" t="s">
        <v>404</v>
      </c>
      <c r="DD3" s="1012" t="s">
        <v>105</v>
      </c>
      <c r="DE3" s="1017" t="s">
        <v>405</v>
      </c>
      <c r="DF3" s="1018" t="s">
        <v>96</v>
      </c>
      <c r="DG3" s="1017" t="s">
        <v>426</v>
      </c>
      <c r="DH3" s="1018" t="s">
        <v>96</v>
      </c>
      <c r="DI3" s="253"/>
      <c r="DJ3" s="253"/>
      <c r="DK3" s="253"/>
      <c r="DL3" s="253"/>
      <c r="DM3" s="253"/>
      <c r="DN3" s="253"/>
      <c r="DO3" s="253"/>
      <c r="DP3" s="253"/>
      <c r="DQ3" s="253"/>
      <c r="DR3" s="253"/>
      <c r="DS3" s="253"/>
      <c r="DT3" s="253"/>
      <c r="DU3" s="253"/>
      <c r="DV3" s="253"/>
      <c r="DW3" s="253"/>
      <c r="DX3" s="253"/>
      <c r="DY3" s="253"/>
      <c r="DZ3" s="253"/>
      <c r="EA3" s="253"/>
      <c r="EB3" s="253"/>
      <c r="EC3" s="253"/>
      <c r="ED3" s="253"/>
      <c r="EE3" s="253"/>
      <c r="EF3" s="253"/>
      <c r="EG3" s="253"/>
      <c r="EH3" s="253"/>
      <c r="EI3" s="253"/>
      <c r="EJ3" s="253"/>
      <c r="EK3" s="253"/>
      <c r="EL3" s="253"/>
    </row>
    <row r="4" spans="1:142" hidden="1" outlineLevel="1" x14ac:dyDescent="0.25">
      <c r="A4" s="12" t="s">
        <v>12</v>
      </c>
      <c r="B4" s="176" t="s">
        <v>200</v>
      </c>
      <c r="C4" s="177" t="s">
        <v>201</v>
      </c>
      <c r="D4" s="369" t="s">
        <v>202</v>
      </c>
      <c r="E4" s="180" t="s">
        <v>28</v>
      </c>
      <c r="F4" s="181" t="s">
        <v>29</v>
      </c>
      <c r="G4" s="181" t="s">
        <v>203</v>
      </c>
      <c r="H4" s="182" t="s">
        <v>78</v>
      </c>
      <c r="I4" s="183" t="s">
        <v>79</v>
      </c>
      <c r="J4" s="183" t="s">
        <v>204</v>
      </c>
      <c r="K4" s="176" t="s">
        <v>33</v>
      </c>
      <c r="L4" s="177" t="s">
        <v>34</v>
      </c>
      <c r="M4" s="177" t="s">
        <v>207</v>
      </c>
      <c r="N4" s="178" t="s">
        <v>46</v>
      </c>
      <c r="O4" s="179" t="s">
        <v>47</v>
      </c>
      <c r="P4" s="179" t="s">
        <v>208</v>
      </c>
      <c r="Q4" s="3" t="s">
        <v>53</v>
      </c>
      <c r="R4" s="3" t="s">
        <v>54</v>
      </c>
      <c r="S4" s="3" t="s">
        <v>209</v>
      </c>
      <c r="T4" s="3" t="s">
        <v>64</v>
      </c>
      <c r="U4" s="3" t="s">
        <v>67</v>
      </c>
      <c r="V4" s="3" t="s">
        <v>210</v>
      </c>
      <c r="W4" s="182" t="s">
        <v>74</v>
      </c>
      <c r="X4" s="183" t="s">
        <v>75</v>
      </c>
      <c r="Y4" s="384" t="s">
        <v>211</v>
      </c>
      <c r="Z4" s="178" t="s">
        <v>76</v>
      </c>
      <c r="AA4" s="179" t="s">
        <v>77</v>
      </c>
      <c r="AB4" s="179" t="s">
        <v>212</v>
      </c>
      <c r="AC4" s="182" t="s">
        <v>94</v>
      </c>
      <c r="AD4" s="183" t="s">
        <v>93</v>
      </c>
      <c r="AE4" s="384" t="s">
        <v>213</v>
      </c>
      <c r="AF4" s="3" t="s">
        <v>102</v>
      </c>
      <c r="AG4" s="3" t="s">
        <v>103</v>
      </c>
      <c r="AH4" s="3" t="s">
        <v>214</v>
      </c>
      <c r="AI4" s="3" t="s">
        <v>109</v>
      </c>
      <c r="AJ4" s="3" t="s">
        <v>110</v>
      </c>
      <c r="AK4" s="3" t="s">
        <v>215</v>
      </c>
      <c r="AL4" s="182" t="s">
        <v>216</v>
      </c>
      <c r="AM4" s="183" t="s">
        <v>218</v>
      </c>
      <c r="AN4" s="384" t="s">
        <v>217</v>
      </c>
      <c r="AO4" s="178" t="s">
        <v>252</v>
      </c>
      <c r="AP4" s="179" t="s">
        <v>253</v>
      </c>
      <c r="AQ4" s="179" t="s">
        <v>254</v>
      </c>
      <c r="AR4" s="178" t="s">
        <v>401</v>
      </c>
      <c r="AS4" s="179" t="s">
        <v>402</v>
      </c>
      <c r="AT4" s="179" t="s">
        <v>436</v>
      </c>
      <c r="AU4" s="607" t="s">
        <v>433</v>
      </c>
      <c r="AV4" s="177" t="s">
        <v>434</v>
      </c>
      <c r="AW4" s="177" t="s">
        <v>435</v>
      </c>
      <c r="BI4" s="1030" t="s">
        <v>90</v>
      </c>
      <c r="BJ4" s="1031"/>
      <c r="BK4" s="1032"/>
      <c r="BL4" s="1030" t="s">
        <v>91</v>
      </c>
      <c r="BM4" s="1031"/>
      <c r="BN4" s="1032"/>
      <c r="BO4" s="1029" t="s">
        <v>233</v>
      </c>
      <c r="BP4" s="1029"/>
      <c r="BQ4" s="1029"/>
      <c r="BR4" s="1029" t="s">
        <v>234</v>
      </c>
      <c r="BS4" s="1029"/>
      <c r="BT4" s="1029"/>
      <c r="BW4" s="1029" t="s">
        <v>90</v>
      </c>
      <c r="BX4" s="1029"/>
      <c r="BY4" s="1029" t="s">
        <v>91</v>
      </c>
      <c r="BZ4" s="1029"/>
      <c r="CA4" s="1029" t="s">
        <v>42</v>
      </c>
      <c r="CB4" s="1029"/>
      <c r="CC4" s="1029" t="s">
        <v>256</v>
      </c>
      <c r="CD4" s="1029"/>
      <c r="CE4" s="1020" t="s">
        <v>27</v>
      </c>
      <c r="CF4" s="1020"/>
      <c r="CG4" s="1021" t="s">
        <v>27</v>
      </c>
      <c r="CH4" s="1021"/>
      <c r="CI4" s="1022" t="s">
        <v>27</v>
      </c>
      <c r="CJ4" s="1012"/>
      <c r="CK4" s="1019" t="s">
        <v>27</v>
      </c>
      <c r="CL4" s="1033"/>
      <c r="CM4" s="1017" t="s">
        <v>27</v>
      </c>
      <c r="CN4" s="1018"/>
      <c r="CO4" s="1015" t="s">
        <v>27</v>
      </c>
      <c r="CP4" s="1016"/>
      <c r="CQ4" s="1015" t="s">
        <v>27</v>
      </c>
      <c r="CR4" s="1016"/>
      <c r="CS4" s="1011" t="s">
        <v>27</v>
      </c>
      <c r="CT4" s="1012"/>
      <c r="CU4" s="1017" t="s">
        <v>27</v>
      </c>
      <c r="CV4" s="1018"/>
      <c r="CW4" s="1011" t="s">
        <v>27</v>
      </c>
      <c r="CX4" s="1012"/>
      <c r="CY4" s="1015" t="s">
        <v>27</v>
      </c>
      <c r="CZ4" s="1016"/>
      <c r="DA4" s="1015" t="s">
        <v>27</v>
      </c>
      <c r="DB4" s="1016"/>
      <c r="DC4" s="1011" t="s">
        <v>27</v>
      </c>
      <c r="DD4" s="1012"/>
      <c r="DE4" s="1017" t="s">
        <v>27</v>
      </c>
      <c r="DF4" s="1018"/>
      <c r="DG4" s="1017" t="s">
        <v>27</v>
      </c>
      <c r="DH4" s="1018"/>
      <c r="DI4" s="1019" t="s">
        <v>127</v>
      </c>
      <c r="DJ4" s="1020"/>
      <c r="DK4" s="1021" t="s">
        <v>127</v>
      </c>
      <c r="DL4" s="1021"/>
      <c r="DM4" s="1022" t="s">
        <v>127</v>
      </c>
      <c r="DN4" s="1012"/>
      <c r="DO4" s="1019" t="s">
        <v>127</v>
      </c>
      <c r="DP4" s="1033"/>
      <c r="DQ4" s="1017" t="s">
        <v>127</v>
      </c>
      <c r="DR4" s="1018"/>
      <c r="DS4" s="1015" t="s">
        <v>127</v>
      </c>
      <c r="DT4" s="1016"/>
      <c r="DU4" s="1015" t="s">
        <v>127</v>
      </c>
      <c r="DV4" s="1016"/>
      <c r="DW4" s="1011" t="s">
        <v>127</v>
      </c>
      <c r="DX4" s="1012"/>
      <c r="DY4" s="1017" t="s">
        <v>127</v>
      </c>
      <c r="DZ4" s="1018"/>
      <c r="EA4" s="1011" t="s">
        <v>127</v>
      </c>
      <c r="EB4" s="1012"/>
      <c r="EC4" s="1015" t="s">
        <v>127</v>
      </c>
      <c r="ED4" s="1016"/>
      <c r="EE4" s="1015" t="s">
        <v>127</v>
      </c>
      <c r="EF4" s="1016"/>
      <c r="EG4" s="1011" t="s">
        <v>127</v>
      </c>
      <c r="EH4" s="1012"/>
      <c r="EI4" s="1017" t="s">
        <v>127</v>
      </c>
      <c r="EJ4" s="1018"/>
      <c r="EK4" s="1017" t="s">
        <v>127</v>
      </c>
      <c r="EL4" s="1018"/>
    </row>
    <row r="5" spans="1:142" hidden="1" outlineLevel="1" x14ac:dyDescent="0.25">
      <c r="A5" s="392">
        <v>0</v>
      </c>
      <c r="B5" s="3">
        <v>0</v>
      </c>
      <c r="C5" s="3">
        <v>0</v>
      </c>
      <c r="D5" s="20" t="str">
        <f>IFERROR(Tabelle3[[#This Row],[Ned (€)]]/Tabelle3[[#This Row],[Ned (Backer)]],"")</f>
        <v/>
      </c>
      <c r="E5" s="3">
        <v>0</v>
      </c>
      <c r="F5" s="3">
        <v>0</v>
      </c>
      <c r="H5" s="3">
        <v>0</v>
      </c>
      <c r="I5" s="3">
        <v>0</v>
      </c>
      <c r="J5" s="20"/>
      <c r="K5" s="3">
        <v>0</v>
      </c>
      <c r="L5" s="3">
        <v>0</v>
      </c>
      <c r="M5" s="20"/>
      <c r="N5" s="3">
        <v>0</v>
      </c>
      <c r="O5" s="3">
        <v>0</v>
      </c>
      <c r="P5" s="20"/>
      <c r="Q5" s="3">
        <v>0</v>
      </c>
      <c r="R5" s="3">
        <v>0</v>
      </c>
      <c r="S5" s="20"/>
      <c r="T5" s="3">
        <v>0</v>
      </c>
      <c r="U5" s="3">
        <v>0</v>
      </c>
      <c r="V5" s="20"/>
      <c r="W5" s="3">
        <v>0</v>
      </c>
      <c r="X5" s="3">
        <v>0</v>
      </c>
      <c r="Y5" s="20"/>
      <c r="Z5" s="3">
        <v>0</v>
      </c>
      <c r="AA5" s="3">
        <v>0</v>
      </c>
      <c r="AB5" s="20"/>
      <c r="AC5" s="3">
        <v>0</v>
      </c>
      <c r="AD5" s="3">
        <v>0</v>
      </c>
      <c r="AE5" s="20"/>
      <c r="AF5" s="3">
        <v>0</v>
      </c>
      <c r="AG5" s="3">
        <v>0</v>
      </c>
      <c r="AH5" s="20"/>
      <c r="AI5" s="3">
        <v>0</v>
      </c>
      <c r="AJ5" s="3">
        <v>0</v>
      </c>
      <c r="AK5" s="20"/>
      <c r="AL5" s="3">
        <v>0</v>
      </c>
      <c r="AM5" s="3">
        <v>0</v>
      </c>
      <c r="AN5" s="20"/>
      <c r="AO5" s="3">
        <v>0</v>
      </c>
      <c r="AP5" s="3">
        <v>0</v>
      </c>
      <c r="AQ5" s="20"/>
      <c r="AR5" s="3">
        <v>0</v>
      </c>
      <c r="AS5" s="3">
        <v>0</v>
      </c>
      <c r="AT5" s="20"/>
      <c r="AU5" s="152">
        <v>0</v>
      </c>
      <c r="AV5" s="152">
        <v>0</v>
      </c>
      <c r="AW5" s="20"/>
      <c r="BG5" s="172"/>
      <c r="BH5" s="172"/>
      <c r="BI5" s="272" t="s">
        <v>10</v>
      </c>
      <c r="BJ5" s="272" t="s">
        <v>30</v>
      </c>
      <c r="BK5" s="273" t="s">
        <v>139</v>
      </c>
      <c r="BL5" s="273" t="s">
        <v>10</v>
      </c>
      <c r="BM5" s="272" t="s">
        <v>30</v>
      </c>
      <c r="BN5" s="273" t="s">
        <v>139</v>
      </c>
      <c r="BO5" s="273" t="s">
        <v>10</v>
      </c>
      <c r="BP5" s="272" t="s">
        <v>30</v>
      </c>
      <c r="BQ5" s="273" t="s">
        <v>139</v>
      </c>
      <c r="BR5" s="273" t="s">
        <v>10</v>
      </c>
      <c r="BS5" s="272" t="s">
        <v>30</v>
      </c>
      <c r="BT5" s="273" t="s">
        <v>139</v>
      </c>
      <c r="BU5" s="172"/>
      <c r="BV5" s="172"/>
      <c r="BW5" s="269" t="s">
        <v>10</v>
      </c>
      <c r="BX5" s="269" t="s">
        <v>30</v>
      </c>
      <c r="BY5" s="270" t="s">
        <v>10</v>
      </c>
      <c r="BZ5" s="269" t="s">
        <v>30</v>
      </c>
      <c r="CA5" s="270" t="s">
        <v>10</v>
      </c>
      <c r="CB5" s="269" t="s">
        <v>30</v>
      </c>
      <c r="CC5" s="270" t="s">
        <v>10</v>
      </c>
      <c r="CD5" s="269" t="s">
        <v>30</v>
      </c>
      <c r="CE5" s="255" t="s">
        <v>80</v>
      </c>
      <c r="CF5" s="254" t="s">
        <v>81</v>
      </c>
      <c r="CG5" s="257" t="s">
        <v>84</v>
      </c>
      <c r="CH5" s="258" t="s">
        <v>85</v>
      </c>
      <c r="CI5" s="259" t="s">
        <v>82</v>
      </c>
      <c r="CJ5" s="260" t="s">
        <v>83</v>
      </c>
      <c r="CK5" s="255" t="s">
        <v>44</v>
      </c>
      <c r="CL5" s="261" t="s">
        <v>45</v>
      </c>
      <c r="CM5" s="256" t="s">
        <v>55</v>
      </c>
      <c r="CN5" s="262" t="s">
        <v>56</v>
      </c>
      <c r="CO5" s="263" t="s">
        <v>65</v>
      </c>
      <c r="CP5" s="264" t="s">
        <v>66</v>
      </c>
      <c r="CQ5" s="263" t="s">
        <v>86</v>
      </c>
      <c r="CR5" s="264" t="s">
        <v>87</v>
      </c>
      <c r="CS5" s="259" t="s">
        <v>88</v>
      </c>
      <c r="CT5" s="260" t="s">
        <v>89</v>
      </c>
      <c r="CU5" s="256" t="s">
        <v>95</v>
      </c>
      <c r="CV5" s="262" t="s">
        <v>96</v>
      </c>
      <c r="CW5" s="259" t="s">
        <v>104</v>
      </c>
      <c r="CX5" s="260" t="s">
        <v>105</v>
      </c>
      <c r="CY5" s="263" t="s">
        <v>111</v>
      </c>
      <c r="CZ5" s="264" t="s">
        <v>112</v>
      </c>
      <c r="DA5" s="263" t="s">
        <v>111</v>
      </c>
      <c r="DB5" s="264" t="s">
        <v>112</v>
      </c>
      <c r="DC5" s="259" t="s">
        <v>104</v>
      </c>
      <c r="DD5" s="260" t="s">
        <v>105</v>
      </c>
      <c r="DE5" s="256" t="s">
        <v>95</v>
      </c>
      <c r="DF5" s="262" t="s">
        <v>96</v>
      </c>
      <c r="DG5" s="256" t="s">
        <v>95</v>
      </c>
      <c r="DH5" s="262" t="s">
        <v>96</v>
      </c>
      <c r="DI5" s="1056" t="s">
        <v>128</v>
      </c>
      <c r="DJ5" s="1058"/>
      <c r="DK5" s="1054" t="s">
        <v>129</v>
      </c>
      <c r="DL5" s="1054"/>
      <c r="DM5" s="1055" t="s">
        <v>130</v>
      </c>
      <c r="DN5" s="1014"/>
      <c r="DO5" s="1056" t="s">
        <v>131</v>
      </c>
      <c r="DP5" s="1057"/>
      <c r="DQ5" s="1026" t="s">
        <v>132</v>
      </c>
      <c r="DR5" s="1027"/>
      <c r="DS5" s="1024" t="s">
        <v>133</v>
      </c>
      <c r="DT5" s="1025"/>
      <c r="DU5" s="1024" t="s">
        <v>134</v>
      </c>
      <c r="DV5" s="1025"/>
      <c r="DW5" s="1013" t="s">
        <v>135</v>
      </c>
      <c r="DX5" s="1014"/>
      <c r="DY5" s="1026" t="s">
        <v>136</v>
      </c>
      <c r="DZ5" s="1027"/>
      <c r="EA5" s="1013" t="s">
        <v>137</v>
      </c>
      <c r="EB5" s="1014"/>
      <c r="EC5" s="1024" t="s">
        <v>138</v>
      </c>
      <c r="ED5" s="1025"/>
      <c r="EE5" s="1024" t="s">
        <v>232</v>
      </c>
      <c r="EF5" s="1025"/>
      <c r="EG5" s="1013" t="s">
        <v>404</v>
      </c>
      <c r="EH5" s="1014"/>
      <c r="EI5" s="1026" t="s">
        <v>405</v>
      </c>
      <c r="EJ5" s="1027"/>
      <c r="EK5" s="1026" t="s">
        <v>426</v>
      </c>
      <c r="EL5" s="1027"/>
    </row>
    <row r="6" spans="1:142" ht="15.75" hidden="1" outlineLevel="1" thickBot="1" x14ac:dyDescent="0.3">
      <c r="A6" s="392">
        <v>1</v>
      </c>
      <c r="B6" s="3">
        <v>14771</v>
      </c>
      <c r="C6" s="3">
        <v>73</v>
      </c>
      <c r="D6" s="20">
        <f>IFERROR(Tabelle3[[#This Row],[Ned (€)]]/Tabelle3[[#This Row],[Ned (Backer)]],"")</f>
        <v>202.34246575342465</v>
      </c>
      <c r="E6" s="3">
        <v>43437</v>
      </c>
      <c r="F6" s="3">
        <v>179</v>
      </c>
      <c r="G6" s="20">
        <f>Tabelle3[[#This Row],[Werkzeuge (€)]]/Tabelle3[[#This Row],[Werkzeuge (Backer)]]</f>
        <v>242.66480446927375</v>
      </c>
      <c r="H6" s="3">
        <v>36402</v>
      </c>
      <c r="I6" s="3">
        <v>195</v>
      </c>
      <c r="J6" s="20">
        <f>Tabelle3[[#This Row],[DSK Fasar (€)]]/Tabelle3[[#This Row],[DSK Fasar (Backer)]]</f>
        <v>186.67692307692309</v>
      </c>
      <c r="K6" s="3">
        <v>19612</v>
      </c>
      <c r="L6" s="3">
        <v>115</v>
      </c>
      <c r="M6" s="20">
        <f>Tabelle3[[#This Row],[Mythen (€)]]/Tabelle3[[#This Row],[Mythen (Backer)]]</f>
        <v>170.53913043478261</v>
      </c>
      <c r="N6" s="3">
        <v>89735</v>
      </c>
      <c r="O6" s="3">
        <v>625</v>
      </c>
      <c r="P6" s="20">
        <f>Tabelle3[[#This Row],[SOK (€)]]/Tabelle3[[#This Row],[SOK (Backer)]]</f>
        <v>143.57599999999999</v>
      </c>
      <c r="Q6" s="3">
        <v>82966</v>
      </c>
      <c r="R6" s="3">
        <v>341</v>
      </c>
      <c r="S6" s="20">
        <f>Tabelle3[[#This Row],[RE (€)]]/Tabelle3[[#This Row],[RE (Backer)]]</f>
        <v>243.30205278592376</v>
      </c>
      <c r="T6" s="3">
        <v>76466</v>
      </c>
      <c r="U6" s="3">
        <v>317</v>
      </c>
      <c r="V6" s="20">
        <f>Tabelle3[[#This Row],[DGG (€)]]/Tabelle3[[#This Row],[DGG (Backer)]]</f>
        <v>241.21766561514195</v>
      </c>
      <c r="W6" s="3">
        <v>26725</v>
      </c>
      <c r="X6" s="3">
        <v>136</v>
      </c>
      <c r="Y6" s="20">
        <f>Tabelle3[[#This Row],[DSK SV (€)]]/Tabelle3[[#This Row],[DSK SV (Backer)]]</f>
        <v>196.50735294117646</v>
      </c>
      <c r="Z6" s="3">
        <v>97183</v>
      </c>
      <c r="AA6" s="3">
        <v>489</v>
      </c>
      <c r="AB6" s="20">
        <f>Tabelle3[[#This Row],[WW (€)]]/Tabelle3[[#This Row],[WW (Backer)]]</f>
        <v>198.73824130879345</v>
      </c>
      <c r="AC6" s="3">
        <v>8357</v>
      </c>
      <c r="AD6" s="3">
        <v>67</v>
      </c>
      <c r="AE6" s="20">
        <f>Tabelle3[[#This Row],[DSK R (€)]]/Tabelle3[[#This Row],[DSK R (Backer)]]</f>
        <v>124.73134328358209</v>
      </c>
      <c r="AF6" s="3">
        <v>39596</v>
      </c>
      <c r="AG6" s="3">
        <v>180</v>
      </c>
      <c r="AH6" s="20">
        <f>Tabelle3[[#This Row],[Ära (€)]]/Tabelle3[[#This Row],[Ära (Backer)]]</f>
        <v>219.97777777777779</v>
      </c>
      <c r="AI6" s="3">
        <v>25960</v>
      </c>
      <c r="AJ6" s="3">
        <v>347</v>
      </c>
      <c r="AK6" s="20">
        <f>Tabelle3[[#This Row],[Mosaik (€)]]/Tabelle3[[#This Row],[Mosaik (Backer)]]</f>
        <v>74.812680115273778</v>
      </c>
      <c r="AL6" s="3">
        <v>17251</v>
      </c>
      <c r="AM6" s="3">
        <v>121</v>
      </c>
      <c r="AN6" s="20">
        <f>Tabelle3[[#This Row],[DSK ES (€)]]/Tabelle3[[#This Row],[DSK ES (Backer)]]</f>
        <v>142.5702479338843</v>
      </c>
      <c r="AO6" s="3">
        <v>88345</v>
      </c>
      <c r="AP6" s="3">
        <v>396</v>
      </c>
      <c r="AQ6" s="20">
        <f>Tabelle3[[#This Row],[ES (€)]]/Tabelle3[[#This Row],[ES (Backer)]]</f>
        <v>223.09343434343435</v>
      </c>
      <c r="AR6" s="3">
        <v>117333.01</v>
      </c>
      <c r="AS6" s="3">
        <v>504</v>
      </c>
      <c r="AT6" s="20">
        <f>Tabelle3[[#This Row],[WF (€)]]/Tabelle3[[#This Row],[WF(Backer)]]</f>
        <v>232.80359126984126</v>
      </c>
      <c r="AU6" s="152">
        <f>'Overview &amp; instructions'!AO52</f>
        <v>183428.34</v>
      </c>
      <c r="AV6" s="152">
        <f>'Overview &amp; instructions'!AP52</f>
        <v>929</v>
      </c>
      <c r="AW6" s="20">
        <f>Tabelle3[[#This Row],[AKM (€)]]/Tabelle3[[#This Row],[AKM(Backer)]]</f>
        <v>197.44708288482238</v>
      </c>
      <c r="BH6" s="408" t="s">
        <v>35</v>
      </c>
      <c r="BI6" s="6">
        <f>$AU6*$BW6</f>
        <v>488700.03055864491</v>
      </c>
      <c r="BJ6" s="6">
        <f>$AV6*$BX6</f>
        <v>2473.3696</v>
      </c>
      <c r="BK6" s="21">
        <f>BI6/BJ6</f>
        <v>197.58471623434076</v>
      </c>
      <c r="BL6" s="6">
        <f>$AU6*$BY6</f>
        <v>863366.32799435919</v>
      </c>
      <c r="BM6" s="6">
        <f>$AV6*$BZ6</f>
        <v>4516.9560117302053</v>
      </c>
      <c r="BN6" s="21">
        <f>BL6/BM6</f>
        <v>191.13897185455423</v>
      </c>
      <c r="BO6" s="3">
        <f t="shared" ref="BO6" si="0">AVERAGE(BI6,BL6)</f>
        <v>676033.17927650199</v>
      </c>
      <c r="BP6" s="3">
        <f t="shared" ref="BP6" si="1">AVERAGE(BJ6,BM6)</f>
        <v>3495.1628058651027</v>
      </c>
      <c r="BQ6" s="21">
        <f>BO6/BP6</f>
        <v>193.41965362588428</v>
      </c>
      <c r="BR6" s="3">
        <f>$AU6*$CA6</f>
        <v>679429.23599755159</v>
      </c>
      <c r="BS6" s="3">
        <f>$AV6*$CB6</f>
        <v>3542.7233875969123</v>
      </c>
      <c r="BT6" s="21">
        <f>BR6/BS6</f>
        <v>191.78162155595774</v>
      </c>
      <c r="BV6" s="408" t="s">
        <v>35</v>
      </c>
      <c r="BW6" s="14">
        <f>MIN(CE6,CG6,CI6,CK6,CM6,CO6,CQ6,CS6,CU6,CW6,CY6,DA6,DE6,DG6)</f>
        <v>2.664255864489887</v>
      </c>
      <c r="BX6" s="14">
        <f t="shared" ref="BX6:BX26" si="2">MIN(CF6,CH6,CJ6,CL6,CN6,CP6,CR6,CT6,CV6,CX6,CZ6,DB6,DF6,DH6)</f>
        <v>2.6623999999999999</v>
      </c>
      <c r="BY6" s="271">
        <f>MAX(CE6,CG6,CI6,CK6,CM6,CO6,CQ6,CS6,CU6,CW6,DA6,DE6,DG6)</f>
        <v>4.7068317141961771</v>
      </c>
      <c r="BZ6" s="271">
        <f t="shared" ref="BZ6:BZ26" si="3">MAX(CF6,CH6,CJ6,CL6,CN6,CP6,CR6,CT6,CV6,CX6,DB6,DF6,DH6)</f>
        <v>4.8621700879765397</v>
      </c>
      <c r="CA6" s="271">
        <f>AVERAGE(CE6,CG6,CI6,CK6,CM6,CO6,CQ6,CS6,CU6,CW6,DA6,DE6,DG6)</f>
        <v>3.7040581406207549</v>
      </c>
      <c r="CB6" s="271">
        <f t="shared" ref="CB6:CB26" si="4">AVERAGE(CF6,CH6,CJ6,CL6,CN6,CP6,CR6,CT6,CV6,CX6,DB6,DF6,DH6)</f>
        <v>3.8134805033335977</v>
      </c>
      <c r="CC6" s="271">
        <f>BY6-BW6</f>
        <v>2.04257584970629</v>
      </c>
      <c r="CD6" s="271">
        <f t="shared" ref="CD6:CD26" si="5">BZ6-BX6</f>
        <v>2.1997700879765398</v>
      </c>
      <c r="CE6" s="15">
        <f t="shared" ref="CE6:CE26" si="6">B$26/B6</f>
        <v>4.2207704285424139</v>
      </c>
      <c r="CF6" s="7">
        <f t="shared" ref="CF6:CF26" si="7">C$26/C6</f>
        <v>4.7534246575342465</v>
      </c>
      <c r="CG6" s="4">
        <f t="shared" ref="CG6:CG26" si="8">E$26/E6</f>
        <v>3.9298524299560285</v>
      </c>
      <c r="CH6" s="7">
        <f t="shared" ref="CH6:CH26" si="9">F$26/F6</f>
        <v>4.2234636871508382</v>
      </c>
      <c r="CI6" s="10">
        <f t="shared" ref="CI6:CI26" si="10">H$26/H6</f>
        <v>3.3980001098840722</v>
      </c>
      <c r="CJ6" s="25">
        <f t="shared" ref="CJ6:CJ26" si="11">I$26/I6</f>
        <v>3.3743589743589744</v>
      </c>
      <c r="CK6" s="10">
        <f t="shared" ref="CK6:CK26" si="12">K$26/K6</f>
        <v>4.5885682235366101</v>
      </c>
      <c r="CL6" s="25">
        <f t="shared" ref="CL6:CL26" si="13">L$26/L6</f>
        <v>4.321739130434783</v>
      </c>
      <c r="CM6" s="10">
        <f t="shared" ref="CM6:CM26" si="14">N$26/N6</f>
        <v>2.664255864489887</v>
      </c>
      <c r="CN6" s="25">
        <f t="shared" ref="CN6:CN26" si="15">O$26/O6</f>
        <v>2.6623999999999999</v>
      </c>
      <c r="CO6" s="10">
        <f t="shared" ref="CO6:CO26" si="16">Q$26/Q6</f>
        <v>4.7068317141961771</v>
      </c>
      <c r="CP6" s="25">
        <f t="shared" ref="CP6:CP26" si="17">R$26/R6</f>
        <v>4.8621700879765397</v>
      </c>
      <c r="CQ6" s="10">
        <f t="shared" ref="CQ6:CQ26" si="18">T$26/T6</f>
        <v>3.0265739021264353</v>
      </c>
      <c r="CR6" s="25">
        <f t="shared" ref="CR6:CR26" si="19">U$26/U6</f>
        <v>3.0757097791798107</v>
      </c>
      <c r="CS6" s="10">
        <f t="shared" ref="CS6:CS26" si="20">W$26/W6</f>
        <v>4.3073152478952288</v>
      </c>
      <c r="CT6" s="25">
        <f t="shared" ref="CT6:CT26" si="21">X$26/X6</f>
        <v>4.742647058823529</v>
      </c>
      <c r="CU6" s="10">
        <f t="shared" ref="CU6:CU26" si="22">Z$26/Z6</f>
        <v>3.3383925172098001</v>
      </c>
      <c r="CV6" s="25">
        <f t="shared" ref="CV6:CV26" si="23">AA$26/AA6</f>
        <v>3.4355828220858897</v>
      </c>
      <c r="CW6" s="10">
        <f t="shared" ref="CW6:CW26" si="24">AC$26/AC6</f>
        <v>4.3374416656694983</v>
      </c>
      <c r="CX6" s="25">
        <f t="shared" ref="CX6:CX26" si="25">AD$26/AD6</f>
        <v>4.0149253731343286</v>
      </c>
      <c r="CY6" s="10">
        <f t="shared" ref="CY6:CY26" si="26">AF$26/AF6</f>
        <v>6.294044853015456</v>
      </c>
      <c r="CZ6" s="25">
        <f t="shared" ref="CZ6:CZ26" si="27">AG$26/AG6</f>
        <v>6.3111111111111109</v>
      </c>
      <c r="DA6" s="10">
        <f t="shared" ref="DA6:DA26" si="28">AI$26/AI6</f>
        <v>3.2375577812018488</v>
      </c>
      <c r="DB6" s="25">
        <f t="shared" ref="DB6:DB26" si="29">AJ$26/AJ6</f>
        <v>3.3342939481268012</v>
      </c>
      <c r="DC6" s="10">
        <f>AL$26/AL6</f>
        <v>3.6303402701292677</v>
      </c>
      <c r="DD6" s="25">
        <f>AM$26/AM6</f>
        <v>3.5123966942148761</v>
      </c>
      <c r="DE6" s="10">
        <f t="shared" ref="DE6:DE26" si="30">AO$26/AO6</f>
        <v>3.4823589337257341</v>
      </c>
      <c r="DF6" s="25">
        <f t="shared" ref="DF6:DF26" si="31">AP$26/AP6</f>
        <v>3.7070707070707072</v>
      </c>
      <c r="DG6" s="10">
        <f t="shared" ref="DG6:DG26" si="32">AR$26/AR6</f>
        <v>2.9148370096360776</v>
      </c>
      <c r="DH6" s="25">
        <f t="shared" ref="DH6:DH26" si="33">AS$26/AS6</f>
        <v>3.0674603174603177</v>
      </c>
      <c r="DI6" s="16"/>
      <c r="DJ6" s="18">
        <f t="shared" ref="DJ6:DJ26" si="34">CE6-CF6</f>
        <v>-0.53265422899183257</v>
      </c>
      <c r="DK6" s="19"/>
      <c r="DL6" s="18">
        <f t="shared" ref="DL6:DL26" si="35">CG6-CH6</f>
        <v>-0.29361125719480974</v>
      </c>
      <c r="DM6" s="19"/>
      <c r="DN6" s="17">
        <f t="shared" ref="DN6:DN26" si="36">CI6-CJ6</f>
        <v>2.3641135525097834E-2</v>
      </c>
      <c r="DO6" s="19"/>
      <c r="DP6" s="17">
        <f t="shared" ref="DP6:DP26" si="37">CK6-CL6</f>
        <v>0.26682909310182712</v>
      </c>
      <c r="DQ6" s="19"/>
      <c r="DR6" s="17">
        <f t="shared" ref="DR6:DR26" si="38">CM6-CN6</f>
        <v>1.8558644898871712E-3</v>
      </c>
      <c r="DS6" s="19"/>
      <c r="DT6" s="17">
        <f t="shared" ref="DT6:DT26" si="39">CO6-CP6</f>
        <v>-0.15533837378036264</v>
      </c>
      <c r="DU6" s="19"/>
      <c r="DV6" s="17">
        <f t="shared" ref="DV6:DV26" si="40">CQ6-CR6</f>
        <v>-4.913587705337541E-2</v>
      </c>
      <c r="DW6" s="19"/>
      <c r="DX6" s="17">
        <f t="shared" ref="DX6:DX26" si="41">CS6-CT6</f>
        <v>-0.4353318109283002</v>
      </c>
      <c r="DY6" s="19"/>
      <c r="DZ6" s="17">
        <f t="shared" ref="DZ6:DZ26" si="42">CU6-CV6</f>
        <v>-9.7190304876089595E-2</v>
      </c>
      <c r="EA6" s="19"/>
      <c r="EB6" s="17">
        <f t="shared" ref="EB6:EB26" si="43">CW6-CX6</f>
        <v>0.32251629253516967</v>
      </c>
      <c r="EC6" s="19"/>
      <c r="ED6" s="17">
        <f t="shared" ref="ED6:ED26" si="44">CY6-CZ6</f>
        <v>-1.7066258095654874E-2</v>
      </c>
      <c r="EE6" s="19"/>
      <c r="EF6" s="17">
        <f t="shared" ref="EF6:EF26" si="45">DA6-DB6</f>
        <v>-9.673616692495246E-2</v>
      </c>
      <c r="EG6" s="19"/>
      <c r="EH6" s="17">
        <f t="shared" ref="EH6:EH26" si="46">DC6-DD6</f>
        <v>0.11794357591439164</v>
      </c>
      <c r="EI6" s="19"/>
      <c r="EJ6" s="17">
        <f t="shared" ref="EJ6:EJ26" si="47">DE6-DF6</f>
        <v>-0.22471177334497305</v>
      </c>
      <c r="EK6" s="19"/>
      <c r="EL6" s="17">
        <f t="shared" ref="EL6:EL26" si="48">DG6-DH6</f>
        <v>-0.15262330782424005</v>
      </c>
    </row>
    <row r="7" spans="1:142" ht="15.75" hidden="1" outlineLevel="1" thickBot="1" x14ac:dyDescent="0.3">
      <c r="A7" s="392">
        <v>2</v>
      </c>
      <c r="B7" s="3">
        <v>16764</v>
      </c>
      <c r="C7" s="3">
        <v>82</v>
      </c>
      <c r="D7" s="20">
        <f>IFERROR(Tabelle3[[#This Row],[Ned (€)]]/Tabelle3[[#This Row],[Ned (Backer)]],"")</f>
        <v>204.4390243902439</v>
      </c>
      <c r="E7" s="3">
        <v>49522</v>
      </c>
      <c r="F7" s="3">
        <v>206</v>
      </c>
      <c r="G7" s="20">
        <f>Tabelle3[[#This Row],[Werkzeuge (€)]]/Tabelle3[[#This Row],[Werkzeuge (Backer)]]</f>
        <v>240.39805825242718</v>
      </c>
      <c r="H7" s="3">
        <v>42659</v>
      </c>
      <c r="I7" s="3">
        <v>233</v>
      </c>
      <c r="J7" s="20">
        <f>Tabelle3[[#This Row],[DSK Fasar (€)]]/Tabelle3[[#This Row],[DSK Fasar (Backer)]]</f>
        <v>183.08583690987123</v>
      </c>
      <c r="K7" s="3">
        <v>24532</v>
      </c>
      <c r="L7" s="3">
        <v>145</v>
      </c>
      <c r="M7" s="20">
        <f>Tabelle3[[#This Row],[Mythen (€)]]/Tabelle3[[#This Row],[Mythen (Backer)]]</f>
        <v>169.18620689655174</v>
      </c>
      <c r="N7" s="3">
        <v>114003</v>
      </c>
      <c r="O7" s="3">
        <v>789</v>
      </c>
      <c r="P7" s="391">
        <f>Tabelle3[[#This Row],[SOK (€)]]/Tabelle3[[#This Row],[SOK (Backer)]]</f>
        <v>144.49049429657794</v>
      </c>
      <c r="Q7" s="3">
        <v>96328</v>
      </c>
      <c r="R7" s="3">
        <v>404</v>
      </c>
      <c r="S7" s="20">
        <f>Tabelle3[[#This Row],[RE (€)]]/Tabelle3[[#This Row],[RE (Backer)]]</f>
        <v>238.43564356435644</v>
      </c>
      <c r="T7" s="3">
        <v>100197</v>
      </c>
      <c r="U7" s="3">
        <v>417</v>
      </c>
      <c r="V7" s="20">
        <f>Tabelle3[[#This Row],[DGG (€)]]/Tabelle3[[#This Row],[DGG (Backer)]]</f>
        <v>240.28057553956833</v>
      </c>
      <c r="W7" s="3">
        <v>32416</v>
      </c>
      <c r="X7" s="3">
        <v>172</v>
      </c>
      <c r="Y7" s="20">
        <f>Tabelle3[[#This Row],[DSK SV (€)]]/Tabelle3[[#This Row],[DSK SV (Backer)]]</f>
        <v>188.46511627906978</v>
      </c>
      <c r="Z7" s="3">
        <v>121393</v>
      </c>
      <c r="AA7" s="3">
        <v>618</v>
      </c>
      <c r="AB7" s="20">
        <f>Tabelle3[[#This Row],[WW (€)]]/Tabelle3[[#This Row],[WW (Backer)]]</f>
        <v>196.42880258899677</v>
      </c>
      <c r="AC7" s="3">
        <v>11433</v>
      </c>
      <c r="AD7" s="3">
        <v>89</v>
      </c>
      <c r="AE7" s="391">
        <f>Tabelle3[[#This Row],[DSK R (€)]]/Tabelle3[[#This Row],[DSK R (Backer)]]</f>
        <v>128.46067415730337</v>
      </c>
      <c r="AF7" s="3">
        <v>55623</v>
      </c>
      <c r="AG7" s="3">
        <v>256</v>
      </c>
      <c r="AH7" s="20">
        <f>Tabelle3[[#This Row],[Ära (€)]]/Tabelle3[[#This Row],[Ära (Backer)]]</f>
        <v>217.27734375</v>
      </c>
      <c r="AI7" s="3">
        <v>35712</v>
      </c>
      <c r="AJ7" s="3">
        <v>483</v>
      </c>
      <c r="AK7" s="20">
        <f>Tabelle3[[#This Row],[Mosaik (€)]]/Tabelle3[[#This Row],[Mosaik (Backer)]]</f>
        <v>73.937888198757761</v>
      </c>
      <c r="AL7" s="410"/>
      <c r="AM7" s="410"/>
      <c r="AN7" s="430"/>
      <c r="AO7" s="3">
        <v>113466</v>
      </c>
      <c r="AP7" s="3">
        <v>516</v>
      </c>
      <c r="AQ7" s="20">
        <f>Tabelle3[[#This Row],[ES (€)]]/Tabelle3[[#This Row],[ES (Backer)]]</f>
        <v>219.8953488372093</v>
      </c>
      <c r="AR7" s="3">
        <v>142540.60999999999</v>
      </c>
      <c r="AS7" s="3">
        <v>617</v>
      </c>
      <c r="AT7" s="20">
        <f>Tabelle3[[#This Row],[WF (€)]]/Tabelle3[[#This Row],[WF(Backer)]]</f>
        <v>231.02205834683951</v>
      </c>
      <c r="AU7" s="152">
        <f>'Overview &amp; instructions'!AO53</f>
        <v>211630.27</v>
      </c>
      <c r="AV7" s="152">
        <f>'Overview &amp; instructions'!AP53</f>
        <v>1062</v>
      </c>
      <c r="AW7" s="20">
        <f>Tabelle3[[#This Row],[AKM (€)]]/Tabelle3[[#This Row],[AKM(Backer)]]</f>
        <v>199.27520715630885</v>
      </c>
      <c r="BH7" s="408" t="s">
        <v>36</v>
      </c>
      <c r="BI7" s="6">
        <f>$AU7*$BW7</f>
        <v>443812.26863143954</v>
      </c>
      <c r="BJ7" s="6">
        <f>$AV7*$BX7</f>
        <v>2239.7566539923955</v>
      </c>
      <c r="BK7" s="21">
        <f>BI7/BJ7</f>
        <v>198.15200362965251</v>
      </c>
      <c r="BL7" s="6">
        <f>$AU7*$BY7</f>
        <v>857934.36847946595</v>
      </c>
      <c r="BM7" s="6">
        <f>$AV7*$BZ7</f>
        <v>4494.0731707317073</v>
      </c>
      <c r="BN7" s="21">
        <f>BL7/BM7</f>
        <v>190.90351578316213</v>
      </c>
      <c r="BO7" s="3">
        <f t="shared" ref="BO7" si="49">AVERAGE(BI7,BL7)</f>
        <v>650873.31855545274</v>
      </c>
      <c r="BP7" s="3">
        <f t="shared" ref="BP7" si="50">AVERAGE(BJ7,BM7)</f>
        <v>3366.9149123620514</v>
      </c>
      <c r="BQ7" s="21">
        <f>BO7/BP7</f>
        <v>193.31445418049904</v>
      </c>
      <c r="BR7" s="3">
        <f>$AU7*$CA7</f>
        <v>635754.41980015056</v>
      </c>
      <c r="BS7" s="3">
        <f>$AV7*$CB7</f>
        <v>3262.89834923527</v>
      </c>
      <c r="BT7" s="21">
        <f>BR7/BS7</f>
        <v>194.84346484442372</v>
      </c>
      <c r="BV7" s="408" t="s">
        <v>36</v>
      </c>
      <c r="BW7" s="14">
        <f t="shared" ref="BW7:BW26" si="51">MIN(CE7,CG7,CI7,CK7,CM7,CO7,CQ7,CS7,CU7,CW7,CY7,DA7,DE7,DG7)</f>
        <v>2.0971114795224688</v>
      </c>
      <c r="BX7" s="14">
        <f t="shared" si="2"/>
        <v>2.1089987325728772</v>
      </c>
      <c r="BY7" s="271">
        <f t="shared" ref="BY7:BY26" si="52">MAX(CE7,CG7,CI7,CK7,CM7,CO7,CQ7,CS7,CU7,CW7,DA7,DE7,DG7)</f>
        <v>4.0539303214018769</v>
      </c>
      <c r="BZ7" s="271">
        <f t="shared" si="3"/>
        <v>4.2317073170731705</v>
      </c>
      <c r="CA7" s="271">
        <f t="shared" ref="CA7:CA26" si="53">AVERAGE(CE7,CG7,CI7,CK7,CM7,CO7,CQ7,CS7,CU7,CW7,DA7,DE7,DG7)</f>
        <v>3.0040807479957881</v>
      </c>
      <c r="CB7" s="271">
        <f t="shared" si="4"/>
        <v>3.0724089917469586</v>
      </c>
      <c r="CC7" s="271">
        <f t="shared" ref="CC7:CC26" si="54">BY7-BW7</f>
        <v>1.9568188418794081</v>
      </c>
      <c r="CD7" s="271">
        <f t="shared" si="5"/>
        <v>2.1227085845002933</v>
      </c>
      <c r="CE7" s="15">
        <f t="shared" si="6"/>
        <v>3.7189811500835122</v>
      </c>
      <c r="CF7" s="7">
        <f t="shared" si="7"/>
        <v>4.2317073170731705</v>
      </c>
      <c r="CG7" s="10">
        <f t="shared" si="8"/>
        <v>3.4469730624772827</v>
      </c>
      <c r="CH7" s="11">
        <f t="shared" si="9"/>
        <v>3.6699029126213594</v>
      </c>
      <c r="CI7" s="10">
        <f t="shared" si="10"/>
        <v>2.8995991467216764</v>
      </c>
      <c r="CJ7" s="25">
        <f t="shared" si="11"/>
        <v>2.8240343347639487</v>
      </c>
      <c r="CK7" s="10">
        <f t="shared" si="12"/>
        <v>3.6683107777596606</v>
      </c>
      <c r="CL7" s="25">
        <f t="shared" si="13"/>
        <v>3.4275862068965517</v>
      </c>
      <c r="CM7" s="10">
        <f t="shared" si="14"/>
        <v>2.0971114795224688</v>
      </c>
      <c r="CN7" s="25">
        <f t="shared" si="15"/>
        <v>2.1089987325728772</v>
      </c>
      <c r="CO7" s="10">
        <f t="shared" si="16"/>
        <v>4.0539303214018769</v>
      </c>
      <c r="CP7" s="25">
        <f t="shared" si="17"/>
        <v>4.1039603960396036</v>
      </c>
      <c r="CQ7" s="10">
        <f t="shared" si="18"/>
        <v>2.3097497929079713</v>
      </c>
      <c r="CR7" s="25">
        <f t="shared" si="19"/>
        <v>2.3381294964028778</v>
      </c>
      <c r="CS7" s="10">
        <f t="shared" si="20"/>
        <v>3.5511167324777886</v>
      </c>
      <c r="CT7" s="25">
        <f t="shared" si="21"/>
        <v>3.75</v>
      </c>
      <c r="CU7" s="10">
        <f t="shared" si="22"/>
        <v>2.6726005618116364</v>
      </c>
      <c r="CV7" s="25">
        <f t="shared" si="23"/>
        <v>2.7184466019417477</v>
      </c>
      <c r="CW7" s="10">
        <f t="shared" si="24"/>
        <v>3.1704714423161025</v>
      </c>
      <c r="CX7" s="25">
        <f t="shared" si="25"/>
        <v>3.0224719101123596</v>
      </c>
      <c r="CY7" s="10">
        <f t="shared" si="26"/>
        <v>4.4805026697589128</v>
      </c>
      <c r="CZ7" s="25">
        <f t="shared" si="27"/>
        <v>4.4375</v>
      </c>
      <c r="DA7" s="10">
        <f t="shared" si="28"/>
        <v>2.3534666218637992</v>
      </c>
      <c r="DB7" s="25">
        <f t="shared" si="29"/>
        <v>2.3954451345755694</v>
      </c>
      <c r="DC7" s="10"/>
      <c r="DD7" s="25"/>
      <c r="DE7" s="10">
        <f t="shared" si="30"/>
        <v>2.7113760950416865</v>
      </c>
      <c r="DF7" s="25">
        <f t="shared" si="31"/>
        <v>2.8449612403100777</v>
      </c>
      <c r="DG7" s="10">
        <f t="shared" si="32"/>
        <v>2.3993625395597791</v>
      </c>
      <c r="DH7" s="25">
        <f t="shared" si="33"/>
        <v>2.5056726094003241</v>
      </c>
      <c r="DI7" s="16"/>
      <c r="DJ7" s="18">
        <f t="shared" si="34"/>
        <v>-0.51272616698965834</v>
      </c>
      <c r="DK7" s="26"/>
      <c r="DL7" s="27">
        <f t="shared" si="35"/>
        <v>-0.22292985014407662</v>
      </c>
      <c r="DM7" s="19"/>
      <c r="DN7" s="17">
        <f t="shared" si="36"/>
        <v>7.5564811957727684E-2</v>
      </c>
      <c r="DO7" s="19"/>
      <c r="DP7" s="17">
        <f t="shared" si="37"/>
        <v>0.24072457086310894</v>
      </c>
      <c r="DQ7" s="19"/>
      <c r="DR7" s="17">
        <f t="shared" si="38"/>
        <v>-1.1887253050408386E-2</v>
      </c>
      <c r="DS7" s="19"/>
      <c r="DT7" s="17">
        <f t="shared" si="39"/>
        <v>-5.0030074637726685E-2</v>
      </c>
      <c r="DU7" s="19"/>
      <c r="DV7" s="17">
        <f t="shared" si="40"/>
        <v>-2.8379703494906483E-2</v>
      </c>
      <c r="DW7" s="19"/>
      <c r="DX7" s="17">
        <f t="shared" si="41"/>
        <v>-0.19888326752221142</v>
      </c>
      <c r="DY7" s="19"/>
      <c r="DZ7" s="17">
        <f t="shared" si="42"/>
        <v>-4.5846040130111287E-2</v>
      </c>
      <c r="EA7" s="19"/>
      <c r="EB7" s="17">
        <f t="shared" si="43"/>
        <v>0.14799953220374285</v>
      </c>
      <c r="EC7" s="19"/>
      <c r="ED7" s="17">
        <f t="shared" si="44"/>
        <v>4.3002669758912759E-2</v>
      </c>
      <c r="EE7" s="19"/>
      <c r="EF7" s="17">
        <f t="shared" si="45"/>
        <v>-4.1978512711770222E-2</v>
      </c>
      <c r="EG7" s="19"/>
      <c r="EH7" s="17">
        <f t="shared" si="46"/>
        <v>0</v>
      </c>
      <c r="EI7" s="19"/>
      <c r="EJ7" s="17">
        <f t="shared" si="47"/>
        <v>-0.13358514526839116</v>
      </c>
      <c r="EK7" s="19"/>
      <c r="EL7" s="17">
        <f t="shared" si="48"/>
        <v>-0.10631006984054503</v>
      </c>
    </row>
    <row r="8" spans="1:142" ht="15.75" hidden="1" outlineLevel="1" thickBot="1" x14ac:dyDescent="0.3">
      <c r="A8" s="392">
        <v>3</v>
      </c>
      <c r="B8" s="3">
        <v>17674</v>
      </c>
      <c r="C8" s="3">
        <v>90</v>
      </c>
      <c r="D8" s="20">
        <f>IFERROR(Tabelle3[[#This Row],[Ned (€)]]/Tabelle3[[#This Row],[Ned (Backer)]],"")</f>
        <v>196.37777777777777</v>
      </c>
      <c r="E8" s="3">
        <v>53901</v>
      </c>
      <c r="F8" s="3">
        <v>224</v>
      </c>
      <c r="G8" s="20">
        <f>Tabelle3[[#This Row],[Werkzeuge (€)]]/Tabelle3[[#This Row],[Werkzeuge (Backer)]]</f>
        <v>240.62946428571428</v>
      </c>
      <c r="H8" s="3">
        <v>45273</v>
      </c>
      <c r="I8" s="3">
        <v>248</v>
      </c>
      <c r="J8" s="20">
        <f>Tabelle3[[#This Row],[DSK Fasar (€)]]/Tabelle3[[#This Row],[DSK Fasar (Backer)]]</f>
        <v>182.55241935483872</v>
      </c>
      <c r="K8" s="3">
        <v>27671</v>
      </c>
      <c r="L8" s="3">
        <v>162</v>
      </c>
      <c r="M8" s="20">
        <f>Tabelle3[[#This Row],[Mythen (€)]]/Tabelle3[[#This Row],[Mythen (Backer)]]</f>
        <v>170.80864197530863</v>
      </c>
      <c r="N8" s="3">
        <v>122519</v>
      </c>
      <c r="O8" s="3">
        <v>852</v>
      </c>
      <c r="P8" s="20">
        <f>Tabelle3[[#This Row],[SOK (€)]]/Tabelle3[[#This Row],[SOK (Backer)]]</f>
        <v>143.80164319248826</v>
      </c>
      <c r="Q8" s="3">
        <v>115147</v>
      </c>
      <c r="R8" s="3">
        <v>480</v>
      </c>
      <c r="S8" s="391">
        <f>Tabelle3[[#This Row],[RE (€)]]/Tabelle3[[#This Row],[RE (Backer)]]</f>
        <v>239.88958333333332</v>
      </c>
      <c r="T8" s="3">
        <v>110488</v>
      </c>
      <c r="U8" s="3">
        <v>458</v>
      </c>
      <c r="V8" s="391">
        <f>Tabelle3[[#This Row],[DGG (€)]]/Tabelle3[[#This Row],[DGG (Backer)]]</f>
        <v>241.24017467248908</v>
      </c>
      <c r="W8" s="3">
        <v>38191</v>
      </c>
      <c r="X8" s="3">
        <v>199</v>
      </c>
      <c r="Y8" s="391">
        <f>Tabelle3[[#This Row],[DSK SV (€)]]/Tabelle3[[#This Row],[DSK SV (Backer)]]</f>
        <v>191.9145728643216</v>
      </c>
      <c r="Z8" s="3">
        <v>143837</v>
      </c>
      <c r="AA8" s="3">
        <v>731</v>
      </c>
      <c r="AB8" s="20">
        <f>Tabelle3[[#This Row],[WW (€)]]/Tabelle3[[#This Row],[WW (Backer)]]</f>
        <v>196.76744186046511</v>
      </c>
      <c r="AC8" s="3">
        <v>13158</v>
      </c>
      <c r="AD8" s="3">
        <v>101</v>
      </c>
      <c r="AE8" s="20">
        <f>Tabelle3[[#This Row],[DSK R (€)]]/Tabelle3[[#This Row],[DSK R (Backer)]]</f>
        <v>130.27722772277227</v>
      </c>
      <c r="AF8" s="3">
        <v>65490</v>
      </c>
      <c r="AG8" s="3">
        <v>301</v>
      </c>
      <c r="AH8" s="20">
        <f>Tabelle3[[#This Row],[Ära (€)]]/Tabelle3[[#This Row],[Ära (Backer)]]</f>
        <v>217.5747508305648</v>
      </c>
      <c r="AI8" s="3">
        <v>39341</v>
      </c>
      <c r="AJ8" s="3">
        <v>536</v>
      </c>
      <c r="AK8" s="20">
        <f>Tabelle3[[#This Row],[Mosaik (€)]]/Tabelle3[[#This Row],[Mosaik (Backer)]]</f>
        <v>73.397388059701498</v>
      </c>
      <c r="AL8" s="410"/>
      <c r="AM8" s="410"/>
      <c r="AN8" s="430"/>
      <c r="AO8" s="3">
        <v>126235</v>
      </c>
      <c r="AP8" s="3">
        <v>580</v>
      </c>
      <c r="AQ8" s="20">
        <f>Tabelle3[[#This Row],[ES (€)]]/Tabelle3[[#This Row],[ES (Backer)]]</f>
        <v>217.64655172413794</v>
      </c>
      <c r="AR8" s="3">
        <v>158884.32</v>
      </c>
      <c r="AS8" s="3">
        <v>696</v>
      </c>
      <c r="AT8" s="20">
        <f>Tabelle3[[#This Row],[WF (€)]]/Tabelle3[[#This Row],[WF(Backer)]]</f>
        <v>228.28206896551725</v>
      </c>
      <c r="AU8" s="152">
        <f>'Overview &amp; instructions'!AO54</f>
        <v>226553.17</v>
      </c>
      <c r="AV8" s="152">
        <f>'Overview &amp; instructions'!AP54</f>
        <v>1134</v>
      </c>
      <c r="AW8" s="20">
        <f>Tabelle3[[#This Row],[AKM (€)]]/Tabelle3[[#This Row],[AKM(Backer)]]</f>
        <v>199.7823368606702</v>
      </c>
      <c r="AY8">
        <f>Tabelle3[[#This Row],[AKM (€)]]/$AU$6</f>
        <v>1.2351045100228242</v>
      </c>
      <c r="AZ8">
        <f>Tabelle3[[#This Row],[WF (€)]]/$AR$6</f>
        <v>1.3541314588281679</v>
      </c>
      <c r="BH8" s="408" t="s">
        <v>41</v>
      </c>
      <c r="BI8" s="6">
        <f t="shared" ref="BI8:BI14" si="55">$AU8*$BW8</f>
        <v>442083.69497049443</v>
      </c>
      <c r="BJ8" s="6">
        <f t="shared" ref="BJ8:BJ14" si="56">$AV8*$BX8</f>
        <v>2214.7605633802818</v>
      </c>
      <c r="BK8" s="21">
        <f t="shared" ref="BK8" si="57">BI8/BJ8</f>
        <v>199.60789544480758</v>
      </c>
      <c r="BL8" s="6">
        <f t="shared" ref="BL8:BL14" si="58">$AU8*$BY8</f>
        <v>799165.85852947831</v>
      </c>
      <c r="BM8" s="6">
        <f t="shared" ref="BM8:BM14" si="59">$AV8*$BZ8</f>
        <v>4372.2</v>
      </c>
      <c r="BN8" s="21">
        <f t="shared" ref="BN8" si="60">BL8/BM8</f>
        <v>182.78346336614939</v>
      </c>
      <c r="BO8" s="3">
        <f t="shared" ref="BO8" si="61">AVERAGE(BI8,BL8)</f>
        <v>620624.77674998634</v>
      </c>
      <c r="BP8" s="3">
        <f t="shared" ref="BP8" si="62">AVERAGE(BJ8,BM8)</f>
        <v>3293.4802816901411</v>
      </c>
      <c r="BQ8" s="21">
        <f t="shared" ref="BQ8" si="63">BO8/BP8</f>
        <v>188.4404106501878</v>
      </c>
      <c r="BR8" s="3">
        <f t="shared" ref="BR8:BR14" si="64">$AU8*$CA8</f>
        <v>607627.93644081068</v>
      </c>
      <c r="BS8" s="3">
        <f t="shared" ref="BS8:BS14" si="65">$AV8*$CB8</f>
        <v>3105.5372275307486</v>
      </c>
      <c r="BT8" s="21">
        <f t="shared" ref="BT8" si="66">BR8/BS8</f>
        <v>195.65952423759649</v>
      </c>
      <c r="BV8" s="408" t="s">
        <v>41</v>
      </c>
      <c r="BW8" s="492">
        <f t="shared" si="51"/>
        <v>1.9513463217949869</v>
      </c>
      <c r="BX8" s="493">
        <f t="shared" si="2"/>
        <v>1.9530516431924883</v>
      </c>
      <c r="BY8" s="494">
        <f t="shared" si="52"/>
        <v>3.5274980196899399</v>
      </c>
      <c r="BZ8" s="494">
        <f t="shared" si="3"/>
        <v>3.8555555555555556</v>
      </c>
      <c r="CA8" s="494">
        <f t="shared" si="53"/>
        <v>2.6820544441766612</v>
      </c>
      <c r="CB8" s="494">
        <f t="shared" si="4"/>
        <v>2.7385689837131824</v>
      </c>
      <c r="CC8" s="494">
        <f t="shared" si="54"/>
        <v>1.576151697894953</v>
      </c>
      <c r="CD8" s="495">
        <f t="shared" si="5"/>
        <v>1.9025039123630674</v>
      </c>
      <c r="CE8" s="15">
        <f t="shared" si="6"/>
        <v>3.5274980196899399</v>
      </c>
      <c r="CF8" s="7">
        <f t="shared" si="7"/>
        <v>3.8555555555555556</v>
      </c>
      <c r="CG8" s="10">
        <f t="shared" si="8"/>
        <v>3.166935678373314</v>
      </c>
      <c r="CH8" s="11">
        <f t="shared" si="9"/>
        <v>3.375</v>
      </c>
      <c r="CI8" s="10">
        <f t="shared" si="10"/>
        <v>2.7321803282309545</v>
      </c>
      <c r="CJ8" s="25">
        <f t="shared" si="11"/>
        <v>2.653225806451613</v>
      </c>
      <c r="CK8" s="10">
        <f t="shared" si="12"/>
        <v>3.252177369809548</v>
      </c>
      <c r="CL8" s="25">
        <f t="shared" si="13"/>
        <v>3.0679012345679011</v>
      </c>
      <c r="CM8" s="10">
        <f t="shared" si="14"/>
        <v>1.9513463217949869</v>
      </c>
      <c r="CN8" s="25">
        <f t="shared" si="15"/>
        <v>1.9530516431924883</v>
      </c>
      <c r="CO8" s="10">
        <f t="shared" si="16"/>
        <v>3.3913779777154418</v>
      </c>
      <c r="CP8" s="25">
        <f t="shared" si="17"/>
        <v>3.4541666666666666</v>
      </c>
      <c r="CQ8" s="10">
        <f t="shared" si="18"/>
        <v>2.0946166099485919</v>
      </c>
      <c r="CR8" s="25">
        <f t="shared" si="19"/>
        <v>2.1288209606986901</v>
      </c>
      <c r="CS8" s="10">
        <f t="shared" si="20"/>
        <v>3.014139456940117</v>
      </c>
      <c r="CT8" s="25">
        <f t="shared" si="21"/>
        <v>3.2412060301507539</v>
      </c>
      <c r="CU8" s="10">
        <f t="shared" si="22"/>
        <v>2.2555740178118286</v>
      </c>
      <c r="CV8" s="25">
        <f t="shared" si="23"/>
        <v>2.2982216142270864</v>
      </c>
      <c r="CW8" s="10">
        <f t="shared" si="24"/>
        <v>2.7548259613923087</v>
      </c>
      <c r="CX8" s="25">
        <f t="shared" si="25"/>
        <v>2.6633663366336635</v>
      </c>
      <c r="CY8" s="10">
        <f t="shared" si="26"/>
        <v>3.8054512139257901</v>
      </c>
      <c r="CZ8" s="25">
        <f t="shared" si="27"/>
        <v>3.7740863787375414</v>
      </c>
      <c r="DA8" s="10">
        <f t="shared" si="28"/>
        <v>2.1363717241554614</v>
      </c>
      <c r="DB8" s="25">
        <f t="shared" si="29"/>
        <v>2.158582089552239</v>
      </c>
      <c r="DC8" s="10"/>
      <c r="DD8" s="25"/>
      <c r="DE8" s="10">
        <f t="shared" si="30"/>
        <v>2.4371133203945021</v>
      </c>
      <c r="DF8" s="25">
        <f t="shared" si="31"/>
        <v>2.5310344827586206</v>
      </c>
      <c r="DG8" s="10">
        <f t="shared" si="32"/>
        <v>2.1525509880396001</v>
      </c>
      <c r="DH8" s="25">
        <f t="shared" si="33"/>
        <v>2.2212643678160919</v>
      </c>
      <c r="DI8" s="16"/>
      <c r="DJ8" s="18">
        <f t="shared" si="34"/>
        <v>-0.3280575358656157</v>
      </c>
      <c r="DK8" s="26"/>
      <c r="DL8" s="27">
        <f t="shared" si="35"/>
        <v>-0.20806432162668598</v>
      </c>
      <c r="DM8" s="19"/>
      <c r="DN8" s="17">
        <f t="shared" si="36"/>
        <v>7.895452177934148E-2</v>
      </c>
      <c r="DO8" s="19"/>
      <c r="DP8" s="17">
        <f t="shared" si="37"/>
        <v>0.18427613524164688</v>
      </c>
      <c r="DQ8" s="19"/>
      <c r="DR8" s="17">
        <f t="shared" si="38"/>
        <v>-1.705321397501347E-3</v>
      </c>
      <c r="DS8" s="19"/>
      <c r="DT8" s="17">
        <f t="shared" si="39"/>
        <v>-6.2788688951224803E-2</v>
      </c>
      <c r="DU8" s="19"/>
      <c r="DV8" s="17">
        <f t="shared" si="40"/>
        <v>-3.42043507500982E-2</v>
      </c>
      <c r="DW8" s="19"/>
      <c r="DX8" s="17">
        <f t="shared" si="41"/>
        <v>-0.22706657321063695</v>
      </c>
      <c r="DY8" s="19"/>
      <c r="DZ8" s="17">
        <f t="shared" si="42"/>
        <v>-4.2647596415257727E-2</v>
      </c>
      <c r="EA8" s="19"/>
      <c r="EB8" s="17">
        <f t="shared" si="43"/>
        <v>9.1459624758645219E-2</v>
      </c>
      <c r="EC8" s="19"/>
      <c r="ED8" s="17">
        <f t="shared" si="44"/>
        <v>3.136483518824873E-2</v>
      </c>
      <c r="EE8" s="19"/>
      <c r="EF8" s="17">
        <f t="shared" si="45"/>
        <v>-2.2210365396777565E-2</v>
      </c>
      <c r="EG8" s="19"/>
      <c r="EH8" s="17">
        <f t="shared" si="46"/>
        <v>0</v>
      </c>
      <c r="EI8" s="19"/>
      <c r="EJ8" s="17">
        <f t="shared" si="47"/>
        <v>-9.3921162364118516E-2</v>
      </c>
      <c r="EK8" s="19"/>
      <c r="EL8" s="17">
        <f t="shared" si="48"/>
        <v>-6.8713379776491834E-2</v>
      </c>
    </row>
    <row r="9" spans="1:142" ht="15.75" hidden="1" outlineLevel="1" thickBot="1" x14ac:dyDescent="0.3">
      <c r="A9" s="392">
        <v>4</v>
      </c>
      <c r="B9" s="3">
        <v>18881</v>
      </c>
      <c r="C9" s="3">
        <v>95</v>
      </c>
      <c r="D9" s="391">
        <f>IFERROR(Tabelle3[[#This Row],[Ned (€)]]/Tabelle3[[#This Row],[Ned (Backer)]],"")</f>
        <v>198.74736842105264</v>
      </c>
      <c r="E9" s="3">
        <v>59963</v>
      </c>
      <c r="F9" s="3">
        <v>247</v>
      </c>
      <c r="G9" s="391">
        <f>Tabelle3[[#This Row],[Werkzeuge (€)]]/Tabelle3[[#This Row],[Werkzeuge (Backer)]]</f>
        <v>242.76518218623482</v>
      </c>
      <c r="H9" s="3">
        <v>47957</v>
      </c>
      <c r="I9" s="3">
        <v>264</v>
      </c>
      <c r="J9" s="20">
        <f>Tabelle3[[#This Row],[DSK Fasar (€)]]/Tabelle3[[#This Row],[DSK Fasar (Backer)]]</f>
        <v>181.65530303030303</v>
      </c>
      <c r="K9" s="3">
        <v>30324</v>
      </c>
      <c r="L9" s="3">
        <v>178</v>
      </c>
      <c r="M9" s="20">
        <f>Tabelle3[[#This Row],[Mythen (€)]]/Tabelle3[[#This Row],[Mythen (Backer)]]</f>
        <v>170.35955056179776</v>
      </c>
      <c r="N9" s="3">
        <v>127604</v>
      </c>
      <c r="O9" s="3">
        <v>891</v>
      </c>
      <c r="P9" s="20">
        <f>Tabelle3[[#This Row],[SOK (€)]]/Tabelle3[[#This Row],[SOK (Backer)]]</f>
        <v>143.21436588103253</v>
      </c>
      <c r="Q9" s="3">
        <v>123834</v>
      </c>
      <c r="R9" s="3">
        <v>520</v>
      </c>
      <c r="S9" s="20">
        <f>Tabelle3[[#This Row],[RE (€)]]/Tabelle3[[#This Row],[RE (Backer)]]</f>
        <v>238.1423076923077</v>
      </c>
      <c r="T9" s="3">
        <v>117325</v>
      </c>
      <c r="U9" s="3">
        <v>486</v>
      </c>
      <c r="V9" s="20">
        <f>Tabelle3[[#This Row],[DGG (€)]]/Tabelle3[[#This Row],[DGG (Backer)]]</f>
        <v>241.40946502057614</v>
      </c>
      <c r="W9" s="3">
        <v>41597</v>
      </c>
      <c r="X9" s="3">
        <v>218</v>
      </c>
      <c r="Y9" s="20">
        <f>Tabelle3[[#This Row],[DSK SV (€)]]/Tabelle3[[#This Row],[DSK SV (Backer)]]</f>
        <v>190.8119266055046</v>
      </c>
      <c r="Z9" s="3">
        <v>156839</v>
      </c>
      <c r="AA9" s="3">
        <v>797</v>
      </c>
      <c r="AB9" s="20">
        <f>Tabelle3[[#This Row],[WW (€)]]/Tabelle3[[#This Row],[WW (Backer)]]</f>
        <v>196.7867001254705</v>
      </c>
      <c r="AC9" s="3">
        <v>14235</v>
      </c>
      <c r="AD9" s="3">
        <v>110</v>
      </c>
      <c r="AE9" s="20">
        <f>Tabelle3[[#This Row],[DSK R (€)]]/Tabelle3[[#This Row],[DSK R (Backer)]]</f>
        <v>129.40909090909091</v>
      </c>
      <c r="AF9" s="3">
        <v>69834</v>
      </c>
      <c r="AG9" s="3">
        <v>323</v>
      </c>
      <c r="AH9" s="20">
        <f>Tabelle3[[#This Row],[Ära (€)]]/Tabelle3[[#This Row],[Ära (Backer)]]</f>
        <v>216.20433436532508</v>
      </c>
      <c r="AI9" s="3">
        <v>43256</v>
      </c>
      <c r="AJ9" s="3">
        <v>585</v>
      </c>
      <c r="AK9" s="20">
        <f>Tabelle3[[#This Row],[Mosaik (€)]]/Tabelle3[[#This Row],[Mosaik (Backer)]]</f>
        <v>73.941880341880335</v>
      </c>
      <c r="AL9" s="410"/>
      <c r="AM9" s="410"/>
      <c r="AN9" s="430"/>
      <c r="AO9" s="3">
        <v>134183</v>
      </c>
      <c r="AP9" s="3">
        <v>622</v>
      </c>
      <c r="AQ9" s="20">
        <f>Tabelle3[[#This Row],[ES (€)]]/Tabelle3[[#This Row],[ES (Backer)]]</f>
        <v>215.72829581993568</v>
      </c>
      <c r="AR9" s="3">
        <v>172623.29</v>
      </c>
      <c r="AS9" s="3">
        <v>759</v>
      </c>
      <c r="AT9" s="20">
        <f>Tabelle3[[#This Row],[WF (€)]]/Tabelle3[[#This Row],[WF(Backer)]]</f>
        <v>227.43516469038209</v>
      </c>
      <c r="AU9" s="152">
        <f>'Overview &amp; instructions'!AO55</f>
        <v>277418.56</v>
      </c>
      <c r="AV9" s="152">
        <f>'Overview &amp; instructions'!AP55</f>
        <v>1388</v>
      </c>
      <c r="AW9" s="20">
        <f>Tabelle3[[#This Row],[AKM (€)]]/Tabelle3[[#This Row],[AKM(Backer)]]</f>
        <v>199.86927953890489</v>
      </c>
      <c r="AY9">
        <f>$AU$6*AZ9</f>
        <v>269864.41010964097</v>
      </c>
      <c r="AZ9">
        <f>Tabelle3[[#This Row],[WF (€)]]/$AR$6</f>
        <v>1.4712252758196522</v>
      </c>
      <c r="BH9" s="408" t="s">
        <v>48</v>
      </c>
      <c r="BI9" s="6">
        <f t="shared" si="55"/>
        <v>519767.38244192977</v>
      </c>
      <c r="BJ9" s="6">
        <f t="shared" si="56"/>
        <v>2592.1795735129067</v>
      </c>
      <c r="BK9" s="21">
        <f t="shared" ref="BK9" si="67">BI9/BJ9</f>
        <v>200.51364795593386</v>
      </c>
      <c r="BL9" s="6">
        <f t="shared" si="58"/>
        <v>916035.1741539113</v>
      </c>
      <c r="BM9" s="6">
        <f t="shared" si="59"/>
        <v>5069.8526315789468</v>
      </c>
      <c r="BN9" s="21">
        <f t="shared" ref="BN9" si="68">BL9/BM9</f>
        <v>180.68280100453782</v>
      </c>
      <c r="BO9" s="3">
        <f t="shared" ref="BO9" si="69">AVERAGE(BI9,BL9)</f>
        <v>717901.27829792048</v>
      </c>
      <c r="BP9" s="3">
        <f t="shared" ref="BP9" si="70">AVERAGE(BJ9,BM9)</f>
        <v>3831.0161025459265</v>
      </c>
      <c r="BQ9" s="21">
        <f t="shared" ref="BQ9" si="71">BO9/BP9</f>
        <v>187.39187178587804</v>
      </c>
      <c r="BR9" s="3">
        <f t="shared" si="64"/>
        <v>689163.73323442077</v>
      </c>
      <c r="BS9" s="3">
        <f t="shared" si="65"/>
        <v>3517.7247928638267</v>
      </c>
      <c r="BT9" s="21">
        <f t="shared" ref="BT9" si="72">BR9/BS9</f>
        <v>195.9117821361356</v>
      </c>
      <c r="BV9" s="408" t="s">
        <v>48</v>
      </c>
      <c r="BW9" s="14">
        <f t="shared" si="51"/>
        <v>1.8735854675402026</v>
      </c>
      <c r="BX9" s="14">
        <f t="shared" si="2"/>
        <v>1.8675645342312008</v>
      </c>
      <c r="BY9" s="271">
        <f t="shared" si="52"/>
        <v>3.301996716275621</v>
      </c>
      <c r="BZ9" s="271">
        <f t="shared" si="3"/>
        <v>3.6526315789473682</v>
      </c>
      <c r="CA9" s="271">
        <f t="shared" si="53"/>
        <v>2.4842019698841376</v>
      </c>
      <c r="CB9" s="271">
        <f t="shared" si="4"/>
        <v>2.5343838565301344</v>
      </c>
      <c r="CC9" s="271">
        <f t="shared" si="54"/>
        <v>1.4284112487354184</v>
      </c>
      <c r="CD9" s="271">
        <f t="shared" si="5"/>
        <v>1.7850670447161674</v>
      </c>
      <c r="CE9" s="15">
        <f t="shared" si="6"/>
        <v>3.301996716275621</v>
      </c>
      <c r="CF9" s="7">
        <f t="shared" si="7"/>
        <v>3.6526315789473682</v>
      </c>
      <c r="CG9" s="10">
        <f t="shared" si="8"/>
        <v>2.8467721761753082</v>
      </c>
      <c r="CH9" s="11">
        <f t="shared" si="9"/>
        <v>3.0607287449392713</v>
      </c>
      <c r="CI9" s="10">
        <f t="shared" si="10"/>
        <v>2.5792689284150385</v>
      </c>
      <c r="CJ9" s="25">
        <f t="shared" si="11"/>
        <v>2.4924242424242422</v>
      </c>
      <c r="CK9" s="10">
        <f t="shared" si="12"/>
        <v>2.9676493866244558</v>
      </c>
      <c r="CL9" s="25">
        <f t="shared" si="13"/>
        <v>2.792134831460674</v>
      </c>
      <c r="CM9" s="10">
        <f t="shared" si="14"/>
        <v>1.8735854675402026</v>
      </c>
      <c r="CN9" s="25">
        <f t="shared" si="15"/>
        <v>1.8675645342312008</v>
      </c>
      <c r="CO9" s="10">
        <f t="shared" si="16"/>
        <v>3.1534715829255293</v>
      </c>
      <c r="CP9" s="25">
        <f t="shared" si="17"/>
        <v>3.1884615384615387</v>
      </c>
      <c r="CQ9" s="10">
        <f t="shared" si="18"/>
        <v>1.9725548689537609</v>
      </c>
      <c r="CR9" s="25">
        <f t="shared" si="19"/>
        <v>2.0061728395061729</v>
      </c>
      <c r="CS9" s="10">
        <f t="shared" si="20"/>
        <v>2.7673389907926054</v>
      </c>
      <c r="CT9" s="25">
        <f t="shared" si="21"/>
        <v>2.9587155963302751</v>
      </c>
      <c r="CU9" s="10">
        <f t="shared" si="22"/>
        <v>2.0685862572446903</v>
      </c>
      <c r="CV9" s="25">
        <f t="shared" si="23"/>
        <v>2.107904642409034</v>
      </c>
      <c r="CW9" s="10">
        <f t="shared" si="24"/>
        <v>2.5463997190024585</v>
      </c>
      <c r="CX9" s="25">
        <f t="shared" si="25"/>
        <v>2.4454545454545453</v>
      </c>
      <c r="CY9" s="10">
        <f t="shared" si="26"/>
        <v>3.568734427356302</v>
      </c>
      <c r="CZ9" s="25">
        <f t="shared" si="27"/>
        <v>3.51702786377709</v>
      </c>
      <c r="DA9" s="10">
        <f t="shared" si="28"/>
        <v>1.943013685962641</v>
      </c>
      <c r="DB9" s="25">
        <f t="shared" si="29"/>
        <v>1.9777777777777779</v>
      </c>
      <c r="DC9" s="10"/>
      <c r="DD9" s="25"/>
      <c r="DE9" s="10">
        <f t="shared" si="30"/>
        <v>2.292756906612611</v>
      </c>
      <c r="DF9" s="25">
        <f t="shared" si="31"/>
        <v>2.360128617363344</v>
      </c>
      <c r="DG9" s="10">
        <f t="shared" si="32"/>
        <v>1.981230921968872</v>
      </c>
      <c r="DH9" s="25">
        <f t="shared" si="33"/>
        <v>2.0368906455862978</v>
      </c>
      <c r="DI9" s="16"/>
      <c r="DJ9" s="18">
        <f t="shared" si="34"/>
        <v>-0.35063486267174726</v>
      </c>
      <c r="DK9" s="26"/>
      <c r="DL9" s="27">
        <f t="shared" si="35"/>
        <v>-0.21395656876396307</v>
      </c>
      <c r="DM9" s="19"/>
      <c r="DN9" s="17">
        <f t="shared" si="36"/>
        <v>8.6844685990796311E-2</v>
      </c>
      <c r="DO9" s="19"/>
      <c r="DP9" s="17">
        <f t="shared" si="37"/>
        <v>0.17551455516378178</v>
      </c>
      <c r="DQ9" s="19"/>
      <c r="DR9" s="17">
        <f t="shared" si="38"/>
        <v>6.0209333090017747E-3</v>
      </c>
      <c r="DS9" s="19"/>
      <c r="DT9" s="17">
        <f t="shared" si="39"/>
        <v>-3.4989955536009365E-2</v>
      </c>
      <c r="DU9" s="19"/>
      <c r="DV9" s="17">
        <f t="shared" si="40"/>
        <v>-3.3617970552412002E-2</v>
      </c>
      <c r="DW9" s="19"/>
      <c r="DX9" s="17">
        <f t="shared" si="41"/>
        <v>-0.19137660553766978</v>
      </c>
      <c r="DY9" s="19"/>
      <c r="DZ9" s="17">
        <f t="shared" si="42"/>
        <v>-3.9318385164343717E-2</v>
      </c>
      <c r="EA9" s="19"/>
      <c r="EB9" s="17">
        <f t="shared" si="43"/>
        <v>0.10094517354791321</v>
      </c>
      <c r="EC9" s="19"/>
      <c r="ED9" s="17">
        <f t="shared" si="44"/>
        <v>5.1706563579211995E-2</v>
      </c>
      <c r="EE9" s="19"/>
      <c r="EF9" s="17">
        <f t="shared" si="45"/>
        <v>-3.4764091815136844E-2</v>
      </c>
      <c r="EG9" s="19"/>
      <c r="EH9" s="17">
        <f t="shared" si="46"/>
        <v>0</v>
      </c>
      <c r="EI9" s="19"/>
      <c r="EJ9" s="17">
        <f t="shared" si="47"/>
        <v>-6.7371710750733005E-2</v>
      </c>
      <c r="EK9" s="19"/>
      <c r="EL9" s="17">
        <f t="shared" si="48"/>
        <v>-5.5659723617425882E-2</v>
      </c>
    </row>
    <row r="10" spans="1:142" ht="15.75" hidden="1" outlineLevel="1" thickBot="1" x14ac:dyDescent="0.3">
      <c r="A10" s="392">
        <v>5</v>
      </c>
      <c r="B10" s="3">
        <v>21886</v>
      </c>
      <c r="C10" s="3">
        <v>111</v>
      </c>
      <c r="D10" s="20">
        <f>IFERROR(Tabelle3[[#This Row],[Ned (€)]]/Tabelle3[[#This Row],[Ned (Backer)]],"")</f>
        <v>197.17117117117118</v>
      </c>
      <c r="E10" s="3">
        <v>63115</v>
      </c>
      <c r="F10" s="3">
        <v>264</v>
      </c>
      <c r="G10" s="20">
        <f>Tabelle3[[#This Row],[Werkzeuge (€)]]/Tabelle3[[#This Row],[Werkzeuge (Backer)]]</f>
        <v>239.07196969696969</v>
      </c>
      <c r="H10" s="3">
        <v>50763</v>
      </c>
      <c r="I10" s="3">
        <v>280</v>
      </c>
      <c r="J10" s="20">
        <f>Tabelle3[[#This Row],[DSK Fasar (€)]]/Tabelle3[[#This Row],[DSK Fasar (Backer)]]</f>
        <v>181.29642857142858</v>
      </c>
      <c r="K10" s="3">
        <v>32621</v>
      </c>
      <c r="L10" s="3">
        <v>191</v>
      </c>
      <c r="M10" s="20">
        <f>Tabelle3[[#This Row],[Mythen (€)]]/Tabelle3[[#This Row],[Mythen (Backer)]]</f>
        <v>170.79057591623035</v>
      </c>
      <c r="N10" s="3">
        <v>131274</v>
      </c>
      <c r="O10" s="3">
        <v>918</v>
      </c>
      <c r="P10" s="20">
        <f>Tabelle3[[#This Row],[SOK (€)]]/Tabelle3[[#This Row],[SOK (Backer)]]</f>
        <v>143</v>
      </c>
      <c r="Q10" s="3">
        <v>132002</v>
      </c>
      <c r="R10" s="3">
        <v>564</v>
      </c>
      <c r="S10" s="20">
        <f>Tabelle3[[#This Row],[RE (€)]]/Tabelle3[[#This Row],[RE (Backer)]]</f>
        <v>234.04609929078015</v>
      </c>
      <c r="T10" s="3">
        <v>120368</v>
      </c>
      <c r="U10" s="3">
        <v>497</v>
      </c>
      <c r="V10" s="20">
        <f>Tabelle3[[#This Row],[DGG (€)]]/Tabelle3[[#This Row],[DGG (Backer)]]</f>
        <v>242.18913480885311</v>
      </c>
      <c r="W10" s="3">
        <v>44358</v>
      </c>
      <c r="X10" s="3">
        <v>235</v>
      </c>
      <c r="Y10" s="20">
        <f>Tabelle3[[#This Row],[DSK SV (€)]]/Tabelle3[[#This Row],[DSK SV (Backer)]]</f>
        <v>188.75744680851065</v>
      </c>
      <c r="Z10" s="3">
        <v>166947</v>
      </c>
      <c r="AA10" s="3">
        <v>847</v>
      </c>
      <c r="AB10" s="20">
        <f>Tabelle3[[#This Row],[WW (€)]]/Tabelle3[[#This Row],[WW (Backer)]]</f>
        <v>197.10389610389609</v>
      </c>
      <c r="AC10" s="3">
        <v>15015</v>
      </c>
      <c r="AD10" s="3">
        <v>116</v>
      </c>
      <c r="AE10" s="20">
        <f>Tabelle3[[#This Row],[DSK R (€)]]/Tabelle3[[#This Row],[DSK R (Backer)]]</f>
        <v>129.43965517241378</v>
      </c>
      <c r="AF10" s="3">
        <v>75551</v>
      </c>
      <c r="AG10" s="3">
        <v>351</v>
      </c>
      <c r="AH10" s="20">
        <f>Tabelle3[[#This Row],[Ära (€)]]/Tabelle3[[#This Row],[Ära (Backer)]]</f>
        <v>215.24501424501423</v>
      </c>
      <c r="AI10" s="3">
        <v>44966</v>
      </c>
      <c r="AJ10" s="3">
        <v>611</v>
      </c>
      <c r="AK10" s="20">
        <f>Tabelle3[[#This Row],[Mosaik (€)]]/Tabelle3[[#This Row],[Mosaik (Backer)]]</f>
        <v>73.594108019639933</v>
      </c>
      <c r="AL10" s="410"/>
      <c r="AM10" s="410"/>
      <c r="AN10" s="430"/>
      <c r="AO10" s="3">
        <v>141611</v>
      </c>
      <c r="AP10" s="3">
        <v>661</v>
      </c>
      <c r="AQ10" s="20">
        <f>Tabelle3[[#This Row],[ES (€)]]/Tabelle3[[#This Row],[ES (Backer)]]</f>
        <v>214.2375189107413</v>
      </c>
      <c r="AR10" s="3">
        <v>178763.98</v>
      </c>
      <c r="AS10" s="3">
        <v>790</v>
      </c>
      <c r="AT10" s="20">
        <f>Tabelle3[[#This Row],[WF (€)]]/Tabelle3[[#This Row],[WF(Backer)]]</f>
        <v>226.28351898734178</v>
      </c>
      <c r="AU10" s="152">
        <f>'Overview &amp; instructions'!AO56</f>
        <v>300513.95</v>
      </c>
      <c r="AV10" s="152">
        <f>'Overview &amp; instructions'!AP56</f>
        <v>1511</v>
      </c>
      <c r="AW10" s="20">
        <f>Tabelle3[[#This Row],[AKM (€)]]/Tabelle3[[#This Row],[AKM(Backer)]]</f>
        <v>198.88414956982132</v>
      </c>
      <c r="AY10">
        <f t="shared" ref="AY10:AY26" si="73">$AU$6*AZ10</f>
        <v>279464.23690309492</v>
      </c>
      <c r="AZ10">
        <f>Tabelle3[[#This Row],[WF (€)]]/$AR$6</f>
        <v>1.5235608461761956</v>
      </c>
      <c r="BG10" s="172"/>
      <c r="BH10" s="408" t="s">
        <v>49</v>
      </c>
      <c r="BI10" s="6">
        <f t="shared" si="55"/>
        <v>547297.81696413609</v>
      </c>
      <c r="BJ10" s="6">
        <f t="shared" si="56"/>
        <v>2738.8932461873637</v>
      </c>
      <c r="BK10" s="21">
        <f t="shared" ref="BK10" si="74">BI10/BJ10</f>
        <v>199.82444285698028</v>
      </c>
      <c r="BL10" s="6">
        <f t="shared" si="58"/>
        <v>889022.90171853465</v>
      </c>
      <c r="BM10" s="6">
        <f t="shared" si="59"/>
        <v>4723.5765765765764</v>
      </c>
      <c r="BN10" s="21">
        <f t="shared" ref="BN10" si="75">BL10/BM10</f>
        <v>188.20969392706579</v>
      </c>
      <c r="BO10" s="3">
        <f t="shared" ref="BO10" si="76">AVERAGE(BI10,BL10)</f>
        <v>718160.35934133537</v>
      </c>
      <c r="BP10" s="3">
        <f t="shared" ref="BP10" si="77">AVERAGE(BJ10,BM10)</f>
        <v>3731.2349113819701</v>
      </c>
      <c r="BQ10" s="21">
        <f t="shared" ref="BQ10" si="78">BO10/BP10</f>
        <v>192.47256642850826</v>
      </c>
      <c r="BR10" s="3">
        <f t="shared" si="64"/>
        <v>701773.64387704071</v>
      </c>
      <c r="BS10" s="3">
        <f t="shared" si="65"/>
        <v>3576.9500585425731</v>
      </c>
      <c r="BT10" s="21">
        <f t="shared" ref="BT10" si="79">BR10/BS10</f>
        <v>196.19330222434755</v>
      </c>
      <c r="BV10" s="408" t="s">
        <v>49</v>
      </c>
      <c r="BW10" s="14">
        <f t="shared" si="51"/>
        <v>1.8212060270883801</v>
      </c>
      <c r="BX10" s="14">
        <f t="shared" si="2"/>
        <v>1.812636165577342</v>
      </c>
      <c r="BY10" s="271">
        <f t="shared" si="52"/>
        <v>2.9583415402796929</v>
      </c>
      <c r="BZ10" s="271">
        <f t="shared" si="3"/>
        <v>3.1261261261261262</v>
      </c>
      <c r="CA10" s="271">
        <f t="shared" si="53"/>
        <v>2.3352448160128363</v>
      </c>
      <c r="CB10" s="271">
        <f t="shared" si="4"/>
        <v>2.3672733676655016</v>
      </c>
      <c r="CC10" s="271">
        <f t="shared" si="54"/>
        <v>1.1371355131913128</v>
      </c>
      <c r="CD10" s="271">
        <f t="shared" si="5"/>
        <v>1.3134899605487842</v>
      </c>
      <c r="CE10" s="15">
        <f t="shared" si="6"/>
        <v>2.8486246915836606</v>
      </c>
      <c r="CF10" s="7">
        <f t="shared" si="7"/>
        <v>3.1261261261261262</v>
      </c>
      <c r="CG10" s="10">
        <f t="shared" si="8"/>
        <v>2.7046027093400933</v>
      </c>
      <c r="CH10" s="11">
        <f t="shared" si="9"/>
        <v>2.8636363636363638</v>
      </c>
      <c r="CI10" s="10">
        <f t="shared" si="10"/>
        <v>2.4366960187538167</v>
      </c>
      <c r="CJ10" s="25">
        <f t="shared" si="11"/>
        <v>2.35</v>
      </c>
      <c r="CK10" s="10">
        <f t="shared" si="12"/>
        <v>2.7586830569265199</v>
      </c>
      <c r="CL10" s="25">
        <f t="shared" si="13"/>
        <v>2.6020942408376961</v>
      </c>
      <c r="CM10" s="10">
        <f t="shared" si="14"/>
        <v>1.8212060270883801</v>
      </c>
      <c r="CN10" s="25">
        <f t="shared" si="15"/>
        <v>1.812636165577342</v>
      </c>
      <c r="CO10" s="10">
        <f t="shared" si="16"/>
        <v>2.9583415402796929</v>
      </c>
      <c r="CP10" s="25">
        <f t="shared" si="17"/>
        <v>2.9397163120567376</v>
      </c>
      <c r="CQ10" s="10">
        <f t="shared" si="18"/>
        <v>1.9226870929150606</v>
      </c>
      <c r="CR10" s="25">
        <f t="shared" si="19"/>
        <v>1.9617706237424548</v>
      </c>
      <c r="CS10" s="10">
        <f t="shared" si="20"/>
        <v>2.5950899499526581</v>
      </c>
      <c r="CT10" s="25">
        <f t="shared" si="21"/>
        <v>2.7446808510638299</v>
      </c>
      <c r="CU10" s="10">
        <f t="shared" si="22"/>
        <v>1.9433412999335118</v>
      </c>
      <c r="CV10" s="25">
        <f t="shared" si="23"/>
        <v>1.9834710743801653</v>
      </c>
      <c r="CW10" s="10">
        <f t="shared" si="24"/>
        <v>2.4141192141192143</v>
      </c>
      <c r="CX10" s="25">
        <f t="shared" si="25"/>
        <v>2.3189655172413794</v>
      </c>
      <c r="CY10" s="10">
        <f t="shared" si="26"/>
        <v>3.2986856560469087</v>
      </c>
      <c r="CZ10" s="25">
        <f t="shared" si="27"/>
        <v>3.2364672364672367</v>
      </c>
      <c r="DA10" s="10">
        <f t="shared" si="28"/>
        <v>1.8691233376328782</v>
      </c>
      <c r="DB10" s="25">
        <f t="shared" si="29"/>
        <v>1.8936170212765957</v>
      </c>
      <c r="DC10" s="10"/>
      <c r="DD10" s="25"/>
      <c r="DE10" s="10">
        <f t="shared" si="30"/>
        <v>2.1724936622155058</v>
      </c>
      <c r="DF10" s="25">
        <f t="shared" si="31"/>
        <v>2.2208774583963691</v>
      </c>
      <c r="DG10" s="10">
        <f t="shared" si="32"/>
        <v>1.9131740074258805</v>
      </c>
      <c r="DH10" s="25">
        <f t="shared" si="33"/>
        <v>1.9569620253164557</v>
      </c>
      <c r="DI10" s="16"/>
      <c r="DJ10" s="18">
        <f t="shared" si="34"/>
        <v>-0.27750143454246556</v>
      </c>
      <c r="DK10" s="26"/>
      <c r="DL10" s="27">
        <f t="shared" si="35"/>
        <v>-0.15903365429627048</v>
      </c>
      <c r="DM10" s="19"/>
      <c r="DN10" s="17">
        <f t="shared" si="36"/>
        <v>8.6696018753816606E-2</v>
      </c>
      <c r="DO10" s="19"/>
      <c r="DP10" s="17">
        <f t="shared" si="37"/>
        <v>0.1565888160888238</v>
      </c>
      <c r="DQ10" s="19"/>
      <c r="DR10" s="17">
        <f t="shared" si="38"/>
        <v>8.5698615110381127E-3</v>
      </c>
      <c r="DS10" s="19"/>
      <c r="DT10" s="17">
        <f t="shared" si="39"/>
        <v>1.8625228222955315E-2</v>
      </c>
      <c r="DU10" s="19"/>
      <c r="DV10" s="17">
        <f t="shared" si="40"/>
        <v>-3.9083530827394242E-2</v>
      </c>
      <c r="DW10" s="19"/>
      <c r="DX10" s="17">
        <f t="shared" si="41"/>
        <v>-0.14959090111117179</v>
      </c>
      <c r="DY10" s="19"/>
      <c r="DZ10" s="17">
        <f t="shared" si="42"/>
        <v>-4.0129774446653554E-2</v>
      </c>
      <c r="EA10" s="19"/>
      <c r="EB10" s="17">
        <f t="shared" si="43"/>
        <v>9.5153696877834815E-2</v>
      </c>
      <c r="EC10" s="19"/>
      <c r="ED10" s="17">
        <f t="shared" si="44"/>
        <v>6.2218419579672002E-2</v>
      </c>
      <c r="EE10" s="19"/>
      <c r="EF10" s="17">
        <f t="shared" si="45"/>
        <v>-2.4493683643717512E-2</v>
      </c>
      <c r="EG10" s="19"/>
      <c r="EH10" s="17">
        <f t="shared" si="46"/>
        <v>0</v>
      </c>
      <c r="EI10" s="19"/>
      <c r="EJ10" s="17">
        <f t="shared" si="47"/>
        <v>-4.8383796180863303E-2</v>
      </c>
      <c r="EK10" s="19"/>
      <c r="EL10" s="17">
        <f t="shared" si="48"/>
        <v>-4.3788017890575182E-2</v>
      </c>
    </row>
    <row r="11" spans="1:142" ht="15.75" hidden="1" outlineLevel="1" thickBot="1" x14ac:dyDescent="0.3">
      <c r="A11" s="392">
        <v>6</v>
      </c>
      <c r="B11" s="3">
        <v>22571</v>
      </c>
      <c r="C11" s="3">
        <v>114.99999999999999</v>
      </c>
      <c r="D11" s="20">
        <f>IFERROR(Tabelle3[[#This Row],[Ned (€)]]/Tabelle3[[#This Row],[Ned (Backer)]],"")</f>
        <v>196.26956521739132</v>
      </c>
      <c r="E11" s="3">
        <v>65148</v>
      </c>
      <c r="F11" s="3">
        <v>274</v>
      </c>
      <c r="G11" s="20">
        <f>Tabelle3[[#This Row],[Werkzeuge (€)]]/Tabelle3[[#This Row],[Werkzeuge (Backer)]]</f>
        <v>237.76642335766422</v>
      </c>
      <c r="H11" s="3">
        <v>53829</v>
      </c>
      <c r="I11" s="3">
        <v>294</v>
      </c>
      <c r="J11" s="391">
        <f>Tabelle3[[#This Row],[DSK Fasar (€)]]/Tabelle3[[#This Row],[DSK Fasar (Backer)]]</f>
        <v>183.09183673469389</v>
      </c>
      <c r="K11" s="3">
        <v>37481</v>
      </c>
      <c r="L11" s="3">
        <v>220</v>
      </c>
      <c r="M11" s="20">
        <f>Tabelle3[[#This Row],[Mythen (€)]]/Tabelle3[[#This Row],[Mythen (Backer)]]</f>
        <v>170.36818181818182</v>
      </c>
      <c r="N11" s="3">
        <v>135593</v>
      </c>
      <c r="O11" s="3">
        <v>953</v>
      </c>
      <c r="P11" s="20">
        <f>Tabelle3[[#This Row],[SOK (€)]]/Tabelle3[[#This Row],[SOK (Backer)]]</f>
        <v>142.28016789087093</v>
      </c>
      <c r="Q11" s="3">
        <v>150957</v>
      </c>
      <c r="R11" s="3">
        <v>652</v>
      </c>
      <c r="S11" s="20">
        <f>Tabelle3[[#This Row],[RE (€)]]/Tabelle3[[#This Row],[RE (Backer)]]</f>
        <v>231.52914110429447</v>
      </c>
      <c r="T11" s="3">
        <v>123198</v>
      </c>
      <c r="U11" s="3">
        <v>508</v>
      </c>
      <c r="V11" s="20">
        <f>Tabelle3[[#This Row],[DGG (€)]]/Tabelle3[[#This Row],[DGG (Backer)]]</f>
        <v>242.51574803149606</v>
      </c>
      <c r="W11" s="3">
        <v>45558</v>
      </c>
      <c r="X11" s="3">
        <v>241</v>
      </c>
      <c r="Y11" s="20">
        <f>Tabelle3[[#This Row],[DSK SV (€)]]/Tabelle3[[#This Row],[DSK SV (Backer)]]</f>
        <v>189.03734439834025</v>
      </c>
      <c r="Z11" s="3">
        <v>175946</v>
      </c>
      <c r="AA11" s="3">
        <v>901</v>
      </c>
      <c r="AB11" s="20">
        <f>Tabelle3[[#This Row],[WW (€)]]/Tabelle3[[#This Row],[WW (Backer)]]</f>
        <v>195.2785793562708</v>
      </c>
      <c r="AC11" s="3">
        <v>16237</v>
      </c>
      <c r="AD11" s="3">
        <v>123</v>
      </c>
      <c r="AE11" s="391">
        <f>Tabelle3[[#This Row],[DSK R (€)]]/Tabelle3[[#This Row],[DSK R (Backer)]]</f>
        <v>132.00813008130081</v>
      </c>
      <c r="AF11" s="3">
        <v>85403</v>
      </c>
      <c r="AG11" s="3">
        <v>395</v>
      </c>
      <c r="AH11" s="391">
        <f>Tabelle3[[#This Row],[Ära (€)]]/Tabelle3[[#This Row],[Ära (Backer)]]</f>
        <v>216.21012658227849</v>
      </c>
      <c r="AI11" s="3">
        <v>46520</v>
      </c>
      <c r="AJ11" s="3">
        <v>633</v>
      </c>
      <c r="AK11" s="20">
        <f>Tabelle3[[#This Row],[Mosaik (€)]]/Tabelle3[[#This Row],[Mosaik (Backer)]]</f>
        <v>73.491311216429693</v>
      </c>
      <c r="AL11" s="410"/>
      <c r="AM11" s="410"/>
      <c r="AN11" s="430"/>
      <c r="AO11" s="3">
        <v>150726</v>
      </c>
      <c r="AP11" s="3">
        <v>706</v>
      </c>
      <c r="AQ11" s="20">
        <f>Tabelle3[[#This Row],[ES (€)]]/Tabelle3[[#This Row],[ES (Backer)]]</f>
        <v>213.4929178470255</v>
      </c>
      <c r="AR11" s="3">
        <v>184821.71</v>
      </c>
      <c r="AS11" s="3">
        <v>821</v>
      </c>
      <c r="AT11" s="20">
        <f>Tabelle3[[#This Row],[WF (€)]]/Tabelle3[[#This Row],[WF(Backer)]]</f>
        <v>225.11779537149818</v>
      </c>
      <c r="AU11" s="152">
        <f>'Overview &amp; instructions'!AO57</f>
        <v>317794.57</v>
      </c>
      <c r="AV11" s="152">
        <f>'Overview &amp; instructions'!AP57</f>
        <v>1598</v>
      </c>
      <c r="AW11" s="20">
        <f>Tabelle3[[#This Row],[AKM (€)]]/Tabelle3[[#This Row],[AKM(Backer)]]</f>
        <v>198.87019399249061</v>
      </c>
      <c r="AY11">
        <f t="shared" si="73"/>
        <v>288934.37116512563</v>
      </c>
      <c r="AZ11">
        <f>Tabelle3[[#This Row],[WF (€)]]/$AR$6</f>
        <v>1.5751893691297956</v>
      </c>
      <c r="BH11" s="408" t="s">
        <v>50</v>
      </c>
      <c r="BI11" s="6">
        <f t="shared" si="55"/>
        <v>560334.03208049084</v>
      </c>
      <c r="BJ11" s="6">
        <f t="shared" si="56"/>
        <v>2790.2119622245541</v>
      </c>
      <c r="BK11" s="21">
        <f t="shared" ref="BK11" si="80">BI11/BJ11</f>
        <v>200.82131381651485</v>
      </c>
      <c r="BL11" s="6">
        <f t="shared" si="58"/>
        <v>877803.48529750574</v>
      </c>
      <c r="BM11" s="6">
        <f t="shared" si="59"/>
        <v>4821.7913043478266</v>
      </c>
      <c r="BN11" s="21">
        <f t="shared" ref="BN11" si="81">BL11/BM11</f>
        <v>182.04924889760102</v>
      </c>
      <c r="BO11" s="3">
        <f t="shared" ref="BO11" si="82">AVERAGE(BI11,BL11)</f>
        <v>719068.75868899829</v>
      </c>
      <c r="BP11" s="3">
        <f t="shared" ref="BP11" si="83">AVERAGE(BJ11,BM11)</f>
        <v>3806.0016332861906</v>
      </c>
      <c r="BQ11" s="21">
        <f t="shared" ref="BQ11" si="84">BO11/BP11</f>
        <v>188.93022861583418</v>
      </c>
      <c r="BR11" s="3">
        <f t="shared" si="64"/>
        <v>699422.62814415083</v>
      </c>
      <c r="BS11" s="3">
        <f t="shared" si="65"/>
        <v>3564.7854174227641</v>
      </c>
      <c r="BT11" s="21">
        <f t="shared" ref="BT11" si="85">BR11/BS11</f>
        <v>196.20329030907362</v>
      </c>
      <c r="BV11" s="408" t="s">
        <v>50</v>
      </c>
      <c r="BW11" s="14">
        <f t="shared" si="51"/>
        <v>1.7631957401930778</v>
      </c>
      <c r="BX11" s="14">
        <f t="shared" si="2"/>
        <v>1.746065057712487</v>
      </c>
      <c r="BY11" s="271">
        <f t="shared" si="52"/>
        <v>2.7621726994816358</v>
      </c>
      <c r="BZ11" s="271">
        <f t="shared" si="3"/>
        <v>3.0173913043478264</v>
      </c>
      <c r="CA11" s="271">
        <f t="shared" si="53"/>
        <v>2.2008639988535701</v>
      </c>
      <c r="CB11" s="271">
        <f t="shared" si="4"/>
        <v>2.2307793600893393</v>
      </c>
      <c r="CC11" s="271">
        <f t="shared" si="54"/>
        <v>0.99897695928855801</v>
      </c>
      <c r="CD11" s="271">
        <f t="shared" si="5"/>
        <v>1.2713262466353394</v>
      </c>
      <c r="CE11" s="15">
        <f t="shared" si="6"/>
        <v>2.7621726994816358</v>
      </c>
      <c r="CF11" s="7">
        <f t="shared" si="7"/>
        <v>3.0173913043478264</v>
      </c>
      <c r="CG11" s="10">
        <f t="shared" si="8"/>
        <v>2.6202032295695954</v>
      </c>
      <c r="CH11" s="11">
        <f t="shared" si="9"/>
        <v>2.7591240875912408</v>
      </c>
      <c r="CI11" s="10">
        <f t="shared" si="10"/>
        <v>2.2979063330175182</v>
      </c>
      <c r="CJ11" s="25">
        <f t="shared" si="11"/>
        <v>2.2380952380952381</v>
      </c>
      <c r="CK11" s="10">
        <f t="shared" si="12"/>
        <v>2.4009764947573435</v>
      </c>
      <c r="CL11" s="25">
        <f t="shared" si="13"/>
        <v>2.2590909090909093</v>
      </c>
      <c r="CM11" s="10">
        <f t="shared" si="14"/>
        <v>1.7631957401930778</v>
      </c>
      <c r="CN11" s="25">
        <f t="shared" si="15"/>
        <v>1.746065057712487</v>
      </c>
      <c r="CO11" s="10">
        <f t="shared" si="16"/>
        <v>2.5868757328245793</v>
      </c>
      <c r="CP11" s="25">
        <f t="shared" si="17"/>
        <v>2.5429447852760738</v>
      </c>
      <c r="CQ11" s="10">
        <f t="shared" si="18"/>
        <v>1.8785207552070651</v>
      </c>
      <c r="CR11" s="25">
        <f t="shared" si="19"/>
        <v>1.9192913385826771</v>
      </c>
      <c r="CS11" s="10">
        <f t="shared" si="20"/>
        <v>2.5267351507967866</v>
      </c>
      <c r="CT11" s="25">
        <f t="shared" si="21"/>
        <v>2.6763485477178421</v>
      </c>
      <c r="CU11" s="10">
        <f t="shared" si="22"/>
        <v>1.8439464381116935</v>
      </c>
      <c r="CV11" s="25">
        <f t="shared" si="23"/>
        <v>1.8645948945615982</v>
      </c>
      <c r="CW11" s="10">
        <f t="shared" si="24"/>
        <v>2.2324320995257745</v>
      </c>
      <c r="CX11" s="25">
        <f t="shared" si="25"/>
        <v>2.1869918699186992</v>
      </c>
      <c r="CY11" s="10">
        <f t="shared" si="26"/>
        <v>2.9181527580998328</v>
      </c>
      <c r="CZ11" s="25">
        <f t="shared" si="27"/>
        <v>2.8759493670886074</v>
      </c>
      <c r="DA11" s="10">
        <f t="shared" si="28"/>
        <v>1.8066852966466036</v>
      </c>
      <c r="DB11" s="25">
        <f t="shared" si="29"/>
        <v>1.8278041074249605</v>
      </c>
      <c r="DC11" s="10"/>
      <c r="DD11" s="25"/>
      <c r="DE11" s="10">
        <f t="shared" si="30"/>
        <v>2.0411143399280816</v>
      </c>
      <c r="DF11" s="25">
        <f t="shared" si="31"/>
        <v>2.0793201133144477</v>
      </c>
      <c r="DG11" s="10">
        <f t="shared" si="32"/>
        <v>1.8504676750366609</v>
      </c>
      <c r="DH11" s="25">
        <f t="shared" si="33"/>
        <v>1.8830694275274056</v>
      </c>
      <c r="DI11" s="16"/>
      <c r="DJ11" s="18">
        <f t="shared" si="34"/>
        <v>-0.25521860486619063</v>
      </c>
      <c r="DK11" s="26"/>
      <c r="DL11" s="27">
        <f t="shared" si="35"/>
        <v>-0.13892085802164544</v>
      </c>
      <c r="DM11" s="19"/>
      <c r="DN11" s="17">
        <f t="shared" si="36"/>
        <v>5.9811094922280095E-2</v>
      </c>
      <c r="DO11" s="19"/>
      <c r="DP11" s="17">
        <f t="shared" si="37"/>
        <v>0.14188558566643428</v>
      </c>
      <c r="DQ11" s="19"/>
      <c r="DR11" s="17">
        <f t="shared" si="38"/>
        <v>1.7130682480590798E-2</v>
      </c>
      <c r="DS11" s="19"/>
      <c r="DT11" s="17">
        <f t="shared" si="39"/>
        <v>4.3930947548505461E-2</v>
      </c>
      <c r="DU11" s="19"/>
      <c r="DV11" s="17">
        <f t="shared" si="40"/>
        <v>-4.0770583375612013E-2</v>
      </c>
      <c r="DW11" s="19"/>
      <c r="DX11" s="17">
        <f t="shared" si="41"/>
        <v>-0.14961339692105557</v>
      </c>
      <c r="DY11" s="19"/>
      <c r="DZ11" s="17">
        <f t="shared" si="42"/>
        <v>-2.0648456449904762E-2</v>
      </c>
      <c r="EA11" s="19"/>
      <c r="EB11" s="17">
        <f t="shared" si="43"/>
        <v>4.5440229607075278E-2</v>
      </c>
      <c r="EC11" s="19"/>
      <c r="ED11" s="17">
        <f t="shared" si="44"/>
        <v>4.2203391011225388E-2</v>
      </c>
      <c r="EE11" s="19"/>
      <c r="EF11" s="17">
        <f t="shared" si="45"/>
        <v>-2.1118810778356867E-2</v>
      </c>
      <c r="EG11" s="19"/>
      <c r="EH11" s="17">
        <f t="shared" si="46"/>
        <v>0</v>
      </c>
      <c r="EI11" s="19"/>
      <c r="EJ11" s="17">
        <f t="shared" si="47"/>
        <v>-3.8205773386366104E-2</v>
      </c>
      <c r="EK11" s="19"/>
      <c r="EL11" s="17">
        <f t="shared" si="48"/>
        <v>-3.2601752490744706E-2</v>
      </c>
    </row>
    <row r="12" spans="1:142" ht="15.75" hidden="1" outlineLevel="1" thickBot="1" x14ac:dyDescent="0.3">
      <c r="A12" s="691">
        <v>7</v>
      </c>
      <c r="B12" s="3">
        <v>24180</v>
      </c>
      <c r="C12" s="3">
        <v>124</v>
      </c>
      <c r="D12" s="20">
        <f>IFERROR(Tabelle3[[#This Row],[Ned (€)]]/Tabelle3[[#This Row],[Ned (Backer)]],"")</f>
        <v>195</v>
      </c>
      <c r="E12" s="3">
        <v>69623</v>
      </c>
      <c r="F12" s="3">
        <v>295</v>
      </c>
      <c r="G12" s="20">
        <f>Tabelle3[[#This Row],[Werkzeuge (€)]]/Tabelle3[[#This Row],[Werkzeuge (Backer)]]</f>
        <v>236.01016949152543</v>
      </c>
      <c r="H12" s="3">
        <v>55981</v>
      </c>
      <c r="I12" s="3">
        <v>308</v>
      </c>
      <c r="J12" s="20">
        <f>Tabelle3[[#This Row],[DSK Fasar (€)]]/Tabelle3[[#This Row],[DSK Fasar (Backer)]]</f>
        <v>181.75649350649351</v>
      </c>
      <c r="K12" s="3">
        <v>40223</v>
      </c>
      <c r="L12" s="3">
        <v>236</v>
      </c>
      <c r="M12" s="20">
        <f>Tabelle3[[#This Row],[Mythen (€)]]/Tabelle3[[#This Row],[Mythen (Backer)]]</f>
        <v>170.43644067796609</v>
      </c>
      <c r="N12" s="3">
        <v>147297</v>
      </c>
      <c r="O12" s="3">
        <v>1044</v>
      </c>
      <c r="P12" s="20">
        <f>Tabelle3[[#This Row],[SOK (€)]]/Tabelle3[[#This Row],[SOK (Backer)]]</f>
        <v>141.08908045977012</v>
      </c>
      <c r="Q12" s="3">
        <v>164491</v>
      </c>
      <c r="R12" s="3">
        <v>709</v>
      </c>
      <c r="S12" s="20">
        <f>Tabelle3[[#This Row],[RE (€)]]/Tabelle3[[#This Row],[RE (Backer)]]</f>
        <v>232.00423131170663</v>
      </c>
      <c r="T12" s="3">
        <v>126713</v>
      </c>
      <c r="U12" s="3">
        <v>523</v>
      </c>
      <c r="V12" s="20">
        <f>Tabelle3[[#This Row],[DGG (€)]]/Tabelle3[[#This Row],[DGG (Backer)]]</f>
        <v>242.28107074569789</v>
      </c>
      <c r="W12" s="3">
        <v>50019</v>
      </c>
      <c r="X12" s="3">
        <v>262</v>
      </c>
      <c r="Y12" s="391">
        <f>Tabelle3[[#This Row],[DSK SV (€)]]/Tabelle3[[#This Row],[DSK SV (Backer)]]</f>
        <v>190.91221374045801</v>
      </c>
      <c r="Z12" s="3">
        <v>184883</v>
      </c>
      <c r="AA12" s="3">
        <v>953</v>
      </c>
      <c r="AB12" s="20">
        <f>Tabelle3[[#This Row],[WW (€)]]/Tabelle3[[#This Row],[WW (Backer)]]</f>
        <v>194.00104931794334</v>
      </c>
      <c r="AC12" s="3">
        <v>16727</v>
      </c>
      <c r="AD12" s="3">
        <v>127</v>
      </c>
      <c r="AE12" s="20">
        <f>Tabelle3[[#This Row],[DSK R (€)]]/Tabelle3[[#This Row],[DSK R (Backer)]]</f>
        <v>131.70866141732284</v>
      </c>
      <c r="AF12" s="3">
        <v>94449</v>
      </c>
      <c r="AG12" s="3">
        <v>435</v>
      </c>
      <c r="AH12" s="20">
        <f>Tabelle3[[#This Row],[Ära (€)]]/Tabelle3[[#This Row],[Ära (Backer)]]</f>
        <v>217.12413793103448</v>
      </c>
      <c r="AI12" s="3">
        <v>48572</v>
      </c>
      <c r="AJ12" s="3">
        <v>661</v>
      </c>
      <c r="AK12" s="20">
        <f>Tabelle3[[#This Row],[Mosaik (€)]]/Tabelle3[[#This Row],[Mosaik (Backer)]]</f>
        <v>73.48260211800303</v>
      </c>
      <c r="AL12" s="3">
        <v>31356</v>
      </c>
      <c r="AM12" s="3">
        <v>220</v>
      </c>
      <c r="AN12" s="20">
        <f>Tabelle3[[#This Row],[DSK ES (€)]]/Tabelle3[[#This Row],[DSK ES (Backer)]]</f>
        <v>142.52727272727273</v>
      </c>
      <c r="AO12" s="3">
        <v>157770</v>
      </c>
      <c r="AP12" s="3">
        <v>746</v>
      </c>
      <c r="AQ12" s="20">
        <f>Tabelle3[[#This Row],[ES (€)]]/Tabelle3[[#This Row],[ES (Backer)]]</f>
        <v>211.48793565683647</v>
      </c>
      <c r="AR12" s="3">
        <v>192894.71</v>
      </c>
      <c r="AS12" s="3">
        <v>855</v>
      </c>
      <c r="AT12" s="20">
        <f>Tabelle3[[#This Row],[WF (€)]]/Tabelle3[[#This Row],[WF(Backer)]]</f>
        <v>225.60784795321638</v>
      </c>
      <c r="AU12" s="152">
        <f>'Overview &amp; instructions'!AO58</f>
        <v>329589.40000000002</v>
      </c>
      <c r="AV12" s="152">
        <f>'Overview &amp; instructions'!AP58</f>
        <v>1658</v>
      </c>
      <c r="AW12" s="20">
        <f>Tabelle3[[#This Row],[AKM (€)]]/Tabelle3[[#This Row],[AKM(Backer)]]</f>
        <v>198.7873341375151</v>
      </c>
      <c r="AY12">
        <f t="shared" si="73"/>
        <v>301555.00528011168</v>
      </c>
      <c r="AZ12">
        <f>Tabelle3[[#This Row],[WF (€)]]/$AR$6</f>
        <v>1.6439935360049145</v>
      </c>
      <c r="BH12" s="693" t="s">
        <v>51</v>
      </c>
      <c r="BI12" s="6">
        <f t="shared" si="55"/>
        <v>534954.8530099052</v>
      </c>
      <c r="BJ12" s="6">
        <f t="shared" si="56"/>
        <v>2642.6360153256705</v>
      </c>
      <c r="BK12" s="21">
        <f t="shared" ref="BK12" si="86">BI12/BJ12</f>
        <v>202.43228727206269</v>
      </c>
      <c r="BL12" s="6">
        <f t="shared" si="58"/>
        <v>849803.6039288668</v>
      </c>
      <c r="BM12" s="6">
        <f t="shared" si="59"/>
        <v>4639.7258064516127</v>
      </c>
      <c r="BN12" s="21">
        <f t="shared" ref="BN12" si="87">BL12/BM12</f>
        <v>183.15815187768237</v>
      </c>
      <c r="BO12" s="3">
        <f t="shared" ref="BO12" si="88">AVERAGE(BI12,BL12)</f>
        <v>692379.228469386</v>
      </c>
      <c r="BP12" s="3">
        <f t="shared" ref="BP12" si="89">AVERAGE(BJ12,BM12)</f>
        <v>3641.1809108886418</v>
      </c>
      <c r="BQ12" s="21">
        <f t="shared" ref="BQ12" si="90">BO12/BP12</f>
        <v>190.15238336521122</v>
      </c>
      <c r="BR12" s="3">
        <f t="shared" si="64"/>
        <v>683953.04847678938</v>
      </c>
      <c r="BS12" s="3">
        <f t="shared" si="65"/>
        <v>3477.8723792058677</v>
      </c>
      <c r="BT12" s="21">
        <f t="shared" ref="BT12" si="91">BR12/BS12</f>
        <v>196.65846641358422</v>
      </c>
      <c r="BV12" s="693" t="s">
        <v>51</v>
      </c>
      <c r="BW12" s="14">
        <f t="shared" si="51"/>
        <v>1.6230948356042554</v>
      </c>
      <c r="BX12" s="14">
        <f t="shared" si="2"/>
        <v>1.5938697318007662</v>
      </c>
      <c r="BY12" s="271">
        <f t="shared" si="52"/>
        <v>2.5783705541770057</v>
      </c>
      <c r="BZ12" s="271">
        <f t="shared" si="3"/>
        <v>2.7983870967741935</v>
      </c>
      <c r="CA12" s="271">
        <f t="shared" si="53"/>
        <v>2.0751670062107257</v>
      </c>
      <c r="CB12" s="271">
        <f t="shared" si="4"/>
        <v>2.097631109291838</v>
      </c>
      <c r="CC12" s="271">
        <f t="shared" si="54"/>
        <v>0.95527571857275029</v>
      </c>
      <c r="CD12" s="271">
        <f t="shared" si="5"/>
        <v>1.2045173649734273</v>
      </c>
      <c r="CE12" s="15">
        <f t="shared" si="6"/>
        <v>2.5783705541770057</v>
      </c>
      <c r="CF12" s="7">
        <f t="shared" si="7"/>
        <v>2.7983870967741935</v>
      </c>
      <c r="CG12" s="10">
        <f t="shared" si="8"/>
        <v>2.4517903566350201</v>
      </c>
      <c r="CH12" s="11">
        <f t="shared" si="9"/>
        <v>2.5627118644067797</v>
      </c>
      <c r="CI12" s="10">
        <f t="shared" si="10"/>
        <v>2.2095711044818778</v>
      </c>
      <c r="CJ12" s="25">
        <f t="shared" si="11"/>
        <v>2.1363636363636362</v>
      </c>
      <c r="CK12" s="10">
        <f t="shared" si="12"/>
        <v>2.2373020411207518</v>
      </c>
      <c r="CL12" s="25">
        <f t="shared" si="13"/>
        <v>2.1059322033898304</v>
      </c>
      <c r="CM12" s="10">
        <f t="shared" si="14"/>
        <v>1.6230948356042554</v>
      </c>
      <c r="CN12" s="25">
        <f t="shared" si="15"/>
        <v>1.5938697318007662</v>
      </c>
      <c r="CO12" s="10">
        <f t="shared" si="16"/>
        <v>2.3740326218455721</v>
      </c>
      <c r="CP12" s="25">
        <f t="shared" si="17"/>
        <v>2.3385049365303243</v>
      </c>
      <c r="CQ12" s="10">
        <f t="shared" si="18"/>
        <v>1.8264108654991991</v>
      </c>
      <c r="CR12" s="25">
        <f t="shared" si="19"/>
        <v>1.8642447418738051</v>
      </c>
      <c r="CS12" s="10">
        <f t="shared" si="20"/>
        <v>2.3013854735200625</v>
      </c>
      <c r="CT12" s="25">
        <f t="shared" si="21"/>
        <v>2.4618320610687023</v>
      </c>
      <c r="CU12" s="10">
        <f t="shared" si="22"/>
        <v>1.7548125030424646</v>
      </c>
      <c r="CV12" s="25">
        <f t="shared" si="23"/>
        <v>1.7628541448058761</v>
      </c>
      <c r="CW12" s="10">
        <f t="shared" si="24"/>
        <v>2.167035332097806</v>
      </c>
      <c r="CX12" s="25">
        <f t="shared" si="25"/>
        <v>2.1181102362204722</v>
      </c>
      <c r="CY12" s="10">
        <f t="shared" si="26"/>
        <v>2.638662135120541</v>
      </c>
      <c r="CZ12" s="25">
        <f t="shared" si="27"/>
        <v>2.6114942528735634</v>
      </c>
      <c r="DA12" s="10">
        <f t="shared" si="28"/>
        <v>1.7303590545993577</v>
      </c>
      <c r="DB12" s="25">
        <f t="shared" si="29"/>
        <v>1.7503782148260212</v>
      </c>
      <c r="DC12" s="10">
        <f t="shared" ref="DC12:DC26" si="92">AL$26/AL12</f>
        <v>1.997289195050389</v>
      </c>
      <c r="DD12" s="25">
        <f t="shared" ref="DD12:DD26" si="93">AM$26/AM12</f>
        <v>1.9318181818181819</v>
      </c>
      <c r="DE12" s="10">
        <f t="shared" si="30"/>
        <v>1.9499841541484439</v>
      </c>
      <c r="DF12" s="25">
        <f t="shared" si="31"/>
        <v>1.967828418230563</v>
      </c>
      <c r="DG12" s="10">
        <f t="shared" si="32"/>
        <v>1.7730221839676163</v>
      </c>
      <c r="DH12" s="25">
        <f t="shared" si="33"/>
        <v>1.8081871345029239</v>
      </c>
      <c r="DI12" s="16"/>
      <c r="DJ12" s="18">
        <f t="shared" si="34"/>
        <v>-0.22001654259718784</v>
      </c>
      <c r="DK12" s="26"/>
      <c r="DL12" s="27">
        <f t="shared" si="35"/>
        <v>-0.11092150777175958</v>
      </c>
      <c r="DM12" s="19"/>
      <c r="DN12" s="17">
        <f t="shared" si="36"/>
        <v>7.3207468118241525E-2</v>
      </c>
      <c r="DO12" s="19"/>
      <c r="DP12" s="17">
        <f t="shared" si="37"/>
        <v>0.13136983773092137</v>
      </c>
      <c r="DQ12" s="19"/>
      <c r="DR12" s="17">
        <f t="shared" si="38"/>
        <v>2.9225103803489194E-2</v>
      </c>
      <c r="DS12" s="19"/>
      <c r="DT12" s="17">
        <f t="shared" si="39"/>
        <v>3.5527685315247748E-2</v>
      </c>
      <c r="DU12" s="19"/>
      <c r="DV12" s="17">
        <f t="shared" si="40"/>
        <v>-3.7833876374606001E-2</v>
      </c>
      <c r="DW12" s="19"/>
      <c r="DX12" s="17">
        <f t="shared" si="41"/>
        <v>-0.16044658754863983</v>
      </c>
      <c r="DY12" s="19"/>
      <c r="DZ12" s="17">
        <f t="shared" si="42"/>
        <v>-8.041641763411489E-3</v>
      </c>
      <c r="EA12" s="19"/>
      <c r="EB12" s="17">
        <f t="shared" si="43"/>
        <v>4.8925095877333735E-2</v>
      </c>
      <c r="EC12" s="19"/>
      <c r="ED12" s="17">
        <f t="shared" si="44"/>
        <v>2.7167882246977637E-2</v>
      </c>
      <c r="EE12" s="19"/>
      <c r="EF12" s="17">
        <f t="shared" si="45"/>
        <v>-2.0019160226663502E-2</v>
      </c>
      <c r="EG12" s="19"/>
      <c r="EH12" s="17">
        <f t="shared" si="46"/>
        <v>6.5471013232207165E-2</v>
      </c>
      <c r="EI12" s="19"/>
      <c r="EJ12" s="17">
        <f t="shared" si="47"/>
        <v>-1.7844264082119032E-2</v>
      </c>
      <c r="EK12" s="19"/>
      <c r="EL12" s="17">
        <f t="shared" si="48"/>
        <v>-3.5164950535307549E-2</v>
      </c>
    </row>
    <row r="13" spans="1:142" ht="15.75" hidden="1" outlineLevel="1" thickBot="1" x14ac:dyDescent="0.3">
      <c r="A13" s="691">
        <v>8</v>
      </c>
      <c r="B13" s="3">
        <v>26679</v>
      </c>
      <c r="C13" s="3">
        <v>136</v>
      </c>
      <c r="D13" s="391">
        <f>IFERROR(Tabelle3[[#This Row],[Ned (€)]]/Tabelle3[[#This Row],[Ned (Backer)]],"")</f>
        <v>196.16911764705881</v>
      </c>
      <c r="E13" s="3">
        <v>72783</v>
      </c>
      <c r="F13" s="3">
        <v>308</v>
      </c>
      <c r="G13" s="20">
        <f>Tabelle3[[#This Row],[Werkzeuge (€)]]/Tabelle3[[#This Row],[Werkzeuge (Backer)]]</f>
        <v>236.30844155844156</v>
      </c>
      <c r="H13" s="3">
        <v>58795</v>
      </c>
      <c r="I13" s="3">
        <v>325</v>
      </c>
      <c r="J13" s="20">
        <f>Tabelle3[[#This Row],[DSK Fasar (€)]]/Tabelle3[[#This Row],[DSK Fasar (Backer)]]</f>
        <v>180.90769230769232</v>
      </c>
      <c r="K13" s="3">
        <v>43766</v>
      </c>
      <c r="L13" s="3">
        <v>253</v>
      </c>
      <c r="M13" s="391">
        <f>Tabelle3[[#This Row],[Mythen (€)]]/Tabelle3[[#This Row],[Mythen (Backer)]]</f>
        <v>172.98814229249012</v>
      </c>
      <c r="N13" s="3">
        <v>154154</v>
      </c>
      <c r="O13" s="3">
        <v>1084</v>
      </c>
      <c r="P13" s="391">
        <f>Tabelle3[[#This Row],[SOK (€)]]/Tabelle3[[#This Row],[SOK (Backer)]]</f>
        <v>142.20848708487085</v>
      </c>
      <c r="Q13" s="3">
        <v>182858</v>
      </c>
      <c r="R13" s="3">
        <v>792</v>
      </c>
      <c r="S13" s="20">
        <f>Tabelle3[[#This Row],[RE (€)]]/Tabelle3[[#This Row],[RE (Backer)]]</f>
        <v>230.88131313131314</v>
      </c>
      <c r="T13" s="3">
        <v>130050</v>
      </c>
      <c r="U13" s="3">
        <v>539</v>
      </c>
      <c r="V13" s="20">
        <f>Tabelle3[[#This Row],[DGG (€)]]/Tabelle3[[#This Row],[DGG (Backer)]]</f>
        <v>241.28014842300556</v>
      </c>
      <c r="W13" s="3">
        <v>54482</v>
      </c>
      <c r="X13" s="3">
        <v>287</v>
      </c>
      <c r="Y13" s="20">
        <f>Tabelle3[[#This Row],[DSK SV (€)]]/Tabelle3[[#This Row],[DSK SV (Backer)]]</f>
        <v>189.83275261324042</v>
      </c>
      <c r="Z13" s="3">
        <v>193287</v>
      </c>
      <c r="AA13" s="3">
        <v>994</v>
      </c>
      <c r="AB13" s="20">
        <f>Tabelle3[[#This Row],[WW (€)]]/Tabelle3[[#This Row],[WW (Backer)]]</f>
        <v>194.45372233400403</v>
      </c>
      <c r="AC13" s="3">
        <v>17672</v>
      </c>
      <c r="AD13" s="3">
        <v>134</v>
      </c>
      <c r="AE13" s="20">
        <f>Tabelle3[[#This Row],[DSK R (€)]]/Tabelle3[[#This Row],[DSK R (Backer)]]</f>
        <v>131.88059701492537</v>
      </c>
      <c r="AF13" s="3">
        <v>103073</v>
      </c>
      <c r="AG13" s="3">
        <v>476</v>
      </c>
      <c r="AH13" s="20">
        <f>Tabelle3[[#This Row],[Ära (€)]]/Tabelle3[[#This Row],[Ära (Backer)]]</f>
        <v>216.53991596638656</v>
      </c>
      <c r="AI13" s="3">
        <v>50335</v>
      </c>
      <c r="AJ13" s="3">
        <v>687</v>
      </c>
      <c r="AK13" s="20">
        <f>Tabelle3[[#This Row],[Mosaik (€)]]/Tabelle3[[#This Row],[Mosaik (Backer)]]</f>
        <v>73.267831149927218</v>
      </c>
      <c r="AL13" s="3">
        <v>33362</v>
      </c>
      <c r="AM13" s="3">
        <v>234</v>
      </c>
      <c r="AN13" s="20">
        <f>Tabelle3[[#This Row],[DSK ES (€)]]/Tabelle3[[#This Row],[DSK ES (Backer)]]</f>
        <v>142.57264957264957</v>
      </c>
      <c r="AO13" s="3">
        <v>165131</v>
      </c>
      <c r="AP13" s="3">
        <v>781</v>
      </c>
      <c r="AQ13" s="20">
        <f>Tabelle3[[#This Row],[ES (€)]]/Tabelle3[[#This Row],[ES (Backer)]]</f>
        <v>211.43533930857873</v>
      </c>
      <c r="AR13" s="3">
        <v>201017.49</v>
      </c>
      <c r="AS13" s="3">
        <v>882</v>
      </c>
      <c r="AT13" s="20">
        <f>Tabelle3[[#This Row],[WF (€)]]/Tabelle3[[#This Row],[WF(Backer)]]</f>
        <v>227.91098639455782</v>
      </c>
      <c r="AU13" s="152">
        <f>'Overview &amp; instructions'!AO59</f>
        <v>341743.05</v>
      </c>
      <c r="AV13" s="152">
        <f>'Overview &amp; instructions'!AP59</f>
        <v>1720</v>
      </c>
      <c r="AW13" s="20">
        <f>Tabelle3[[#This Row],[AKM (€)]]/Tabelle3[[#This Row],[AKM(Backer)]]</f>
        <v>198.68781976744185</v>
      </c>
      <c r="AY13">
        <f t="shared" si="73"/>
        <v>314253.46116720774</v>
      </c>
      <c r="AZ13">
        <f>Tabelle3[[#This Row],[WF (€)]]/$AR$6</f>
        <v>1.7132219654128025</v>
      </c>
      <c r="BH13" s="693" t="s">
        <v>113</v>
      </c>
      <c r="BI13" s="6">
        <f t="shared" si="55"/>
        <v>530008.32391537027</v>
      </c>
      <c r="BJ13" s="6">
        <f t="shared" si="56"/>
        <v>2640.2952029520297</v>
      </c>
      <c r="BK13" s="21">
        <f t="shared" ref="BK13" si="94">BI13/BJ13</f>
        <v>200.73828234160518</v>
      </c>
      <c r="BL13" s="6">
        <f t="shared" si="58"/>
        <v>801504.20260294306</v>
      </c>
      <c r="BM13" s="6">
        <f t="shared" si="59"/>
        <v>4388.5294117647054</v>
      </c>
      <c r="BN13" s="21">
        <f t="shared" ref="BN13" si="95">BL13/BM13</f>
        <v>182.6361697506874</v>
      </c>
      <c r="BO13" s="3">
        <f t="shared" ref="BO13" si="96">AVERAGE(BI13,BL13)</f>
        <v>665756.26325915661</v>
      </c>
      <c r="BP13" s="3">
        <f t="shared" ref="BP13" si="97">AVERAGE(BJ13,BM13)</f>
        <v>3514.4123073583678</v>
      </c>
      <c r="BQ13" s="21">
        <f t="shared" ref="BQ13" si="98">BO13/BP13</f>
        <v>189.43601519526231</v>
      </c>
      <c r="BR13" s="3">
        <f t="shared" si="64"/>
        <v>667317.51000156917</v>
      </c>
      <c r="BS13" s="3">
        <f t="shared" si="65"/>
        <v>3399.5209296931148</v>
      </c>
      <c r="BT13" s="21">
        <f t="shared" ref="BT13" si="99">BR13/BS13</f>
        <v>196.29751479771298</v>
      </c>
      <c r="BV13" s="693" t="s">
        <v>113</v>
      </c>
      <c r="BW13" s="14">
        <f t="shared" si="51"/>
        <v>1.5508971547932586</v>
      </c>
      <c r="BX13" s="14">
        <f t="shared" si="2"/>
        <v>1.5350553505535056</v>
      </c>
      <c r="BY13" s="271">
        <f t="shared" si="52"/>
        <v>2.3453416319744997</v>
      </c>
      <c r="BZ13" s="271">
        <f t="shared" si="3"/>
        <v>2.5514705882352939</v>
      </c>
      <c r="CA13" s="271">
        <f t="shared" si="53"/>
        <v>1.9526878747104561</v>
      </c>
      <c r="CB13" s="271">
        <f t="shared" si="4"/>
        <v>1.9764656567983225</v>
      </c>
      <c r="CC13" s="271">
        <f t="shared" si="54"/>
        <v>0.79444447718124112</v>
      </c>
      <c r="CD13" s="271">
        <f t="shared" si="5"/>
        <v>1.0164152376817883</v>
      </c>
      <c r="CE13" s="15">
        <f t="shared" si="6"/>
        <v>2.3368567037745045</v>
      </c>
      <c r="CF13" s="7">
        <f t="shared" si="7"/>
        <v>2.5514705882352939</v>
      </c>
      <c r="CG13" s="10">
        <f t="shared" si="8"/>
        <v>2.3453416319744997</v>
      </c>
      <c r="CH13" s="11">
        <f t="shared" si="9"/>
        <v>2.4545454545454546</v>
      </c>
      <c r="CI13" s="10">
        <f t="shared" si="10"/>
        <v>2.1038183519006717</v>
      </c>
      <c r="CJ13" s="25">
        <f t="shared" si="11"/>
        <v>2.0246153846153847</v>
      </c>
      <c r="CK13" s="10">
        <f t="shared" si="12"/>
        <v>2.0561851665676554</v>
      </c>
      <c r="CL13" s="25">
        <f t="shared" si="13"/>
        <v>1.9644268774703557</v>
      </c>
      <c r="CM13" s="10">
        <f t="shared" si="14"/>
        <v>1.5508971547932586</v>
      </c>
      <c r="CN13" s="25">
        <f t="shared" si="15"/>
        <v>1.5350553505535056</v>
      </c>
      <c r="CO13" s="10">
        <f t="shared" si="16"/>
        <v>2.1355751457415044</v>
      </c>
      <c r="CP13" s="25">
        <f t="shared" si="17"/>
        <v>2.0934343434343434</v>
      </c>
      <c r="CQ13" s="10">
        <f t="shared" si="18"/>
        <v>1.7795463283352557</v>
      </c>
      <c r="CR13" s="25">
        <f t="shared" si="19"/>
        <v>1.8089053803339519</v>
      </c>
      <c r="CS13" s="10">
        <f t="shared" si="20"/>
        <v>2.1128629639146874</v>
      </c>
      <c r="CT13" s="25">
        <f t="shared" si="21"/>
        <v>2.2473867595818815</v>
      </c>
      <c r="CU13" s="10">
        <f t="shared" si="22"/>
        <v>1.678514333607537</v>
      </c>
      <c r="CV13" s="25">
        <f t="shared" si="23"/>
        <v>1.6901408450704225</v>
      </c>
      <c r="CW13" s="10">
        <f t="shared" si="24"/>
        <v>2.0511543684925306</v>
      </c>
      <c r="CX13" s="25">
        <f t="shared" si="25"/>
        <v>2.0074626865671643</v>
      </c>
      <c r="CY13" s="10">
        <f t="shared" si="26"/>
        <v>2.4178882927633811</v>
      </c>
      <c r="CZ13" s="25">
        <f t="shared" si="27"/>
        <v>2.3865546218487395</v>
      </c>
      <c r="DA13" s="10">
        <f t="shared" si="28"/>
        <v>1.6697526571967816</v>
      </c>
      <c r="DB13" s="25">
        <f t="shared" si="29"/>
        <v>1.6841339155749635</v>
      </c>
      <c r="DC13" s="10">
        <f t="shared" si="92"/>
        <v>1.8771956117738744</v>
      </c>
      <c r="DD13" s="25">
        <f t="shared" si="93"/>
        <v>1.8162393162393162</v>
      </c>
      <c r="DE13" s="10">
        <f t="shared" si="30"/>
        <v>1.8630602370239386</v>
      </c>
      <c r="DF13" s="25">
        <f t="shared" si="31"/>
        <v>1.8796414852752881</v>
      </c>
      <c r="DG13" s="10">
        <f t="shared" si="32"/>
        <v>1.7013773279131084</v>
      </c>
      <c r="DH13" s="25">
        <f t="shared" si="33"/>
        <v>1.7528344671201814</v>
      </c>
      <c r="DI13" s="16"/>
      <c r="DJ13" s="18">
        <f t="shared" si="34"/>
        <v>-0.21461388446078944</v>
      </c>
      <c r="DK13" s="26"/>
      <c r="DL13" s="27">
        <f t="shared" si="35"/>
        <v>-0.10920382257095484</v>
      </c>
      <c r="DM13" s="19"/>
      <c r="DN13" s="17">
        <f t="shared" si="36"/>
        <v>7.9202967285286974E-2</v>
      </c>
      <c r="DO13" s="19"/>
      <c r="DP13" s="17">
        <f t="shared" si="37"/>
        <v>9.1758289097299661E-2</v>
      </c>
      <c r="DQ13" s="19"/>
      <c r="DR13" s="17">
        <f t="shared" si="38"/>
        <v>1.584180423975301E-2</v>
      </c>
      <c r="DS13" s="19"/>
      <c r="DT13" s="17">
        <f t="shared" si="39"/>
        <v>4.2140802307160996E-2</v>
      </c>
      <c r="DU13" s="19"/>
      <c r="DV13" s="17">
        <f t="shared" si="40"/>
        <v>-2.9359051998696151E-2</v>
      </c>
      <c r="DW13" s="19"/>
      <c r="DX13" s="17">
        <f t="shared" si="41"/>
        <v>-0.13452379566719408</v>
      </c>
      <c r="DY13" s="19"/>
      <c r="DZ13" s="17">
        <f t="shared" si="42"/>
        <v>-1.1626511462885514E-2</v>
      </c>
      <c r="EA13" s="19"/>
      <c r="EB13" s="17">
        <f t="shared" si="43"/>
        <v>4.3691681925366321E-2</v>
      </c>
      <c r="EC13" s="19"/>
      <c r="ED13" s="17">
        <f t="shared" si="44"/>
        <v>3.1333670914641676E-2</v>
      </c>
      <c r="EE13" s="19"/>
      <c r="EF13" s="17">
        <f t="shared" si="45"/>
        <v>-1.4381258378181938E-2</v>
      </c>
      <c r="EG13" s="19"/>
      <c r="EH13" s="17">
        <f t="shared" si="46"/>
        <v>6.0956295534558169E-2</v>
      </c>
      <c r="EI13" s="19"/>
      <c r="EJ13" s="17">
        <f t="shared" si="47"/>
        <v>-1.6581248251349434E-2</v>
      </c>
      <c r="EK13" s="19"/>
      <c r="EL13" s="17">
        <f t="shared" si="48"/>
        <v>-5.1457139207073066E-2</v>
      </c>
    </row>
    <row r="14" spans="1:142" ht="15.75" hidden="1" outlineLevel="1" thickBot="1" x14ac:dyDescent="0.3">
      <c r="A14" s="691">
        <v>9</v>
      </c>
      <c r="B14" s="3">
        <v>27868</v>
      </c>
      <c r="C14" s="3">
        <v>142</v>
      </c>
      <c r="D14" s="20">
        <f>IFERROR(Tabelle3[[#This Row],[Ned (€)]]/Tabelle3[[#This Row],[Ned (Backer)]],"")</f>
        <v>196.25352112676057</v>
      </c>
      <c r="E14" s="3">
        <v>76597</v>
      </c>
      <c r="F14" s="3">
        <v>329</v>
      </c>
      <c r="G14" s="20">
        <f>Tabelle3[[#This Row],[Werkzeuge (€)]]/Tabelle3[[#This Row],[Werkzeuge (Backer)]]</f>
        <v>232.81762917933131</v>
      </c>
      <c r="H14" s="3">
        <v>63300</v>
      </c>
      <c r="I14" s="3">
        <v>350</v>
      </c>
      <c r="J14" s="20">
        <f>Tabelle3[[#This Row],[DSK Fasar (€)]]/Tabelle3[[#This Row],[DSK Fasar (Backer)]]</f>
        <v>180.85714285714286</v>
      </c>
      <c r="K14" s="3">
        <v>45971</v>
      </c>
      <c r="L14" s="3">
        <v>267</v>
      </c>
      <c r="M14" s="20">
        <f>Tabelle3[[#This Row],[Mythen (€)]]/Tabelle3[[#This Row],[Mythen (Backer)]]</f>
        <v>172.17602996254681</v>
      </c>
      <c r="N14" s="3">
        <v>158642</v>
      </c>
      <c r="O14" s="3">
        <v>1112</v>
      </c>
      <c r="P14" s="20">
        <f>Tabelle3[[#This Row],[SOK (€)]]/Tabelle3[[#This Row],[SOK (Backer)]]</f>
        <v>142.66366906474821</v>
      </c>
      <c r="Q14" s="3">
        <v>195000</v>
      </c>
      <c r="R14" s="3">
        <v>851</v>
      </c>
      <c r="S14" s="20">
        <f>Tabelle3[[#This Row],[RE (€)]]/Tabelle3[[#This Row],[RE (Backer)]]</f>
        <v>229.14218566392481</v>
      </c>
      <c r="T14" s="3">
        <v>133215</v>
      </c>
      <c r="U14" s="3">
        <v>551</v>
      </c>
      <c r="V14" s="391">
        <f>Tabelle3[[#This Row],[DGG (€)]]/Tabelle3[[#This Row],[DGG (Backer)]]</f>
        <v>241.76950998185117</v>
      </c>
      <c r="W14" s="3">
        <v>60464</v>
      </c>
      <c r="X14" s="3">
        <v>324</v>
      </c>
      <c r="Y14" s="20">
        <f>Tabelle3[[#This Row],[DSK SV (€)]]/Tabelle3[[#This Row],[DSK SV (Backer)]]</f>
        <v>186.61728395061729</v>
      </c>
      <c r="Z14" s="3">
        <v>202015</v>
      </c>
      <c r="AA14" s="3">
        <v>1040</v>
      </c>
      <c r="AB14" s="20">
        <f>Tabelle3[[#This Row],[WW (€)]]/Tabelle3[[#This Row],[WW (Backer)]]</f>
        <v>194.24519230769232</v>
      </c>
      <c r="AC14" s="3">
        <v>17982</v>
      </c>
      <c r="AD14" s="3">
        <v>138</v>
      </c>
      <c r="AE14" s="20">
        <f>Tabelle3[[#This Row],[DSK R (€)]]/Tabelle3[[#This Row],[DSK R (Backer)]]</f>
        <v>130.30434782608697</v>
      </c>
      <c r="AF14" s="3">
        <v>113149</v>
      </c>
      <c r="AG14" s="3">
        <v>524</v>
      </c>
      <c r="AH14" s="20">
        <f>Tabelle3[[#This Row],[Ära (€)]]/Tabelle3[[#This Row],[Ära (Backer)]]</f>
        <v>215.93320610687022</v>
      </c>
      <c r="AI14" s="3">
        <v>51635</v>
      </c>
      <c r="AJ14" s="3">
        <v>705</v>
      </c>
      <c r="AK14" s="20">
        <f>Tabelle3[[#This Row],[Mosaik (€)]]/Tabelle3[[#This Row],[Mosaik (Backer)]]</f>
        <v>73.241134751773046</v>
      </c>
      <c r="AL14" s="3">
        <v>35984</v>
      </c>
      <c r="AM14" s="3">
        <v>240</v>
      </c>
      <c r="AN14" s="20">
        <f>Tabelle3[[#This Row],[DSK ES (€)]]/Tabelle3[[#This Row],[DSK ES (Backer)]]</f>
        <v>149.93333333333334</v>
      </c>
      <c r="AO14" s="3">
        <v>173440</v>
      </c>
      <c r="AP14" s="3">
        <v>821</v>
      </c>
      <c r="AQ14" s="391">
        <f>Tabelle3[[#This Row],[ES (€)]]/Tabelle3[[#This Row],[ES (Backer)]]</f>
        <v>211.25456760048721</v>
      </c>
      <c r="AR14" s="3">
        <v>206116.1</v>
      </c>
      <c r="AS14" s="3">
        <v>905</v>
      </c>
      <c r="AT14" s="391">
        <f>Tabelle3[[#This Row],[WF (€)]]/Tabelle3[[#This Row],[WF(Backer)]]</f>
        <v>227.75259668508289</v>
      </c>
      <c r="AU14" s="3">
        <f>'Overview &amp; instructions'!AO60</f>
        <v>350397.33</v>
      </c>
      <c r="AV14" s="3">
        <f>'Overview &amp; instructions'!AP60</f>
        <v>1765</v>
      </c>
      <c r="AW14" s="391">
        <f>Tabelle3[[#This Row],[AKM (€)]]/Tabelle3[[#This Row],[AKM(Backer)]]</f>
        <v>198.52539943342776</v>
      </c>
      <c r="AY14">
        <f t="shared" si="73"/>
        <v>322224.18968263071</v>
      </c>
      <c r="AZ14">
        <f>Tabelle3[[#This Row],[WF (€)]]/$AR$6</f>
        <v>1.7566761476587025</v>
      </c>
      <c r="BH14" s="693" t="s">
        <v>114</v>
      </c>
      <c r="BI14" s="6">
        <f t="shared" si="55"/>
        <v>528056.52011705609</v>
      </c>
      <c r="BJ14" s="6">
        <f t="shared" si="56"/>
        <v>2641.1510791366909</v>
      </c>
      <c r="BK14" s="21">
        <f t="shared" ref="BK14" si="100">BI14/BJ14</f>
        <v>199.93423484493024</v>
      </c>
      <c r="BL14" s="6">
        <f t="shared" si="58"/>
        <v>783892.69193519454</v>
      </c>
      <c r="BM14" s="6">
        <f t="shared" si="59"/>
        <v>4313.0633802816901</v>
      </c>
      <c r="BN14" s="21">
        <f t="shared" ref="BN14" si="101">BL14/BM14</f>
        <v>181.74847499783269</v>
      </c>
      <c r="BO14" s="3">
        <f t="shared" ref="BO14" si="102">AVERAGE(BI14,BL14)</f>
        <v>655974.60602612537</v>
      </c>
      <c r="BP14" s="3">
        <f t="shared" ref="BP14" si="103">AVERAGE(BJ14,BM14)</f>
        <v>3477.1072297091905</v>
      </c>
      <c r="BQ14" s="21">
        <f t="shared" ref="BQ14" si="104">BO14/BP14</f>
        <v>188.65527080135178</v>
      </c>
      <c r="BR14" s="3">
        <f t="shared" si="64"/>
        <v>652565.99582890584</v>
      </c>
      <c r="BS14" s="3">
        <f t="shared" si="65"/>
        <v>3311.418682016209</v>
      </c>
      <c r="BT14" s="21">
        <f t="shared" ref="BT14" si="105">BR14/BS14</f>
        <v>197.06538450510305</v>
      </c>
      <c r="BV14" s="693" t="s">
        <v>114</v>
      </c>
      <c r="BW14" s="14">
        <f t="shared" si="51"/>
        <v>1.5070221000743813</v>
      </c>
      <c r="BX14" s="14">
        <f t="shared" si="2"/>
        <v>1.4964028776978417</v>
      </c>
      <c r="BY14" s="271">
        <f t="shared" si="52"/>
        <v>2.2371537247021673</v>
      </c>
      <c r="BZ14" s="271">
        <f t="shared" si="3"/>
        <v>2.443661971830986</v>
      </c>
      <c r="CA14" s="271">
        <f t="shared" si="53"/>
        <v>1.8623600694357627</v>
      </c>
      <c r="CB14" s="271">
        <f t="shared" si="4"/>
        <v>1.8761578934936027</v>
      </c>
      <c r="CC14" s="271">
        <f t="shared" si="54"/>
        <v>0.73013162462778602</v>
      </c>
      <c r="CD14" s="271">
        <f t="shared" si="5"/>
        <v>0.94725909413314424</v>
      </c>
      <c r="CE14" s="15">
        <f t="shared" si="6"/>
        <v>2.2371537247021673</v>
      </c>
      <c r="CF14" s="7">
        <f t="shared" si="7"/>
        <v>2.443661971830986</v>
      </c>
      <c r="CG14" s="10">
        <f t="shared" si="8"/>
        <v>2.228559865268875</v>
      </c>
      <c r="CH14" s="11">
        <f t="shared" si="9"/>
        <v>2.2978723404255321</v>
      </c>
      <c r="CI14" s="10">
        <f t="shared" si="10"/>
        <v>1.954091627172196</v>
      </c>
      <c r="CJ14" s="25">
        <f t="shared" si="11"/>
        <v>1.88</v>
      </c>
      <c r="CK14" s="10">
        <f t="shared" si="12"/>
        <v>1.9575602009962803</v>
      </c>
      <c r="CL14" s="25">
        <f t="shared" si="13"/>
        <v>1.8614232209737829</v>
      </c>
      <c r="CM14" s="10">
        <f t="shared" si="14"/>
        <v>1.5070221000743813</v>
      </c>
      <c r="CN14" s="25">
        <f t="shared" si="15"/>
        <v>1.4964028776978417</v>
      </c>
      <c r="CO14" s="10">
        <f t="shared" si="16"/>
        <v>2.0026000000000002</v>
      </c>
      <c r="CP14" s="25">
        <f t="shared" si="17"/>
        <v>1.9482961222091657</v>
      </c>
      <c r="CQ14" s="10">
        <f t="shared" si="18"/>
        <v>1.7372668243065721</v>
      </c>
      <c r="CR14" s="25">
        <f t="shared" si="19"/>
        <v>1.7695099818511797</v>
      </c>
      <c r="CS14" s="10">
        <f t="shared" si="20"/>
        <v>1.903827070653612</v>
      </c>
      <c r="CT14" s="25">
        <f t="shared" si="21"/>
        <v>1.9907407407407407</v>
      </c>
      <c r="CU14" s="10">
        <f t="shared" si="22"/>
        <v>1.6059946043610622</v>
      </c>
      <c r="CV14" s="25">
        <f t="shared" si="23"/>
        <v>1.6153846153846154</v>
      </c>
      <c r="CW14" s="10">
        <f t="shared" si="24"/>
        <v>2.0157935713491271</v>
      </c>
      <c r="CX14" s="25">
        <f t="shared" si="25"/>
        <v>1.9492753623188406</v>
      </c>
      <c r="CY14" s="10">
        <f t="shared" si="26"/>
        <v>2.2025735976455825</v>
      </c>
      <c r="CZ14" s="25">
        <f t="shared" si="27"/>
        <v>2.16793893129771</v>
      </c>
      <c r="DA14" s="10">
        <f t="shared" si="28"/>
        <v>1.6277137600464802</v>
      </c>
      <c r="DB14" s="25">
        <f t="shared" si="29"/>
        <v>1.6411347517730497</v>
      </c>
      <c r="DC14" s="10">
        <f t="shared" si="92"/>
        <v>1.7404124055135617</v>
      </c>
      <c r="DD14" s="25">
        <f t="shared" si="93"/>
        <v>1.7708333333333333</v>
      </c>
      <c r="DE14" s="10">
        <f t="shared" si="30"/>
        <v>1.773806503690037</v>
      </c>
      <c r="DF14" s="25">
        <f t="shared" si="31"/>
        <v>1.7880633373934227</v>
      </c>
      <c r="DG14" s="10">
        <f t="shared" si="32"/>
        <v>1.6592910500441254</v>
      </c>
      <c r="DH14" s="25">
        <f t="shared" si="33"/>
        <v>1.7082872928176795</v>
      </c>
      <c r="DI14" s="16"/>
      <c r="DJ14" s="18">
        <f t="shared" si="34"/>
        <v>-0.20650824712881866</v>
      </c>
      <c r="DK14" s="26"/>
      <c r="DL14" s="27">
        <f t="shared" si="35"/>
        <v>-6.9312475156657172E-2</v>
      </c>
      <c r="DM14" s="19"/>
      <c r="DN14" s="17">
        <f t="shared" si="36"/>
        <v>7.4091627172196084E-2</v>
      </c>
      <c r="DO14" s="19"/>
      <c r="DP14" s="17">
        <f t="shared" si="37"/>
        <v>9.6136980022497376E-2</v>
      </c>
      <c r="DQ14" s="19"/>
      <c r="DR14" s="17">
        <f t="shared" si="38"/>
        <v>1.0619222376539561E-2</v>
      </c>
      <c r="DS14" s="19"/>
      <c r="DT14" s="17">
        <f t="shared" si="39"/>
        <v>5.4303877790834454E-2</v>
      </c>
      <c r="DU14" s="19"/>
      <c r="DV14" s="17">
        <f t="shared" si="40"/>
        <v>-3.2243157544607604E-2</v>
      </c>
      <c r="DW14" s="19"/>
      <c r="DX14" s="17">
        <f t="shared" si="41"/>
        <v>-8.6913670087128692E-2</v>
      </c>
      <c r="DY14" s="19"/>
      <c r="DZ14" s="17">
        <f t="shared" si="42"/>
        <v>-9.3900110235531908E-3</v>
      </c>
      <c r="EA14" s="19"/>
      <c r="EB14" s="17">
        <f t="shared" si="43"/>
        <v>6.651820903028649E-2</v>
      </c>
      <c r="EC14" s="19"/>
      <c r="ED14" s="17">
        <f t="shared" si="44"/>
        <v>3.4634666347872489E-2</v>
      </c>
      <c r="EE14" s="19"/>
      <c r="EF14" s="17">
        <f t="shared" si="45"/>
        <v>-1.342099172656952E-2</v>
      </c>
      <c r="EG14" s="19"/>
      <c r="EH14" s="17">
        <f t="shared" si="46"/>
        <v>-3.042092781977157E-2</v>
      </c>
      <c r="EI14" s="19"/>
      <c r="EJ14" s="17">
        <f t="shared" si="47"/>
        <v>-1.4256833703385707E-2</v>
      </c>
      <c r="EK14" s="19"/>
      <c r="EL14" s="17">
        <f t="shared" si="48"/>
        <v>-4.8996242773554188E-2</v>
      </c>
    </row>
    <row r="15" spans="1:142" ht="15.75" hidden="1" outlineLevel="1" thickBot="1" x14ac:dyDescent="0.3">
      <c r="A15" s="12">
        <v>10</v>
      </c>
      <c r="B15" s="3">
        <v>31587</v>
      </c>
      <c r="C15" s="3">
        <v>161</v>
      </c>
      <c r="D15" s="20">
        <f>IFERROR(Tabelle3[[#This Row],[Ned (€)]]/Tabelle3[[#This Row],[Ned (Backer)]],"")</f>
        <v>196.19254658385094</v>
      </c>
      <c r="E15" s="3">
        <v>81327</v>
      </c>
      <c r="F15" s="3">
        <v>350</v>
      </c>
      <c r="G15" s="20">
        <f>Tabelle3[[#This Row],[Werkzeuge (€)]]/Tabelle3[[#This Row],[Werkzeuge (Backer)]]</f>
        <v>232.36285714285714</v>
      </c>
      <c r="H15" s="3">
        <v>66650</v>
      </c>
      <c r="I15" s="3">
        <v>369</v>
      </c>
      <c r="J15" s="20">
        <f>Tabelle3[[#This Row],[DSK Fasar (€)]]/Tabelle3[[#This Row],[DSK Fasar (Backer)]]</f>
        <v>180.62330623306232</v>
      </c>
      <c r="K15" s="3">
        <v>48853</v>
      </c>
      <c r="L15" s="3">
        <v>282</v>
      </c>
      <c r="M15" s="391">
        <f>Tabelle3[[#This Row],[Mythen (€)]]/Tabelle3[[#This Row],[Mythen (Backer)]]</f>
        <v>173.23758865248226</v>
      </c>
      <c r="N15" s="3">
        <v>163194</v>
      </c>
      <c r="O15" s="3">
        <v>1140</v>
      </c>
      <c r="P15" s="20">
        <f>Tabelle3[[#This Row],[SOK (€)]]/Tabelle3[[#This Row],[SOK (Backer)]]</f>
        <v>143.15263157894736</v>
      </c>
      <c r="Q15" s="3">
        <v>203877</v>
      </c>
      <c r="R15" s="3">
        <v>893</v>
      </c>
      <c r="S15" s="20">
        <f>Tabelle3[[#This Row],[RE (€)]]/Tabelle3[[#This Row],[RE (Backer)]]</f>
        <v>228.30571108622621</v>
      </c>
      <c r="T15" s="3">
        <v>136715</v>
      </c>
      <c r="U15" s="3">
        <v>565</v>
      </c>
      <c r="V15" s="20">
        <f>Tabelle3[[#This Row],[DGG (€)]]/Tabelle3[[#This Row],[DGG (Backer)]]</f>
        <v>241.97345132743362</v>
      </c>
      <c r="W15" s="3">
        <v>62608</v>
      </c>
      <c r="X15" s="3">
        <v>336</v>
      </c>
      <c r="Y15" s="20">
        <f>Tabelle3[[#This Row],[DSK SV (€)]]/Tabelle3[[#This Row],[DSK SV (Backer)]]</f>
        <v>186.33333333333334</v>
      </c>
      <c r="Z15" s="3">
        <v>209016</v>
      </c>
      <c r="AA15" s="3">
        <v>1073</v>
      </c>
      <c r="AB15" s="20">
        <f>Tabelle3[[#This Row],[WW (€)]]/Tabelle3[[#This Row],[WW (Backer)]]</f>
        <v>194.79589934762348</v>
      </c>
      <c r="AC15" s="3">
        <v>18530</v>
      </c>
      <c r="AD15" s="3">
        <v>143</v>
      </c>
      <c r="AE15" s="20">
        <f>Tabelle3[[#This Row],[DSK R (€)]]/Tabelle3[[#This Row],[DSK R (Backer)]]</f>
        <v>129.58041958041957</v>
      </c>
      <c r="AF15" s="3">
        <v>120667</v>
      </c>
      <c r="AG15" s="3">
        <v>564</v>
      </c>
      <c r="AH15" s="20">
        <f>Tabelle3[[#This Row],[Ära (€)]]/Tabelle3[[#This Row],[Ära (Backer)]]</f>
        <v>213.94858156028369</v>
      </c>
      <c r="AI15" s="3">
        <v>53657</v>
      </c>
      <c r="AJ15" s="3">
        <v>727</v>
      </c>
      <c r="AK15" s="20">
        <f>Tabelle3[[#This Row],[Mosaik (€)]]/Tabelle3[[#This Row],[Mosaik (Backer)]]</f>
        <v>73.806052269601096</v>
      </c>
      <c r="AL15" s="3">
        <v>37454</v>
      </c>
      <c r="AM15" s="3">
        <v>250</v>
      </c>
      <c r="AN15" s="20">
        <f>Tabelle3[[#This Row],[DSK ES (€)]]/Tabelle3[[#This Row],[DSK ES (Backer)]]</f>
        <v>149.816</v>
      </c>
      <c r="AO15" s="3">
        <v>180535</v>
      </c>
      <c r="AP15" s="3">
        <v>858</v>
      </c>
      <c r="AQ15" s="20">
        <f>Tabelle3[[#This Row],[ES (€)]]/Tabelle3[[#This Row],[ES (Backer)]]</f>
        <v>210.41375291375292</v>
      </c>
      <c r="AR15" s="3">
        <v>217511.64</v>
      </c>
      <c r="AS15" s="3">
        <v>957</v>
      </c>
      <c r="AT15" s="20">
        <f>Tabelle3[[#This Row],[WF (€)]]/Tabelle3[[#This Row],[WF(Backer)]]</f>
        <v>227.28489028213167</v>
      </c>
      <c r="AU15" s="3">
        <f>'Overview &amp; instructions'!AO61</f>
        <v>355633</v>
      </c>
      <c r="AV15" s="3">
        <f>'Overview &amp; instructions'!AP61</f>
        <v>1797</v>
      </c>
      <c r="AW15" s="20">
        <f>Tabelle3[[#This Row],[AKM (€)]]/Tabelle3[[#This Row],[AKM(Backer)]]</f>
        <v>197.90372843628271</v>
      </c>
      <c r="AY15">
        <f t="shared" si="73"/>
        <v>340038.99717460247</v>
      </c>
      <c r="AZ15">
        <f>Tabelle3[[#This Row],[WF (€)]]/$AR$6</f>
        <v>1.8537974948396876</v>
      </c>
      <c r="BG15" s="172"/>
      <c r="BH15" s="172" t="s">
        <v>115</v>
      </c>
      <c r="BI15" s="6"/>
      <c r="BJ15" s="6"/>
      <c r="BK15" s="21"/>
      <c r="BL15" s="6"/>
      <c r="BM15" s="6"/>
      <c r="BN15" s="21"/>
      <c r="BO15" s="3"/>
      <c r="BP15" s="3"/>
      <c r="BQ15" s="21"/>
      <c r="BR15" s="3"/>
      <c r="BS15" s="3"/>
      <c r="BT15" s="21"/>
      <c r="BU15" s="172"/>
      <c r="BV15" s="172" t="s">
        <v>115</v>
      </c>
      <c r="BW15" s="14">
        <f t="shared" si="51"/>
        <v>1.4649864578354597</v>
      </c>
      <c r="BX15" s="14">
        <f t="shared" si="2"/>
        <v>1.4596491228070176</v>
      </c>
      <c r="BY15" s="271">
        <f t="shared" si="52"/>
        <v>2.098946229419504</v>
      </c>
      <c r="BZ15" s="271">
        <f t="shared" si="3"/>
        <v>2.16</v>
      </c>
      <c r="CA15" s="271">
        <f t="shared" si="53"/>
        <v>1.7718214309284088</v>
      </c>
      <c r="CB15" s="271">
        <f t="shared" si="4"/>
        <v>1.7836324874416194</v>
      </c>
      <c r="CC15" s="271">
        <f t="shared" si="54"/>
        <v>0.63395977158404437</v>
      </c>
      <c r="CD15" s="271">
        <f t="shared" si="5"/>
        <v>0.7003508771929825</v>
      </c>
      <c r="CE15" s="15">
        <f t="shared" si="6"/>
        <v>1.973755025801754</v>
      </c>
      <c r="CF15" s="7">
        <f t="shared" si="7"/>
        <v>2.1552795031055902</v>
      </c>
      <c r="CG15" s="10">
        <f t="shared" si="8"/>
        <v>2.098946229419504</v>
      </c>
      <c r="CH15" s="11">
        <f t="shared" si="9"/>
        <v>2.16</v>
      </c>
      <c r="CI15" s="10">
        <f t="shared" si="10"/>
        <v>1.855873968492123</v>
      </c>
      <c r="CJ15" s="25">
        <f t="shared" si="11"/>
        <v>1.7831978319783197</v>
      </c>
      <c r="CK15" s="10">
        <f t="shared" si="12"/>
        <v>1.8420772521646573</v>
      </c>
      <c r="CL15" s="25">
        <f t="shared" si="13"/>
        <v>1.7624113475177305</v>
      </c>
      <c r="CM15" s="10">
        <f t="shared" si="14"/>
        <v>1.4649864578354597</v>
      </c>
      <c r="CN15" s="25">
        <f t="shared" si="15"/>
        <v>1.4596491228070176</v>
      </c>
      <c r="CO15" s="10">
        <f t="shared" si="16"/>
        <v>1.9154048764696361</v>
      </c>
      <c r="CP15" s="25">
        <f t="shared" si="17"/>
        <v>1.8566629339305711</v>
      </c>
      <c r="CQ15" s="10">
        <f t="shared" si="18"/>
        <v>1.6927915737117361</v>
      </c>
      <c r="CR15" s="25">
        <f t="shared" si="19"/>
        <v>1.7256637168141593</v>
      </c>
      <c r="CS15" s="10">
        <f t="shared" si="20"/>
        <v>1.8386308458982878</v>
      </c>
      <c r="CT15" s="25">
        <f t="shared" si="21"/>
        <v>1.9196428571428572</v>
      </c>
      <c r="CU15" s="10">
        <f t="shared" si="22"/>
        <v>1.5522017453209325</v>
      </c>
      <c r="CV15" s="25">
        <f t="shared" si="23"/>
        <v>1.565703634669152</v>
      </c>
      <c r="CW15" s="10">
        <f t="shared" si="24"/>
        <v>1.9561791689152725</v>
      </c>
      <c r="CX15" s="25">
        <f t="shared" si="25"/>
        <v>1.881118881118881</v>
      </c>
      <c r="CY15" s="10">
        <f t="shared" si="26"/>
        <v>2.0653451233560127</v>
      </c>
      <c r="CZ15" s="25">
        <f t="shared" si="27"/>
        <v>2.0141843971631204</v>
      </c>
      <c r="DA15" s="10">
        <f t="shared" si="28"/>
        <v>1.5663753098384181</v>
      </c>
      <c r="DB15" s="25">
        <f t="shared" si="29"/>
        <v>1.5914718019257221</v>
      </c>
      <c r="DC15" s="10">
        <f t="shared" si="92"/>
        <v>1.6721044481230309</v>
      </c>
      <c r="DD15" s="25">
        <f t="shared" si="93"/>
        <v>1.7</v>
      </c>
      <c r="DE15" s="10">
        <f t="shared" si="30"/>
        <v>1.7040961586395991</v>
      </c>
      <c r="DF15" s="25">
        <f t="shared" si="31"/>
        <v>1.710955710955711</v>
      </c>
      <c r="DG15" s="10">
        <f t="shared" si="32"/>
        <v>1.5723599895619378</v>
      </c>
      <c r="DH15" s="25">
        <f t="shared" si="33"/>
        <v>1.6154649947753397</v>
      </c>
      <c r="DI15" s="16"/>
      <c r="DJ15" s="18">
        <f t="shared" si="34"/>
        <v>-0.18152447730383625</v>
      </c>
      <c r="DK15" s="26"/>
      <c r="DL15" s="27">
        <f t="shared" si="35"/>
        <v>-6.1053770580496103E-2</v>
      </c>
      <c r="DM15" s="19"/>
      <c r="DN15" s="17">
        <f t="shared" si="36"/>
        <v>7.2676136513803336E-2</v>
      </c>
      <c r="DO15" s="19"/>
      <c r="DP15" s="17">
        <f t="shared" si="37"/>
        <v>7.96659046469268E-2</v>
      </c>
      <c r="DQ15" s="19"/>
      <c r="DR15" s="17">
        <f t="shared" si="38"/>
        <v>5.3373350284420251E-3</v>
      </c>
      <c r="DS15" s="19"/>
      <c r="DT15" s="17">
        <f t="shared" si="39"/>
        <v>5.8741942539064951E-2</v>
      </c>
      <c r="DU15" s="19"/>
      <c r="DV15" s="17">
        <f t="shared" si="40"/>
        <v>-3.2872143102423257E-2</v>
      </c>
      <c r="DW15" s="19"/>
      <c r="DX15" s="17">
        <f t="shared" si="41"/>
        <v>-8.101201124456936E-2</v>
      </c>
      <c r="DY15" s="19"/>
      <c r="DZ15" s="17">
        <f t="shared" si="42"/>
        <v>-1.3501889348219498E-2</v>
      </c>
      <c r="EA15" s="19"/>
      <c r="EB15" s="17">
        <f t="shared" si="43"/>
        <v>7.5060287796391512E-2</v>
      </c>
      <c r="EC15" s="19"/>
      <c r="ED15" s="17">
        <f t="shared" si="44"/>
        <v>5.1160726192892358E-2</v>
      </c>
      <c r="EE15" s="19"/>
      <c r="EF15" s="17">
        <f t="shared" si="45"/>
        <v>-2.5096492087304023E-2</v>
      </c>
      <c r="EG15" s="19"/>
      <c r="EH15" s="17">
        <f t="shared" si="46"/>
        <v>-2.7895551876969016E-2</v>
      </c>
      <c r="EI15" s="19"/>
      <c r="EJ15" s="17">
        <f t="shared" si="47"/>
        <v>-6.8595523161119054E-3</v>
      </c>
      <c r="EK15" s="19"/>
      <c r="EL15" s="17">
        <f t="shared" si="48"/>
        <v>-4.3105005213401881E-2</v>
      </c>
    </row>
    <row r="16" spans="1:142" ht="15.75" hidden="1" outlineLevel="1" thickBot="1" x14ac:dyDescent="0.3">
      <c r="A16" s="12">
        <v>11</v>
      </c>
      <c r="B16" s="3">
        <v>34703</v>
      </c>
      <c r="C16" s="3">
        <v>178</v>
      </c>
      <c r="D16" s="20">
        <f>IFERROR(Tabelle3[[#This Row],[Ned (€)]]/Tabelle3[[#This Row],[Ned (Backer)]],"")</f>
        <v>194.96067415730337</v>
      </c>
      <c r="E16" s="3">
        <v>83062</v>
      </c>
      <c r="F16" s="3">
        <v>356</v>
      </c>
      <c r="G16" s="391">
        <f>Tabelle3[[#This Row],[Werkzeuge (€)]]/Tabelle3[[#This Row],[Werkzeuge (Backer)]]</f>
        <v>233.32022471910113</v>
      </c>
      <c r="H16" s="3">
        <v>69668</v>
      </c>
      <c r="I16" s="3">
        <v>386</v>
      </c>
      <c r="J16" s="20">
        <f>Tabelle3[[#This Row],[DSK Fasar (€)]]/Tabelle3[[#This Row],[DSK Fasar (Backer)]]</f>
        <v>180.48704663212436</v>
      </c>
      <c r="K16" s="3">
        <v>50284</v>
      </c>
      <c r="L16" s="3">
        <v>291</v>
      </c>
      <c r="M16" s="20">
        <f>Tabelle3[[#This Row],[Mythen (€)]]/Tabelle3[[#This Row],[Mythen (Backer)]]</f>
        <v>172.79725085910653</v>
      </c>
      <c r="N16" s="3">
        <v>166405</v>
      </c>
      <c r="O16" s="3">
        <v>1163</v>
      </c>
      <c r="P16" s="20">
        <f>Tabelle3[[#This Row],[SOK (€)]]/Tabelle3[[#This Row],[SOK (Backer)]]</f>
        <v>143.08254514187448</v>
      </c>
      <c r="Q16" s="3">
        <v>212794</v>
      </c>
      <c r="R16" s="3">
        <v>935</v>
      </c>
      <c r="S16" s="20">
        <f>Tabelle3[[#This Row],[RE (€)]]/Tabelle3[[#This Row],[RE (Backer)]]</f>
        <v>227.58716577540108</v>
      </c>
      <c r="T16" s="3">
        <v>139670</v>
      </c>
      <c r="U16" s="3">
        <v>582</v>
      </c>
      <c r="V16" s="20">
        <f>Tabelle3[[#This Row],[DGG (€)]]/Tabelle3[[#This Row],[DGG (Backer)]]</f>
        <v>239.98281786941581</v>
      </c>
      <c r="W16" s="3">
        <v>63707</v>
      </c>
      <c r="X16" s="3">
        <v>345</v>
      </c>
      <c r="Y16" s="20">
        <f>Tabelle3[[#This Row],[DSK SV (€)]]/Tabelle3[[#This Row],[DSK SV (Backer)]]</f>
        <v>184.65797101449274</v>
      </c>
      <c r="Z16" s="3">
        <v>214911</v>
      </c>
      <c r="AA16" s="3">
        <v>1104</v>
      </c>
      <c r="AB16" s="20">
        <f>Tabelle3[[#This Row],[WW (€)]]/Tabelle3[[#This Row],[WW (Backer)]]</f>
        <v>194.66576086956522</v>
      </c>
      <c r="AC16" s="3">
        <v>19542</v>
      </c>
      <c r="AD16" s="3">
        <v>150</v>
      </c>
      <c r="AE16" s="20">
        <f>Tabelle3[[#This Row],[DSK R (€)]]/Tabelle3[[#This Row],[DSK R (Backer)]]</f>
        <v>130.28</v>
      </c>
      <c r="AF16" s="3">
        <v>127353</v>
      </c>
      <c r="AG16" s="3">
        <v>596</v>
      </c>
      <c r="AH16" s="20">
        <f>Tabelle3[[#This Row],[Ära (€)]]/Tabelle3[[#This Row],[Ära (Backer)]]</f>
        <v>213.67953020134229</v>
      </c>
      <c r="AI16" s="3">
        <v>55502</v>
      </c>
      <c r="AJ16" s="3">
        <v>753</v>
      </c>
      <c r="AK16" s="20">
        <f>Tabelle3[[#This Row],[Mosaik (€)]]/Tabelle3[[#This Row],[Mosaik (Backer)]]</f>
        <v>73.70783532536521</v>
      </c>
      <c r="AL16" s="3">
        <v>38542</v>
      </c>
      <c r="AM16" s="3">
        <v>256</v>
      </c>
      <c r="AN16" s="20">
        <f>Tabelle3[[#This Row],[DSK ES (€)]]/Tabelle3[[#This Row],[DSK ES (Backer)]]</f>
        <v>150.5546875</v>
      </c>
      <c r="AO16" s="3">
        <v>184785</v>
      </c>
      <c r="AP16" s="3">
        <v>877</v>
      </c>
      <c r="AQ16" s="20">
        <f>Tabelle3[[#This Row],[ES (€)]]/Tabelle3[[#This Row],[ES (Backer)]]</f>
        <v>210.7012542759407</v>
      </c>
      <c r="AR16" s="3">
        <v>224693.2</v>
      </c>
      <c r="AS16" s="3">
        <v>989</v>
      </c>
      <c r="AT16" s="20">
        <f>Tabelle3[[#This Row],[WF (€)]]/Tabelle3[[#This Row],[WF(Backer)]]</f>
        <v>227.19231547017191</v>
      </c>
      <c r="AU16" s="3">
        <f>'Overview &amp; instructions'!AO62</f>
        <v>375515</v>
      </c>
      <c r="AV16" s="3">
        <f>'Overview &amp; instructions'!AP62</f>
        <v>1830</v>
      </c>
      <c r="AW16" s="20">
        <f>Tabelle3[[#This Row],[AKM (€)]]/Tabelle3[[#This Row],[AKM(Backer)]]</f>
        <v>205.19945355191257</v>
      </c>
      <c r="AY16">
        <f t="shared" si="73"/>
        <v>351266.03063611855</v>
      </c>
      <c r="AZ16">
        <f>Tabelle3[[#This Row],[WF (€)]]/$AR$6</f>
        <v>1.9150041407784564</v>
      </c>
      <c r="BH16" s="172" t="s">
        <v>116</v>
      </c>
      <c r="BI16" s="6"/>
      <c r="BJ16" s="6"/>
      <c r="BK16" s="21"/>
      <c r="BL16" s="6"/>
      <c r="BM16" s="6"/>
      <c r="BN16" s="21"/>
      <c r="BO16" s="3"/>
      <c r="BP16" s="3"/>
      <c r="BQ16" s="21"/>
      <c r="BR16" s="3"/>
      <c r="BS16" s="3"/>
      <c r="BT16" s="21"/>
      <c r="BV16" s="172" t="s">
        <v>116</v>
      </c>
      <c r="BW16" s="14">
        <f t="shared" si="51"/>
        <v>1.4367176467053273</v>
      </c>
      <c r="BX16" s="14">
        <f t="shared" si="2"/>
        <v>1.4307824591573517</v>
      </c>
      <c r="BY16" s="271">
        <f t="shared" si="52"/>
        <v>2.0551034167248563</v>
      </c>
      <c r="BZ16" s="271">
        <f t="shared" si="3"/>
        <v>2.1235955056179776</v>
      </c>
      <c r="CA16" s="271">
        <f t="shared" si="53"/>
        <v>1.709102315009621</v>
      </c>
      <c r="CB16" s="271">
        <f t="shared" si="4"/>
        <v>1.7171649685452697</v>
      </c>
      <c r="CC16" s="271">
        <f t="shared" si="54"/>
        <v>0.61838577001952899</v>
      </c>
      <c r="CD16" s="271">
        <f t="shared" si="5"/>
        <v>0.69281304646062591</v>
      </c>
      <c r="CE16" s="15">
        <f t="shared" si="6"/>
        <v>1.7965305593176382</v>
      </c>
      <c r="CF16" s="7">
        <f t="shared" si="7"/>
        <v>1.949438202247191</v>
      </c>
      <c r="CG16" s="10">
        <f t="shared" si="8"/>
        <v>2.0551034167248563</v>
      </c>
      <c r="CH16" s="11">
        <f t="shared" si="9"/>
        <v>2.1235955056179776</v>
      </c>
      <c r="CI16" s="10">
        <f t="shared" si="10"/>
        <v>1.7754779812826549</v>
      </c>
      <c r="CJ16" s="25">
        <f t="shared" si="11"/>
        <v>1.7046632124352332</v>
      </c>
      <c r="CK16" s="10">
        <f t="shared" si="12"/>
        <v>1.78965476095776</v>
      </c>
      <c r="CL16" s="25">
        <f t="shared" si="13"/>
        <v>1.7079037800687284</v>
      </c>
      <c r="CM16" s="10">
        <f t="shared" si="14"/>
        <v>1.4367176467053273</v>
      </c>
      <c r="CN16" s="25">
        <f t="shared" si="15"/>
        <v>1.4307824591573517</v>
      </c>
      <c r="CO16" s="10">
        <f t="shared" si="16"/>
        <v>1.8351410284124552</v>
      </c>
      <c r="CP16" s="25">
        <f t="shared" si="17"/>
        <v>1.7732620320855614</v>
      </c>
      <c r="CQ16" s="10">
        <f t="shared" si="18"/>
        <v>1.6569771604496313</v>
      </c>
      <c r="CR16" s="25">
        <f t="shared" si="19"/>
        <v>1.6752577319587629</v>
      </c>
      <c r="CS16" s="10">
        <f t="shared" si="20"/>
        <v>1.8069128981116676</v>
      </c>
      <c r="CT16" s="25">
        <f t="shared" si="21"/>
        <v>1.8695652173913044</v>
      </c>
      <c r="CU16" s="10">
        <f t="shared" si="22"/>
        <v>1.5096249144994904</v>
      </c>
      <c r="CV16" s="25">
        <f t="shared" si="23"/>
        <v>1.5217391304347827</v>
      </c>
      <c r="CW16" s="10">
        <f t="shared" si="24"/>
        <v>1.854876675877597</v>
      </c>
      <c r="CX16" s="25">
        <f t="shared" si="25"/>
        <v>1.7933333333333332</v>
      </c>
      <c r="CY16" s="10">
        <f t="shared" si="26"/>
        <v>1.9569150314480224</v>
      </c>
      <c r="CZ16" s="25">
        <f t="shared" si="27"/>
        <v>1.9060402684563758</v>
      </c>
      <c r="DA16" s="10">
        <f t="shared" si="28"/>
        <v>1.5143057907823141</v>
      </c>
      <c r="DB16" s="25">
        <f t="shared" si="29"/>
        <v>1.5365205843293492</v>
      </c>
      <c r="DC16" s="10">
        <f t="shared" si="92"/>
        <v>1.6249027035441856</v>
      </c>
      <c r="DD16" s="25">
        <f t="shared" si="93"/>
        <v>1.66015625</v>
      </c>
      <c r="DE16" s="10">
        <f t="shared" si="30"/>
        <v>1.6649024542035338</v>
      </c>
      <c r="DF16" s="25">
        <f t="shared" si="31"/>
        <v>1.6738882554161916</v>
      </c>
      <c r="DG16" s="10">
        <f t="shared" si="32"/>
        <v>1.5221048078001469</v>
      </c>
      <c r="DH16" s="25">
        <f t="shared" si="33"/>
        <v>1.5631951466127401</v>
      </c>
      <c r="DI16" s="16"/>
      <c r="DJ16" s="18">
        <f t="shared" si="34"/>
        <v>-0.15290764292955283</v>
      </c>
      <c r="DK16" s="26"/>
      <c r="DL16" s="27">
        <f t="shared" si="35"/>
        <v>-6.8492088893121306E-2</v>
      </c>
      <c r="DM16" s="19"/>
      <c r="DN16" s="17">
        <f t="shared" si="36"/>
        <v>7.0814768847421661E-2</v>
      </c>
      <c r="DO16" s="19"/>
      <c r="DP16" s="17">
        <f t="shared" si="37"/>
        <v>8.1750980889031544E-2</v>
      </c>
      <c r="DQ16" s="19"/>
      <c r="DR16" s="17">
        <f t="shared" si="38"/>
        <v>5.9351875479756178E-3</v>
      </c>
      <c r="DS16" s="19"/>
      <c r="DT16" s="17">
        <f t="shared" si="39"/>
        <v>6.1878996326893754E-2</v>
      </c>
      <c r="DU16" s="19"/>
      <c r="DV16" s="17">
        <f t="shared" si="40"/>
        <v>-1.8280571509131649E-2</v>
      </c>
      <c r="DW16" s="19"/>
      <c r="DX16" s="17">
        <f t="shared" si="41"/>
        <v>-6.2652319279636881E-2</v>
      </c>
      <c r="DY16" s="19"/>
      <c r="DZ16" s="17">
        <f t="shared" si="42"/>
        <v>-1.2114215935292272E-2</v>
      </c>
      <c r="EA16" s="19"/>
      <c r="EB16" s="17">
        <f t="shared" si="43"/>
        <v>6.1543342544263746E-2</v>
      </c>
      <c r="EC16" s="19"/>
      <c r="ED16" s="17">
        <f t="shared" si="44"/>
        <v>5.0874762991646616E-2</v>
      </c>
      <c r="EE16" s="19"/>
      <c r="EF16" s="17">
        <f t="shared" si="45"/>
        <v>-2.221479354703515E-2</v>
      </c>
      <c r="EG16" s="19"/>
      <c r="EH16" s="17">
        <f t="shared" si="46"/>
        <v>-3.5253546455814355E-2</v>
      </c>
      <c r="EI16" s="19"/>
      <c r="EJ16" s="17">
        <f t="shared" si="47"/>
        <v>-8.9858012126577957E-3</v>
      </c>
      <c r="EK16" s="19"/>
      <c r="EL16" s="17">
        <f t="shared" si="48"/>
        <v>-4.1090338812593163E-2</v>
      </c>
    </row>
    <row r="17" spans="1:142" ht="15.75" hidden="1" outlineLevel="1" thickBot="1" x14ac:dyDescent="0.3">
      <c r="A17" s="12">
        <v>12</v>
      </c>
      <c r="B17" s="3">
        <v>36986</v>
      </c>
      <c r="C17" s="3">
        <v>193</v>
      </c>
      <c r="D17" s="20">
        <f>IFERROR(Tabelle3[[#This Row],[Ned (€)]]/Tabelle3[[#This Row],[Ned (Backer)]],"")</f>
        <v>191.63730569948186</v>
      </c>
      <c r="E17" s="3">
        <v>86154</v>
      </c>
      <c r="F17" s="3">
        <v>371</v>
      </c>
      <c r="G17" s="20">
        <f>Tabelle3[[#This Row],[Werkzeuge (€)]]/Tabelle3[[#This Row],[Werkzeuge (Backer)]]</f>
        <v>232.22102425876011</v>
      </c>
      <c r="H17" s="3">
        <v>71286</v>
      </c>
      <c r="I17" s="3">
        <v>395</v>
      </c>
      <c r="J17" s="20">
        <f>Tabelle3[[#This Row],[DSK Fasar (€)]]/Tabelle3[[#This Row],[DSK Fasar (Backer)]]</f>
        <v>180.47088607594938</v>
      </c>
      <c r="K17" s="3">
        <v>54218</v>
      </c>
      <c r="L17" s="3">
        <v>311</v>
      </c>
      <c r="M17" s="391">
        <f>Tabelle3[[#This Row],[Mythen (€)]]/Tabelle3[[#This Row],[Mythen (Backer)]]</f>
        <v>174.33440514469453</v>
      </c>
      <c r="N17" s="3">
        <v>169780</v>
      </c>
      <c r="O17" s="3">
        <v>1189</v>
      </c>
      <c r="P17" s="20">
        <f>Tabelle3[[#This Row],[SOK (€)]]/Tabelle3[[#This Row],[SOK (Backer)]]</f>
        <v>142.79226240538267</v>
      </c>
      <c r="Q17" s="3">
        <v>221864</v>
      </c>
      <c r="R17" s="3">
        <v>976</v>
      </c>
      <c r="S17" s="20">
        <f>Tabelle3[[#This Row],[RE (€)]]/Tabelle3[[#This Row],[RE (Backer)]]</f>
        <v>227.31967213114754</v>
      </c>
      <c r="T17" s="3">
        <v>143057</v>
      </c>
      <c r="U17" s="3">
        <v>598</v>
      </c>
      <c r="V17" s="20">
        <f>Tabelle3[[#This Row],[DGG (€)]]/Tabelle3[[#This Row],[DGG (Backer)]]</f>
        <v>239.22575250836121</v>
      </c>
      <c r="W17" s="3">
        <v>66094</v>
      </c>
      <c r="X17" s="3">
        <v>361</v>
      </c>
      <c r="Y17" s="20">
        <f>Tabelle3[[#This Row],[DSK SV (€)]]/Tabelle3[[#This Row],[DSK SV (Backer)]]</f>
        <v>183.08587257617728</v>
      </c>
      <c r="Z17" s="3">
        <v>220698</v>
      </c>
      <c r="AA17" s="3">
        <v>1137</v>
      </c>
      <c r="AB17" s="20">
        <f>Tabelle3[[#This Row],[WW (€)]]/Tabelle3[[#This Row],[WW (Backer)]]</f>
        <v>194.10554089709763</v>
      </c>
      <c r="AC17" s="3">
        <v>20594</v>
      </c>
      <c r="AD17" s="3">
        <v>154</v>
      </c>
      <c r="AE17" s="391">
        <f>Tabelle3[[#This Row],[DSK R (€)]]/Tabelle3[[#This Row],[DSK R (Backer)]]</f>
        <v>133.72727272727272</v>
      </c>
      <c r="AF17" s="3">
        <v>134068</v>
      </c>
      <c r="AG17" s="3">
        <v>624</v>
      </c>
      <c r="AH17" s="391">
        <f>Tabelle3[[#This Row],[Ära (€)]]/Tabelle3[[#This Row],[Ära (Backer)]]</f>
        <v>214.85256410256412</v>
      </c>
      <c r="AI17" s="3">
        <v>57013</v>
      </c>
      <c r="AJ17" s="3">
        <v>775</v>
      </c>
      <c r="AK17" s="20">
        <f>Tabelle3[[#This Row],[Mosaik (€)]]/Tabelle3[[#This Row],[Mosaik (Backer)]]</f>
        <v>73.565161290322578</v>
      </c>
      <c r="AL17" s="3">
        <v>40462</v>
      </c>
      <c r="AM17" s="3">
        <v>270</v>
      </c>
      <c r="AN17" s="20">
        <f>Tabelle3[[#This Row],[DSK ES (€)]]/Tabelle3[[#This Row],[DSK ES (Backer)]]</f>
        <v>149.85925925925926</v>
      </c>
      <c r="AO17" s="3">
        <v>189297</v>
      </c>
      <c r="AP17" s="3">
        <v>901</v>
      </c>
      <c r="AQ17" s="20">
        <f>Tabelle3[[#This Row],[ES (€)]]/Tabelle3[[#This Row],[ES (Backer)]]</f>
        <v>210.09655937846836</v>
      </c>
      <c r="AR17" s="3">
        <v>232990.67</v>
      </c>
      <c r="AS17" s="3">
        <v>1026</v>
      </c>
      <c r="AT17" s="20">
        <f>Tabelle3[[#This Row],[WF (€)]]/Tabelle3[[#This Row],[WF(Backer)]]</f>
        <v>227.08642300194933</v>
      </c>
      <c r="AU17" s="3">
        <f>'Overview &amp; instructions'!AO63</f>
        <v>383107</v>
      </c>
      <c r="AV17" s="3">
        <f>'Overview &amp; instructions'!AP63</f>
        <v>1863</v>
      </c>
      <c r="AW17" s="20">
        <f>Tabelle3[[#This Row],[AKM (€)]]/Tabelle3[[#This Row],[AKM(Backer)]]</f>
        <v>205.63982823403114</v>
      </c>
      <c r="AY17">
        <f t="shared" si="73"/>
        <v>364237.5818500506</v>
      </c>
      <c r="AZ17">
        <f>Tabelle3[[#This Row],[WF (€)]]/$AR$6</f>
        <v>1.9857214095163844</v>
      </c>
      <c r="BH17" s="172" t="s">
        <v>117</v>
      </c>
      <c r="BI17" s="6"/>
      <c r="BJ17" s="6"/>
      <c r="BK17" s="21"/>
      <c r="BL17" s="6"/>
      <c r="BM17" s="6"/>
      <c r="BN17" s="21"/>
      <c r="BO17" s="3"/>
      <c r="BP17" s="3"/>
      <c r="BQ17" s="21"/>
      <c r="BR17" s="3"/>
      <c r="BS17" s="3"/>
      <c r="BT17" s="21"/>
      <c r="BV17" s="172" t="s">
        <v>117</v>
      </c>
      <c r="BW17" s="14">
        <f t="shared" si="51"/>
        <v>1.4081576157380138</v>
      </c>
      <c r="BX17" s="14">
        <f t="shared" si="2"/>
        <v>1.3994953742640874</v>
      </c>
      <c r="BY17" s="271">
        <f t="shared" si="52"/>
        <v>1.9813473547368665</v>
      </c>
      <c r="BZ17" s="271">
        <f t="shared" si="3"/>
        <v>2.0377358490566038</v>
      </c>
      <c r="CA17" s="271">
        <f t="shared" si="53"/>
        <v>1.6451613186351797</v>
      </c>
      <c r="CB17" s="271">
        <f t="shared" si="4"/>
        <v>1.6514087311744094</v>
      </c>
      <c r="CC17" s="271">
        <f t="shared" si="54"/>
        <v>0.57318973899885273</v>
      </c>
      <c r="CD17" s="271">
        <f t="shared" si="5"/>
        <v>0.63824047479251633</v>
      </c>
      <c r="CE17" s="15">
        <f t="shared" si="6"/>
        <v>1.6856378089006652</v>
      </c>
      <c r="CF17" s="7">
        <f t="shared" si="7"/>
        <v>1.7979274611398963</v>
      </c>
      <c r="CG17" s="10">
        <f t="shared" si="8"/>
        <v>1.9813473547368665</v>
      </c>
      <c r="CH17" s="11">
        <f t="shared" si="9"/>
        <v>2.0377358490566038</v>
      </c>
      <c r="CI17" s="10">
        <f t="shared" si="10"/>
        <v>1.7351794181185647</v>
      </c>
      <c r="CJ17" s="25">
        <f t="shared" si="11"/>
        <v>1.6658227848101266</v>
      </c>
      <c r="CK17" s="10">
        <f t="shared" si="12"/>
        <v>1.6597993286362462</v>
      </c>
      <c r="CL17" s="25">
        <f t="shared" si="13"/>
        <v>1.5980707395498392</v>
      </c>
      <c r="CM17" s="10">
        <f t="shared" si="14"/>
        <v>1.4081576157380138</v>
      </c>
      <c r="CN17" s="25">
        <f t="shared" si="15"/>
        <v>1.3994953742640874</v>
      </c>
      <c r="CO17" s="10">
        <f t="shared" si="16"/>
        <v>1.760118811524177</v>
      </c>
      <c r="CP17" s="25">
        <f t="shared" si="17"/>
        <v>1.6987704918032787</v>
      </c>
      <c r="CQ17" s="10">
        <f t="shared" si="18"/>
        <v>1.6177467722656005</v>
      </c>
      <c r="CR17" s="25">
        <f t="shared" si="19"/>
        <v>1.6304347826086956</v>
      </c>
      <c r="CS17" s="10">
        <f t="shared" si="20"/>
        <v>1.7416558235240718</v>
      </c>
      <c r="CT17" s="25">
        <f t="shared" si="21"/>
        <v>1.7867036011080333</v>
      </c>
      <c r="CU17" s="10">
        <f t="shared" si="22"/>
        <v>1.4700405078432972</v>
      </c>
      <c r="CV17" s="25">
        <f t="shared" si="23"/>
        <v>1.4775725593667546</v>
      </c>
      <c r="CW17" s="10">
        <f t="shared" si="24"/>
        <v>1.7601243080508886</v>
      </c>
      <c r="CX17" s="25">
        <f t="shared" si="25"/>
        <v>1.7467532467532467</v>
      </c>
      <c r="CY17" s="10">
        <f t="shared" si="26"/>
        <v>1.8588999612137125</v>
      </c>
      <c r="CZ17" s="25">
        <f t="shared" si="27"/>
        <v>1.8205128205128205</v>
      </c>
      <c r="DA17" s="10">
        <f t="shared" si="28"/>
        <v>1.4741725571360917</v>
      </c>
      <c r="DB17" s="25">
        <f t="shared" si="29"/>
        <v>1.4929032258064516</v>
      </c>
      <c r="DC17" s="10">
        <f t="shared" si="92"/>
        <v>1.5477979338638723</v>
      </c>
      <c r="DD17" s="25">
        <f t="shared" si="93"/>
        <v>1.5740740740740742</v>
      </c>
      <c r="DE17" s="10">
        <f t="shared" si="30"/>
        <v>1.6252185718738279</v>
      </c>
      <c r="DF17" s="25">
        <f t="shared" si="31"/>
        <v>1.6293007769145393</v>
      </c>
      <c r="DG17" s="10">
        <f t="shared" si="32"/>
        <v>1.4678982639090223</v>
      </c>
      <c r="DH17" s="25">
        <f t="shared" si="33"/>
        <v>1.50682261208577</v>
      </c>
      <c r="DI17" s="16"/>
      <c r="DJ17" s="18">
        <f t="shared" si="34"/>
        <v>-0.11228965223923115</v>
      </c>
      <c r="DK17" s="26"/>
      <c r="DL17" s="27">
        <f t="shared" si="35"/>
        <v>-5.6388494319737248E-2</v>
      </c>
      <c r="DM17" s="19"/>
      <c r="DN17" s="17">
        <f t="shared" si="36"/>
        <v>6.9356633308438109E-2</v>
      </c>
      <c r="DO17" s="19"/>
      <c r="DP17" s="17">
        <f t="shared" si="37"/>
        <v>6.1728589086406993E-2</v>
      </c>
      <c r="DQ17" s="19"/>
      <c r="DR17" s="17">
        <f t="shared" si="38"/>
        <v>8.6622414739263576E-3</v>
      </c>
      <c r="DS17" s="19"/>
      <c r="DT17" s="17">
        <f t="shared" si="39"/>
        <v>6.1348319720898381E-2</v>
      </c>
      <c r="DU17" s="19"/>
      <c r="DV17" s="17">
        <f t="shared" si="40"/>
        <v>-1.268801034309508E-2</v>
      </c>
      <c r="DW17" s="19"/>
      <c r="DX17" s="17">
        <f t="shared" si="41"/>
        <v>-4.5047777583961501E-2</v>
      </c>
      <c r="DY17" s="19"/>
      <c r="DZ17" s="17">
        <f t="shared" si="42"/>
        <v>-7.5320515234573726E-3</v>
      </c>
      <c r="EA17" s="19"/>
      <c r="EB17" s="17">
        <f t="shared" si="43"/>
        <v>1.3371061297641873E-2</v>
      </c>
      <c r="EC17" s="19"/>
      <c r="ED17" s="17">
        <f t="shared" si="44"/>
        <v>3.8387140700891997E-2</v>
      </c>
      <c r="EE17" s="19"/>
      <c r="EF17" s="17">
        <f t="shared" si="45"/>
        <v>-1.8730668670359885E-2</v>
      </c>
      <c r="EG17" s="19"/>
      <c r="EH17" s="17">
        <f t="shared" si="46"/>
        <v>-2.6276140210201859E-2</v>
      </c>
      <c r="EI17" s="19"/>
      <c r="EJ17" s="17">
        <f t="shared" si="47"/>
        <v>-4.0822050407114396E-3</v>
      </c>
      <c r="EK17" s="19"/>
      <c r="EL17" s="17">
        <f t="shared" si="48"/>
        <v>-3.8924348176747614E-2</v>
      </c>
    </row>
    <row r="18" spans="1:142" ht="15.75" hidden="1" outlineLevel="1" thickBot="1" x14ac:dyDescent="0.3">
      <c r="A18" s="12">
        <v>13</v>
      </c>
      <c r="B18" s="3">
        <v>37704</v>
      </c>
      <c r="C18" s="3">
        <v>197</v>
      </c>
      <c r="D18" s="20">
        <f>IFERROR(Tabelle3[[#This Row],[Ned (€)]]/Tabelle3[[#This Row],[Ned (Backer)]],"")</f>
        <v>191.39086294416245</v>
      </c>
      <c r="E18" s="3">
        <v>89062</v>
      </c>
      <c r="F18" s="3">
        <v>386</v>
      </c>
      <c r="G18" s="20">
        <f>Tabelle3[[#This Row],[Werkzeuge (€)]]/Tabelle3[[#This Row],[Werkzeuge (Backer)]]</f>
        <v>230.73056994818654</v>
      </c>
      <c r="H18" s="3">
        <v>74079</v>
      </c>
      <c r="I18" s="3">
        <v>410</v>
      </c>
      <c r="J18" s="20">
        <f>Tabelle3[[#This Row],[DSK Fasar (€)]]/Tabelle3[[#This Row],[DSK Fasar (Backer)]]</f>
        <v>180.68048780487806</v>
      </c>
      <c r="K18" s="3">
        <v>55585</v>
      </c>
      <c r="L18" s="3">
        <v>319</v>
      </c>
      <c r="M18" s="20">
        <f>Tabelle3[[#This Row],[Mythen (€)]]/Tabelle3[[#This Row],[Mythen (Backer)]]</f>
        <v>174.24764890282131</v>
      </c>
      <c r="N18" s="3">
        <v>172436</v>
      </c>
      <c r="O18" s="3">
        <v>1205</v>
      </c>
      <c r="P18" s="391">
        <f>Tabelle3[[#This Row],[SOK (€)]]/Tabelle3[[#This Row],[SOK (Backer)]]</f>
        <v>143.10041493775933</v>
      </c>
      <c r="Q18" s="3">
        <v>229701</v>
      </c>
      <c r="R18" s="3">
        <v>1011</v>
      </c>
      <c r="S18" s="20">
        <f>Tabelle3[[#This Row],[RE (€)]]/Tabelle3[[#This Row],[RE (Backer)]]</f>
        <v>227.20178041543028</v>
      </c>
      <c r="T18" s="3">
        <v>149744</v>
      </c>
      <c r="U18" s="3">
        <v>624</v>
      </c>
      <c r="V18" s="20">
        <f>Tabelle3[[#This Row],[DGG (€)]]/Tabelle3[[#This Row],[DGG (Backer)]]</f>
        <v>239.97435897435898</v>
      </c>
      <c r="W18" s="3">
        <v>68288</v>
      </c>
      <c r="X18" s="3">
        <v>375</v>
      </c>
      <c r="Y18" s="20">
        <f>Tabelle3[[#This Row],[DSK SV (€)]]/Tabelle3[[#This Row],[DSK SV (Backer)]]</f>
        <v>182.10133333333334</v>
      </c>
      <c r="Z18" s="3">
        <v>224732</v>
      </c>
      <c r="AA18" s="3">
        <v>1159</v>
      </c>
      <c r="AB18" s="20">
        <f>Tabelle3[[#This Row],[WW (€)]]/Tabelle3[[#This Row],[WW (Backer)]]</f>
        <v>193.90163934426229</v>
      </c>
      <c r="AC18" s="3">
        <v>20809</v>
      </c>
      <c r="AD18" s="3">
        <v>155</v>
      </c>
      <c r="AE18" s="20">
        <f>Tabelle3[[#This Row],[DSK R (€)]]/Tabelle3[[#This Row],[DSK R (Backer)]]</f>
        <v>134.2516129032258</v>
      </c>
      <c r="AF18" s="3">
        <v>139930</v>
      </c>
      <c r="AG18" s="3">
        <v>656</v>
      </c>
      <c r="AH18" s="20">
        <f>Tabelle3[[#This Row],[Ära (€)]]/Tabelle3[[#This Row],[Ära (Backer)]]</f>
        <v>213.3079268292683</v>
      </c>
      <c r="AI18" s="3">
        <v>57853</v>
      </c>
      <c r="AJ18" s="3">
        <v>789</v>
      </c>
      <c r="AK18" s="20">
        <f>Tabelle3[[#This Row],[Mosaik (€)]]/Tabelle3[[#This Row],[Mosaik (Backer)]]</f>
        <v>73.324461343472748</v>
      </c>
      <c r="AL18" s="3">
        <v>42073</v>
      </c>
      <c r="AM18" s="3">
        <v>282</v>
      </c>
      <c r="AN18" s="20">
        <f>Tabelle3[[#This Row],[DSK ES (€)]]/Tabelle3[[#This Row],[DSK ES (Backer)]]</f>
        <v>149.1950354609929</v>
      </c>
      <c r="AO18" s="3">
        <v>195413</v>
      </c>
      <c r="AP18" s="3">
        <v>929</v>
      </c>
      <c r="AQ18" s="20">
        <f>Tabelle3[[#This Row],[ES (€)]]/Tabelle3[[#This Row],[ES (Backer)]]</f>
        <v>210.34768568353067</v>
      </c>
      <c r="AR18" s="3">
        <v>241976.2</v>
      </c>
      <c r="AS18" s="3">
        <v>1068</v>
      </c>
      <c r="AT18" s="20">
        <f>Tabelle3[[#This Row],[WF (€)]]/Tabelle3[[#This Row],[WF(Backer)]]</f>
        <v>226.56947565543072</v>
      </c>
      <c r="AU18" s="3">
        <f>'Overview &amp; instructions'!AO64</f>
        <v>390522</v>
      </c>
      <c r="AV18" s="3">
        <f>'Overview &amp; instructions'!AP64</f>
        <v>1895</v>
      </c>
      <c r="AW18" s="20">
        <f>Tabelle3[[#This Row],[AKM (€)]]/Tabelle3[[#This Row],[AKM(Backer)]]</f>
        <v>206.0802110817942</v>
      </c>
      <c r="AY18">
        <f t="shared" si="73"/>
        <v>378284.78691127081</v>
      </c>
      <c r="AZ18">
        <f>Tabelle3[[#This Row],[WF (€)]]/$AR$6</f>
        <v>2.0623028421413552</v>
      </c>
      <c r="BH18" s="172" t="s">
        <v>118</v>
      </c>
      <c r="BI18" s="6"/>
      <c r="BJ18" s="6"/>
      <c r="BK18" s="21"/>
      <c r="BL18" s="6"/>
      <c r="BM18" s="6"/>
      <c r="BN18" s="21"/>
      <c r="BO18" s="3"/>
      <c r="BP18" s="3"/>
      <c r="BQ18" s="21"/>
      <c r="BR18" s="3"/>
      <c r="BS18" s="3"/>
      <c r="BT18" s="21"/>
      <c r="BV18" s="172" t="s">
        <v>118</v>
      </c>
      <c r="BW18" s="14">
        <f t="shared" si="51"/>
        <v>1.3864680229186481</v>
      </c>
      <c r="BX18" s="14">
        <f t="shared" si="2"/>
        <v>1.3809128630705394</v>
      </c>
      <c r="BY18" s="271">
        <f t="shared" si="52"/>
        <v>1.916653567177921</v>
      </c>
      <c r="BZ18" s="271">
        <f t="shared" si="3"/>
        <v>1.9585492227979275</v>
      </c>
      <c r="CA18" s="271">
        <f t="shared" si="53"/>
        <v>1.6002130159432417</v>
      </c>
      <c r="CB18" s="271">
        <f t="shared" si="4"/>
        <v>1.6050305711578032</v>
      </c>
      <c r="CC18" s="271">
        <f t="shared" si="54"/>
        <v>0.53018554425927289</v>
      </c>
      <c r="CD18" s="271">
        <f t="shared" si="5"/>
        <v>0.57763635972738814</v>
      </c>
      <c r="CE18" s="15">
        <f t="shared" si="6"/>
        <v>1.6535380861447062</v>
      </c>
      <c r="CF18" s="7">
        <f t="shared" si="7"/>
        <v>1.7614213197969544</v>
      </c>
      <c r="CG18" s="10">
        <f t="shared" si="8"/>
        <v>1.916653567177921</v>
      </c>
      <c r="CH18" s="11">
        <f t="shared" si="9"/>
        <v>1.9585492227979275</v>
      </c>
      <c r="CI18" s="10">
        <f t="shared" si="10"/>
        <v>1.6697579610955871</v>
      </c>
      <c r="CJ18" s="25">
        <f t="shared" si="11"/>
        <v>1.6048780487804879</v>
      </c>
      <c r="CK18" s="10">
        <f t="shared" si="12"/>
        <v>1.6189799406314653</v>
      </c>
      <c r="CL18" s="25">
        <f t="shared" si="13"/>
        <v>1.5579937304075235</v>
      </c>
      <c r="CM18" s="10">
        <f t="shared" si="14"/>
        <v>1.3864680229186481</v>
      </c>
      <c r="CN18" s="25">
        <f t="shared" si="15"/>
        <v>1.3809128630705394</v>
      </c>
      <c r="CO18" s="10">
        <f t="shared" si="16"/>
        <v>1.7000666083299594</v>
      </c>
      <c r="CP18" s="25">
        <f t="shared" si="17"/>
        <v>1.6399604352126607</v>
      </c>
      <c r="CQ18" s="10">
        <f t="shared" si="18"/>
        <v>1.5455043273854043</v>
      </c>
      <c r="CR18" s="25">
        <f t="shared" si="19"/>
        <v>1.5625</v>
      </c>
      <c r="CS18" s="10">
        <f t="shared" si="20"/>
        <v>1.6856988050609185</v>
      </c>
      <c r="CT18" s="25">
        <f t="shared" si="21"/>
        <v>1.72</v>
      </c>
      <c r="CU18" s="10">
        <f t="shared" si="22"/>
        <v>1.4436528843244398</v>
      </c>
      <c r="CV18" s="25">
        <f t="shared" si="23"/>
        <v>1.4495254529767041</v>
      </c>
      <c r="CW18" s="10">
        <f t="shared" si="24"/>
        <v>1.7419385842664232</v>
      </c>
      <c r="CX18" s="25">
        <f t="shared" si="25"/>
        <v>1.735483870967742</v>
      </c>
      <c r="CY18" s="10">
        <f t="shared" si="26"/>
        <v>1.781026227399414</v>
      </c>
      <c r="CZ18" s="25">
        <f t="shared" si="27"/>
        <v>1.7317073170731707</v>
      </c>
      <c r="DA18" s="10">
        <f t="shared" si="28"/>
        <v>1.4527682229097887</v>
      </c>
      <c r="DB18" s="25">
        <f t="shared" si="29"/>
        <v>1.4664131812420786</v>
      </c>
      <c r="DC18" s="10">
        <f t="shared" si="92"/>
        <v>1.4885318375205001</v>
      </c>
      <c r="DD18" s="25">
        <f t="shared" si="93"/>
        <v>1.5070921985815602</v>
      </c>
      <c r="DE18" s="10">
        <f t="shared" si="30"/>
        <v>1.5743527810329916</v>
      </c>
      <c r="DF18" s="25">
        <f t="shared" si="31"/>
        <v>1.580193756727664</v>
      </c>
      <c r="DG18" s="10">
        <f t="shared" si="32"/>
        <v>1.4133894159838858</v>
      </c>
      <c r="DH18" s="25">
        <f t="shared" si="33"/>
        <v>1.4475655430711611</v>
      </c>
      <c r="DI18" s="16"/>
      <c r="DJ18" s="18">
        <f t="shared" si="34"/>
        <v>-0.10788323365224817</v>
      </c>
      <c r="DK18" s="26"/>
      <c r="DL18" s="27">
        <f t="shared" si="35"/>
        <v>-4.1895655620006522E-2</v>
      </c>
      <c r="DM18" s="19"/>
      <c r="DN18" s="17">
        <f t="shared" si="36"/>
        <v>6.4879912315099153E-2</v>
      </c>
      <c r="DO18" s="19"/>
      <c r="DP18" s="17">
        <f t="shared" si="37"/>
        <v>6.0986210223941795E-2</v>
      </c>
      <c r="DQ18" s="19"/>
      <c r="DR18" s="17">
        <f t="shared" si="38"/>
        <v>5.5551598481087261E-3</v>
      </c>
      <c r="DS18" s="19"/>
      <c r="DT18" s="17">
        <f t="shared" si="39"/>
        <v>6.0106173117298711E-2</v>
      </c>
      <c r="DU18" s="19"/>
      <c r="DV18" s="17">
        <f t="shared" si="40"/>
        <v>-1.6995672614595669E-2</v>
      </c>
      <c r="DW18" s="19"/>
      <c r="DX18" s="17">
        <f t="shared" si="41"/>
        <v>-3.4301194939081459E-2</v>
      </c>
      <c r="DY18" s="19"/>
      <c r="DZ18" s="17">
        <f t="shared" si="42"/>
        <v>-5.8725686522642651E-3</v>
      </c>
      <c r="EA18" s="19"/>
      <c r="EB18" s="17">
        <f t="shared" si="43"/>
        <v>6.4547132986811917E-3</v>
      </c>
      <c r="EC18" s="19"/>
      <c r="ED18" s="17">
        <f t="shared" si="44"/>
        <v>4.9318910326243248E-2</v>
      </c>
      <c r="EE18" s="19"/>
      <c r="EF18" s="17">
        <f t="shared" si="45"/>
        <v>-1.3644958332289958E-2</v>
      </c>
      <c r="EG18" s="19"/>
      <c r="EH18" s="17">
        <f t="shared" si="46"/>
        <v>-1.8560361061060071E-2</v>
      </c>
      <c r="EI18" s="19"/>
      <c r="EJ18" s="17">
        <f t="shared" si="47"/>
        <v>-5.8409756946724567E-3</v>
      </c>
      <c r="EK18" s="19"/>
      <c r="EL18" s="17">
        <f t="shared" si="48"/>
        <v>-3.4176127087275354E-2</v>
      </c>
    </row>
    <row r="19" spans="1:142" ht="15.75" hidden="1" outlineLevel="1" thickBot="1" x14ac:dyDescent="0.3">
      <c r="A19" s="12">
        <v>14</v>
      </c>
      <c r="B19" s="3">
        <v>38541</v>
      </c>
      <c r="C19" s="3">
        <v>205</v>
      </c>
      <c r="D19" s="20">
        <f>IFERROR(Tabelle3[[#This Row],[Ned (€)]]/Tabelle3[[#This Row],[Ned (Backer)]],"")</f>
        <v>188.00487804878048</v>
      </c>
      <c r="E19" s="3">
        <v>93109</v>
      </c>
      <c r="F19" s="3">
        <v>403</v>
      </c>
      <c r="G19" s="20">
        <f>Tabelle3[[#This Row],[Werkzeuge (€)]]/Tabelle3[[#This Row],[Werkzeuge (Backer)]]</f>
        <v>231.03970223325061</v>
      </c>
      <c r="H19" s="3">
        <v>75411</v>
      </c>
      <c r="I19" s="3">
        <v>417</v>
      </c>
      <c r="J19" s="20">
        <f>Tabelle3[[#This Row],[DSK Fasar (€)]]/Tabelle3[[#This Row],[DSK Fasar (Backer)]]</f>
        <v>180.84172661870502</v>
      </c>
      <c r="K19" s="3">
        <v>57658</v>
      </c>
      <c r="L19" s="3">
        <v>330</v>
      </c>
      <c r="M19" s="20">
        <f>Tabelle3[[#This Row],[Mythen (€)]]/Tabelle3[[#This Row],[Mythen (Backer)]]</f>
        <v>174.72121212121212</v>
      </c>
      <c r="N19" s="3">
        <v>176629</v>
      </c>
      <c r="O19" s="3">
        <v>1232</v>
      </c>
      <c r="P19" s="20">
        <f>Tabelle3[[#This Row],[SOK (€)]]/Tabelle3[[#This Row],[SOK (Backer)]]</f>
        <v>143.36769480519482</v>
      </c>
      <c r="Q19" s="3">
        <v>240791</v>
      </c>
      <c r="R19" s="3">
        <v>1060</v>
      </c>
      <c r="S19" s="20">
        <f>Tabelle3[[#This Row],[RE (€)]]/Tabelle3[[#This Row],[RE (Backer)]]</f>
        <v>227.16132075471697</v>
      </c>
      <c r="T19" s="3">
        <v>155980</v>
      </c>
      <c r="U19" s="3">
        <v>650</v>
      </c>
      <c r="V19" s="20">
        <f>Tabelle3[[#This Row],[DGG (€)]]/Tabelle3[[#This Row],[DGG (Backer)]]</f>
        <v>239.96923076923076</v>
      </c>
      <c r="W19" s="3">
        <v>71648</v>
      </c>
      <c r="X19" s="3">
        <v>395</v>
      </c>
      <c r="Y19" s="20">
        <f>Tabelle3[[#This Row],[DSK SV (€)]]/Tabelle3[[#This Row],[DSK SV (Backer)]]</f>
        <v>181.3873417721519</v>
      </c>
      <c r="Z19" s="3">
        <v>232641</v>
      </c>
      <c r="AA19" s="3">
        <v>1207</v>
      </c>
      <c r="AB19" s="20">
        <f>Tabelle3[[#This Row],[WW (€)]]/Tabelle3[[#This Row],[WW (Backer)]]</f>
        <v>192.74316487158242</v>
      </c>
      <c r="AC19" s="3">
        <v>21426</v>
      </c>
      <c r="AD19" s="3">
        <v>159</v>
      </c>
      <c r="AE19" s="20">
        <f>Tabelle3[[#This Row],[DSK R (€)]]/Tabelle3[[#This Row],[DSK R (Backer)]]</f>
        <v>134.75471698113208</v>
      </c>
      <c r="AF19" s="3">
        <v>148846</v>
      </c>
      <c r="AG19" s="3">
        <v>696</v>
      </c>
      <c r="AH19" s="20">
        <f>Tabelle3[[#This Row],[Ära (€)]]/Tabelle3[[#This Row],[Ära (Backer)]]</f>
        <v>213.85919540229884</v>
      </c>
      <c r="AI19" s="3">
        <v>59064</v>
      </c>
      <c r="AJ19" s="3">
        <v>806</v>
      </c>
      <c r="AK19" s="20">
        <f>Tabelle3[[#This Row],[Mosaik (€)]]/Tabelle3[[#This Row],[Mosaik (Backer)]]</f>
        <v>73.280397022332508</v>
      </c>
      <c r="AL19" s="3">
        <v>43611</v>
      </c>
      <c r="AM19" s="3">
        <v>294</v>
      </c>
      <c r="AN19" s="20">
        <f>Tabelle3[[#This Row],[DSK ES (€)]]/Tabelle3[[#This Row],[DSK ES (Backer)]]</f>
        <v>148.33673469387756</v>
      </c>
      <c r="AO19" s="3">
        <v>204026</v>
      </c>
      <c r="AP19" s="3">
        <v>966</v>
      </c>
      <c r="AQ19" s="20">
        <f>Tabelle3[[#This Row],[ES (€)]]/Tabelle3[[#This Row],[ES (Backer)]]</f>
        <v>211.20703933747413</v>
      </c>
      <c r="AR19" s="3">
        <v>253405.41</v>
      </c>
      <c r="AS19" s="3">
        <v>1115</v>
      </c>
      <c r="AT19" s="20">
        <f>Tabelle3[[#This Row],[WF (€)]]/Tabelle3[[#This Row],[WF(Backer)]]</f>
        <v>227.26942600896862</v>
      </c>
      <c r="AU19" s="3">
        <f>'Overview &amp; instructions'!AO65</f>
        <v>398145</v>
      </c>
      <c r="AV19" s="3">
        <f>'Overview &amp; instructions'!AP65</f>
        <v>1928</v>
      </c>
      <c r="AW19" s="20">
        <f>Tabelle3[[#This Row],[AKM (€)]]/Tabelle3[[#This Row],[AKM(Backer)]]</f>
        <v>206.50674273858922</v>
      </c>
      <c r="AY19">
        <f t="shared" si="73"/>
        <v>396152.23118642747</v>
      </c>
      <c r="AZ19">
        <f>Tabelle3[[#This Row],[WF (€)]]/$AR$6</f>
        <v>2.1597111503403861</v>
      </c>
      <c r="BH19" s="172" t="s">
        <v>119</v>
      </c>
      <c r="BI19" s="6"/>
      <c r="BJ19" s="6"/>
      <c r="BK19" s="21"/>
      <c r="BL19" s="6"/>
      <c r="BM19" s="6"/>
      <c r="BN19" s="21"/>
      <c r="BO19" s="3"/>
      <c r="BP19" s="3"/>
      <c r="BQ19" s="21"/>
      <c r="BR19" s="3"/>
      <c r="BS19" s="3"/>
      <c r="BT19" s="21"/>
      <c r="BV19" s="172" t="s">
        <v>119</v>
      </c>
      <c r="BW19" s="14">
        <f t="shared" si="51"/>
        <v>1.3496420617065752</v>
      </c>
      <c r="BX19" s="14">
        <f t="shared" si="2"/>
        <v>1.3506493506493507</v>
      </c>
      <c r="BY19" s="271">
        <f t="shared" si="52"/>
        <v>1.8333458634503645</v>
      </c>
      <c r="BZ19" s="271">
        <f t="shared" si="3"/>
        <v>1.8759305210918114</v>
      </c>
      <c r="CA19" s="271">
        <f t="shared" si="53"/>
        <v>1.5449661525390352</v>
      </c>
      <c r="CB19" s="271">
        <f t="shared" si="4"/>
        <v>1.5481328983733396</v>
      </c>
      <c r="CC19" s="271">
        <f t="shared" si="54"/>
        <v>0.48370380174378935</v>
      </c>
      <c r="CD19" s="271">
        <f t="shared" si="5"/>
        <v>0.5252811704424607</v>
      </c>
      <c r="CE19" s="15">
        <f t="shared" si="6"/>
        <v>1.6176279805920968</v>
      </c>
      <c r="CF19" s="7">
        <f t="shared" si="7"/>
        <v>1.6926829268292682</v>
      </c>
      <c r="CG19" s="10">
        <f t="shared" si="8"/>
        <v>1.8333458634503645</v>
      </c>
      <c r="CH19" s="11">
        <f t="shared" si="9"/>
        <v>1.8759305210918114</v>
      </c>
      <c r="CI19" s="10">
        <f t="shared" si="10"/>
        <v>1.6402646828711991</v>
      </c>
      <c r="CJ19" s="25">
        <f t="shared" si="11"/>
        <v>1.5779376498800959</v>
      </c>
      <c r="CK19" s="10">
        <f t="shared" si="12"/>
        <v>1.5607721391654237</v>
      </c>
      <c r="CL19" s="25">
        <f t="shared" si="13"/>
        <v>1.5060606060606061</v>
      </c>
      <c r="CM19" s="10">
        <f t="shared" si="14"/>
        <v>1.3535546257975757</v>
      </c>
      <c r="CN19" s="25">
        <f t="shared" si="15"/>
        <v>1.3506493506493507</v>
      </c>
      <c r="CO19" s="10">
        <f t="shared" si="16"/>
        <v>1.6217674248622249</v>
      </c>
      <c r="CP19" s="25">
        <f t="shared" si="17"/>
        <v>1.5641509433962264</v>
      </c>
      <c r="CQ19" s="10">
        <f t="shared" si="18"/>
        <v>1.4837158610078216</v>
      </c>
      <c r="CR19" s="25">
        <f t="shared" si="19"/>
        <v>1.5</v>
      </c>
      <c r="CS19" s="10">
        <f t="shared" si="20"/>
        <v>1.6066463823135329</v>
      </c>
      <c r="CT19" s="25">
        <f t="shared" si="21"/>
        <v>1.6329113924050633</v>
      </c>
      <c r="CU19" s="10">
        <f t="shared" si="22"/>
        <v>1.3945736134215378</v>
      </c>
      <c r="CV19" s="25">
        <f t="shared" si="23"/>
        <v>1.391880695940348</v>
      </c>
      <c r="CW19" s="10">
        <f t="shared" si="24"/>
        <v>1.6917763464949127</v>
      </c>
      <c r="CX19" s="25">
        <f t="shared" si="25"/>
        <v>1.6918238993710693</v>
      </c>
      <c r="CY19" s="10">
        <f t="shared" si="26"/>
        <v>1.6743412654690082</v>
      </c>
      <c r="CZ19" s="25">
        <f t="shared" si="27"/>
        <v>1.632183908045977</v>
      </c>
      <c r="DA19" s="10">
        <f t="shared" si="28"/>
        <v>1.4229818501963971</v>
      </c>
      <c r="DB19" s="25">
        <f t="shared" si="29"/>
        <v>1.435483870967742</v>
      </c>
      <c r="DC19" s="10">
        <f t="shared" si="92"/>
        <v>1.4360367797115408</v>
      </c>
      <c r="DD19" s="25">
        <f t="shared" si="93"/>
        <v>1.4455782312925169</v>
      </c>
      <c r="DE19" s="10">
        <f t="shared" si="30"/>
        <v>1.5078911511277975</v>
      </c>
      <c r="DF19" s="25">
        <f t="shared" si="31"/>
        <v>1.5196687370600415</v>
      </c>
      <c r="DG19" s="10">
        <f t="shared" si="32"/>
        <v>1.3496420617065752</v>
      </c>
      <c r="DH19" s="25">
        <f t="shared" si="33"/>
        <v>1.3865470852017938</v>
      </c>
      <c r="DI19" s="16"/>
      <c r="DJ19" s="18">
        <f t="shared" si="34"/>
        <v>-7.505494623717146E-2</v>
      </c>
      <c r="DK19" s="26"/>
      <c r="DL19" s="27">
        <f t="shared" si="35"/>
        <v>-4.258465764144681E-2</v>
      </c>
      <c r="DM19" s="19"/>
      <c r="DN19" s="17">
        <f t="shared" si="36"/>
        <v>6.2327032991103204E-2</v>
      </c>
      <c r="DO19" s="19"/>
      <c r="DP19" s="17">
        <f t="shared" si="37"/>
        <v>5.4711533104817578E-2</v>
      </c>
      <c r="DQ19" s="19"/>
      <c r="DR19" s="17">
        <f t="shared" si="38"/>
        <v>2.9052751482250283E-3</v>
      </c>
      <c r="DS19" s="19"/>
      <c r="DT19" s="17">
        <f t="shared" si="39"/>
        <v>5.7616481465998515E-2</v>
      </c>
      <c r="DU19" s="19"/>
      <c r="DV19" s="17">
        <f t="shared" si="40"/>
        <v>-1.6284138992178399E-2</v>
      </c>
      <c r="DW19" s="19"/>
      <c r="DX19" s="17">
        <f t="shared" si="41"/>
        <v>-2.6265010091530483E-2</v>
      </c>
      <c r="DY19" s="19"/>
      <c r="DZ19" s="17">
        <f t="shared" si="42"/>
        <v>2.6929174811898271E-3</v>
      </c>
      <c r="EA19" s="19"/>
      <c r="EB19" s="17">
        <f t="shared" si="43"/>
        <v>-4.7552876156542467E-5</v>
      </c>
      <c r="EC19" s="19"/>
      <c r="ED19" s="17">
        <f t="shared" si="44"/>
        <v>4.2157357423031172E-2</v>
      </c>
      <c r="EE19" s="19"/>
      <c r="EF19" s="17">
        <f t="shared" si="45"/>
        <v>-1.2502020771344879E-2</v>
      </c>
      <c r="EG19" s="19"/>
      <c r="EH19" s="17">
        <f t="shared" si="46"/>
        <v>-9.5414515809761902E-3</v>
      </c>
      <c r="EI19" s="19"/>
      <c r="EJ19" s="17">
        <f t="shared" si="47"/>
        <v>-1.1777585932243984E-2</v>
      </c>
      <c r="EK19" s="19"/>
      <c r="EL19" s="17">
        <f t="shared" si="48"/>
        <v>-3.6905023495218625E-2</v>
      </c>
    </row>
    <row r="20" spans="1:142" ht="15.75" hidden="1" outlineLevel="1" thickBot="1" x14ac:dyDescent="0.3">
      <c r="A20" s="12">
        <v>15</v>
      </c>
      <c r="B20" s="3">
        <v>40401</v>
      </c>
      <c r="C20" s="3">
        <v>214</v>
      </c>
      <c r="D20" s="20">
        <f>IFERROR(Tabelle3[[#This Row],[Ned (€)]]/Tabelle3[[#This Row],[Ned (Backer)]],"")</f>
        <v>188.78971962616822</v>
      </c>
      <c r="E20" s="3">
        <v>97466</v>
      </c>
      <c r="F20" s="3">
        <v>422</v>
      </c>
      <c r="G20" s="20">
        <f>Tabelle3[[#This Row],[Werkzeuge (€)]]/Tabelle3[[#This Row],[Werkzeuge (Backer)]]</f>
        <v>230.96208530805688</v>
      </c>
      <c r="H20" s="3">
        <v>77016</v>
      </c>
      <c r="I20" s="3">
        <v>427</v>
      </c>
      <c r="J20" s="20">
        <f>Tabelle3[[#This Row],[DSK Fasar (€)]]/Tabelle3[[#This Row],[DSK Fasar (Backer)]]</f>
        <v>180.36533957845432</v>
      </c>
      <c r="K20" s="3">
        <v>59154</v>
      </c>
      <c r="L20" s="3">
        <v>337</v>
      </c>
      <c r="M20" s="20">
        <f>Tabelle3[[#This Row],[Mythen (€)]]/Tabelle3[[#This Row],[Mythen (Backer)]]</f>
        <v>175.53115727002967</v>
      </c>
      <c r="N20" s="3">
        <v>188273</v>
      </c>
      <c r="O20" s="3">
        <v>1313</v>
      </c>
      <c r="P20" s="20">
        <f>Tabelle3[[#This Row],[SOK (€)]]/Tabelle3[[#This Row],[SOK (Backer)]]</f>
        <v>143.39146991622241</v>
      </c>
      <c r="Q20" s="3">
        <v>249000</v>
      </c>
      <c r="R20" s="3">
        <v>1096</v>
      </c>
      <c r="S20" s="20">
        <f>Tabelle3[[#This Row],[RE (€)]]/Tabelle3[[#This Row],[RE (Backer)]]</f>
        <v>227.1897810218978</v>
      </c>
      <c r="T20" s="3">
        <v>165152</v>
      </c>
      <c r="U20" s="3">
        <v>690</v>
      </c>
      <c r="V20" s="20">
        <f>Tabelle3[[#This Row],[DGG (€)]]/Tabelle3[[#This Row],[DGG (Backer)]]</f>
        <v>239.35072463768117</v>
      </c>
      <c r="W20" s="3">
        <v>75191</v>
      </c>
      <c r="X20" s="3">
        <v>415</v>
      </c>
      <c r="Y20" s="20">
        <f>Tabelle3[[#This Row],[DSK SV (€)]]/Tabelle3[[#This Row],[DSK SV (Backer)]]</f>
        <v>181.18313253012047</v>
      </c>
      <c r="Z20" s="3">
        <v>242719</v>
      </c>
      <c r="AA20" s="3">
        <v>1257</v>
      </c>
      <c r="AB20" s="391">
        <f>Tabelle3[[#This Row],[WW (€)]]/Tabelle3[[#This Row],[WW (Backer)]]</f>
        <v>193.09387430389816</v>
      </c>
      <c r="AC20" s="3">
        <v>22523</v>
      </c>
      <c r="AD20" s="3">
        <v>164</v>
      </c>
      <c r="AE20" s="20">
        <f>Tabelle3[[#This Row],[DSK R (€)]]/Tabelle3[[#This Row],[DSK R (Backer)]]</f>
        <v>137.33536585365854</v>
      </c>
      <c r="AF20" s="3">
        <v>159815</v>
      </c>
      <c r="AG20" s="3">
        <v>727</v>
      </c>
      <c r="AH20" s="391">
        <f>Tabelle3[[#This Row],[Ära (€)]]/Tabelle3[[#This Row],[Ära (Backer)]]</f>
        <v>219.82806052269601</v>
      </c>
      <c r="AI20" s="3">
        <v>60362</v>
      </c>
      <c r="AJ20" s="3">
        <v>825</v>
      </c>
      <c r="AK20" s="20">
        <f>Tabelle3[[#This Row],[Mosaik (€)]]/Tabelle3[[#This Row],[Mosaik (Backer)]]</f>
        <v>73.166060606060611</v>
      </c>
      <c r="AL20" s="3">
        <v>45951</v>
      </c>
      <c r="AM20" s="3">
        <v>308</v>
      </c>
      <c r="AN20" s="20">
        <f>Tabelle3[[#This Row],[DSK ES (€)]]/Tabelle3[[#This Row],[DSK ES (Backer)]]</f>
        <v>149.19155844155844</v>
      </c>
      <c r="AO20" s="3">
        <v>214753</v>
      </c>
      <c r="AP20" s="3">
        <v>1013</v>
      </c>
      <c r="AQ20" s="20">
        <f>Tabelle3[[#This Row],[ES (€)]]/Tabelle3[[#This Row],[ES (Backer)]]</f>
        <v>211.99703849950643</v>
      </c>
      <c r="AR20" s="3">
        <v>264609.71999999997</v>
      </c>
      <c r="AS20" s="3">
        <v>1170</v>
      </c>
      <c r="AT20" s="20">
        <f>Tabelle3[[#This Row],[WF (€)]]/Tabelle3[[#This Row],[WF(Backer)]]</f>
        <v>226.16215384615381</v>
      </c>
      <c r="AU20" s="3">
        <f>'Overview &amp; instructions'!AO66</f>
        <v>412178</v>
      </c>
      <c r="AV20" s="3">
        <f>'Overview &amp; instructions'!AP66</f>
        <v>1974</v>
      </c>
      <c r="AW20" s="20">
        <f>Tabelle3[[#This Row],[AKM (€)]]/Tabelle3[[#This Row],[AKM(Backer)]]</f>
        <v>208.80344478216819</v>
      </c>
      <c r="AY20">
        <f t="shared" si="73"/>
        <v>413668.08613760781</v>
      </c>
      <c r="AZ20">
        <f>Tabelle3[[#This Row],[WF (€)]]/$AR$6</f>
        <v>2.2552026918937815</v>
      </c>
      <c r="BG20" s="172"/>
      <c r="BH20" s="172" t="s">
        <v>120</v>
      </c>
      <c r="BI20" s="6"/>
      <c r="BJ20" s="6"/>
      <c r="BK20" s="21"/>
      <c r="BL20" s="6"/>
      <c r="BM20" s="6"/>
      <c r="BN20" s="21"/>
      <c r="BO20" s="3"/>
      <c r="BP20" s="3"/>
      <c r="BQ20" s="21"/>
      <c r="BR20" s="3"/>
      <c r="BS20" s="3"/>
      <c r="BT20" s="21"/>
      <c r="BU20" s="172"/>
      <c r="BV20" s="172" t="s">
        <v>120</v>
      </c>
      <c r="BW20" s="14">
        <f t="shared" si="51"/>
        <v>1.2698421972348664</v>
      </c>
      <c r="BX20" s="14">
        <f t="shared" si="2"/>
        <v>1.2673267326732673</v>
      </c>
      <c r="BY20" s="271">
        <f t="shared" si="52"/>
        <v>1.751390228387335</v>
      </c>
      <c r="BZ20" s="271">
        <f t="shared" si="3"/>
        <v>1.7914691943127963</v>
      </c>
      <c r="CA20" s="271">
        <f t="shared" si="53"/>
        <v>1.4812170575159049</v>
      </c>
      <c r="CB20" s="271">
        <f t="shared" si="4"/>
        <v>1.4865998818943622</v>
      </c>
      <c r="CC20" s="271">
        <f t="shared" si="54"/>
        <v>0.48154803115246869</v>
      </c>
      <c r="CD20" s="271">
        <f t="shared" si="5"/>
        <v>0.52414246163952893</v>
      </c>
      <c r="CE20" s="15">
        <f t="shared" si="6"/>
        <v>1.5431548724041484</v>
      </c>
      <c r="CF20" s="7">
        <f t="shared" si="7"/>
        <v>1.6214953271028036</v>
      </c>
      <c r="CG20" s="10">
        <f t="shared" si="8"/>
        <v>1.751390228387335</v>
      </c>
      <c r="CH20" s="11">
        <f t="shared" si="9"/>
        <v>1.7914691943127963</v>
      </c>
      <c r="CI20" s="10">
        <f t="shared" si="10"/>
        <v>1.6060818531214294</v>
      </c>
      <c r="CJ20" s="25">
        <f t="shared" si="11"/>
        <v>1.540983606557377</v>
      </c>
      <c r="CK20" s="10">
        <f t="shared" si="12"/>
        <v>1.5213003347195455</v>
      </c>
      <c r="CL20" s="25">
        <f t="shared" si="13"/>
        <v>1.4747774480712166</v>
      </c>
      <c r="CM20" s="10">
        <f t="shared" si="14"/>
        <v>1.2698421972348664</v>
      </c>
      <c r="CN20" s="25">
        <f t="shared" si="15"/>
        <v>1.2673267326732673</v>
      </c>
      <c r="CO20" s="10">
        <f t="shared" si="16"/>
        <v>1.568301204819277</v>
      </c>
      <c r="CP20" s="25">
        <f t="shared" si="17"/>
        <v>1.5127737226277371</v>
      </c>
      <c r="CQ20" s="10">
        <f t="shared" si="18"/>
        <v>1.4013151521023057</v>
      </c>
      <c r="CR20" s="25">
        <f t="shared" si="19"/>
        <v>1.4130434782608696</v>
      </c>
      <c r="CS20" s="10">
        <f t="shared" si="20"/>
        <v>1.5309412030695162</v>
      </c>
      <c r="CT20" s="25">
        <f t="shared" si="21"/>
        <v>1.5542168674698795</v>
      </c>
      <c r="CU20" s="10">
        <f t="shared" si="22"/>
        <v>1.3366691523943326</v>
      </c>
      <c r="CV20" s="25">
        <f t="shared" si="23"/>
        <v>1.3365155131264916</v>
      </c>
      <c r="CW20" s="10">
        <f t="shared" si="24"/>
        <v>1.6093770812058785</v>
      </c>
      <c r="CX20" s="25">
        <f t="shared" si="25"/>
        <v>1.6402439024390243</v>
      </c>
      <c r="CY20" s="10">
        <f t="shared" si="26"/>
        <v>1.5594218314926633</v>
      </c>
      <c r="CZ20" s="25">
        <f t="shared" si="27"/>
        <v>1.5625859697386519</v>
      </c>
      <c r="DA20" s="10">
        <f t="shared" si="28"/>
        <v>1.3923826248301912</v>
      </c>
      <c r="DB20" s="25">
        <f t="shared" si="29"/>
        <v>1.4024242424242424</v>
      </c>
      <c r="DC20" s="10">
        <f t="shared" si="92"/>
        <v>1.3629083153794259</v>
      </c>
      <c r="DD20" s="25">
        <f t="shared" si="93"/>
        <v>1.3798701298701299</v>
      </c>
      <c r="DE20" s="10">
        <f t="shared" si="30"/>
        <v>1.4325713726932803</v>
      </c>
      <c r="DF20" s="25">
        <f t="shared" si="31"/>
        <v>1.4491609081934846</v>
      </c>
      <c r="DG20" s="10">
        <f t="shared" si="32"/>
        <v>1.2924944707246582</v>
      </c>
      <c r="DH20" s="25">
        <f t="shared" si="33"/>
        <v>1.3213675213675213</v>
      </c>
      <c r="DI20" s="16"/>
      <c r="DJ20" s="18">
        <f t="shared" si="34"/>
        <v>-7.8340454698655249E-2</v>
      </c>
      <c r="DK20" s="26"/>
      <c r="DL20" s="27">
        <f t="shared" si="35"/>
        <v>-4.007896592546123E-2</v>
      </c>
      <c r="DM20" s="19"/>
      <c r="DN20" s="17">
        <f t="shared" si="36"/>
        <v>6.5098246564052387E-2</v>
      </c>
      <c r="DO20" s="19"/>
      <c r="DP20" s="17">
        <f t="shared" si="37"/>
        <v>4.6522886648328932E-2</v>
      </c>
      <c r="DQ20" s="19"/>
      <c r="DR20" s="17">
        <f t="shared" si="38"/>
        <v>2.5154645615990123E-3</v>
      </c>
      <c r="DS20" s="19"/>
      <c r="DT20" s="17">
        <f t="shared" si="39"/>
        <v>5.5527482191539912E-2</v>
      </c>
      <c r="DU20" s="19"/>
      <c r="DV20" s="17">
        <f t="shared" si="40"/>
        <v>-1.1728326158563895E-2</v>
      </c>
      <c r="DW20" s="19"/>
      <c r="DX20" s="17">
        <f t="shared" si="41"/>
        <v>-2.3275664400363327E-2</v>
      </c>
      <c r="DY20" s="19"/>
      <c r="DZ20" s="17">
        <f t="shared" si="42"/>
        <v>1.5363926784095483E-4</v>
      </c>
      <c r="EA20" s="19"/>
      <c r="EB20" s="17">
        <f t="shared" si="43"/>
        <v>-3.0866821233145769E-2</v>
      </c>
      <c r="EC20" s="19"/>
      <c r="ED20" s="17">
        <f t="shared" si="44"/>
        <v>-3.1641382459886014E-3</v>
      </c>
      <c r="EE20" s="19"/>
      <c r="EF20" s="17">
        <f t="shared" si="45"/>
        <v>-1.00416175940512E-2</v>
      </c>
      <c r="EG20" s="19"/>
      <c r="EH20" s="17">
        <f t="shared" si="46"/>
        <v>-1.6961814490703997E-2</v>
      </c>
      <c r="EI20" s="19"/>
      <c r="EJ20" s="17">
        <f t="shared" si="47"/>
        <v>-1.6589535500204367E-2</v>
      </c>
      <c r="EK20" s="19"/>
      <c r="EL20" s="17">
        <f t="shared" si="48"/>
        <v>-2.8873050642863163E-2</v>
      </c>
    </row>
    <row r="21" spans="1:142" ht="15.75" hidden="1" outlineLevel="1" thickBot="1" x14ac:dyDescent="0.3">
      <c r="A21" s="12">
        <v>16</v>
      </c>
      <c r="B21" s="3">
        <v>42277</v>
      </c>
      <c r="C21" s="3">
        <v>224</v>
      </c>
      <c r="D21" s="20">
        <f>IFERROR(Tabelle3[[#This Row],[Ned (€)]]/Tabelle3[[#This Row],[Ned (Backer)]],"")</f>
        <v>188.73660714285714</v>
      </c>
      <c r="E21" s="3">
        <v>103452</v>
      </c>
      <c r="F21" s="3">
        <v>445</v>
      </c>
      <c r="G21" s="391">
        <f>Tabelle3[[#This Row],[Werkzeuge (€)]]/Tabelle3[[#This Row],[Werkzeuge (Backer)]]</f>
        <v>232.47640449438202</v>
      </c>
      <c r="H21" s="3">
        <v>80049</v>
      </c>
      <c r="I21" s="3">
        <v>444</v>
      </c>
      <c r="J21" s="20">
        <f>Tabelle3[[#This Row],[DSK Fasar (€)]]/Tabelle3[[#This Row],[DSK Fasar (Backer)]]</f>
        <v>180.29054054054055</v>
      </c>
      <c r="K21" s="3">
        <v>61842</v>
      </c>
      <c r="L21" s="3">
        <v>349</v>
      </c>
      <c r="M21" s="20">
        <f>Tabelle3[[#This Row],[Mythen (€)]]/Tabelle3[[#This Row],[Mythen (Backer)]]</f>
        <v>177.19770773638967</v>
      </c>
      <c r="N21" s="3">
        <v>193264</v>
      </c>
      <c r="O21" s="3">
        <v>1350</v>
      </c>
      <c r="P21" s="20">
        <f>Tabelle3[[#This Row],[SOK (€)]]/Tabelle3[[#This Row],[SOK (Backer)]]</f>
        <v>143.15851851851852</v>
      </c>
      <c r="Q21" s="3">
        <v>257666</v>
      </c>
      <c r="R21" s="3">
        <v>1134</v>
      </c>
      <c r="S21" s="20">
        <f>Tabelle3[[#This Row],[RE (€)]]/Tabelle3[[#This Row],[RE (Backer)]]</f>
        <v>227.21869488536154</v>
      </c>
      <c r="T21" s="3">
        <v>174081</v>
      </c>
      <c r="U21" s="3">
        <v>729</v>
      </c>
      <c r="V21" s="20">
        <f>Tabelle3[[#This Row],[DGG (€)]]/Tabelle3[[#This Row],[DGG (Backer)]]</f>
        <v>238.79423868312756</v>
      </c>
      <c r="W21" s="3">
        <v>78668</v>
      </c>
      <c r="X21" s="3">
        <v>438</v>
      </c>
      <c r="Y21" s="20">
        <f>Tabelle3[[#This Row],[DSK SV (€)]]/Tabelle3[[#This Row],[DSK SV (Backer)]]</f>
        <v>179.60730593607306</v>
      </c>
      <c r="Z21" s="3">
        <v>251181</v>
      </c>
      <c r="AA21" s="3">
        <v>1301</v>
      </c>
      <c r="AB21" s="20">
        <f>Tabelle3[[#This Row],[WW (€)]]/Tabelle3[[#This Row],[WW (Backer)]]</f>
        <v>193.06764027671022</v>
      </c>
      <c r="AC21" s="3">
        <v>23503</v>
      </c>
      <c r="AD21" s="3">
        <v>172</v>
      </c>
      <c r="AE21" s="20">
        <f>Tabelle3[[#This Row],[DSK R (€)]]/Tabelle3[[#This Row],[DSK R (Backer)]]</f>
        <v>136.6453488372093</v>
      </c>
      <c r="AF21" s="3">
        <v>167089</v>
      </c>
      <c r="AG21" s="3">
        <v>758</v>
      </c>
      <c r="AH21" s="20">
        <f>Tabelle3[[#This Row],[Ära (€)]]/Tabelle3[[#This Row],[Ära (Backer)]]</f>
        <v>220.43403693931398</v>
      </c>
      <c r="AI21" s="3">
        <v>61360</v>
      </c>
      <c r="AJ21" s="3">
        <v>836</v>
      </c>
      <c r="AK21" s="20">
        <f>Tabelle3[[#This Row],[Mosaik (€)]]/Tabelle3[[#This Row],[Mosaik (Backer)]]</f>
        <v>73.397129186602868</v>
      </c>
      <c r="AL21" s="3">
        <v>47979</v>
      </c>
      <c r="AM21" s="3">
        <v>319</v>
      </c>
      <c r="AN21" s="20">
        <f>Tabelle3[[#This Row],[DSK ES (€)]]/Tabelle3[[#This Row],[DSK ES (Backer)]]</f>
        <v>150.40438871473353</v>
      </c>
      <c r="AO21" s="3">
        <v>222938</v>
      </c>
      <c r="AP21" s="3">
        <v>1049</v>
      </c>
      <c r="AQ21" s="20">
        <f>Tabelle3[[#This Row],[ES (€)]]/Tabelle3[[#This Row],[ES (Backer)]]</f>
        <v>212.52430886558628</v>
      </c>
      <c r="AR21" s="3">
        <v>272847.35999999999</v>
      </c>
      <c r="AS21" s="3">
        <v>1216</v>
      </c>
      <c r="AT21" s="20">
        <f>Tabelle3[[#This Row],[WF (€)]]/Tabelle3[[#This Row],[WF(Backer)]]</f>
        <v>224.38105263157894</v>
      </c>
      <c r="AU21" s="3">
        <f>'Overview &amp; instructions'!AO67</f>
        <v>427537</v>
      </c>
      <c r="AV21" s="3">
        <f>'Overview &amp; instructions'!AP67</f>
        <v>2039</v>
      </c>
      <c r="AW21" s="20">
        <f>Tabelle3[[#This Row],[AKM (€)]]/Tabelle3[[#This Row],[AKM(Backer)]]</f>
        <v>209.679744973026</v>
      </c>
      <c r="AY21">
        <f t="shared" si="73"/>
        <v>426546.10427348956</v>
      </c>
      <c r="AZ21">
        <f>Tabelle3[[#This Row],[WF (€)]]/$AR$6</f>
        <v>2.3254100444538155</v>
      </c>
      <c r="BH21" s="172" t="s">
        <v>121</v>
      </c>
      <c r="BI21" s="6"/>
      <c r="BJ21" s="6"/>
      <c r="BK21" s="21"/>
      <c r="BL21" s="6"/>
      <c r="BM21" s="6"/>
      <c r="BN21" s="21"/>
      <c r="BO21" s="3"/>
      <c r="BP21" s="3"/>
      <c r="BQ21" s="21"/>
      <c r="BR21" s="3"/>
      <c r="BS21" s="3"/>
      <c r="BT21" s="21"/>
      <c r="BV21" s="172" t="s">
        <v>121</v>
      </c>
      <c r="BW21" s="14">
        <f t="shared" si="51"/>
        <v>1.2370488037089162</v>
      </c>
      <c r="BX21" s="14">
        <f t="shared" si="2"/>
        <v>1.2325925925925927</v>
      </c>
      <c r="BY21" s="271">
        <f t="shared" si="52"/>
        <v>1.6500502648571318</v>
      </c>
      <c r="BZ21" s="271">
        <f t="shared" si="3"/>
        <v>1.698876404494382</v>
      </c>
      <c r="CA21" s="271">
        <f t="shared" si="53"/>
        <v>1.4236573560951604</v>
      </c>
      <c r="CB21" s="271">
        <f t="shared" si="4"/>
        <v>1.4283698521088768</v>
      </c>
      <c r="CC21" s="271">
        <f t="shared" si="54"/>
        <v>0.41300146114821557</v>
      </c>
      <c r="CD21" s="271">
        <f t="shared" si="5"/>
        <v>0.46628381190178936</v>
      </c>
      <c r="CE21" s="15">
        <f t="shared" si="6"/>
        <v>1.4746789034226648</v>
      </c>
      <c r="CF21" s="7">
        <f t="shared" si="7"/>
        <v>1.5491071428571428</v>
      </c>
      <c r="CG21" s="10">
        <f t="shared" si="8"/>
        <v>1.6500502648571318</v>
      </c>
      <c r="CH21" s="11">
        <f t="shared" si="9"/>
        <v>1.698876404494382</v>
      </c>
      <c r="CI21" s="10">
        <f t="shared" si="10"/>
        <v>1.5452285475146472</v>
      </c>
      <c r="CJ21" s="25">
        <f t="shared" si="11"/>
        <v>1.4819819819819819</v>
      </c>
      <c r="CK21" s="10">
        <f t="shared" si="12"/>
        <v>1.4551760939167555</v>
      </c>
      <c r="CL21" s="25">
        <f t="shared" si="13"/>
        <v>1.4240687679083095</v>
      </c>
      <c r="CM21" s="10">
        <f t="shared" si="14"/>
        <v>1.2370488037089162</v>
      </c>
      <c r="CN21" s="25">
        <f t="shared" si="15"/>
        <v>1.2325925925925927</v>
      </c>
      <c r="CO21" s="10">
        <f t="shared" si="16"/>
        <v>1.5155550208409336</v>
      </c>
      <c r="CP21" s="25">
        <f t="shared" si="17"/>
        <v>1.4620811287477955</v>
      </c>
      <c r="CQ21" s="10">
        <f t="shared" si="18"/>
        <v>1.3294385946771905</v>
      </c>
      <c r="CR21" s="25">
        <f t="shared" si="19"/>
        <v>1.3374485596707819</v>
      </c>
      <c r="CS21" s="10">
        <f t="shared" si="20"/>
        <v>1.4632760461687091</v>
      </c>
      <c r="CT21" s="25">
        <f t="shared" si="21"/>
        <v>1.4726027397260273</v>
      </c>
      <c r="CU21" s="10">
        <f t="shared" si="22"/>
        <v>1.291638300667646</v>
      </c>
      <c r="CV21" s="25">
        <f t="shared" si="23"/>
        <v>1.2913143735588009</v>
      </c>
      <c r="CW21" s="10">
        <f t="shared" si="24"/>
        <v>1.5422711994213505</v>
      </c>
      <c r="CX21" s="25">
        <f t="shared" si="25"/>
        <v>1.5639534883720929</v>
      </c>
      <c r="CY21" s="10">
        <f t="shared" si="26"/>
        <v>1.4915344516993938</v>
      </c>
      <c r="CZ21" s="25">
        <f t="shared" si="27"/>
        <v>1.4986807387862797</v>
      </c>
      <c r="DA21" s="10">
        <f t="shared" si="28"/>
        <v>1.3697359843546284</v>
      </c>
      <c r="DB21" s="25">
        <f t="shared" si="29"/>
        <v>1.3839712918660287</v>
      </c>
      <c r="DC21" s="10">
        <f t="shared" si="92"/>
        <v>1.3053002355197065</v>
      </c>
      <c r="DD21" s="25">
        <f t="shared" si="93"/>
        <v>1.3322884012539185</v>
      </c>
      <c r="DE21" s="10">
        <f t="shared" si="30"/>
        <v>1.3799755985969193</v>
      </c>
      <c r="DF21" s="25">
        <f t="shared" si="31"/>
        <v>1.3994280266920878</v>
      </c>
      <c r="DG21" s="10">
        <f t="shared" si="32"/>
        <v>1.2534722710895938</v>
      </c>
      <c r="DH21" s="25">
        <f t="shared" si="33"/>
        <v>1.2713815789473684</v>
      </c>
      <c r="DI21" s="16"/>
      <c r="DJ21" s="18">
        <f t="shared" si="34"/>
        <v>-7.4428239434477961E-2</v>
      </c>
      <c r="DK21" s="26"/>
      <c r="DL21" s="27">
        <f t="shared" si="35"/>
        <v>-4.8826139637250243E-2</v>
      </c>
      <c r="DM21" s="19"/>
      <c r="DN21" s="17">
        <f t="shared" si="36"/>
        <v>6.3246565532665278E-2</v>
      </c>
      <c r="DO21" s="19"/>
      <c r="DP21" s="17">
        <f t="shared" si="37"/>
        <v>3.1107326008446012E-2</v>
      </c>
      <c r="DQ21" s="19"/>
      <c r="DR21" s="17">
        <f t="shared" si="38"/>
        <v>4.4562111163235496E-3</v>
      </c>
      <c r="DS21" s="19"/>
      <c r="DT21" s="17">
        <f t="shared" si="39"/>
        <v>5.3473892093138131E-2</v>
      </c>
      <c r="DU21" s="19"/>
      <c r="DV21" s="17">
        <f t="shared" si="40"/>
        <v>-8.0099649935914119E-3</v>
      </c>
      <c r="DW21" s="19"/>
      <c r="DX21" s="17">
        <f t="shared" si="41"/>
        <v>-9.3266935573181886E-3</v>
      </c>
      <c r="DY21" s="19"/>
      <c r="DZ21" s="17">
        <f t="shared" si="42"/>
        <v>3.2392710884510123E-4</v>
      </c>
      <c r="EA21" s="19"/>
      <c r="EB21" s="17">
        <f t="shared" si="43"/>
        <v>-2.1682288950742423E-2</v>
      </c>
      <c r="EC21" s="19"/>
      <c r="ED21" s="17">
        <f t="shared" si="44"/>
        <v>-7.1462870868859163E-3</v>
      </c>
      <c r="EE21" s="19"/>
      <c r="EF21" s="17">
        <f t="shared" si="45"/>
        <v>-1.4235307511400341E-2</v>
      </c>
      <c r="EG21" s="19"/>
      <c r="EH21" s="17">
        <f t="shared" si="46"/>
        <v>-2.6988165734211922E-2</v>
      </c>
      <c r="EI21" s="19"/>
      <c r="EJ21" s="17">
        <f t="shared" si="47"/>
        <v>-1.945242809516845E-2</v>
      </c>
      <c r="EK21" s="19"/>
      <c r="EL21" s="17">
        <f t="shared" si="48"/>
        <v>-1.7909307857774559E-2</v>
      </c>
    </row>
    <row r="22" spans="1:142" ht="15.75" hidden="1" outlineLevel="1" thickBot="1" x14ac:dyDescent="0.3">
      <c r="A22" s="12">
        <v>17</v>
      </c>
      <c r="B22" s="3">
        <v>44039</v>
      </c>
      <c r="C22" s="3">
        <v>233</v>
      </c>
      <c r="D22" s="20">
        <f>IFERROR(Tabelle3[[#This Row],[Ned (€)]]/Tabelle3[[#This Row],[Ned (Backer)]],"")</f>
        <v>189.00858369098714</v>
      </c>
      <c r="E22" s="8">
        <v>109547</v>
      </c>
      <c r="F22" s="8">
        <v>471</v>
      </c>
      <c r="G22" s="20">
        <f>Tabelle3[[#This Row],[Werkzeuge (€)]]/Tabelle3[[#This Row],[Werkzeuge (Backer)]]</f>
        <v>232.58386411889597</v>
      </c>
      <c r="H22" s="3">
        <v>86833</v>
      </c>
      <c r="I22" s="3">
        <v>487</v>
      </c>
      <c r="J22" s="20">
        <f>Tabelle3[[#This Row],[DSK Fasar (€)]]/Tabelle3[[#This Row],[DSK Fasar (Backer)]]</f>
        <v>178.30184804928132</v>
      </c>
      <c r="K22" s="3">
        <v>64258</v>
      </c>
      <c r="L22" s="3">
        <v>363</v>
      </c>
      <c r="M22" s="20">
        <f>Tabelle3[[#This Row],[Mythen (€)]]/Tabelle3[[#This Row],[Mythen (Backer)]]</f>
        <v>177.01928374655648</v>
      </c>
      <c r="N22" s="3">
        <v>198261</v>
      </c>
      <c r="O22" s="3">
        <v>1384</v>
      </c>
      <c r="P22" s="20">
        <f>Tabelle3[[#This Row],[SOK (€)]]/Tabelle3[[#This Row],[SOK (Backer)]]</f>
        <v>143.25216763005781</v>
      </c>
      <c r="Q22" s="3">
        <v>268894</v>
      </c>
      <c r="R22" s="3">
        <v>1160</v>
      </c>
      <c r="S22" s="391">
        <f>Tabelle3[[#This Row],[RE (€)]]/Tabelle3[[#This Row],[RE (Backer)]]</f>
        <v>231.80517241379312</v>
      </c>
      <c r="T22" s="3">
        <v>181054</v>
      </c>
      <c r="U22" s="3">
        <v>757</v>
      </c>
      <c r="V22" s="20">
        <f>Tabelle3[[#This Row],[DGG (€)]]/Tabelle3[[#This Row],[DGG (Backer)]]</f>
        <v>239.17305151915457</v>
      </c>
      <c r="W22" s="3">
        <v>83940</v>
      </c>
      <c r="X22" s="3">
        <v>471</v>
      </c>
      <c r="Y22" s="20">
        <f>Tabelle3[[#This Row],[DSK SV (€)]]/Tabelle3[[#This Row],[DSK SV (Backer)]]</f>
        <v>178.21656050955414</v>
      </c>
      <c r="Z22" s="3">
        <v>258252</v>
      </c>
      <c r="AA22" s="3">
        <v>1341</v>
      </c>
      <c r="AB22" s="20">
        <f>Tabelle3[[#This Row],[WW (€)]]/Tabelle3[[#This Row],[WW (Backer)]]</f>
        <v>192.58165548098435</v>
      </c>
      <c r="AC22" s="3">
        <v>23945</v>
      </c>
      <c r="AD22" s="3">
        <v>175</v>
      </c>
      <c r="AE22" s="20">
        <f>Tabelle3[[#This Row],[DSK R (€)]]/Tabelle3[[#This Row],[DSK R (Backer)]]</f>
        <v>136.82857142857142</v>
      </c>
      <c r="AF22" s="3">
        <v>174268</v>
      </c>
      <c r="AG22" s="3">
        <v>790</v>
      </c>
      <c r="AH22" s="20">
        <f>Tabelle3[[#This Row],[Ära (€)]]/Tabelle3[[#This Row],[Ära (Backer)]]</f>
        <v>220.59240506329115</v>
      </c>
      <c r="AI22" s="3">
        <v>63787</v>
      </c>
      <c r="AJ22" s="3">
        <v>865</v>
      </c>
      <c r="AK22" s="20">
        <f>Tabelle3[[#This Row],[Mosaik (€)]]/Tabelle3[[#This Row],[Mosaik (Backer)]]</f>
        <v>73.742196531791905</v>
      </c>
      <c r="AL22" s="3">
        <v>49387</v>
      </c>
      <c r="AM22" s="3">
        <v>329</v>
      </c>
      <c r="AN22" s="20">
        <f>Tabelle3[[#This Row],[DSK ES (€)]]/Tabelle3[[#This Row],[DSK ES (Backer)]]</f>
        <v>150.11246200607903</v>
      </c>
      <c r="AO22" s="3">
        <v>228929</v>
      </c>
      <c r="AP22" s="3">
        <v>1075</v>
      </c>
      <c r="AQ22" s="20">
        <f>Tabelle3[[#This Row],[ES (€)]]/Tabelle3[[#This Row],[ES (Backer)]]</f>
        <v>212.95720930232559</v>
      </c>
      <c r="AR22" s="3">
        <v>281181.88</v>
      </c>
      <c r="AS22" s="3">
        <v>1256</v>
      </c>
      <c r="AT22" s="20">
        <f>Tabelle3[[#This Row],[WF (€)]]/Tabelle3[[#This Row],[WF(Backer)]]</f>
        <v>223.87092356687899</v>
      </c>
      <c r="AU22" s="3">
        <f>'Overview &amp; instructions'!AO68</f>
        <v>439430</v>
      </c>
      <c r="AV22" s="3">
        <f>'Overview &amp; instructions'!AP68</f>
        <v>2089</v>
      </c>
      <c r="AW22" s="20">
        <f>Tabelle3[[#This Row],[AKM (€)]]/Tabelle3[[#This Row],[AKM(Backer)]]</f>
        <v>210.35423647678314</v>
      </c>
      <c r="AY22">
        <f t="shared" si="73"/>
        <v>439575.57627200737</v>
      </c>
      <c r="AZ22">
        <f>Tabelle3[[#This Row],[WF (€)]]/$AR$6</f>
        <v>2.3964430811073543</v>
      </c>
      <c r="BH22" s="172" t="s">
        <v>122</v>
      </c>
      <c r="BI22" s="6"/>
      <c r="BJ22" s="6"/>
      <c r="BK22" s="21"/>
      <c r="BL22" s="6"/>
      <c r="BM22" s="6"/>
      <c r="BN22" s="21"/>
      <c r="BO22" s="3"/>
      <c r="BP22" s="3"/>
      <c r="BQ22" s="21"/>
      <c r="BR22" s="3"/>
      <c r="BS22" s="3"/>
      <c r="BT22" s="21"/>
      <c r="BV22" s="172" t="s">
        <v>122</v>
      </c>
      <c r="BW22" s="14">
        <f t="shared" si="51"/>
        <v>1.2058700399977806</v>
      </c>
      <c r="BX22" s="14">
        <f t="shared" si="2"/>
        <v>1.2023121387283238</v>
      </c>
      <c r="BY22" s="271">
        <f t="shared" si="52"/>
        <v>1.5582444065104475</v>
      </c>
      <c r="BZ22" s="271">
        <f t="shared" si="3"/>
        <v>1.605095541401274</v>
      </c>
      <c r="CA22" s="271">
        <f t="shared" si="53"/>
        <v>1.3657319876611991</v>
      </c>
      <c r="CB22" s="271">
        <f t="shared" si="4"/>
        <v>1.371358003297338</v>
      </c>
      <c r="CC22" s="271">
        <f t="shared" si="54"/>
        <v>0.35237436651266685</v>
      </c>
      <c r="CD22" s="271">
        <f t="shared" si="5"/>
        <v>0.40278340267295021</v>
      </c>
      <c r="CE22" s="15">
        <f t="shared" si="6"/>
        <v>1.415677013556166</v>
      </c>
      <c r="CF22" s="7">
        <f t="shared" si="7"/>
        <v>1.4892703862660943</v>
      </c>
      <c r="CG22" s="10">
        <f t="shared" si="8"/>
        <v>1.5582444065104475</v>
      </c>
      <c r="CH22" s="11">
        <f t="shared" si="9"/>
        <v>1.605095541401274</v>
      </c>
      <c r="CI22" s="10">
        <f t="shared" si="10"/>
        <v>1.4245045086545438</v>
      </c>
      <c r="CJ22" s="25">
        <f t="shared" si="11"/>
        <v>1.3511293634496919</v>
      </c>
      <c r="CK22" s="10">
        <f t="shared" si="12"/>
        <v>1.4004637554856982</v>
      </c>
      <c r="CL22" s="25">
        <f t="shared" si="13"/>
        <v>1.3691460055096418</v>
      </c>
      <c r="CM22" s="10">
        <f t="shared" si="14"/>
        <v>1.2058700399977806</v>
      </c>
      <c r="CN22" s="25">
        <f t="shared" si="15"/>
        <v>1.2023121387283238</v>
      </c>
      <c r="CO22" s="10">
        <f t="shared" si="16"/>
        <v>1.4522711551763892</v>
      </c>
      <c r="CP22" s="25">
        <f t="shared" si="17"/>
        <v>1.4293103448275861</v>
      </c>
      <c r="CQ22" s="10">
        <f t="shared" si="18"/>
        <v>1.2782374319263865</v>
      </c>
      <c r="CR22" s="25">
        <f t="shared" si="19"/>
        <v>1.2879788639365919</v>
      </c>
      <c r="CS22" s="10">
        <f t="shared" si="20"/>
        <v>1.371372408863474</v>
      </c>
      <c r="CT22" s="25">
        <f t="shared" si="21"/>
        <v>1.3694267515923566</v>
      </c>
      <c r="CU22" s="10">
        <f t="shared" si="22"/>
        <v>1.2562729427071233</v>
      </c>
      <c r="CV22" s="25">
        <f t="shared" si="23"/>
        <v>1.2527964205816555</v>
      </c>
      <c r="CW22" s="10">
        <f t="shared" si="24"/>
        <v>1.5138024639799541</v>
      </c>
      <c r="CX22" s="25">
        <f t="shared" si="25"/>
        <v>1.5371428571428571</v>
      </c>
      <c r="CY22" s="10">
        <f t="shared" si="26"/>
        <v>1.4300904354213051</v>
      </c>
      <c r="CZ22" s="25">
        <f t="shared" si="27"/>
        <v>1.4379746835443037</v>
      </c>
      <c r="DA22" s="10">
        <f t="shared" si="28"/>
        <v>1.3176195776568893</v>
      </c>
      <c r="DB22" s="25">
        <f t="shared" si="29"/>
        <v>1.3375722543352602</v>
      </c>
      <c r="DC22" s="10">
        <f t="shared" si="92"/>
        <v>1.2680867434750036</v>
      </c>
      <c r="DD22" s="25">
        <f t="shared" si="93"/>
        <v>1.2917933130699089</v>
      </c>
      <c r="DE22" s="10">
        <f t="shared" si="30"/>
        <v>1.3438620707730344</v>
      </c>
      <c r="DF22" s="25">
        <f t="shared" si="31"/>
        <v>1.3655813953488372</v>
      </c>
      <c r="DG22" s="10">
        <f t="shared" si="32"/>
        <v>1.2163180643076998</v>
      </c>
      <c r="DH22" s="25">
        <f t="shared" si="33"/>
        <v>1.2308917197452229</v>
      </c>
      <c r="DI22" s="16"/>
      <c r="DJ22" s="18">
        <f t="shared" si="34"/>
        <v>-7.3593372709928273E-2</v>
      </c>
      <c r="DK22" s="26"/>
      <c r="DL22" s="27">
        <f t="shared" si="35"/>
        <v>-4.6851134890826485E-2</v>
      </c>
      <c r="DM22" s="19"/>
      <c r="DN22" s="17">
        <f t="shared" si="36"/>
        <v>7.3375145204851888E-2</v>
      </c>
      <c r="DO22" s="19"/>
      <c r="DP22" s="17">
        <f t="shared" si="37"/>
        <v>3.1317749976056408E-2</v>
      </c>
      <c r="DQ22" s="19"/>
      <c r="DR22" s="17">
        <f t="shared" si="38"/>
        <v>3.5579012694568757E-3</v>
      </c>
      <c r="DS22" s="19"/>
      <c r="DT22" s="17">
        <f t="shared" si="39"/>
        <v>2.296081034880304E-2</v>
      </c>
      <c r="DU22" s="19"/>
      <c r="DV22" s="17">
        <f t="shared" si="40"/>
        <v>-9.7414320102053864E-3</v>
      </c>
      <c r="DW22" s="19"/>
      <c r="DX22" s="17">
        <f t="shared" si="41"/>
        <v>1.9456572711173958E-3</v>
      </c>
      <c r="DY22" s="19"/>
      <c r="DZ22" s="17">
        <f t="shared" si="42"/>
        <v>3.4765221254677847E-3</v>
      </c>
      <c r="EA22" s="19"/>
      <c r="EB22" s="17">
        <f t="shared" si="43"/>
        <v>-2.3340393162903039E-2</v>
      </c>
      <c r="EC22" s="19"/>
      <c r="ED22" s="17">
        <f t="shared" si="44"/>
        <v>-7.8842481229985939E-3</v>
      </c>
      <c r="EE22" s="19"/>
      <c r="EF22" s="17">
        <f t="shared" si="45"/>
        <v>-1.9952676678370862E-2</v>
      </c>
      <c r="EG22" s="19"/>
      <c r="EH22" s="17">
        <f t="shared" si="46"/>
        <v>-2.3706569594905247E-2</v>
      </c>
      <c r="EI22" s="19"/>
      <c r="EJ22" s="17">
        <f t="shared" si="47"/>
        <v>-2.1719324575802723E-2</v>
      </c>
      <c r="EK22" s="19"/>
      <c r="EL22" s="17">
        <f t="shared" si="48"/>
        <v>-1.4573655437523092E-2</v>
      </c>
    </row>
    <row r="23" spans="1:142" ht="15.75" hidden="1" outlineLevel="1" thickBot="1" x14ac:dyDescent="0.3">
      <c r="A23" s="12">
        <v>18</v>
      </c>
      <c r="B23" s="3">
        <v>46661</v>
      </c>
      <c r="C23" s="3">
        <v>250</v>
      </c>
      <c r="D23" s="20">
        <f>IFERROR(Tabelle3[[#This Row],[Ned (€)]]/Tabelle3[[#This Row],[Ned (Backer)]],"")</f>
        <v>186.64400000000001</v>
      </c>
      <c r="E23" s="8">
        <v>115420</v>
      </c>
      <c r="F23" s="8">
        <v>501</v>
      </c>
      <c r="G23" s="20">
        <f>Tabelle3[[#This Row],[Werkzeuge (€)]]/Tabelle3[[#This Row],[Werkzeuge (Backer)]]</f>
        <v>230.37924151696606</v>
      </c>
      <c r="H23" s="3">
        <v>91974</v>
      </c>
      <c r="I23" s="3">
        <v>514</v>
      </c>
      <c r="J23" s="20">
        <f>Tabelle3[[#This Row],[DSK Fasar (€)]]/Tabelle3[[#This Row],[DSK Fasar (Backer)]]</f>
        <v>178.93774319066148</v>
      </c>
      <c r="K23" s="3">
        <v>66749</v>
      </c>
      <c r="L23" s="3">
        <v>377</v>
      </c>
      <c r="M23" s="20">
        <f>Tabelle3[[#This Row],[Mythen (€)]]/Tabelle3[[#This Row],[Mythen (Backer)]]</f>
        <v>177.053050397878</v>
      </c>
      <c r="N23" s="3">
        <v>203119</v>
      </c>
      <c r="O23" s="3">
        <v>1419</v>
      </c>
      <c r="P23" s="20">
        <f>Tabelle3[[#This Row],[SOK (€)]]/Tabelle3[[#This Row],[SOK (Backer)]]</f>
        <v>143.14235377026074</v>
      </c>
      <c r="Q23" s="3">
        <v>280832</v>
      </c>
      <c r="R23" s="3">
        <v>1210</v>
      </c>
      <c r="S23" s="20">
        <f>Tabelle3[[#This Row],[RE (€)]]/Tabelle3[[#This Row],[RE (Backer)]]</f>
        <v>232.09256198347109</v>
      </c>
      <c r="T23" s="3">
        <v>187527</v>
      </c>
      <c r="U23" s="3">
        <v>781</v>
      </c>
      <c r="V23" s="391">
        <f>Tabelle3[[#This Row],[DGG (€)]]/Tabelle3[[#This Row],[DGG (Backer)]]</f>
        <v>240.11139564660692</v>
      </c>
      <c r="W23" s="3">
        <v>87091</v>
      </c>
      <c r="X23" s="3">
        <v>491</v>
      </c>
      <c r="Y23" s="20">
        <f>Tabelle3[[#This Row],[DSK SV (€)]]/Tabelle3[[#This Row],[DSK SV (Backer)]]</f>
        <v>177.37474541751527</v>
      </c>
      <c r="Z23" s="3">
        <v>267342</v>
      </c>
      <c r="AA23" s="3">
        <v>1386</v>
      </c>
      <c r="AB23" s="20">
        <f>Tabelle3[[#This Row],[WW (€)]]/Tabelle3[[#This Row],[WW (Backer)]]</f>
        <v>192.88744588744589</v>
      </c>
      <c r="AC23" s="3">
        <v>25263</v>
      </c>
      <c r="AD23" s="3">
        <v>186</v>
      </c>
      <c r="AE23" s="20">
        <f>Tabelle3[[#This Row],[DSK R (€)]]/Tabelle3[[#This Row],[DSK R (Backer)]]</f>
        <v>135.82258064516128</v>
      </c>
      <c r="AF23" s="3">
        <v>180234</v>
      </c>
      <c r="AG23" s="3">
        <v>821</v>
      </c>
      <c r="AH23" s="20">
        <f>Tabelle3[[#This Row],[Ära (€)]]/Tabelle3[[#This Row],[Ära (Backer)]]</f>
        <v>219.52984165651645</v>
      </c>
      <c r="AI23" s="3">
        <v>66341</v>
      </c>
      <c r="AJ23" s="3">
        <v>892</v>
      </c>
      <c r="AK23" s="20">
        <f>Tabelle3[[#This Row],[Mosaik (€)]]/Tabelle3[[#This Row],[Mosaik (Backer)]]</f>
        <v>74.373318385650222</v>
      </c>
      <c r="AL23" s="3">
        <v>51996</v>
      </c>
      <c r="AM23" s="3">
        <v>347</v>
      </c>
      <c r="AN23" s="20">
        <f>Tabelle3[[#This Row],[DSK ES (€)]]/Tabelle3[[#This Row],[DSK ES (Backer)]]</f>
        <v>149.84438040345822</v>
      </c>
      <c r="AO23" s="3">
        <v>237425</v>
      </c>
      <c r="AP23" s="3">
        <v>1113</v>
      </c>
      <c r="AQ23" s="20">
        <f>Tabelle3[[#This Row],[ES (€)]]/Tabelle3[[#This Row],[ES (Backer)]]</f>
        <v>213.31985624438454</v>
      </c>
      <c r="AR23" s="3">
        <v>290671.17</v>
      </c>
      <c r="AS23" s="3">
        <v>1296</v>
      </c>
      <c r="AT23" s="20">
        <f>Tabelle3[[#This Row],[WF (€)]]/Tabelle3[[#This Row],[WF(Backer)]]</f>
        <v>224.28331018518517</v>
      </c>
      <c r="AU23" s="3">
        <f>'Overview &amp; instructions'!AO69</f>
        <v>454034</v>
      </c>
      <c r="AV23" s="3">
        <f>'Overview &amp; instructions'!AP69</f>
        <v>2148</v>
      </c>
      <c r="AW23" s="20">
        <f>Tabelle3[[#This Row],[AKM (€)]]/Tabelle3[[#This Row],[AKM(Backer)]]</f>
        <v>211.37523277467412</v>
      </c>
      <c r="AY23">
        <f t="shared" si="73"/>
        <v>454410.31640590995</v>
      </c>
      <c r="AZ23">
        <f>Tabelle3[[#This Row],[WF (€)]]/$AR$6</f>
        <v>2.4773179346545358</v>
      </c>
      <c r="BH23" s="172" t="s">
        <v>123</v>
      </c>
      <c r="BI23" s="6"/>
      <c r="BJ23" s="6"/>
      <c r="BK23" s="21"/>
      <c r="BL23" s="6"/>
      <c r="BM23" s="6"/>
      <c r="BN23" s="21"/>
      <c r="BO23" s="3"/>
      <c r="BP23" s="3"/>
      <c r="BQ23" s="21"/>
      <c r="BR23" s="3"/>
      <c r="BS23" s="3"/>
      <c r="BT23" s="21"/>
      <c r="BV23" s="172" t="s">
        <v>123</v>
      </c>
      <c r="BW23" s="14">
        <f t="shared" si="51"/>
        <v>1.176609981650399</v>
      </c>
      <c r="BX23" s="14">
        <f t="shared" si="2"/>
        <v>1.1726568005637774</v>
      </c>
      <c r="BY23" s="271">
        <f t="shared" si="52"/>
        <v>1.4789551204297349</v>
      </c>
      <c r="BZ23" s="271">
        <f t="shared" si="3"/>
        <v>1.5089820359281436</v>
      </c>
      <c r="CA23" s="271">
        <f t="shared" si="53"/>
        <v>1.3091737415865585</v>
      </c>
      <c r="CB23" s="271">
        <f t="shared" si="4"/>
        <v>1.3128993760073402</v>
      </c>
      <c r="CC23" s="271">
        <f t="shared" si="54"/>
        <v>0.30234513877933589</v>
      </c>
      <c r="CD23" s="271">
        <f t="shared" si="5"/>
        <v>0.3363252353643662</v>
      </c>
      <c r="CE23" s="15">
        <f t="shared" si="6"/>
        <v>1.3361265296500289</v>
      </c>
      <c r="CF23" s="7">
        <f t="shared" si="7"/>
        <v>1.3879999999999999</v>
      </c>
      <c r="CG23" s="10">
        <f t="shared" si="8"/>
        <v>1.4789551204297349</v>
      </c>
      <c r="CH23" s="11">
        <f t="shared" si="9"/>
        <v>1.5089820359281436</v>
      </c>
      <c r="CI23" s="10">
        <f t="shared" si="10"/>
        <v>1.3448800748037488</v>
      </c>
      <c r="CJ23" s="25">
        <f t="shared" si="11"/>
        <v>1.2801556420233462</v>
      </c>
      <c r="CK23" s="10">
        <f t="shared" si="12"/>
        <v>1.3481999730333039</v>
      </c>
      <c r="CL23" s="25">
        <f t="shared" si="13"/>
        <v>1.3183023872679045</v>
      </c>
      <c r="CM23" s="10">
        <f t="shared" si="14"/>
        <v>1.1770292291710771</v>
      </c>
      <c r="CN23" s="25">
        <f t="shared" si="15"/>
        <v>1.1726568005637774</v>
      </c>
      <c r="CO23" s="10">
        <f t="shared" si="16"/>
        <v>1.390535978805834</v>
      </c>
      <c r="CP23" s="25">
        <f t="shared" si="17"/>
        <v>1.3702479338842974</v>
      </c>
      <c r="CQ23" s="10">
        <f t="shared" si="18"/>
        <v>1.2341156206839548</v>
      </c>
      <c r="CR23" s="25">
        <f t="shared" si="19"/>
        <v>1.2483994878361075</v>
      </c>
      <c r="CS23" s="10">
        <f t="shared" si="20"/>
        <v>1.3217554052657565</v>
      </c>
      <c r="CT23" s="25">
        <f t="shared" si="21"/>
        <v>1.3136456211812628</v>
      </c>
      <c r="CU23" s="10">
        <f t="shared" si="22"/>
        <v>1.2135579145813229</v>
      </c>
      <c r="CV23" s="25">
        <f t="shared" si="23"/>
        <v>1.2121212121212122</v>
      </c>
      <c r="CW23" s="10">
        <f t="shared" si="24"/>
        <v>1.4348256343268813</v>
      </c>
      <c r="CX23" s="25">
        <f t="shared" si="25"/>
        <v>1.446236559139785</v>
      </c>
      <c r="CY23" s="10">
        <f t="shared" si="26"/>
        <v>1.382752421851593</v>
      </c>
      <c r="CZ23" s="25">
        <f t="shared" si="27"/>
        <v>1.3836784409257004</v>
      </c>
      <c r="DA23" s="10">
        <f t="shared" si="28"/>
        <v>1.26689377609623</v>
      </c>
      <c r="DB23" s="25">
        <f t="shared" si="29"/>
        <v>1.297085201793722</v>
      </c>
      <c r="DC23" s="10">
        <f t="shared" si="92"/>
        <v>1.2044580352334795</v>
      </c>
      <c r="DD23" s="25">
        <f t="shared" si="93"/>
        <v>1.2247838616714697</v>
      </c>
      <c r="DE23" s="10">
        <f t="shared" si="30"/>
        <v>1.2957734021269876</v>
      </c>
      <c r="DF23" s="25">
        <f t="shared" si="31"/>
        <v>1.3189577717879604</v>
      </c>
      <c r="DG23" s="10">
        <f t="shared" si="32"/>
        <v>1.176609981650399</v>
      </c>
      <c r="DH23" s="25">
        <f t="shared" si="33"/>
        <v>1.1929012345679013</v>
      </c>
      <c r="DI23" s="16"/>
      <c r="DJ23" s="18">
        <f t="shared" si="34"/>
        <v>-5.1873470349971029E-2</v>
      </c>
      <c r="DK23" s="26"/>
      <c r="DL23" s="27">
        <f t="shared" si="35"/>
        <v>-3.0026915498408746E-2</v>
      </c>
      <c r="DM23" s="19"/>
      <c r="DN23" s="17">
        <f t="shared" si="36"/>
        <v>6.472443278040263E-2</v>
      </c>
      <c r="DO23" s="19"/>
      <c r="DP23" s="17">
        <f t="shared" si="37"/>
        <v>2.9897585765399359E-2</v>
      </c>
      <c r="DQ23" s="19"/>
      <c r="DR23" s="17">
        <f t="shared" si="38"/>
        <v>4.3724286072996943E-3</v>
      </c>
      <c r="DS23" s="19"/>
      <c r="DT23" s="17">
        <f t="shared" si="39"/>
        <v>2.0288044921536574E-2</v>
      </c>
      <c r="DU23" s="19"/>
      <c r="DV23" s="17">
        <f t="shared" si="40"/>
        <v>-1.4283867152152796E-2</v>
      </c>
      <c r="DW23" s="19"/>
      <c r="DX23" s="17">
        <f t="shared" si="41"/>
        <v>8.1097840844936986E-3</v>
      </c>
      <c r="DY23" s="19"/>
      <c r="DZ23" s="17">
        <f t="shared" si="42"/>
        <v>1.4367024601107392E-3</v>
      </c>
      <c r="EA23" s="19"/>
      <c r="EB23" s="17">
        <f t="shared" si="43"/>
        <v>-1.1410924812903733E-2</v>
      </c>
      <c r="EC23" s="19"/>
      <c r="ED23" s="17">
        <f t="shared" si="44"/>
        <v>-9.2601907410738704E-4</v>
      </c>
      <c r="EE23" s="19"/>
      <c r="EF23" s="17">
        <f t="shared" si="45"/>
        <v>-3.0191425697492003E-2</v>
      </c>
      <c r="EG23" s="19"/>
      <c r="EH23" s="17">
        <f t="shared" si="46"/>
        <v>-2.0325826437990191E-2</v>
      </c>
      <c r="EI23" s="19"/>
      <c r="EJ23" s="17">
        <f t="shared" si="47"/>
        <v>-2.3184369660972814E-2</v>
      </c>
      <c r="EK23" s="19"/>
      <c r="EL23" s="17">
        <f t="shared" si="48"/>
        <v>-1.629125291750233E-2</v>
      </c>
    </row>
    <row r="24" spans="1:142" ht="15.75" hidden="1" outlineLevel="1" thickBot="1" x14ac:dyDescent="0.3">
      <c r="A24" s="12">
        <v>19</v>
      </c>
      <c r="B24" s="3">
        <v>49576</v>
      </c>
      <c r="C24" s="3">
        <v>267</v>
      </c>
      <c r="D24" s="20">
        <f>IFERROR(Tabelle3[[#This Row],[Ned (€)]]/Tabelle3[[#This Row],[Ned (Backer)]],"")</f>
        <v>185.67790262172284</v>
      </c>
      <c r="E24" s="8">
        <v>123542</v>
      </c>
      <c r="F24" s="8">
        <v>537</v>
      </c>
      <c r="G24" s="20">
        <f>Tabelle3[[#This Row],[Werkzeuge (€)]]/Tabelle3[[#This Row],[Werkzeuge (Backer)]]</f>
        <v>230.05959031657355</v>
      </c>
      <c r="H24" s="3">
        <v>101170</v>
      </c>
      <c r="I24" s="3">
        <v>549</v>
      </c>
      <c r="J24" s="391">
        <f>Tabelle3[[#This Row],[DSK Fasar (€)]]/Tabelle3[[#This Row],[DSK Fasar (Backer)]]</f>
        <v>184.28051001821493</v>
      </c>
      <c r="K24" s="3">
        <v>71433</v>
      </c>
      <c r="L24" s="3">
        <v>401</v>
      </c>
      <c r="M24" s="20">
        <f>Tabelle3[[#This Row],[Mythen (€)]]/Tabelle3[[#This Row],[Mythen (Backer)]]</f>
        <v>178.13715710723193</v>
      </c>
      <c r="N24" s="3">
        <v>212186</v>
      </c>
      <c r="O24" s="3">
        <v>1483</v>
      </c>
      <c r="P24" s="20">
        <f>Tabelle3[[#This Row],[SOK (€)]]/Tabelle3[[#This Row],[SOK (Backer)]]</f>
        <v>143.07889413351316</v>
      </c>
      <c r="Q24" s="3">
        <v>299641</v>
      </c>
      <c r="R24" s="3">
        <v>1290</v>
      </c>
      <c r="S24" s="20">
        <f>Tabelle3[[#This Row],[RE (€)]]/Tabelle3[[#This Row],[RE (Backer)]]</f>
        <v>232.27984496124031</v>
      </c>
      <c r="T24" s="3">
        <v>197700</v>
      </c>
      <c r="U24" s="3">
        <v>827</v>
      </c>
      <c r="V24" s="20">
        <f>Tabelle3[[#This Row],[DGG (€)]]/Tabelle3[[#This Row],[DGG (Backer)]]</f>
        <v>239.05683192261185</v>
      </c>
      <c r="W24" s="3">
        <v>91598</v>
      </c>
      <c r="X24" s="3">
        <v>519</v>
      </c>
      <c r="Y24" s="20">
        <f>Tabelle3[[#This Row],[DSK SV (€)]]/Tabelle3[[#This Row],[DSK SV (Backer)]]</f>
        <v>176.48940269749519</v>
      </c>
      <c r="Z24" s="3">
        <v>279921</v>
      </c>
      <c r="AA24" s="3">
        <v>1454</v>
      </c>
      <c r="AB24" s="20">
        <f>Tabelle3[[#This Row],[WW (€)]]/Tabelle3[[#This Row],[WW (Backer)]]</f>
        <v>192.51788170563961</v>
      </c>
      <c r="AC24" s="3">
        <v>26708</v>
      </c>
      <c r="AD24" s="3">
        <v>198</v>
      </c>
      <c r="AE24" s="20">
        <f>Tabelle3[[#This Row],[DSK R (€)]]/Tabelle3[[#This Row],[DSK R (Backer)]]</f>
        <v>134.88888888888889</v>
      </c>
      <c r="AF24" s="3">
        <v>197561</v>
      </c>
      <c r="AG24" s="3">
        <v>900</v>
      </c>
      <c r="AH24" s="20">
        <f>Tabelle3[[#This Row],[Ära (€)]]/Tabelle3[[#This Row],[Ära (Backer)]]</f>
        <v>219.51222222222222</v>
      </c>
      <c r="AI24" s="3">
        <v>71736</v>
      </c>
      <c r="AJ24" s="3">
        <v>973</v>
      </c>
      <c r="AK24" s="20">
        <f>Tabelle3[[#This Row],[Mosaik (€)]]/Tabelle3[[#This Row],[Mosaik (Backer)]]</f>
        <v>73.726618705035975</v>
      </c>
      <c r="AL24" s="3">
        <v>55221</v>
      </c>
      <c r="AM24" s="3">
        <v>368</v>
      </c>
      <c r="AN24" s="20">
        <f>Tabelle3[[#This Row],[DSK ES (€)]]/Tabelle3[[#This Row],[DSK ES (Backer)]]</f>
        <v>150.05706521739131</v>
      </c>
      <c r="AO24" s="3">
        <v>252845</v>
      </c>
      <c r="AP24" s="3">
        <v>1192</v>
      </c>
      <c r="AQ24" s="20">
        <f>Tabelle3[[#This Row],[ES (€)]]/Tabelle3[[#This Row],[ES (Backer)]]</f>
        <v>212.11828859060404</v>
      </c>
      <c r="AR24" s="3">
        <v>300668.59000000003</v>
      </c>
      <c r="AS24" s="3">
        <v>1340</v>
      </c>
      <c r="AT24" s="20">
        <f>Tabelle3[[#This Row],[WF (€)]]/Tabelle3[[#This Row],[WF(Backer)]]</f>
        <v>224.37954477611942</v>
      </c>
      <c r="AU24" s="3">
        <f>'Overview &amp; instructions'!AO70</f>
        <v>470532</v>
      </c>
      <c r="AV24" s="3">
        <f>'Overview &amp; instructions'!AP70</f>
        <v>2221</v>
      </c>
      <c r="AW24" s="20">
        <f>Tabelle3[[#This Row],[AKM (€)]]/Tabelle3[[#This Row],[AKM(Backer)]]</f>
        <v>211.85592075641603</v>
      </c>
      <c r="AY24">
        <f t="shared" si="73"/>
        <v>470039.42329477961</v>
      </c>
      <c r="AZ24">
        <f>Tabelle3[[#This Row],[WF (€)]]/$AR$6</f>
        <v>2.5625234535447445</v>
      </c>
      <c r="BH24" s="172" t="s">
        <v>124</v>
      </c>
      <c r="BI24" s="6"/>
      <c r="BJ24" s="6"/>
      <c r="BK24" s="21"/>
      <c r="BL24" s="6"/>
      <c r="BM24" s="6"/>
      <c r="BN24" s="21"/>
      <c r="BO24" s="3"/>
      <c r="BP24" s="3"/>
      <c r="BQ24" s="21"/>
      <c r="BR24" s="3"/>
      <c r="BS24" s="3"/>
      <c r="BT24" s="21"/>
      <c r="BV24" s="172" t="s">
        <v>124</v>
      </c>
      <c r="BW24" s="14">
        <f t="shared" si="51"/>
        <v>1.1267331492181387</v>
      </c>
      <c r="BX24" s="14">
        <f t="shared" si="2"/>
        <v>1.1220498988536749</v>
      </c>
      <c r="BY24" s="271">
        <f t="shared" si="52"/>
        <v>1.3817244337957941</v>
      </c>
      <c r="BZ24" s="271">
        <f t="shared" si="3"/>
        <v>1.4078212290502794</v>
      </c>
      <c r="CA24" s="271">
        <f t="shared" si="53"/>
        <v>1.2323927279505449</v>
      </c>
      <c r="CB24" s="271">
        <f t="shared" si="4"/>
        <v>1.2356036038577569</v>
      </c>
      <c r="CC24" s="271">
        <f t="shared" si="54"/>
        <v>0.25499128457765541</v>
      </c>
      <c r="CD24" s="271">
        <f t="shared" si="5"/>
        <v>0.2857713301966045</v>
      </c>
      <c r="CE24" s="15">
        <f t="shared" si="6"/>
        <v>1.2575641439406164</v>
      </c>
      <c r="CF24" s="7">
        <f t="shared" si="7"/>
        <v>1.2996254681647941</v>
      </c>
      <c r="CG24" s="10">
        <f t="shared" si="8"/>
        <v>1.3817244337957941</v>
      </c>
      <c r="CH24" s="11">
        <f t="shared" si="9"/>
        <v>1.4078212290502794</v>
      </c>
      <c r="CI24" s="10">
        <f t="shared" si="10"/>
        <v>1.2226351685282197</v>
      </c>
      <c r="CJ24" s="25">
        <f t="shared" si="11"/>
        <v>1.1985428051001821</v>
      </c>
      <c r="CK24" s="10">
        <f t="shared" si="12"/>
        <v>1.2597958926546553</v>
      </c>
      <c r="CL24" s="25">
        <f t="shared" si="13"/>
        <v>1.2394014962593516</v>
      </c>
      <c r="CM24" s="10">
        <f t="shared" si="14"/>
        <v>1.1267331492181387</v>
      </c>
      <c r="CN24" s="25">
        <f t="shared" si="15"/>
        <v>1.1220498988536749</v>
      </c>
      <c r="CO24" s="10">
        <f t="shared" si="16"/>
        <v>1.3032495553011771</v>
      </c>
      <c r="CP24" s="25">
        <f t="shared" si="17"/>
        <v>1.2852713178294575</v>
      </c>
      <c r="CQ24" s="10">
        <f t="shared" si="18"/>
        <v>1.1706120384420839</v>
      </c>
      <c r="CR24" s="25">
        <f t="shared" si="19"/>
        <v>1.1789600967351874</v>
      </c>
      <c r="CS24" s="10">
        <f t="shared" si="20"/>
        <v>1.2567195790301098</v>
      </c>
      <c r="CT24" s="25">
        <f t="shared" si="21"/>
        <v>1.2427745664739884</v>
      </c>
      <c r="CU24" s="10">
        <f t="shared" si="22"/>
        <v>1.1590234387559346</v>
      </c>
      <c r="CV24" s="25">
        <f t="shared" si="23"/>
        <v>1.1554332874828062</v>
      </c>
      <c r="CW24" s="10">
        <f t="shared" si="24"/>
        <v>1.3571963456642204</v>
      </c>
      <c r="CX24" s="25">
        <f t="shared" si="25"/>
        <v>1.3585858585858586</v>
      </c>
      <c r="CY24" s="10">
        <f t="shared" si="26"/>
        <v>1.2614787331507737</v>
      </c>
      <c r="CZ24" s="25">
        <f t="shared" si="27"/>
        <v>1.2622222222222221</v>
      </c>
      <c r="DA24" s="10">
        <f t="shared" si="28"/>
        <v>1.1716153674584588</v>
      </c>
      <c r="DB24" s="25">
        <f t="shared" si="29"/>
        <v>1.1891058581706064</v>
      </c>
      <c r="DC24" s="10">
        <f t="shared" si="92"/>
        <v>1.1341156444106408</v>
      </c>
      <c r="DD24" s="25">
        <f t="shared" si="93"/>
        <v>1.1548913043478262</v>
      </c>
      <c r="DE24" s="10">
        <f t="shared" si="30"/>
        <v>1.216749391919951</v>
      </c>
      <c r="DF24" s="25">
        <f t="shared" si="31"/>
        <v>1.2315436241610738</v>
      </c>
      <c r="DG24" s="10">
        <f t="shared" si="32"/>
        <v>1.1374869586477256</v>
      </c>
      <c r="DH24" s="25">
        <f t="shared" si="33"/>
        <v>1.1537313432835821</v>
      </c>
      <c r="DI24" s="16"/>
      <c r="DJ24" s="18">
        <f t="shared" si="34"/>
        <v>-4.2061324224177632E-2</v>
      </c>
      <c r="DK24" s="26"/>
      <c r="DL24" s="27">
        <f t="shared" si="35"/>
        <v>-2.6096795254485272E-2</v>
      </c>
      <c r="DM24" s="19"/>
      <c r="DN24" s="17">
        <f t="shared" si="36"/>
        <v>2.4092363428037666E-2</v>
      </c>
      <c r="DO24" s="19"/>
      <c r="DP24" s="17">
        <f t="shared" si="37"/>
        <v>2.0394396395303716E-2</v>
      </c>
      <c r="DQ24" s="19"/>
      <c r="DR24" s="17">
        <f t="shared" si="38"/>
        <v>4.6832503644638201E-3</v>
      </c>
      <c r="DS24" s="19"/>
      <c r="DT24" s="17">
        <f t="shared" si="39"/>
        <v>1.7978237471719671E-2</v>
      </c>
      <c r="DU24" s="19"/>
      <c r="DV24" s="17">
        <f t="shared" si="40"/>
        <v>-8.3480582931034775E-3</v>
      </c>
      <c r="DW24" s="19"/>
      <c r="DX24" s="17">
        <f t="shared" si="41"/>
        <v>1.394501255612135E-2</v>
      </c>
      <c r="DY24" s="19"/>
      <c r="DZ24" s="17">
        <f t="shared" si="42"/>
        <v>3.5901512731284502E-3</v>
      </c>
      <c r="EA24" s="19"/>
      <c r="EB24" s="17">
        <f t="shared" si="43"/>
        <v>-1.3895129216381363E-3</v>
      </c>
      <c r="EC24" s="19"/>
      <c r="ED24" s="17">
        <f t="shared" si="44"/>
        <v>-7.4348907144838883E-4</v>
      </c>
      <c r="EE24" s="19"/>
      <c r="EF24" s="17">
        <f t="shared" si="45"/>
        <v>-1.7490490712147588E-2</v>
      </c>
      <c r="EG24" s="19"/>
      <c r="EH24" s="17">
        <f t="shared" si="46"/>
        <v>-2.0775659937185331E-2</v>
      </c>
      <c r="EI24" s="19"/>
      <c r="EJ24" s="17">
        <f t="shared" si="47"/>
        <v>-1.4794232241122751E-2</v>
      </c>
      <c r="EK24" s="19"/>
      <c r="EL24" s="17">
        <f t="shared" si="48"/>
        <v>-1.6244384635856424E-2</v>
      </c>
    </row>
    <row r="25" spans="1:142" s="9" customFormat="1" ht="15.75" hidden="1" outlineLevel="1" thickBot="1" x14ac:dyDescent="0.3">
      <c r="A25" s="12">
        <v>20</v>
      </c>
      <c r="B25" s="8">
        <v>54612</v>
      </c>
      <c r="C25" s="8">
        <v>300</v>
      </c>
      <c r="D25" s="20">
        <f>IFERROR(Tabelle3[[#This Row],[Ned (€)]]/Tabelle3[[#This Row],[Ned (Backer)]],"")</f>
        <v>182.04</v>
      </c>
      <c r="E25" s="8">
        <v>130324</v>
      </c>
      <c r="F25" s="8">
        <v>576</v>
      </c>
      <c r="G25" s="20">
        <f>Tabelle3[[#This Row],[Werkzeuge (€)]]/Tabelle3[[#This Row],[Werkzeuge (Backer)]]</f>
        <v>226.25694444444446</v>
      </c>
      <c r="H25" s="8">
        <v>108862</v>
      </c>
      <c r="I25" s="8">
        <v>584</v>
      </c>
      <c r="J25" s="20">
        <f>Tabelle3[[#This Row],[DSK Fasar (€)]]/Tabelle3[[#This Row],[DSK Fasar (Backer)]]</f>
        <v>186.40753424657535</v>
      </c>
      <c r="K25" s="3">
        <v>78993</v>
      </c>
      <c r="L25" s="3">
        <v>440</v>
      </c>
      <c r="M25" s="20">
        <f>Tabelle3[[#This Row],[Mythen (€)]]/Tabelle3[[#This Row],[Mythen (Backer)]]</f>
        <v>179.52954545454546</v>
      </c>
      <c r="N25" s="3">
        <v>220897</v>
      </c>
      <c r="O25" s="3">
        <v>1545</v>
      </c>
      <c r="P25" s="20">
        <f>Tabelle3[[#This Row],[SOK (€)]]/Tabelle3[[#This Row],[SOK (Backer)]]</f>
        <v>142.97540453074433</v>
      </c>
      <c r="Q25" s="3">
        <v>330836</v>
      </c>
      <c r="R25" s="3">
        <v>1421</v>
      </c>
      <c r="S25" s="20">
        <f>Tabelle3[[#This Row],[RE (€)]]/Tabelle3[[#This Row],[RE (Backer)]]</f>
        <v>232.81914144968331</v>
      </c>
      <c r="T25" s="3">
        <v>205967</v>
      </c>
      <c r="U25" s="3">
        <v>863</v>
      </c>
      <c r="V25" s="20">
        <f>Tabelle3[[#This Row],[DGG (€)]]/Tabelle3[[#This Row],[DGG (Backer)]]</f>
        <v>238.66396292004634</v>
      </c>
      <c r="W25" s="3">
        <v>99702</v>
      </c>
      <c r="X25" s="3">
        <v>558</v>
      </c>
      <c r="Y25" s="391">
        <f>Tabelle3[[#This Row],[DSK SV (€)]]/Tabelle3[[#This Row],[DSK SV (Backer)]]</f>
        <v>178.67741935483872</v>
      </c>
      <c r="Z25" s="3">
        <v>295660</v>
      </c>
      <c r="AA25" s="3">
        <v>1533</v>
      </c>
      <c r="AB25" s="20">
        <f>Tabelle3[[#This Row],[WW (€)]]/Tabelle3[[#This Row],[WW (Backer)]]</f>
        <v>192.86366601435094</v>
      </c>
      <c r="AC25" s="3">
        <v>30138</v>
      </c>
      <c r="AD25" s="3">
        <v>227</v>
      </c>
      <c r="AE25" s="20">
        <f>Tabelle3[[#This Row],[DSK R (€)]]/Tabelle3[[#This Row],[DSK R (Backer)]]</f>
        <v>132.76651982378854</v>
      </c>
      <c r="AF25" s="3">
        <v>214259</v>
      </c>
      <c r="AG25" s="3">
        <v>985</v>
      </c>
      <c r="AH25" s="20">
        <f>Tabelle3[[#This Row],[Ära (€)]]/Tabelle3[[#This Row],[Ära (Backer)]]</f>
        <v>217.52182741116752</v>
      </c>
      <c r="AI25" s="3">
        <v>76619</v>
      </c>
      <c r="AJ25" s="3">
        <v>1053</v>
      </c>
      <c r="AK25" s="20">
        <f>Tabelle3[[#This Row],[Mosaik (€)]]/Tabelle3[[#This Row],[Mosaik (Backer)]]</f>
        <v>72.762583095916426</v>
      </c>
      <c r="AL25" s="3">
        <v>58568</v>
      </c>
      <c r="AM25" s="3">
        <v>392</v>
      </c>
      <c r="AN25" s="20">
        <f>Tabelle3[[#This Row],[DSK ES (€)]]/Tabelle3[[#This Row],[DSK ES (Backer)]]</f>
        <v>149.40816326530611</v>
      </c>
      <c r="AO25" s="3">
        <v>273235</v>
      </c>
      <c r="AP25" s="3">
        <v>1301</v>
      </c>
      <c r="AQ25" s="20">
        <f>Tabelle3[[#This Row],[ES (€)]]/Tabelle3[[#This Row],[ES (Backer)]]</f>
        <v>210.01921598770176</v>
      </c>
      <c r="AR25" s="3">
        <v>314352.75</v>
      </c>
      <c r="AS25" s="3">
        <v>1403</v>
      </c>
      <c r="AT25" s="20">
        <f>Tabelle3[[#This Row],[WF (€)]]/Tabelle3[[#This Row],[WF(Backer)]]</f>
        <v>224.05755523877406</v>
      </c>
      <c r="AU25" s="3">
        <f>'Overview &amp; instructions'!AO71</f>
        <v>507150</v>
      </c>
      <c r="AV25" s="3">
        <f>'Overview &amp; instructions'!AP71</f>
        <v>2404</v>
      </c>
      <c r="AW25" s="20">
        <f>Tabelle3[[#This Row],[AKM (€)]]/Tabelle3[[#This Row],[AKM(Backer)]]</f>
        <v>210.96089850249584</v>
      </c>
      <c r="AX25"/>
      <c r="AY25">
        <f t="shared" si="73"/>
        <v>491432.06252814108</v>
      </c>
      <c r="AZ25">
        <f>Tabelle3[[#This Row],[WF (€)]]/$AR$6</f>
        <v>2.6791501385671435</v>
      </c>
      <c r="BA25"/>
      <c r="BB25"/>
      <c r="BC25"/>
      <c r="BD25"/>
      <c r="BE25"/>
      <c r="BF25"/>
      <c r="BG25" s="172"/>
      <c r="BH25" s="172" t="s">
        <v>125</v>
      </c>
      <c r="BI25" s="6"/>
      <c r="BJ25" s="6"/>
      <c r="BK25" s="21"/>
      <c r="BL25" s="6"/>
      <c r="BM25" s="6"/>
      <c r="BN25" s="21"/>
      <c r="BO25" s="3"/>
      <c r="BP25" s="3"/>
      <c r="BQ25" s="21"/>
      <c r="BR25" s="3"/>
      <c r="BS25" s="3"/>
      <c r="BT25" s="21"/>
      <c r="BU25" s="172"/>
      <c r="BV25" s="172" t="s">
        <v>125</v>
      </c>
      <c r="BW25" s="14">
        <f t="shared" si="51"/>
        <v>1.0823008008257242</v>
      </c>
      <c r="BX25" s="14">
        <f t="shared" si="2"/>
        <v>1.0770226537216829</v>
      </c>
      <c r="BY25" s="271">
        <f t="shared" si="52"/>
        <v>1.3098201405727263</v>
      </c>
      <c r="BZ25" s="271">
        <f t="shared" si="3"/>
        <v>1.3125</v>
      </c>
      <c r="CA25" s="271">
        <f t="shared" si="53"/>
        <v>1.1445139756551514</v>
      </c>
      <c r="CB25" s="271">
        <f t="shared" si="4"/>
        <v>1.143453076144731</v>
      </c>
      <c r="CC25" s="271">
        <f t="shared" si="54"/>
        <v>0.22751933974700211</v>
      </c>
      <c r="CD25" s="271">
        <f t="shared" si="5"/>
        <v>0.23547734627831707</v>
      </c>
      <c r="CE25" s="15">
        <f t="shared" si="6"/>
        <v>1.14159891598916</v>
      </c>
      <c r="CF25" s="7">
        <f t="shared" si="7"/>
        <v>1.1566666666666667</v>
      </c>
      <c r="CG25" s="10">
        <f t="shared" si="8"/>
        <v>1.3098201405727263</v>
      </c>
      <c r="CH25" s="11">
        <f t="shared" si="9"/>
        <v>1.3125</v>
      </c>
      <c r="CI25" s="10">
        <f t="shared" si="10"/>
        <v>1.136245889291029</v>
      </c>
      <c r="CJ25" s="25">
        <f t="shared" si="11"/>
        <v>1.1267123287671232</v>
      </c>
      <c r="CK25" s="10">
        <f t="shared" si="12"/>
        <v>1.1392275264896889</v>
      </c>
      <c r="CL25" s="25">
        <f t="shared" si="13"/>
        <v>1.1295454545454546</v>
      </c>
      <c r="CM25" s="10">
        <f t="shared" si="14"/>
        <v>1.0823008008257242</v>
      </c>
      <c r="CN25" s="25">
        <f t="shared" si="15"/>
        <v>1.0770226537216829</v>
      </c>
      <c r="CO25" s="10">
        <f t="shared" si="16"/>
        <v>1.1803642892550992</v>
      </c>
      <c r="CP25" s="25">
        <f t="shared" si="17"/>
        <v>1.1667839549612948</v>
      </c>
      <c r="CQ25" s="10">
        <f t="shared" si="18"/>
        <v>1.1236266003777304</v>
      </c>
      <c r="CR25" s="25">
        <f t="shared" si="19"/>
        <v>1.1297798377752029</v>
      </c>
      <c r="CS25" s="10">
        <f t="shared" si="20"/>
        <v>1.1545706204489379</v>
      </c>
      <c r="CT25" s="25">
        <f t="shared" si="21"/>
        <v>1.1559139784946237</v>
      </c>
      <c r="CU25" s="10">
        <f t="shared" si="22"/>
        <v>1.0973246296421566</v>
      </c>
      <c r="CV25" s="25">
        <f t="shared" si="23"/>
        <v>1.095890410958904</v>
      </c>
      <c r="CW25" s="10">
        <f t="shared" si="24"/>
        <v>1.2027340898533414</v>
      </c>
      <c r="CX25" s="25">
        <f t="shared" si="25"/>
        <v>1.1850220264317182</v>
      </c>
      <c r="CY25" s="10">
        <f t="shared" si="26"/>
        <v>1.1631670081536831</v>
      </c>
      <c r="CZ25" s="25">
        <f t="shared" si="27"/>
        <v>1.1532994923857869</v>
      </c>
      <c r="DA25" s="10">
        <f t="shared" si="28"/>
        <v>1.0969472324097156</v>
      </c>
      <c r="DB25" s="25">
        <f t="shared" si="29"/>
        <v>1.0987654320987654</v>
      </c>
      <c r="DC25" s="10">
        <f t="shared" si="92"/>
        <v>1.0693040568228385</v>
      </c>
      <c r="DD25" s="25">
        <f t="shared" si="93"/>
        <v>1.0841836734693877</v>
      </c>
      <c r="DE25" s="10">
        <f t="shared" si="30"/>
        <v>1.1259501893974051</v>
      </c>
      <c r="DF25" s="25">
        <f t="shared" si="31"/>
        <v>1.1283627978478095</v>
      </c>
      <c r="DG25" s="10">
        <f t="shared" si="32"/>
        <v>1.0879707589642527</v>
      </c>
      <c r="DH25" s="25">
        <f t="shared" si="33"/>
        <v>1.1019244476122594</v>
      </c>
      <c r="DI25" s="16"/>
      <c r="DJ25" s="18">
        <f t="shared" si="34"/>
        <v>-1.5067750677506764E-2</v>
      </c>
      <c r="DK25" s="26"/>
      <c r="DL25" s="27">
        <f t="shared" si="35"/>
        <v>-2.6798594272736675E-3</v>
      </c>
      <c r="DM25" s="19"/>
      <c r="DN25" s="17">
        <f t="shared" si="36"/>
        <v>9.5335605239057486E-3</v>
      </c>
      <c r="DO25" s="19"/>
      <c r="DP25" s="17">
        <f t="shared" si="37"/>
        <v>9.6820719442343162E-3</v>
      </c>
      <c r="DQ25" s="19"/>
      <c r="DR25" s="17">
        <f t="shared" si="38"/>
        <v>5.2781471040412864E-3</v>
      </c>
      <c r="DS25" s="19"/>
      <c r="DT25" s="17">
        <f t="shared" si="39"/>
        <v>1.3580334293804341E-2</v>
      </c>
      <c r="DU25" s="19"/>
      <c r="DV25" s="17">
        <f t="shared" si="40"/>
        <v>-6.1532373974724219E-3</v>
      </c>
      <c r="DW25" s="19"/>
      <c r="DX25" s="17">
        <f t="shared" si="41"/>
        <v>-1.3433580456858607E-3</v>
      </c>
      <c r="DY25" s="19"/>
      <c r="DZ25" s="17">
        <f t="shared" si="42"/>
        <v>1.4342186832525528E-3</v>
      </c>
      <c r="EA25" s="19"/>
      <c r="EB25" s="17">
        <f t="shared" si="43"/>
        <v>1.7712063421623236E-2</v>
      </c>
      <c r="EC25" s="19"/>
      <c r="ED25" s="17">
        <f t="shared" si="44"/>
        <v>9.86751576789624E-3</v>
      </c>
      <c r="EE25" s="19"/>
      <c r="EF25" s="17">
        <f t="shared" si="45"/>
        <v>-1.8181996890498375E-3</v>
      </c>
      <c r="EG25" s="19"/>
      <c r="EH25" s="17">
        <f t="shared" si="46"/>
        <v>-1.4879616646549243E-2</v>
      </c>
      <c r="EI25" s="19"/>
      <c r="EJ25" s="17">
        <f t="shared" si="47"/>
        <v>-2.4126084504043632E-3</v>
      </c>
      <c r="EK25" s="19"/>
      <c r="EL25" s="17">
        <f t="shared" si="48"/>
        <v>-1.3953688648006723E-2</v>
      </c>
    </row>
    <row r="26" spans="1:142" ht="15.75" hidden="1" outlineLevel="1" thickBot="1" x14ac:dyDescent="0.3">
      <c r="A26" s="12">
        <v>21</v>
      </c>
      <c r="B26" s="3">
        <v>62345</v>
      </c>
      <c r="C26" s="3">
        <v>347</v>
      </c>
      <c r="D26" s="20">
        <f>IFERROR(Tabelle3[[#This Row],[Ned (€)]]/Tabelle3[[#This Row],[Ned (Backer)]],"")</f>
        <v>179.6685878962536</v>
      </c>
      <c r="E26" s="8">
        <v>170701</v>
      </c>
      <c r="F26" s="8">
        <v>756</v>
      </c>
      <c r="G26" s="20">
        <f>Tabelle3[[#This Row],[Werkzeuge (€)]]/Tabelle3[[#This Row],[Werkzeuge (Backer)]]</f>
        <v>225.79497354497354</v>
      </c>
      <c r="H26" s="8">
        <v>123694</v>
      </c>
      <c r="I26" s="8">
        <v>658</v>
      </c>
      <c r="J26" s="20">
        <f>Tabelle3[[#This Row],[DSK Fasar (€)]]/Tabelle3[[#This Row],[DSK Fasar (Backer)]]</f>
        <v>187.98480243161094</v>
      </c>
      <c r="K26" s="3">
        <v>89991</v>
      </c>
      <c r="L26" s="3">
        <v>497</v>
      </c>
      <c r="M26" s="20">
        <f>Tabelle3[[#This Row],[Mythen (€)]]/Tabelle3[[#This Row],[Mythen (Backer)]]</f>
        <v>181.06841046277665</v>
      </c>
      <c r="N26" s="3">
        <v>239077</v>
      </c>
      <c r="O26" s="3">
        <v>1664</v>
      </c>
      <c r="P26" s="391">
        <f>Tabelle3[[#This Row],[SOK (€)]]/Tabelle3[[#This Row],[SOK (Backer)]]</f>
        <v>143.67608173076923</v>
      </c>
      <c r="Q26" s="3">
        <v>390507</v>
      </c>
      <c r="R26" s="3">
        <v>1658</v>
      </c>
      <c r="S26" s="20">
        <f>Tabelle3[[#This Row],[RE (€)]]/Tabelle3[[#This Row],[RE (Backer)]]</f>
        <v>235.52895054282268</v>
      </c>
      <c r="T26" s="3">
        <v>231430</v>
      </c>
      <c r="U26" s="3">
        <v>975</v>
      </c>
      <c r="V26" s="20">
        <f>Tabelle3[[#This Row],[DGG (€)]]/Tabelle3[[#This Row],[DGG (Backer)]]</f>
        <v>237.36410256410255</v>
      </c>
      <c r="W26" s="3">
        <v>115113</v>
      </c>
      <c r="X26" s="3">
        <v>645</v>
      </c>
      <c r="Y26" s="20">
        <f>Tabelle3[[#This Row],[DSK SV (€)]]/Tabelle3[[#This Row],[DSK SV (Backer)]]</f>
        <v>178.46976744186045</v>
      </c>
      <c r="Z26" s="3">
        <v>324435</v>
      </c>
      <c r="AA26" s="3">
        <v>1680</v>
      </c>
      <c r="AB26" s="391">
        <f>Tabelle3[[#This Row],[WW (€)]]/Tabelle3[[#This Row],[WW (Backer)]]</f>
        <v>193.11607142857142</v>
      </c>
      <c r="AC26" s="3">
        <v>36248</v>
      </c>
      <c r="AD26" s="3">
        <v>269</v>
      </c>
      <c r="AE26" s="391">
        <f>Tabelle3[[#This Row],[DSK R (€)]]/Tabelle3[[#This Row],[DSK R (Backer)]]</f>
        <v>134.75092936802974</v>
      </c>
      <c r="AF26" s="3">
        <v>249219</v>
      </c>
      <c r="AG26" s="3">
        <v>1136</v>
      </c>
      <c r="AH26" s="391">
        <f>Tabelle3[[#This Row],[Ära (€)]]/Tabelle3[[#This Row],[Ära (Backer)]]</f>
        <v>219.38292253521126</v>
      </c>
      <c r="AI26" s="3">
        <v>84047</v>
      </c>
      <c r="AJ26" s="3">
        <v>1157</v>
      </c>
      <c r="AK26" s="20">
        <f>Tabelle3[[#This Row],[Mosaik (€)]]/Tabelle3[[#This Row],[Mosaik (Backer)]]</f>
        <v>72.642178046672427</v>
      </c>
      <c r="AL26" s="3">
        <v>62627</v>
      </c>
      <c r="AM26" s="3">
        <v>425</v>
      </c>
      <c r="AN26" s="20">
        <f>Tabelle3[[#This Row],[DSK ES (€)]]/Tabelle3[[#This Row],[DSK ES (Backer)]]</f>
        <v>147.35764705882352</v>
      </c>
      <c r="AO26" s="3">
        <v>307649</v>
      </c>
      <c r="AP26" s="3">
        <v>1468</v>
      </c>
      <c r="AQ26" s="20">
        <f>Tabelle3[[#This Row],[ES (€)]]/Tabelle3[[#This Row],[ES (Backer)]]</f>
        <v>209.57016348773843</v>
      </c>
      <c r="AR26" s="3">
        <v>342006.6</v>
      </c>
      <c r="AS26" s="3">
        <v>1546</v>
      </c>
      <c r="AT26" s="20">
        <f>Tabelle3[[#This Row],[WF (€)]]/Tabelle3[[#This Row],[WF(Backer)]]</f>
        <v>221.22031047865457</v>
      </c>
      <c r="AU26" s="3">
        <f>'Overview &amp; instructions'!AO72</f>
        <v>560576.43999999994</v>
      </c>
      <c r="AV26" s="3">
        <f>'Overview &amp; instructions'!AP72</f>
        <v>2679</v>
      </c>
      <c r="AW26" s="20">
        <f>Tabelle3[[#This Row],[AKM (€)]]/Tabelle3[[#This Row],[AKM(Backer)]]</f>
        <v>209.24839119074278</v>
      </c>
      <c r="AY26">
        <f t="shared" si="73"/>
        <v>534663.71404810972</v>
      </c>
      <c r="AZ26">
        <f>Tabelle3[[#This Row],[WF (€)]]/$AR$6</f>
        <v>2.9148370096360776</v>
      </c>
      <c r="BH26" s="172" t="s">
        <v>126</v>
      </c>
      <c r="BI26" s="6"/>
      <c r="BJ26" s="6"/>
      <c r="BK26" s="21"/>
      <c r="BL26" s="6"/>
      <c r="BM26" s="6"/>
      <c r="BN26" s="21"/>
      <c r="BO26" s="3"/>
      <c r="BP26" s="3"/>
      <c r="BQ26" s="21"/>
      <c r="BR26" s="3"/>
      <c r="BS26" s="3"/>
      <c r="BT26" s="21"/>
      <c r="BV26" s="172" t="s">
        <v>126</v>
      </c>
      <c r="BW26" s="14">
        <f t="shared" si="51"/>
        <v>1</v>
      </c>
      <c r="BX26" s="14">
        <f t="shared" si="2"/>
        <v>1</v>
      </c>
      <c r="BY26" s="271">
        <f t="shared" si="52"/>
        <v>1</v>
      </c>
      <c r="BZ26" s="271">
        <f t="shared" si="3"/>
        <v>1</v>
      </c>
      <c r="CA26" s="271">
        <f t="shared" si="53"/>
        <v>1</v>
      </c>
      <c r="CB26" s="271">
        <f t="shared" si="4"/>
        <v>1</v>
      </c>
      <c r="CC26" s="271">
        <f t="shared" si="54"/>
        <v>0</v>
      </c>
      <c r="CD26" s="271">
        <f t="shared" si="5"/>
        <v>0</v>
      </c>
      <c r="CE26" s="15">
        <f t="shared" si="6"/>
        <v>1</v>
      </c>
      <c r="CF26" s="7">
        <f t="shared" si="7"/>
        <v>1</v>
      </c>
      <c r="CG26" s="10">
        <f t="shared" si="8"/>
        <v>1</v>
      </c>
      <c r="CH26" s="11">
        <f t="shared" si="9"/>
        <v>1</v>
      </c>
      <c r="CI26" s="10">
        <f t="shared" si="10"/>
        <v>1</v>
      </c>
      <c r="CJ26" s="25">
        <f t="shared" si="11"/>
        <v>1</v>
      </c>
      <c r="CK26" s="10">
        <f t="shared" si="12"/>
        <v>1</v>
      </c>
      <c r="CL26" s="25">
        <f t="shared" si="13"/>
        <v>1</v>
      </c>
      <c r="CM26" s="10">
        <f t="shared" si="14"/>
        <v>1</v>
      </c>
      <c r="CN26" s="25">
        <f t="shared" si="15"/>
        <v>1</v>
      </c>
      <c r="CO26" s="10">
        <f t="shared" si="16"/>
        <v>1</v>
      </c>
      <c r="CP26" s="25">
        <f t="shared" si="17"/>
        <v>1</v>
      </c>
      <c r="CQ26" s="10">
        <f t="shared" si="18"/>
        <v>1</v>
      </c>
      <c r="CR26" s="25">
        <f t="shared" si="19"/>
        <v>1</v>
      </c>
      <c r="CS26" s="10">
        <f t="shared" si="20"/>
        <v>1</v>
      </c>
      <c r="CT26" s="25">
        <f t="shared" si="21"/>
        <v>1</v>
      </c>
      <c r="CU26" s="10">
        <f t="shared" si="22"/>
        <v>1</v>
      </c>
      <c r="CV26" s="25">
        <f t="shared" si="23"/>
        <v>1</v>
      </c>
      <c r="CW26" s="10">
        <f t="shared" si="24"/>
        <v>1</v>
      </c>
      <c r="CX26" s="25">
        <f t="shared" si="25"/>
        <v>1</v>
      </c>
      <c r="CY26" s="10">
        <f t="shared" si="26"/>
        <v>1</v>
      </c>
      <c r="CZ26" s="25">
        <f t="shared" si="27"/>
        <v>1</v>
      </c>
      <c r="DA26" s="10">
        <f t="shared" si="28"/>
        <v>1</v>
      </c>
      <c r="DB26" s="25">
        <f t="shared" si="29"/>
        <v>1</v>
      </c>
      <c r="DC26" s="10">
        <f t="shared" si="92"/>
        <v>1</v>
      </c>
      <c r="DD26" s="25">
        <f t="shared" si="93"/>
        <v>1</v>
      </c>
      <c r="DE26" s="10">
        <f t="shared" si="30"/>
        <v>1</v>
      </c>
      <c r="DF26" s="25">
        <f t="shared" si="31"/>
        <v>1</v>
      </c>
      <c r="DG26" s="10">
        <f t="shared" si="32"/>
        <v>1</v>
      </c>
      <c r="DH26" s="25">
        <f t="shared" si="33"/>
        <v>1</v>
      </c>
      <c r="DI26" s="16"/>
      <c r="DJ26" s="18">
        <f t="shared" si="34"/>
        <v>0</v>
      </c>
      <c r="DK26" s="26"/>
      <c r="DL26" s="27">
        <f t="shared" si="35"/>
        <v>0</v>
      </c>
      <c r="DM26" s="19"/>
      <c r="DN26" s="17">
        <f t="shared" si="36"/>
        <v>0</v>
      </c>
      <c r="DO26" s="19"/>
      <c r="DP26" s="17">
        <f t="shared" si="37"/>
        <v>0</v>
      </c>
      <c r="DQ26" s="19"/>
      <c r="DR26" s="17">
        <f t="shared" si="38"/>
        <v>0</v>
      </c>
      <c r="DS26" s="19"/>
      <c r="DT26" s="17">
        <f t="shared" si="39"/>
        <v>0</v>
      </c>
      <c r="DU26" s="19"/>
      <c r="DV26" s="17">
        <f t="shared" si="40"/>
        <v>0</v>
      </c>
      <c r="DW26" s="19"/>
      <c r="DX26" s="17">
        <f t="shared" si="41"/>
        <v>0</v>
      </c>
      <c r="DY26" s="19"/>
      <c r="DZ26" s="17">
        <f t="shared" si="42"/>
        <v>0</v>
      </c>
      <c r="EA26" s="19"/>
      <c r="EB26" s="17">
        <f t="shared" si="43"/>
        <v>0</v>
      </c>
      <c r="EC26" s="19"/>
      <c r="ED26" s="17">
        <f t="shared" si="44"/>
        <v>0</v>
      </c>
      <c r="EE26" s="19"/>
      <c r="EF26" s="17">
        <f t="shared" si="45"/>
        <v>0</v>
      </c>
      <c r="EG26" s="19"/>
      <c r="EH26" s="17">
        <f t="shared" si="46"/>
        <v>0</v>
      </c>
      <c r="EI26" s="19"/>
      <c r="EJ26" s="17">
        <f t="shared" si="47"/>
        <v>0</v>
      </c>
      <c r="EK26" s="19"/>
      <c r="EL26" s="17">
        <f t="shared" si="48"/>
        <v>0</v>
      </c>
    </row>
    <row r="27" spans="1:142" hidden="1" outlineLevel="1" x14ac:dyDescent="0.25">
      <c r="BH27" s="172"/>
      <c r="BI27" s="172"/>
      <c r="BJ27" s="172"/>
      <c r="BK27" s="172"/>
      <c r="BL27" s="172"/>
      <c r="BM27" s="172"/>
      <c r="BN27" s="172"/>
      <c r="BO27" s="172"/>
      <c r="BP27" s="172"/>
      <c r="BQ27" s="172"/>
      <c r="BR27" s="172"/>
      <c r="BS27" s="172"/>
      <c r="BT27" s="172"/>
      <c r="BV27" s="172" t="s">
        <v>32</v>
      </c>
      <c r="BW27" s="420">
        <f t="shared" ref="BW27:DB27" si="106">SUM(BW6:BW26)</f>
        <v>31.996091768640742</v>
      </c>
      <c r="BX27" s="420">
        <f t="shared" si="106"/>
        <v>31.871494080420181</v>
      </c>
      <c r="BY27" s="420">
        <f t="shared" si="106"/>
        <v>48.487217948241302</v>
      </c>
      <c r="BZ27" s="420">
        <f t="shared" si="106"/>
        <v>51.019657130618256</v>
      </c>
      <c r="CA27" s="420">
        <f t="shared" si="106"/>
        <v>39.528670147420698</v>
      </c>
      <c r="CB27" s="420">
        <f t="shared" si="106"/>
        <v>39.990803172665323</v>
      </c>
      <c r="CC27" s="420"/>
      <c r="CD27" s="420"/>
      <c r="CE27" s="420">
        <f t="shared" si="106"/>
        <v>45.428314528030107</v>
      </c>
      <c r="CF27" s="420">
        <f t="shared" si="106"/>
        <v>49.291270600601173</v>
      </c>
      <c r="CG27" s="420">
        <f t="shared" si="106"/>
        <v>45.756612165832692</v>
      </c>
      <c r="CH27" s="420">
        <f t="shared" si="106"/>
        <v>47.747540959068033</v>
      </c>
      <c r="CI27" s="420">
        <f t="shared" si="106"/>
        <v>40.567262002351569</v>
      </c>
      <c r="CJ27" s="420">
        <f t="shared" si="106"/>
        <v>39.289122872836998</v>
      </c>
      <c r="CK27" s="420">
        <f t="shared" si="106"/>
        <v>43.482859715954028</v>
      </c>
      <c r="CL27" s="420">
        <f t="shared" si="106"/>
        <v>41.4900106182888</v>
      </c>
      <c r="CM27" s="420">
        <f t="shared" si="106"/>
        <v>32.000423580252416</v>
      </c>
      <c r="CN27" s="420">
        <f t="shared" si="106"/>
        <v>31.871494080420181</v>
      </c>
      <c r="CO27" s="420">
        <f t="shared" si="106"/>
        <v>45.60581259072756</v>
      </c>
      <c r="CP27" s="420">
        <f t="shared" si="106"/>
        <v>45.23093042795746</v>
      </c>
      <c r="CQ27" s="420">
        <f t="shared" si="106"/>
        <v>35.082008173229767</v>
      </c>
      <c r="CR27" s="420">
        <f t="shared" si="106"/>
        <v>35.562021697767982</v>
      </c>
      <c r="CS27" s="420">
        <f t="shared" si="106"/>
        <v>42.857991054698523</v>
      </c>
      <c r="CT27" s="420">
        <f t="shared" si="106"/>
        <v>44.850961238462958</v>
      </c>
      <c r="CU27" s="420">
        <f t="shared" si="106"/>
        <v>34.886342577292439</v>
      </c>
      <c r="CV27" s="420">
        <f t="shared" si="106"/>
        <v>35.227093946084047</v>
      </c>
      <c r="CW27" s="420">
        <f t="shared" si="106"/>
        <v>42.354775272021556</v>
      </c>
      <c r="CX27" s="420">
        <f t="shared" si="106"/>
        <v>41.306721761257059</v>
      </c>
      <c r="CY27" s="420">
        <f t="shared" si="106"/>
        <v>50.249668094388298</v>
      </c>
      <c r="CZ27" s="420">
        <f t="shared" si="106"/>
        <v>49.721200022055989</v>
      </c>
      <c r="DA27" s="420">
        <f t="shared" si="106"/>
        <v>34.41984221297497</v>
      </c>
      <c r="DB27" s="420">
        <f t="shared" si="106"/>
        <v>34.894883905867943</v>
      </c>
      <c r="DC27" s="420"/>
      <c r="DD27" s="420"/>
      <c r="DE27" s="420">
        <f t="shared" ref="DE27:DF27" si="107">SUM(DE6:DE26)</f>
        <v>37.59540729516587</v>
      </c>
      <c r="DF27" s="420">
        <f t="shared" si="107"/>
        <v>38.385967621218242</v>
      </c>
      <c r="DG27" s="420">
        <f t="shared" ref="DG27:DH27" si="108">SUM(DG6:DG26)</f>
        <v>33.835060747937611</v>
      </c>
      <c r="DH27" s="420">
        <f t="shared" si="108"/>
        <v>34.732421514818348</v>
      </c>
      <c r="DI27" s="171"/>
      <c r="DJ27" s="171"/>
      <c r="DK27" s="171"/>
      <c r="DL27" s="171"/>
      <c r="DM27" s="171"/>
      <c r="DN27" s="171"/>
      <c r="DO27" s="171"/>
      <c r="DP27" s="171"/>
      <c r="DQ27" s="171"/>
      <c r="DR27" s="171"/>
      <c r="DS27" s="171"/>
      <c r="DT27" s="171"/>
      <c r="DU27" s="171"/>
      <c r="DV27" s="171"/>
      <c r="DW27" s="171"/>
    </row>
    <row r="28" spans="1:142" hidden="1" outlineLevel="1" x14ac:dyDescent="0.25">
      <c r="A28" s="358" t="s">
        <v>147</v>
      </c>
      <c r="H28"/>
      <c r="I28"/>
      <c r="J28"/>
      <c r="W28" s="22"/>
      <c r="AD28" s="22"/>
      <c r="AE28" s="22"/>
      <c r="AL28" s="1008" t="s">
        <v>406</v>
      </c>
      <c r="AM28" s="1008"/>
      <c r="AN28" s="1008"/>
      <c r="AO28" s="1009"/>
      <c r="AP28" s="1009"/>
      <c r="AQ28" s="386"/>
      <c r="AR28" s="1009"/>
      <c r="AS28" s="1009"/>
      <c r="AT28" s="386"/>
      <c r="AU28" s="1009" t="s">
        <v>166</v>
      </c>
      <c r="AV28" s="1009"/>
      <c r="AW28" s="386"/>
      <c r="BH28" s="172" t="s">
        <v>145</v>
      </c>
      <c r="BI28" s="6">
        <f>AVERAGE(BI6:BI11)</f>
        <v>500332.53760785592</v>
      </c>
      <c r="BJ28" s="6">
        <f>AVERAGE(BJ6:BJ11)</f>
        <v>2508.1952665495837</v>
      </c>
      <c r="BK28" s="21">
        <f>BI28/BJ28</f>
        <v>199.47910128071561</v>
      </c>
      <c r="BL28" s="6">
        <f>AVERAGE(BL6:BL11)</f>
        <v>867221.3526955425</v>
      </c>
      <c r="BM28" s="6">
        <f>AVERAGE(BM6:BM11)</f>
        <v>4666.4082824942097</v>
      </c>
      <c r="BN28" s="21">
        <f t="shared" ref="BN28:BN29" si="109">BL28/BM28</f>
        <v>185.84343679246385</v>
      </c>
      <c r="BO28" s="3">
        <f>AVERAGE(BI28,BL28)</f>
        <v>683776.94515169924</v>
      </c>
      <c r="BP28" s="3">
        <f>AVERAGE(BJ28,BM28)</f>
        <v>3587.3017745218967</v>
      </c>
      <c r="BQ28" s="21">
        <f t="shared" ref="BQ28" si="110">BO28/BP28</f>
        <v>190.61037741739213</v>
      </c>
      <c r="BR28" s="3"/>
      <c r="BS28" s="3"/>
      <c r="BT28" s="21"/>
      <c r="BV28" s="172"/>
      <c r="DI28" s="421" t="s">
        <v>246</v>
      </c>
      <c r="DJ28" s="420">
        <f>_xlfn.STDEV.P(DJ6:DJ26)</f>
        <v>0.14700691002927202</v>
      </c>
      <c r="DK28" s="171"/>
      <c r="DL28" s="420">
        <f>_xlfn.STDEV.P(DL6:DL26)</f>
        <v>7.951862956394716E-2</v>
      </c>
      <c r="DM28" s="171"/>
      <c r="DN28" s="420">
        <f t="shared" ref="DN28" si="111">_xlfn.STDEV.P(DN6:DN26)</f>
        <v>2.4054835685507883E-2</v>
      </c>
      <c r="DO28" s="171"/>
      <c r="DP28" s="420">
        <f t="shared" ref="DP28" si="112">_xlfn.STDEV.P(DP6:DP26)</f>
        <v>7.3495531159005603E-2</v>
      </c>
      <c r="DQ28" s="171"/>
      <c r="DR28" s="420">
        <f t="shared" ref="DR28" si="113">_xlfn.STDEV.P(DR6:DR26)</f>
        <v>7.7548465715394184E-3</v>
      </c>
      <c r="DS28" s="171"/>
      <c r="DT28" s="420">
        <f t="shared" ref="DT28" si="114">_xlfn.STDEV.P(DT6:DT26)</f>
        <v>5.2886299558510999E-2</v>
      </c>
      <c r="DU28" s="171"/>
      <c r="DV28" s="420">
        <f t="shared" ref="DV28" si="115">_xlfn.STDEV.P(DV6:DV26)</f>
        <v>1.3466889894914531E-2</v>
      </c>
      <c r="DW28" s="171"/>
      <c r="DX28" s="420">
        <f t="shared" ref="DX28" si="116">_xlfn.STDEV.P(DX6:DX26)</f>
        <v>0.10680354545392662</v>
      </c>
      <c r="DY28" s="171"/>
      <c r="DZ28" s="420">
        <f t="shared" ref="DZ28" si="117">_xlfn.STDEV.P(DZ6:DZ26)</f>
        <v>2.4068328712478874E-2</v>
      </c>
      <c r="EA28" s="171"/>
      <c r="EB28" s="420">
        <f t="shared" ref="EB28" si="118">_xlfn.STDEV.P(EB6:EB26)</f>
        <v>7.6864697079064251E-2</v>
      </c>
      <c r="EC28" s="171"/>
      <c r="ED28" s="420">
        <f t="shared" ref="ED28" si="119">_xlfn.STDEV.P(ED6:ED26)</f>
        <v>2.4084568501650295E-2</v>
      </c>
      <c r="EE28" s="171"/>
      <c r="EF28" s="420">
        <f t="shared" ref="EF28" si="120">_xlfn.STDEV.P(EF6:EF26)</f>
        <v>1.9084563965244824E-2</v>
      </c>
      <c r="EG28" s="171"/>
      <c r="EH28" s="420">
        <f t="shared" ref="EH28" si="121">_xlfn.STDEV.P(EH6:EH26)</f>
        <v>3.6900217406065368E-2</v>
      </c>
      <c r="EI28" s="171"/>
      <c r="EJ28" s="420">
        <f t="shared" ref="EJ28:EL28" si="122">_xlfn.STDEV.P(EJ6:EJ26)</f>
        <v>5.2888654036997558E-2</v>
      </c>
      <c r="EK28" s="171"/>
      <c r="EL28" s="420">
        <f t="shared" si="122"/>
        <v>3.3106850500357866E-2</v>
      </c>
    </row>
    <row r="29" spans="1:142" hidden="1" outlineLevel="1" x14ac:dyDescent="0.25">
      <c r="A29" s="252" t="s">
        <v>12</v>
      </c>
      <c r="B29" s="291" t="str">
        <f>Tabelle3[[#Headers],[Ned (€)]]</f>
        <v>Ned (€)</v>
      </c>
      <c r="C29" s="292" t="str">
        <f>C$4</f>
        <v>Ned (Backer)</v>
      </c>
      <c r="D29" s="370" t="str">
        <f t="shared" ref="D29:AW29" si="123">D$4</f>
        <v>Ned (€/B)</v>
      </c>
      <c r="E29" s="294" t="str">
        <f t="shared" si="123"/>
        <v>Werkzeuge (€)</v>
      </c>
      <c r="F29" s="295" t="str">
        <f t="shared" si="123"/>
        <v>Werkzeuge (Backer)</v>
      </c>
      <c r="G29" s="407" t="str">
        <f t="shared" si="123"/>
        <v>Werkz (€/B)</v>
      </c>
      <c r="H29" s="298" t="str">
        <f t="shared" si="123"/>
        <v>DSK Fasar (€)</v>
      </c>
      <c r="I29" s="299" t="str">
        <f t="shared" si="123"/>
        <v>DSK Fasar (Backer)</v>
      </c>
      <c r="J29" s="300" t="str">
        <f t="shared" si="123"/>
        <v>DSK Fasar (€/B)</v>
      </c>
      <c r="K29" s="291" t="str">
        <f t="shared" si="123"/>
        <v>Mythen (€)</v>
      </c>
      <c r="L29" s="292" t="str">
        <f t="shared" si="123"/>
        <v>Mythen (Backer)</v>
      </c>
      <c r="M29" s="292" t="str">
        <f t="shared" si="123"/>
        <v>Mythen (€/B)</v>
      </c>
      <c r="N29" s="296" t="str">
        <f t="shared" si="123"/>
        <v>SOK (€)</v>
      </c>
      <c r="O29" s="297" t="str">
        <f t="shared" si="123"/>
        <v>SOK (Backer)</v>
      </c>
      <c r="P29" s="297" t="str">
        <f t="shared" si="123"/>
        <v>SOK (€/B)</v>
      </c>
      <c r="Q29" s="293" t="str">
        <f t="shared" si="123"/>
        <v>RE (€)</v>
      </c>
      <c r="R29" s="293" t="str">
        <f t="shared" si="123"/>
        <v>RE (Backer)</v>
      </c>
      <c r="S29" s="293" t="str">
        <f t="shared" si="123"/>
        <v>RE (€/B)</v>
      </c>
      <c r="T29" s="293" t="str">
        <f t="shared" si="123"/>
        <v>DGG (€)</v>
      </c>
      <c r="U29" s="293" t="str">
        <f t="shared" si="123"/>
        <v>DGG (Backer)</v>
      </c>
      <c r="V29" s="293" t="str">
        <f t="shared" si="123"/>
        <v>DGG (€/B)</v>
      </c>
      <c r="W29" s="298" t="str">
        <f t="shared" si="123"/>
        <v>DSK SV (€)</v>
      </c>
      <c r="X29" s="299" t="str">
        <f t="shared" si="123"/>
        <v>DSK SV (Backer)</v>
      </c>
      <c r="Y29" s="300" t="str">
        <f t="shared" si="123"/>
        <v>DSK SV (€/B)</v>
      </c>
      <c r="Z29" s="296" t="str">
        <f t="shared" si="123"/>
        <v>WW (€)</v>
      </c>
      <c r="AA29" s="297" t="str">
        <f t="shared" si="123"/>
        <v>WW (Backer)</v>
      </c>
      <c r="AB29" s="297" t="str">
        <f t="shared" si="123"/>
        <v>WW (€/B)</v>
      </c>
      <c r="AC29" s="298" t="str">
        <f t="shared" si="123"/>
        <v>DSK R (€)</v>
      </c>
      <c r="AD29" s="299" t="str">
        <f t="shared" si="123"/>
        <v>DSK R (Backer)</v>
      </c>
      <c r="AE29" s="300" t="str">
        <f t="shared" si="123"/>
        <v>DSK R (€/B)</v>
      </c>
      <c r="AF29" s="293" t="str">
        <f t="shared" si="123"/>
        <v>Ära (€)</v>
      </c>
      <c r="AG29" s="293" t="str">
        <f t="shared" si="123"/>
        <v>Ära (Backer)</v>
      </c>
      <c r="AH29" s="293" t="str">
        <f t="shared" si="123"/>
        <v>Ära (€/B)</v>
      </c>
      <c r="AI29" s="293" t="str">
        <f t="shared" si="123"/>
        <v>Mosaik (€)</v>
      </c>
      <c r="AJ29" s="293" t="str">
        <f t="shared" si="123"/>
        <v>Mosaik (Backer)</v>
      </c>
      <c r="AK29" s="293" t="str">
        <f t="shared" si="123"/>
        <v>Mosaik (€/B)</v>
      </c>
      <c r="AL29" s="298" t="str">
        <f t="shared" si="123"/>
        <v>DSK ES (€)</v>
      </c>
      <c r="AM29" s="299" t="str">
        <f t="shared" si="123"/>
        <v>DSK ES (Backer)</v>
      </c>
      <c r="AN29" s="300" t="str">
        <f t="shared" si="123"/>
        <v>DSK ES (€/B)</v>
      </c>
      <c r="AO29" s="296" t="str">
        <f t="shared" si="123"/>
        <v>ES (€)</v>
      </c>
      <c r="AP29" s="297" t="str">
        <f t="shared" si="123"/>
        <v>ES (Backer)</v>
      </c>
      <c r="AQ29" s="424" t="str">
        <f t="shared" si="123"/>
        <v>ES (€/B)</v>
      </c>
      <c r="AR29" s="296" t="str">
        <f t="shared" si="123"/>
        <v>WF (€)</v>
      </c>
      <c r="AS29" s="297" t="str">
        <f t="shared" si="123"/>
        <v>WF(Backer)</v>
      </c>
      <c r="AT29" s="424" t="str">
        <f t="shared" si="123"/>
        <v>WF (€/B)</v>
      </c>
      <c r="AU29" s="291" t="str">
        <f t="shared" si="123"/>
        <v>AKM (€)</v>
      </c>
      <c r="AV29" s="292" t="str">
        <f t="shared" si="123"/>
        <v>AKM(Backer)</v>
      </c>
      <c r="AW29" s="292" t="str">
        <f t="shared" si="123"/>
        <v>AKM (€/B)</v>
      </c>
      <c r="AX29" s="1007" t="s">
        <v>167</v>
      </c>
      <c r="AY29" s="1007"/>
      <c r="AZ29" s="1007"/>
      <c r="BA29" s="1007"/>
      <c r="BH29" s="172" t="s">
        <v>144</v>
      </c>
      <c r="BI29" s="6">
        <f>MIN(BI6:BI11)</f>
        <v>442083.69497049443</v>
      </c>
      <c r="BJ29" s="6">
        <f>MIN(BJ6:BJ11)</f>
        <v>2214.7605633802818</v>
      </c>
      <c r="BK29" s="21">
        <f>BI29/BJ29</f>
        <v>199.60789544480758</v>
      </c>
      <c r="BL29" s="6">
        <f>MAX(BL6:BL11)</f>
        <v>916035.1741539113</v>
      </c>
      <c r="BM29" s="6">
        <f>MAX(BM6:BM11)</f>
        <v>5069.8526315789468</v>
      </c>
      <c r="BN29" s="21">
        <f t="shared" si="109"/>
        <v>180.68280100453782</v>
      </c>
      <c r="BO29" s="3">
        <f>AVERAGE(BI29,BL29)</f>
        <v>679059.43456220289</v>
      </c>
      <c r="BP29" s="3">
        <f>AVERAGE(BJ29,BM29)</f>
        <v>3642.3065974796145</v>
      </c>
      <c r="BQ29" s="21">
        <f t="shared" ref="BQ29" si="124">BO29/BP29</f>
        <v>186.43664842275911</v>
      </c>
      <c r="BR29" s="3"/>
      <c r="BS29" s="3"/>
      <c r="BT29" s="21"/>
      <c r="BU29" s="172"/>
      <c r="BV29" s="172"/>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row>
    <row r="30" spans="1:142" ht="15.75" hidden="1" outlineLevel="1" thickBot="1" x14ac:dyDescent="0.3">
      <c r="A30" s="409">
        <v>0</v>
      </c>
      <c r="B30" s="288">
        <v>0</v>
      </c>
      <c r="C30" s="288">
        <v>0</v>
      </c>
      <c r="D30" s="371"/>
      <c r="E30" s="288">
        <v>0</v>
      </c>
      <c r="F30" s="288">
        <v>0</v>
      </c>
      <c r="G30" s="371"/>
      <c r="H30" s="288">
        <v>0</v>
      </c>
      <c r="I30" s="288">
        <v>0</v>
      </c>
      <c r="J30" s="288"/>
      <c r="K30" s="288">
        <v>0</v>
      </c>
      <c r="L30" s="288">
        <v>0</v>
      </c>
      <c r="M30" s="334"/>
      <c r="N30" s="334">
        <v>0</v>
      </c>
      <c r="O30" s="334">
        <v>0</v>
      </c>
      <c r="P30" s="334"/>
      <c r="Q30" s="288">
        <v>0</v>
      </c>
      <c r="R30" s="288">
        <v>0</v>
      </c>
      <c r="S30" s="288"/>
      <c r="T30" s="288">
        <v>0</v>
      </c>
      <c r="U30" s="288">
        <v>0</v>
      </c>
      <c r="V30" s="288"/>
      <c r="W30" s="288">
        <v>0</v>
      </c>
      <c r="X30" s="288">
        <v>0</v>
      </c>
      <c r="Y30" s="288"/>
      <c r="Z30" s="288">
        <v>0</v>
      </c>
      <c r="AA30" s="288">
        <v>0</v>
      </c>
      <c r="AB30" s="288"/>
      <c r="AC30" s="288">
        <v>0</v>
      </c>
      <c r="AD30" s="288">
        <v>0</v>
      </c>
      <c r="AE30" s="288"/>
      <c r="AF30" s="288">
        <v>0</v>
      </c>
      <c r="AG30" s="288">
        <v>0</v>
      </c>
      <c r="AH30" s="288"/>
      <c r="AI30" s="288">
        <v>0</v>
      </c>
      <c r="AJ30" s="288">
        <v>0</v>
      </c>
      <c r="AK30" s="288"/>
      <c r="AL30" s="288">
        <v>0</v>
      </c>
      <c r="AM30" s="288">
        <v>0</v>
      </c>
      <c r="AN30" s="288"/>
      <c r="AO30" s="345">
        <v>0</v>
      </c>
      <c r="AP30" s="345">
        <v>0</v>
      </c>
      <c r="AQ30" s="343"/>
      <c r="AR30" s="345">
        <v>0</v>
      </c>
      <c r="AS30" s="345">
        <v>0</v>
      </c>
      <c r="AT30" s="343"/>
      <c r="AU30" s="345">
        <v>0</v>
      </c>
      <c r="AV30" s="345">
        <v>0</v>
      </c>
      <c r="AW30" s="343"/>
      <c r="AX30" s="343">
        <f>AVERAGE(B30,E30,H30,K30,N30,Q30,T30,W30,Z30,AC30,AI30,AO30,AR30)</f>
        <v>0</v>
      </c>
      <c r="AY30" s="343">
        <f>AVERAGE(C30,F30,I30,L30,O30,R30,U30,X30,AA30,AD30,AJ30,AP30,AS30)</f>
        <v>0</v>
      </c>
      <c r="AZ30" s="343"/>
      <c r="BG30" s="172"/>
      <c r="BU30" s="172"/>
      <c r="BV30" s="172"/>
      <c r="BW30" s="172"/>
      <c r="BX30" s="172"/>
      <c r="BY30" s="172"/>
      <c r="BZ30" s="172"/>
      <c r="CA30" s="172"/>
      <c r="CB30" s="172"/>
      <c r="CC30" s="172"/>
      <c r="CD30" s="172"/>
      <c r="CE30" s="172"/>
      <c r="CF30" s="172"/>
      <c r="CG30" s="172"/>
      <c r="CH30" s="172"/>
      <c r="CI30" s="172"/>
      <c r="CJ30" s="172"/>
      <c r="CK30" s="172"/>
      <c r="CL30" s="172"/>
      <c r="CM30" s="172"/>
      <c r="CN30" s="172"/>
      <c r="CO30" s="172"/>
      <c r="CP30" s="172"/>
      <c r="CQ30" s="172"/>
      <c r="CR30" s="172"/>
      <c r="CS30" s="172"/>
      <c r="CT30" s="172"/>
      <c r="CU30" s="172"/>
      <c r="CV30" s="172"/>
      <c r="CW30" s="172"/>
      <c r="CX30" s="172"/>
      <c r="CY30" s="172"/>
      <c r="CZ30" s="172"/>
      <c r="DA30" s="172"/>
      <c r="DB30" s="172"/>
      <c r="DC30" s="172"/>
      <c r="DD30" s="172"/>
      <c r="DE30" s="172"/>
      <c r="DF30" s="172"/>
      <c r="DG30" s="172"/>
      <c r="DH30" s="172"/>
      <c r="DI30" s="172"/>
      <c r="DJ30" s="172"/>
      <c r="DK30" s="172"/>
      <c r="DL30" s="172"/>
      <c r="DM30" s="172"/>
      <c r="DN30" s="172"/>
      <c r="DO30" s="172"/>
      <c r="DP30" s="172"/>
      <c r="DQ30" s="172"/>
      <c r="DR30" s="172"/>
      <c r="DS30" s="172"/>
      <c r="DT30" s="172"/>
      <c r="DU30" s="172"/>
      <c r="DV30" s="172"/>
      <c r="DW30" s="172"/>
    </row>
    <row r="31" spans="1:142" ht="15.75" hidden="1" outlineLevel="1" thickBot="1" x14ac:dyDescent="0.3">
      <c r="A31" s="409">
        <v>1</v>
      </c>
      <c r="B31" s="288">
        <f t="shared" ref="B31:C51" si="125">B6/B$26</f>
        <v>0.23692357045472773</v>
      </c>
      <c r="C31" s="288">
        <f t="shared" si="125"/>
        <v>0.21037463976945245</v>
      </c>
      <c r="D31" s="371"/>
      <c r="E31" s="288">
        <f t="shared" ref="E31:AG31" si="126">E6/E$26</f>
        <v>0.25446248118054376</v>
      </c>
      <c r="F31" s="288">
        <f t="shared" si="126"/>
        <v>0.23677248677248677</v>
      </c>
      <c r="G31" s="371"/>
      <c r="H31" s="334">
        <f t="shared" si="126"/>
        <v>0.29429074975342379</v>
      </c>
      <c r="I31" s="334">
        <f t="shared" si="126"/>
        <v>0.29635258358662614</v>
      </c>
      <c r="J31" s="334"/>
      <c r="K31" s="288">
        <f t="shared" si="126"/>
        <v>0.21793290440155128</v>
      </c>
      <c r="L31" s="288">
        <f t="shared" si="126"/>
        <v>0.23138832997987926</v>
      </c>
      <c r="M31" s="368"/>
      <c r="N31" s="333">
        <f t="shared" si="126"/>
        <v>0.37533932582389773</v>
      </c>
      <c r="O31" s="333">
        <f t="shared" si="126"/>
        <v>0.37560096153846156</v>
      </c>
      <c r="P31" s="368"/>
      <c r="Q31" s="288">
        <f t="shared" si="126"/>
        <v>0.212457139052565</v>
      </c>
      <c r="R31" s="288">
        <f t="shared" si="126"/>
        <v>0.20566948130277443</v>
      </c>
      <c r="S31" s="334"/>
      <c r="T31" s="334">
        <f t="shared" si="126"/>
        <v>0.33040660242838005</v>
      </c>
      <c r="U31" s="334">
        <f t="shared" si="126"/>
        <v>0.32512820512820512</v>
      </c>
      <c r="V31" s="334"/>
      <c r="W31" s="288">
        <f t="shared" si="126"/>
        <v>0.23216317878953724</v>
      </c>
      <c r="X31" s="288">
        <f t="shared" si="126"/>
        <v>0.21085271317829457</v>
      </c>
      <c r="Y31" s="334"/>
      <c r="Z31" s="334">
        <f t="shared" si="126"/>
        <v>0.29954536347804644</v>
      </c>
      <c r="AA31" s="334">
        <f t="shared" si="126"/>
        <v>0.29107142857142859</v>
      </c>
      <c r="AB31" s="334"/>
      <c r="AC31" s="288">
        <f t="shared" si="126"/>
        <v>0.23055065107040387</v>
      </c>
      <c r="AD31" s="288">
        <f t="shared" si="126"/>
        <v>0.24907063197026022</v>
      </c>
      <c r="AE31" s="288"/>
      <c r="AF31" s="288">
        <f t="shared" si="126"/>
        <v>0.15888034218899844</v>
      </c>
      <c r="AG31" s="288">
        <f t="shared" si="126"/>
        <v>0.15845070422535212</v>
      </c>
      <c r="AH31" s="334"/>
      <c r="AI31" s="288">
        <f t="shared" ref="AI31:AJ31" si="127">AI6/AI$26</f>
        <v>0.30887479624495817</v>
      </c>
      <c r="AJ31" s="288">
        <f t="shared" si="127"/>
        <v>0.2999135695764909</v>
      </c>
      <c r="AK31" s="334"/>
      <c r="AL31" s="288">
        <f t="shared" ref="AL31:AM31" si="128">AL6/AL$26</f>
        <v>0.27545627285356156</v>
      </c>
      <c r="AM31" s="288">
        <f t="shared" si="128"/>
        <v>0.2847058823529412</v>
      </c>
      <c r="AN31" s="334"/>
      <c r="AO31" s="346">
        <f>AO6/AO$26</f>
        <v>0.28716166800477166</v>
      </c>
      <c r="AP31" s="346">
        <f>AP6/AP$26</f>
        <v>0.26975476839237056</v>
      </c>
      <c r="AQ31" s="343"/>
      <c r="AR31" s="346">
        <f>AR6/AR$26</f>
        <v>0.34307235591359936</v>
      </c>
      <c r="AS31" s="346">
        <f>AS6/AS$26</f>
        <v>0.32600258732212162</v>
      </c>
      <c r="AT31" s="343"/>
      <c r="AU31" s="346">
        <f>AU6/AU$26</f>
        <v>0.32721378729366507</v>
      </c>
      <c r="AV31" s="346">
        <f>AV6/AV$26</f>
        <v>0.3467711832773423</v>
      </c>
      <c r="AW31" s="343"/>
      <c r="AX31" s="417">
        <f t="shared" ref="AX31:AX51" si="129">AVERAGE(B31,E31,H31,K31,N31,Q31,T31,W31,Z31,AC31,AI31,AO31,AR31)</f>
        <v>0.27870621435356968</v>
      </c>
      <c r="AY31" s="417">
        <f t="shared" ref="AY31:AY51" si="130">AVERAGE(C31,F31,I31,L31,O31,R31,U31,X31,AA31,AD31,AJ31,AP31,AS31)</f>
        <v>0.27138095285298863</v>
      </c>
      <c r="AZ31" s="418" t="s">
        <v>241</v>
      </c>
      <c r="BA31" s="419" t="s">
        <v>35</v>
      </c>
      <c r="BG31" s="172"/>
      <c r="BU31" s="172"/>
      <c r="BV31" s="408" t="s">
        <v>36</v>
      </c>
      <c r="BW31" s="420">
        <f>BW6-BW7</f>
        <v>0.56714438496741826</v>
      </c>
      <c r="BX31" s="420">
        <f t="shared" ref="BX31:DB40" si="131">BX6-BX7</f>
        <v>0.5534012674271227</v>
      </c>
      <c r="BY31" s="420">
        <f t="shared" si="131"/>
        <v>0.65290139279430015</v>
      </c>
      <c r="BZ31" s="420">
        <f t="shared" si="131"/>
        <v>0.63046277090336922</v>
      </c>
      <c r="CA31" s="420">
        <f t="shared" si="131"/>
        <v>0.69997739262496683</v>
      </c>
      <c r="CB31" s="420">
        <f t="shared" si="131"/>
        <v>0.74107151158663909</v>
      </c>
      <c r="CC31" s="420">
        <f t="shared" ref="CC31:CD46" si="132">CC6-CC7</f>
        <v>8.5757007826881892E-2</v>
      </c>
      <c r="CD31" s="420">
        <f t="shared" si="132"/>
        <v>7.7061503476246518E-2</v>
      </c>
      <c r="CE31" s="420">
        <f t="shared" si="131"/>
        <v>0.50178927845890176</v>
      </c>
      <c r="CF31" s="420">
        <f t="shared" si="131"/>
        <v>0.52171734046107598</v>
      </c>
      <c r="CG31" s="420">
        <f t="shared" si="131"/>
        <v>0.48287936747874571</v>
      </c>
      <c r="CH31" s="420">
        <f t="shared" si="131"/>
        <v>0.55356077452947883</v>
      </c>
      <c r="CI31" s="420">
        <f t="shared" si="131"/>
        <v>0.49840096316239579</v>
      </c>
      <c r="CJ31" s="420">
        <f t="shared" si="131"/>
        <v>0.55032463959502564</v>
      </c>
      <c r="CK31" s="420">
        <f t="shared" si="131"/>
        <v>0.92025744577694946</v>
      </c>
      <c r="CL31" s="420">
        <f t="shared" si="131"/>
        <v>0.89415292353823128</v>
      </c>
      <c r="CM31" s="420">
        <f t="shared" si="131"/>
        <v>0.56714438496741826</v>
      </c>
      <c r="CN31" s="420">
        <f t="shared" si="131"/>
        <v>0.5534012674271227</v>
      </c>
      <c r="CO31" s="420">
        <f t="shared" si="131"/>
        <v>0.65290139279430015</v>
      </c>
      <c r="CP31" s="420">
        <f t="shared" si="131"/>
        <v>0.7582096919369361</v>
      </c>
      <c r="CQ31" s="420">
        <f t="shared" si="131"/>
        <v>0.71682410921846396</v>
      </c>
      <c r="CR31" s="420">
        <f t="shared" si="131"/>
        <v>0.73758028277693288</v>
      </c>
      <c r="CS31" s="420">
        <f t="shared" si="131"/>
        <v>0.75619851541744021</v>
      </c>
      <c r="CT31" s="420">
        <f t="shared" si="131"/>
        <v>0.99264705882352899</v>
      </c>
      <c r="CU31" s="420">
        <f t="shared" si="131"/>
        <v>0.66579195539816372</v>
      </c>
      <c r="CV31" s="420">
        <f t="shared" si="131"/>
        <v>0.71713622014414202</v>
      </c>
      <c r="CW31" s="420">
        <f t="shared" si="131"/>
        <v>1.1669702233533958</v>
      </c>
      <c r="CX31" s="420">
        <f t="shared" si="131"/>
        <v>0.99245346302196902</v>
      </c>
      <c r="CY31" s="420">
        <f t="shared" si="131"/>
        <v>1.8135421832565433</v>
      </c>
      <c r="CZ31" s="420">
        <f t="shared" si="131"/>
        <v>1.8736111111111109</v>
      </c>
      <c r="DA31" s="420">
        <f t="shared" si="131"/>
        <v>0.8840911593380496</v>
      </c>
      <c r="DB31" s="420">
        <f t="shared" si="131"/>
        <v>0.93884881355123184</v>
      </c>
      <c r="DC31" s="420"/>
      <c r="DD31" s="420"/>
      <c r="DE31" s="420">
        <f t="shared" ref="DC31:DF46" si="133">DE6-DE7</f>
        <v>0.7709828386840476</v>
      </c>
      <c r="DF31" s="420">
        <f t="shared" si="133"/>
        <v>0.86210946676062949</v>
      </c>
      <c r="DG31" s="420">
        <f t="shared" ref="DG31:DH31" si="134">DG6-DG7</f>
        <v>0.51547447007629854</v>
      </c>
      <c r="DH31" s="420">
        <f t="shared" si="134"/>
        <v>0.56178770805999356</v>
      </c>
      <c r="DI31" s="172"/>
      <c r="DJ31" s="172"/>
      <c r="DK31" s="172"/>
      <c r="DL31" s="172"/>
      <c r="DM31" s="172"/>
      <c r="DN31" s="172"/>
      <c r="DO31" s="172"/>
      <c r="DP31" s="172"/>
      <c r="DQ31" s="172"/>
      <c r="DR31" s="172"/>
      <c r="DS31" s="172"/>
      <c r="DT31" s="172"/>
      <c r="DU31" s="172"/>
      <c r="DV31" s="172"/>
      <c r="DW31" s="172"/>
    </row>
    <row r="32" spans="1:142" ht="15.75" hidden="1" outlineLevel="1" thickBot="1" x14ac:dyDescent="0.3">
      <c r="A32" s="366">
        <v>2</v>
      </c>
      <c r="B32" s="287">
        <f t="shared" si="125"/>
        <v>0.2688908493062796</v>
      </c>
      <c r="C32" s="287">
        <f t="shared" si="125"/>
        <v>0.23631123919308358</v>
      </c>
      <c r="D32" s="372"/>
      <c r="E32" s="287">
        <f t="shared" ref="E32:AG32" si="135">E7/E$26</f>
        <v>0.29010960685643317</v>
      </c>
      <c r="F32" s="287">
        <f t="shared" si="135"/>
        <v>0.2724867724867725</v>
      </c>
      <c r="G32" s="372"/>
      <c r="H32" s="336">
        <f t="shared" si="135"/>
        <v>0.34487525668181157</v>
      </c>
      <c r="I32" s="336">
        <f t="shared" si="135"/>
        <v>0.35410334346504557</v>
      </c>
      <c r="J32" s="383"/>
      <c r="K32" s="287">
        <f t="shared" si="135"/>
        <v>0.27260503828160593</v>
      </c>
      <c r="L32" s="287">
        <f t="shared" si="135"/>
        <v>0.29175050301810868</v>
      </c>
      <c r="M32" s="332"/>
      <c r="N32" s="332">
        <f t="shared" si="135"/>
        <v>0.47684637167105159</v>
      </c>
      <c r="O32" s="332">
        <f t="shared" si="135"/>
        <v>0.47415865384615385</v>
      </c>
      <c r="P32" s="332"/>
      <c r="Q32" s="287">
        <f t="shared" si="135"/>
        <v>0.24667419534092858</v>
      </c>
      <c r="R32" s="287">
        <f t="shared" si="135"/>
        <v>0.24366706875753921</v>
      </c>
      <c r="S32" s="383"/>
      <c r="T32" s="336">
        <f t="shared" si="135"/>
        <v>0.4329473274856328</v>
      </c>
      <c r="U32" s="336">
        <f t="shared" si="135"/>
        <v>0.4276923076923077</v>
      </c>
      <c r="V32" s="383"/>
      <c r="W32" s="287">
        <f t="shared" si="135"/>
        <v>0.28160155673121195</v>
      </c>
      <c r="X32" s="287">
        <f t="shared" si="135"/>
        <v>0.26666666666666666</v>
      </c>
      <c r="Y32" s="383"/>
      <c r="Z32" s="336">
        <f t="shared" si="135"/>
        <v>0.37416739870852406</v>
      </c>
      <c r="AA32" s="336">
        <f t="shared" si="135"/>
        <v>0.36785714285714288</v>
      </c>
      <c r="AB32" s="383"/>
      <c r="AC32" s="331">
        <f t="shared" si="135"/>
        <v>0.3154105054071949</v>
      </c>
      <c r="AD32" s="331">
        <f t="shared" si="135"/>
        <v>0.33085501858736061</v>
      </c>
      <c r="AE32" s="331"/>
      <c r="AF32" s="287">
        <f t="shared" si="135"/>
        <v>0.22318924319574351</v>
      </c>
      <c r="AG32" s="287">
        <f t="shared" si="135"/>
        <v>0.22535211267605634</v>
      </c>
      <c r="AH32" s="383"/>
      <c r="AI32" s="336">
        <f t="shared" ref="AI32:AJ32" si="136">AI7/AI$26</f>
        <v>0.42490511261556035</v>
      </c>
      <c r="AJ32" s="336">
        <f t="shared" si="136"/>
        <v>0.41745894554883317</v>
      </c>
      <c r="AK32" s="383"/>
      <c r="AL32" s="425"/>
      <c r="AM32" s="425"/>
      <c r="AN32" s="383"/>
      <c r="AO32" s="346">
        <f t="shared" ref="AO32:AP32" si="137">AO7/AO$26</f>
        <v>0.36881641090983558</v>
      </c>
      <c r="AP32" s="346">
        <f t="shared" si="137"/>
        <v>0.35149863760217986</v>
      </c>
      <c r="AQ32" s="387"/>
      <c r="AR32" s="346">
        <f t="shared" ref="AR32:AS32" si="138">AR7/AR$26</f>
        <v>0.41677736628474421</v>
      </c>
      <c r="AS32" s="346">
        <f t="shared" si="138"/>
        <v>0.39909443725743854</v>
      </c>
      <c r="AT32" s="387"/>
      <c r="AU32" s="346">
        <f t="shared" ref="AU32:AV32" si="139">AU7/AU$26</f>
        <v>0.37752259085308687</v>
      </c>
      <c r="AV32" s="346">
        <f t="shared" si="139"/>
        <v>0.3964165733482643</v>
      </c>
      <c r="AW32" s="387"/>
      <c r="AX32" s="343">
        <f t="shared" si="129"/>
        <v>0.3472789997139088</v>
      </c>
      <c r="AY32" s="343">
        <f t="shared" si="130"/>
        <v>0.34104621053681794</v>
      </c>
      <c r="AZ32" s="343"/>
      <c r="BA32" s="12"/>
      <c r="BH32" s="172"/>
      <c r="BI32" s="172"/>
      <c r="BJ32" s="172"/>
      <c r="BK32" s="172"/>
      <c r="BL32" s="172"/>
      <c r="BM32" s="172"/>
      <c r="BN32" s="172"/>
      <c r="BO32" s="172"/>
      <c r="BP32" s="172"/>
      <c r="BQ32" s="172"/>
      <c r="BR32" s="172"/>
      <c r="BS32" s="172"/>
      <c r="BT32" s="172"/>
      <c r="BV32" s="408" t="s">
        <v>41</v>
      </c>
      <c r="BW32" s="420">
        <f t="shared" ref="BW32:CN50" si="140">BW7-BW8</f>
        <v>0.14576515772748189</v>
      </c>
      <c r="BX32" s="420">
        <f t="shared" si="140"/>
        <v>0.15594708938038893</v>
      </c>
      <c r="BY32" s="420">
        <f t="shared" si="140"/>
        <v>0.526432301711937</v>
      </c>
      <c r="BZ32" s="420">
        <f t="shared" si="140"/>
        <v>0.37615176151761487</v>
      </c>
      <c r="CA32" s="420">
        <f t="shared" si="140"/>
        <v>0.32202630381912689</v>
      </c>
      <c r="CB32" s="420">
        <f t="shared" si="140"/>
        <v>0.33384000803377623</v>
      </c>
      <c r="CC32" s="420">
        <f t="shared" ref="CC32:CD32" si="141">CC7-CC8</f>
        <v>0.38066714398445511</v>
      </c>
      <c r="CD32" s="420">
        <f t="shared" si="141"/>
        <v>0.22020467213722594</v>
      </c>
      <c r="CE32" s="420">
        <f t="shared" si="140"/>
        <v>0.19148313039357223</v>
      </c>
      <c r="CF32" s="420">
        <f t="shared" si="140"/>
        <v>0.37615176151761487</v>
      </c>
      <c r="CG32" s="420">
        <f t="shared" si="140"/>
        <v>0.28003738410396872</v>
      </c>
      <c r="CH32" s="420">
        <f t="shared" si="140"/>
        <v>0.29490291262135937</v>
      </c>
      <c r="CI32" s="420">
        <f t="shared" si="140"/>
        <v>0.16741881849072193</v>
      </c>
      <c r="CJ32" s="420">
        <f t="shared" si="140"/>
        <v>0.17080852831233573</v>
      </c>
      <c r="CK32" s="420">
        <f t="shared" si="140"/>
        <v>0.41613340795011267</v>
      </c>
      <c r="CL32" s="420">
        <f t="shared" si="140"/>
        <v>0.3596849723286506</v>
      </c>
      <c r="CM32" s="420">
        <f t="shared" si="140"/>
        <v>0.14576515772748189</v>
      </c>
      <c r="CN32" s="420">
        <f t="shared" si="140"/>
        <v>0.15594708938038893</v>
      </c>
      <c r="CO32" s="420">
        <f t="shared" si="131"/>
        <v>0.66255234368643512</v>
      </c>
      <c r="CP32" s="420">
        <f t="shared" si="131"/>
        <v>0.649793729372937</v>
      </c>
      <c r="CQ32" s="420">
        <f t="shared" si="131"/>
        <v>0.21513318295937944</v>
      </c>
      <c r="CR32" s="420">
        <f t="shared" si="131"/>
        <v>0.20930853570418773</v>
      </c>
      <c r="CS32" s="420">
        <f t="shared" si="131"/>
        <v>0.53697727553767161</v>
      </c>
      <c r="CT32" s="420">
        <f t="shared" si="131"/>
        <v>0.50879396984924607</v>
      </c>
      <c r="CU32" s="420">
        <f t="shared" si="131"/>
        <v>0.41702654399980776</v>
      </c>
      <c r="CV32" s="420">
        <f t="shared" si="131"/>
        <v>0.42022498771466132</v>
      </c>
      <c r="CW32" s="420">
        <f t="shared" si="131"/>
        <v>0.41564548092379372</v>
      </c>
      <c r="CX32" s="420">
        <f t="shared" si="131"/>
        <v>0.35910557347869609</v>
      </c>
      <c r="CY32" s="420">
        <f t="shared" si="131"/>
        <v>0.67505145583312265</v>
      </c>
      <c r="CZ32" s="420">
        <f t="shared" si="131"/>
        <v>0.66341362126245862</v>
      </c>
      <c r="DA32" s="420">
        <f t="shared" si="131"/>
        <v>0.21709489770833779</v>
      </c>
      <c r="DB32" s="420">
        <f t="shared" si="131"/>
        <v>0.23686304502333044</v>
      </c>
      <c r="DC32" s="420"/>
      <c r="DD32" s="420"/>
      <c r="DE32" s="420">
        <f t="shared" si="133"/>
        <v>0.2742627746471844</v>
      </c>
      <c r="DF32" s="420">
        <f t="shared" si="133"/>
        <v>0.31392675755145705</v>
      </c>
      <c r="DG32" s="420">
        <f t="shared" ref="DG32:DH32" si="142">DG7-DG8</f>
        <v>0.24681155152017897</v>
      </c>
      <c r="DH32" s="420">
        <f t="shared" si="142"/>
        <v>0.28440824158423217</v>
      </c>
      <c r="DI32" s="171"/>
      <c r="DJ32" s="171"/>
      <c r="DK32" s="171"/>
      <c r="DL32" s="171"/>
      <c r="DM32" s="171"/>
      <c r="DN32" s="171"/>
      <c r="DO32" s="171"/>
      <c r="DP32" s="171"/>
      <c r="DQ32" s="171"/>
      <c r="DR32" s="171"/>
      <c r="DS32" s="171"/>
      <c r="DT32" s="171"/>
      <c r="DU32" s="171"/>
      <c r="DV32" s="171"/>
      <c r="DW32" s="171"/>
    </row>
    <row r="33" spans="1:127" ht="15.75" hidden="1" outlineLevel="1" thickBot="1" x14ac:dyDescent="0.3">
      <c r="A33" s="366">
        <v>3</v>
      </c>
      <c r="B33" s="288">
        <f t="shared" si="125"/>
        <v>0.2834870478787393</v>
      </c>
      <c r="C33" s="288">
        <f t="shared" si="125"/>
        <v>0.25936599423631124</v>
      </c>
      <c r="D33" s="371"/>
      <c r="E33" s="334">
        <f t="shared" ref="E33:AG33" si="143">E8/E$26</f>
        <v>0.31576264931078318</v>
      </c>
      <c r="F33" s="288">
        <f t="shared" si="143"/>
        <v>0.29629629629629628</v>
      </c>
      <c r="G33" s="371"/>
      <c r="H33" s="335">
        <f t="shared" si="143"/>
        <v>0.36600805212864002</v>
      </c>
      <c r="I33" s="335">
        <f t="shared" si="143"/>
        <v>0.37689969604863222</v>
      </c>
      <c r="J33" s="368"/>
      <c r="K33" s="334">
        <f t="shared" si="143"/>
        <v>0.30748630418597417</v>
      </c>
      <c r="L33" s="334">
        <f t="shared" si="143"/>
        <v>0.32595573440643866</v>
      </c>
      <c r="M33" s="334"/>
      <c r="N33" s="288">
        <f t="shared" si="143"/>
        <v>0.51246669483053575</v>
      </c>
      <c r="O33" s="288">
        <f t="shared" si="143"/>
        <v>0.51201923076923073</v>
      </c>
      <c r="P33" s="288"/>
      <c r="Q33" s="288">
        <f t="shared" si="143"/>
        <v>0.29486539293789871</v>
      </c>
      <c r="R33" s="288">
        <f t="shared" si="143"/>
        <v>0.28950542822677927</v>
      </c>
      <c r="S33" s="335"/>
      <c r="T33" s="335">
        <f t="shared" si="143"/>
        <v>0.47741433694853735</v>
      </c>
      <c r="U33" s="335">
        <f t="shared" si="143"/>
        <v>0.46974358974358976</v>
      </c>
      <c r="V33" s="368"/>
      <c r="W33" s="334">
        <f t="shared" si="143"/>
        <v>0.33176965242848333</v>
      </c>
      <c r="X33" s="334">
        <f t="shared" si="143"/>
        <v>0.30852713178294572</v>
      </c>
      <c r="Y33" s="368"/>
      <c r="Z33" s="335">
        <f t="shared" si="143"/>
        <v>0.44334612480157815</v>
      </c>
      <c r="AA33" s="335">
        <f t="shared" si="143"/>
        <v>0.43511904761904763</v>
      </c>
      <c r="AB33" s="368"/>
      <c r="AC33" s="333">
        <f t="shared" si="143"/>
        <v>0.3629993378945045</v>
      </c>
      <c r="AD33" s="333">
        <f t="shared" si="143"/>
        <v>0.37546468401486988</v>
      </c>
      <c r="AE33" s="368"/>
      <c r="AF33" s="288">
        <f t="shared" si="143"/>
        <v>0.26278092761787825</v>
      </c>
      <c r="AG33" s="288">
        <f t="shared" si="143"/>
        <v>0.26496478873239437</v>
      </c>
      <c r="AH33" s="335"/>
      <c r="AI33" s="288">
        <f t="shared" ref="AI33:AJ33" si="144">AI8/AI$26</f>
        <v>0.46808333432484206</v>
      </c>
      <c r="AJ33" s="288">
        <f t="shared" si="144"/>
        <v>0.46326707000864303</v>
      </c>
      <c r="AK33" s="335"/>
      <c r="AL33" s="426"/>
      <c r="AM33" s="426"/>
      <c r="AN33" s="335"/>
      <c r="AO33" s="346">
        <f t="shared" ref="AO33:AP33" si="145">AO8/AO$26</f>
        <v>0.4103215027515123</v>
      </c>
      <c r="AP33" s="346">
        <f t="shared" si="145"/>
        <v>0.39509536784741145</v>
      </c>
      <c r="AQ33" s="343"/>
      <c r="AR33" s="346">
        <f t="shared" ref="AR33:AS33" si="146">AR8/AR$26</f>
        <v>0.46456506979689871</v>
      </c>
      <c r="AS33" s="346">
        <f t="shared" si="146"/>
        <v>0.45019404915912031</v>
      </c>
      <c r="AT33" s="343"/>
      <c r="AU33" s="346">
        <f t="shared" ref="AU33:AV33" si="147">AU8/AU$26</f>
        <v>0.40414322442805489</v>
      </c>
      <c r="AV33" s="346">
        <f t="shared" si="147"/>
        <v>0.42329227323628221</v>
      </c>
      <c r="AW33" s="343"/>
      <c r="AX33" s="344">
        <f t="shared" si="129"/>
        <v>0.38758273078607136</v>
      </c>
      <c r="AY33" s="344">
        <f t="shared" si="130"/>
        <v>0.38134256308917813</v>
      </c>
      <c r="AZ33" s="416" t="s">
        <v>240</v>
      </c>
      <c r="BA33" s="12" t="s">
        <v>41</v>
      </c>
      <c r="BV33" s="408" t="s">
        <v>48</v>
      </c>
      <c r="BW33" s="489">
        <f t="shared" si="140"/>
        <v>7.7760854254784295E-2</v>
      </c>
      <c r="BX33" s="490">
        <f t="shared" si="131"/>
        <v>8.5487108961287417E-2</v>
      </c>
      <c r="BY33" s="490">
        <f t="shared" si="131"/>
        <v>0.22550130341431895</v>
      </c>
      <c r="BZ33" s="490">
        <f t="shared" si="131"/>
        <v>0.2029239766081874</v>
      </c>
      <c r="CA33" s="490">
        <f t="shared" si="131"/>
        <v>0.19785247429252362</v>
      </c>
      <c r="CB33" s="490">
        <f t="shared" si="131"/>
        <v>0.20418512718304793</v>
      </c>
      <c r="CC33" s="490">
        <f t="shared" si="132"/>
        <v>0.14774044915953466</v>
      </c>
      <c r="CD33" s="491">
        <f t="shared" si="132"/>
        <v>0.11743686764689998</v>
      </c>
      <c r="CE33" s="420">
        <f t="shared" si="131"/>
        <v>0.22550130341431895</v>
      </c>
      <c r="CF33" s="420">
        <f t="shared" si="131"/>
        <v>0.2029239766081874</v>
      </c>
      <c r="CG33" s="420">
        <f t="shared" si="131"/>
        <v>0.32016350219800582</v>
      </c>
      <c r="CH33" s="420">
        <f t="shared" si="131"/>
        <v>0.31427125506072873</v>
      </c>
      <c r="CI33" s="420">
        <f t="shared" si="131"/>
        <v>0.15291139981591595</v>
      </c>
      <c r="CJ33" s="420">
        <f t="shared" si="131"/>
        <v>0.16080156402737078</v>
      </c>
      <c r="CK33" s="420">
        <f t="shared" si="131"/>
        <v>0.2845279831850922</v>
      </c>
      <c r="CL33" s="420">
        <f t="shared" si="131"/>
        <v>0.27576640310722711</v>
      </c>
      <c r="CM33" s="420">
        <f t="shared" si="131"/>
        <v>7.7760854254784295E-2</v>
      </c>
      <c r="CN33" s="420">
        <f t="shared" si="131"/>
        <v>8.5487108961287417E-2</v>
      </c>
      <c r="CO33" s="420">
        <f t="shared" si="131"/>
        <v>0.23790639478991249</v>
      </c>
      <c r="CP33" s="420">
        <f t="shared" si="131"/>
        <v>0.26570512820512793</v>
      </c>
      <c r="CQ33" s="420">
        <f t="shared" si="131"/>
        <v>0.12206174099483103</v>
      </c>
      <c r="CR33" s="420">
        <f t="shared" si="131"/>
        <v>0.12264812119251722</v>
      </c>
      <c r="CS33" s="420">
        <f t="shared" si="131"/>
        <v>0.24680046614751161</v>
      </c>
      <c r="CT33" s="420">
        <f t="shared" si="131"/>
        <v>0.28249043382047878</v>
      </c>
      <c r="CU33" s="420">
        <f t="shared" si="131"/>
        <v>0.18698776056713839</v>
      </c>
      <c r="CV33" s="420">
        <f t="shared" si="131"/>
        <v>0.19031697181805241</v>
      </c>
      <c r="CW33" s="420">
        <f t="shared" si="131"/>
        <v>0.20842624238985019</v>
      </c>
      <c r="CX33" s="420">
        <f t="shared" si="131"/>
        <v>0.21791179117911819</v>
      </c>
      <c r="CY33" s="420">
        <f t="shared" si="131"/>
        <v>0.23671678656948814</v>
      </c>
      <c r="CZ33" s="420">
        <f t="shared" si="131"/>
        <v>0.2570585149604514</v>
      </c>
      <c r="DA33" s="420">
        <f t="shared" si="131"/>
        <v>0.19335803819282038</v>
      </c>
      <c r="DB33" s="420">
        <f t="shared" si="131"/>
        <v>0.1808043117744611</v>
      </c>
      <c r="DC33" s="420"/>
      <c r="DD33" s="420"/>
      <c r="DE33" s="420">
        <f t="shared" si="133"/>
        <v>0.14435641378189112</v>
      </c>
      <c r="DF33" s="420">
        <f t="shared" si="133"/>
        <v>0.17090586539527663</v>
      </c>
      <c r="DG33" s="420">
        <f t="shared" ref="DG33:DH33" si="148">DG8-DG9</f>
        <v>0.17132006607072814</v>
      </c>
      <c r="DH33" s="420">
        <f t="shared" si="148"/>
        <v>0.18437372222979409</v>
      </c>
      <c r="DI33" s="171"/>
      <c r="DJ33" s="171"/>
      <c r="DK33" s="171"/>
      <c r="DL33" s="171"/>
      <c r="DM33" s="171"/>
      <c r="DN33" s="171"/>
      <c r="DO33" s="171"/>
      <c r="DP33" s="171"/>
      <c r="DQ33" s="171"/>
      <c r="DR33" s="171"/>
      <c r="DS33" s="171"/>
      <c r="DT33" s="171"/>
      <c r="DU33" s="171"/>
      <c r="DV33" s="171"/>
      <c r="DW33" s="171"/>
    </row>
    <row r="34" spans="1:127" ht="15.75" hidden="1" outlineLevel="1" thickBot="1" x14ac:dyDescent="0.3">
      <c r="A34" s="366">
        <v>4</v>
      </c>
      <c r="B34" s="331">
        <f t="shared" si="125"/>
        <v>0.30284706071056222</v>
      </c>
      <c r="C34" s="287">
        <f t="shared" si="125"/>
        <v>0.2737752161383285</v>
      </c>
      <c r="D34" s="372"/>
      <c r="E34" s="336">
        <f t="shared" ref="E34:AG34" si="149">E9/E$26</f>
        <v>0.35127503646727321</v>
      </c>
      <c r="F34" s="331">
        <f t="shared" si="149"/>
        <v>0.32671957671957674</v>
      </c>
      <c r="G34" s="372"/>
      <c r="H34" s="287">
        <f t="shared" si="149"/>
        <v>0.38770676023089234</v>
      </c>
      <c r="I34" s="287">
        <f t="shared" si="149"/>
        <v>0.40121580547112462</v>
      </c>
      <c r="J34" s="383"/>
      <c r="K34" s="336">
        <f t="shared" si="149"/>
        <v>0.33696703003633699</v>
      </c>
      <c r="L34" s="336">
        <f t="shared" si="149"/>
        <v>0.35814889336016098</v>
      </c>
      <c r="M34" s="383"/>
      <c r="N34" s="287">
        <f t="shared" si="149"/>
        <v>0.53373599300643726</v>
      </c>
      <c r="O34" s="287">
        <f t="shared" si="149"/>
        <v>0.53545673076923073</v>
      </c>
      <c r="P34" s="331"/>
      <c r="Q34" s="331">
        <f t="shared" si="149"/>
        <v>0.31711083284038444</v>
      </c>
      <c r="R34" s="331">
        <f t="shared" si="149"/>
        <v>0.31363088057901084</v>
      </c>
      <c r="S34" s="331"/>
      <c r="T34" s="287">
        <f t="shared" si="149"/>
        <v>0.50695674718057293</v>
      </c>
      <c r="U34" s="287">
        <f t="shared" si="149"/>
        <v>0.49846153846153846</v>
      </c>
      <c r="V34" s="383"/>
      <c r="W34" s="336">
        <f t="shared" si="149"/>
        <v>0.36135796999470088</v>
      </c>
      <c r="X34" s="336">
        <f t="shared" si="149"/>
        <v>0.33798449612403103</v>
      </c>
      <c r="Y34" s="383"/>
      <c r="Z34" s="287">
        <f t="shared" si="149"/>
        <v>0.48342194892659546</v>
      </c>
      <c r="AA34" s="287">
        <f t="shared" si="149"/>
        <v>0.47440476190476188</v>
      </c>
      <c r="AB34" s="332"/>
      <c r="AC34" s="332">
        <f t="shared" si="149"/>
        <v>0.39271132200397263</v>
      </c>
      <c r="AD34" s="332">
        <f t="shared" si="149"/>
        <v>0.40892193308550184</v>
      </c>
      <c r="AE34" s="332"/>
      <c r="AF34" s="287">
        <f t="shared" si="149"/>
        <v>0.28021138035222032</v>
      </c>
      <c r="AG34" s="287">
        <f t="shared" si="149"/>
        <v>0.28433098591549294</v>
      </c>
      <c r="AH34" s="287"/>
      <c r="AI34" s="287">
        <f t="shared" ref="AI34:AJ34" si="150">AI9/AI$26</f>
        <v>0.51466441395885631</v>
      </c>
      <c r="AJ34" s="287">
        <f t="shared" si="150"/>
        <v>0.5056179775280899</v>
      </c>
      <c r="AK34" s="287"/>
      <c r="AL34" s="427"/>
      <c r="AM34" s="427"/>
      <c r="AN34" s="287"/>
      <c r="AO34" s="346">
        <f t="shared" ref="AO34:AP34" si="151">AO9/AO$26</f>
        <v>0.43615613897656097</v>
      </c>
      <c r="AP34" s="346">
        <f t="shared" si="151"/>
        <v>0.42370572207084467</v>
      </c>
      <c r="AQ34" s="387"/>
      <c r="AR34" s="346">
        <f t="shared" ref="AR34:AS34" si="152">AR9/AR$26</f>
        <v>0.50473672145508308</v>
      </c>
      <c r="AS34" s="346">
        <f t="shared" si="152"/>
        <v>0.4909443725743855</v>
      </c>
      <c r="AT34" s="387"/>
      <c r="AU34" s="346">
        <f t="shared" ref="AU34:AV34" si="153">AU9/AU$26</f>
        <v>0.49488087654914648</v>
      </c>
      <c r="AV34" s="346">
        <f t="shared" si="153"/>
        <v>0.51810377006345654</v>
      </c>
      <c r="AW34" s="387"/>
      <c r="AX34" s="343">
        <f t="shared" si="129"/>
        <v>0.41766522890678676</v>
      </c>
      <c r="AY34" s="343">
        <f t="shared" si="130"/>
        <v>0.41146060806050655</v>
      </c>
      <c r="AZ34" s="343"/>
      <c r="BA34" s="12"/>
      <c r="BV34" s="408" t="s">
        <v>49</v>
      </c>
      <c r="BW34" s="420">
        <f t="shared" si="140"/>
        <v>5.2379440451822523E-2</v>
      </c>
      <c r="BX34" s="420">
        <f t="shared" si="131"/>
        <v>5.4928368653858861E-2</v>
      </c>
      <c r="BY34" s="420">
        <f t="shared" si="131"/>
        <v>0.3436551759959281</v>
      </c>
      <c r="BZ34" s="420">
        <f t="shared" si="131"/>
        <v>0.52650545282124206</v>
      </c>
      <c r="CA34" s="420">
        <f t="shared" si="131"/>
        <v>0.14895715387130126</v>
      </c>
      <c r="CB34" s="420">
        <f t="shared" si="131"/>
        <v>0.16711048886463287</v>
      </c>
      <c r="CC34" s="420">
        <f t="shared" si="132"/>
        <v>0.29127573554410557</v>
      </c>
      <c r="CD34" s="420">
        <f t="shared" si="132"/>
        <v>0.4715770841673832</v>
      </c>
      <c r="CE34" s="420">
        <f t="shared" si="131"/>
        <v>0.45337202469196036</v>
      </c>
      <c r="CF34" s="420">
        <f t="shared" si="131"/>
        <v>0.52650545282124206</v>
      </c>
      <c r="CG34" s="420">
        <f t="shared" si="131"/>
        <v>0.14216946683521492</v>
      </c>
      <c r="CH34" s="420">
        <f t="shared" si="131"/>
        <v>0.19709238130290752</v>
      </c>
      <c r="CI34" s="420">
        <f t="shared" si="131"/>
        <v>0.14257290966122182</v>
      </c>
      <c r="CJ34" s="420">
        <f t="shared" si="131"/>
        <v>0.14242424242424212</v>
      </c>
      <c r="CK34" s="420">
        <f t="shared" si="131"/>
        <v>0.20896632969793583</v>
      </c>
      <c r="CL34" s="420">
        <f t="shared" si="131"/>
        <v>0.19004059062297785</v>
      </c>
      <c r="CM34" s="420">
        <f t="shared" si="131"/>
        <v>5.2379440451822523E-2</v>
      </c>
      <c r="CN34" s="420">
        <f t="shared" si="131"/>
        <v>5.4928368653858861E-2</v>
      </c>
      <c r="CO34" s="420">
        <f t="shared" si="131"/>
        <v>0.19513004264583644</v>
      </c>
      <c r="CP34" s="420">
        <f t="shared" si="131"/>
        <v>0.24874522640480112</v>
      </c>
      <c r="CQ34" s="420">
        <f t="shared" si="131"/>
        <v>4.9867776038700296E-2</v>
      </c>
      <c r="CR34" s="420">
        <f t="shared" si="131"/>
        <v>4.4402215763718056E-2</v>
      </c>
      <c r="CS34" s="420">
        <f t="shared" si="131"/>
        <v>0.1722490408399473</v>
      </c>
      <c r="CT34" s="420">
        <f t="shared" si="131"/>
        <v>0.21403474526644528</v>
      </c>
      <c r="CU34" s="420">
        <f t="shared" si="131"/>
        <v>0.12524495731117846</v>
      </c>
      <c r="CV34" s="420">
        <f t="shared" si="131"/>
        <v>0.12443356802886862</v>
      </c>
      <c r="CW34" s="420">
        <f t="shared" si="131"/>
        <v>0.13228050488324428</v>
      </c>
      <c r="CX34" s="420">
        <f t="shared" si="131"/>
        <v>0.12648902821316588</v>
      </c>
      <c r="CY34" s="420">
        <f t="shared" si="131"/>
        <v>0.27004877130939331</v>
      </c>
      <c r="CZ34" s="420">
        <f t="shared" si="131"/>
        <v>0.28056062730985332</v>
      </c>
      <c r="DA34" s="420">
        <f t="shared" si="131"/>
        <v>7.3890348329762823E-2</v>
      </c>
      <c r="DB34" s="420">
        <f t="shared" si="131"/>
        <v>8.4160756501182155E-2</v>
      </c>
      <c r="DC34" s="420"/>
      <c r="DD34" s="420"/>
      <c r="DE34" s="420">
        <f t="shared" si="133"/>
        <v>0.12026324439710523</v>
      </c>
      <c r="DF34" s="420">
        <f t="shared" si="133"/>
        <v>0.13925115896697493</v>
      </c>
      <c r="DG34" s="420">
        <f t="shared" ref="DG34:DH34" si="154">DG9-DG10</f>
        <v>6.8056914542991453E-2</v>
      </c>
      <c r="DH34" s="420">
        <f t="shared" si="154"/>
        <v>7.9928620269842154E-2</v>
      </c>
      <c r="DI34" s="171"/>
      <c r="DJ34" s="171"/>
      <c r="DK34" s="171"/>
      <c r="DL34" s="171"/>
      <c r="DM34" s="171"/>
      <c r="DN34" s="171"/>
      <c r="DO34" s="171"/>
      <c r="DP34" s="171"/>
      <c r="DQ34" s="171"/>
      <c r="DR34" s="171"/>
      <c r="DS34" s="171"/>
      <c r="DT34" s="171"/>
      <c r="DU34" s="171"/>
      <c r="DV34" s="171"/>
      <c r="DW34" s="171"/>
    </row>
    <row r="35" spans="1:127" ht="15.75" hidden="1" outlineLevel="1" thickBot="1" x14ac:dyDescent="0.3">
      <c r="A35" s="366">
        <v>5</v>
      </c>
      <c r="B35" s="333">
        <f t="shared" si="125"/>
        <v>0.35104659555698131</v>
      </c>
      <c r="C35" s="288">
        <f t="shared" si="125"/>
        <v>0.31988472622478387</v>
      </c>
      <c r="D35" s="371"/>
      <c r="E35" s="335">
        <f t="shared" ref="E35:AG35" si="155">E10/E$26</f>
        <v>0.36974007182148905</v>
      </c>
      <c r="F35" s="333">
        <f t="shared" si="155"/>
        <v>0.34920634920634919</v>
      </c>
      <c r="G35" s="371"/>
      <c r="H35" s="288">
        <f t="shared" si="155"/>
        <v>0.41039177324688342</v>
      </c>
      <c r="I35" s="288">
        <f t="shared" si="155"/>
        <v>0.42553191489361702</v>
      </c>
      <c r="J35" s="335"/>
      <c r="K35" s="335">
        <f t="shared" si="155"/>
        <v>0.36249180473602916</v>
      </c>
      <c r="L35" s="335">
        <f t="shared" si="155"/>
        <v>0.38430583501006038</v>
      </c>
      <c r="M35" s="335"/>
      <c r="N35" s="288">
        <f t="shared" si="155"/>
        <v>0.54908669591805148</v>
      </c>
      <c r="O35" s="288">
        <f t="shared" si="155"/>
        <v>0.55168269230769229</v>
      </c>
      <c r="P35" s="368"/>
      <c r="Q35" s="333">
        <f t="shared" si="155"/>
        <v>0.33802723126602086</v>
      </c>
      <c r="R35" s="333">
        <f t="shared" si="155"/>
        <v>0.34016887816646563</v>
      </c>
      <c r="S35" s="368"/>
      <c r="T35" s="288">
        <f t="shared" si="155"/>
        <v>0.52010543144795407</v>
      </c>
      <c r="U35" s="288">
        <f t="shared" si="155"/>
        <v>0.5097435897435898</v>
      </c>
      <c r="V35" s="335"/>
      <c r="W35" s="335">
        <f t="shared" si="155"/>
        <v>0.38534309765187252</v>
      </c>
      <c r="X35" s="335">
        <f t="shared" si="155"/>
        <v>0.36434108527131781</v>
      </c>
      <c r="Y35" s="335"/>
      <c r="Z35" s="288">
        <f t="shared" si="155"/>
        <v>0.51457765037680891</v>
      </c>
      <c r="AA35" s="288">
        <f t="shared" si="155"/>
        <v>0.50416666666666665</v>
      </c>
      <c r="AB35" s="288"/>
      <c r="AC35" s="288">
        <f t="shared" si="155"/>
        <v>0.41422975060693001</v>
      </c>
      <c r="AD35" s="288">
        <f t="shared" si="155"/>
        <v>0.43122676579925651</v>
      </c>
      <c r="AE35" s="334"/>
      <c r="AF35" s="334">
        <f t="shared" si="155"/>
        <v>0.30315104386102182</v>
      </c>
      <c r="AG35" s="334">
        <f t="shared" si="155"/>
        <v>0.30897887323943662</v>
      </c>
      <c r="AH35" s="334"/>
      <c r="AI35" s="334">
        <f t="shared" ref="AI35:AJ35" si="156">AI10/AI$26</f>
        <v>0.53501017287946029</v>
      </c>
      <c r="AJ35" s="334">
        <f t="shared" si="156"/>
        <v>0.5280898876404494</v>
      </c>
      <c r="AK35" s="334"/>
      <c r="AL35" s="428"/>
      <c r="AM35" s="428"/>
      <c r="AN35" s="334"/>
      <c r="AO35" s="346">
        <f t="shared" ref="AO35:AP35" si="157">AO10/AO$26</f>
        <v>0.46030053730062509</v>
      </c>
      <c r="AP35" s="346">
        <f t="shared" si="157"/>
        <v>0.45027247956403271</v>
      </c>
      <c r="AQ35" s="343"/>
      <c r="AR35" s="346">
        <f t="shared" ref="AR35:AS35" si="158">AR10/AR$26</f>
        <v>0.52269160887538435</v>
      </c>
      <c r="AS35" s="346">
        <f t="shared" si="158"/>
        <v>0.51099611901681763</v>
      </c>
      <c r="AT35" s="343"/>
      <c r="AU35" s="346">
        <f t="shared" ref="AU35:AV35" si="159">AU10/AU$26</f>
        <v>0.53608023555181883</v>
      </c>
      <c r="AV35" s="346">
        <f t="shared" si="159"/>
        <v>0.56401642403882046</v>
      </c>
      <c r="AW35" s="343"/>
      <c r="AX35" s="343">
        <f t="shared" si="129"/>
        <v>0.4410032632064993</v>
      </c>
      <c r="AY35" s="343">
        <f t="shared" si="130"/>
        <v>0.43612438380854601</v>
      </c>
      <c r="AZ35" s="343"/>
      <c r="BA35" s="12"/>
      <c r="BV35" s="408" t="s">
        <v>50</v>
      </c>
      <c r="BW35" s="420">
        <f t="shared" si="140"/>
        <v>5.8010286895302299E-2</v>
      </c>
      <c r="BX35" s="420">
        <f t="shared" si="131"/>
        <v>6.6571107864854984E-2</v>
      </c>
      <c r="BY35" s="420">
        <f t="shared" si="131"/>
        <v>0.19616884079805708</v>
      </c>
      <c r="BZ35" s="420">
        <f t="shared" si="131"/>
        <v>0.10873482177829974</v>
      </c>
      <c r="CA35" s="420">
        <f t="shared" si="131"/>
        <v>0.1343808171592662</v>
      </c>
      <c r="CB35" s="420">
        <f t="shared" si="131"/>
        <v>0.13649400757616226</v>
      </c>
      <c r="CC35" s="420">
        <f t="shared" si="132"/>
        <v>0.13815855390275478</v>
      </c>
      <c r="CD35" s="420">
        <f t="shared" si="132"/>
        <v>4.2163713913444756E-2</v>
      </c>
      <c r="CE35" s="420">
        <f t="shared" si="131"/>
        <v>8.6451992102024811E-2</v>
      </c>
      <c r="CF35" s="420">
        <f t="shared" si="131"/>
        <v>0.10873482177829974</v>
      </c>
      <c r="CG35" s="420">
        <f t="shared" si="131"/>
        <v>8.4399479770497887E-2</v>
      </c>
      <c r="CH35" s="420">
        <f t="shared" si="131"/>
        <v>0.10451227604512292</v>
      </c>
      <c r="CI35" s="420">
        <f t="shared" si="131"/>
        <v>0.13878968573629846</v>
      </c>
      <c r="CJ35" s="420">
        <f t="shared" si="131"/>
        <v>0.11190476190476195</v>
      </c>
      <c r="CK35" s="420">
        <f t="shared" si="131"/>
        <v>0.3577065621691764</v>
      </c>
      <c r="CL35" s="420">
        <f t="shared" si="131"/>
        <v>0.34300333174678688</v>
      </c>
      <c r="CM35" s="420">
        <f t="shared" si="131"/>
        <v>5.8010286895302299E-2</v>
      </c>
      <c r="CN35" s="420">
        <f t="shared" si="131"/>
        <v>6.6571107864854984E-2</v>
      </c>
      <c r="CO35" s="420">
        <f t="shared" si="131"/>
        <v>0.37146580745511359</v>
      </c>
      <c r="CP35" s="420">
        <f t="shared" si="131"/>
        <v>0.39677152678066374</v>
      </c>
      <c r="CQ35" s="420">
        <f t="shared" si="131"/>
        <v>4.4166337707995496E-2</v>
      </c>
      <c r="CR35" s="420">
        <f t="shared" si="131"/>
        <v>4.2479285159777724E-2</v>
      </c>
      <c r="CS35" s="420">
        <f t="shared" si="131"/>
        <v>6.8354799155871504E-2</v>
      </c>
      <c r="CT35" s="420">
        <f t="shared" si="131"/>
        <v>6.8332303345987722E-2</v>
      </c>
      <c r="CU35" s="420">
        <f t="shared" si="131"/>
        <v>9.9394861821818337E-2</v>
      </c>
      <c r="CV35" s="420">
        <f t="shared" si="131"/>
        <v>0.11887617981856713</v>
      </c>
      <c r="CW35" s="420">
        <f t="shared" si="131"/>
        <v>0.18168711459343978</v>
      </c>
      <c r="CX35" s="420">
        <f t="shared" si="131"/>
        <v>0.13197364732268024</v>
      </c>
      <c r="CY35" s="420">
        <f t="shared" si="131"/>
        <v>0.3805328979470759</v>
      </c>
      <c r="CZ35" s="420">
        <f t="shared" si="131"/>
        <v>0.36051786937862929</v>
      </c>
      <c r="DA35" s="420">
        <f t="shared" si="131"/>
        <v>6.243804098627459E-2</v>
      </c>
      <c r="DB35" s="420">
        <f t="shared" si="131"/>
        <v>6.5812913851635235E-2</v>
      </c>
      <c r="DC35" s="420"/>
      <c r="DD35" s="420"/>
      <c r="DE35" s="420">
        <f t="shared" si="133"/>
        <v>0.13137932228742422</v>
      </c>
      <c r="DF35" s="420">
        <f t="shared" si="133"/>
        <v>0.14155734508192142</v>
      </c>
      <c r="DG35" s="420">
        <f t="shared" ref="DG35:DH35" si="160">DG10-DG11</f>
        <v>6.2706332389219632E-2</v>
      </c>
      <c r="DH35" s="420">
        <f t="shared" si="160"/>
        <v>7.3892597789050107E-2</v>
      </c>
      <c r="DI35" s="171"/>
      <c r="DJ35" s="171"/>
      <c r="DK35" s="171"/>
      <c r="DL35" s="171"/>
      <c r="DM35" s="171"/>
      <c r="DN35" s="171"/>
      <c r="DO35" s="171"/>
      <c r="DP35" s="171"/>
      <c r="DQ35" s="171"/>
      <c r="DR35" s="171"/>
      <c r="DS35" s="171"/>
      <c r="DT35" s="171"/>
      <c r="DU35" s="171"/>
      <c r="DV35" s="171"/>
      <c r="DW35" s="171"/>
    </row>
    <row r="36" spans="1:127" ht="15.75" hidden="1" outlineLevel="1" thickBot="1" x14ac:dyDescent="0.3">
      <c r="A36" s="366">
        <v>6</v>
      </c>
      <c r="B36" s="332">
        <f t="shared" si="125"/>
        <v>0.36203384393295374</v>
      </c>
      <c r="C36" s="331">
        <f t="shared" si="125"/>
        <v>0.33141210374639768</v>
      </c>
      <c r="D36" s="373"/>
      <c r="E36" s="287">
        <f t="shared" ref="E36:AG36" si="161">E11/E$26</f>
        <v>0.38164978529709842</v>
      </c>
      <c r="F36" s="332">
        <f t="shared" si="161"/>
        <v>0.36243386243386244</v>
      </c>
      <c r="G36" s="373"/>
      <c r="H36" s="287">
        <f t="shared" si="161"/>
        <v>0.43517874755444891</v>
      </c>
      <c r="I36" s="287">
        <f t="shared" si="161"/>
        <v>0.44680851063829785</v>
      </c>
      <c r="J36" s="287"/>
      <c r="K36" s="287">
        <f t="shared" si="161"/>
        <v>0.41649720527608314</v>
      </c>
      <c r="L36" s="287">
        <f t="shared" si="161"/>
        <v>0.44265593561368211</v>
      </c>
      <c r="M36" s="287"/>
      <c r="N36" s="287">
        <f t="shared" si="161"/>
        <v>0.56715200542084765</v>
      </c>
      <c r="O36" s="287">
        <f t="shared" si="161"/>
        <v>0.57271634615384615</v>
      </c>
      <c r="P36" s="332"/>
      <c r="Q36" s="332">
        <f t="shared" si="161"/>
        <v>0.38656669406694372</v>
      </c>
      <c r="R36" s="332">
        <f t="shared" si="161"/>
        <v>0.39324487334137515</v>
      </c>
      <c r="S36" s="332"/>
      <c r="T36" s="287">
        <f t="shared" si="161"/>
        <v>0.53233375102622826</v>
      </c>
      <c r="U36" s="287">
        <f t="shared" si="161"/>
        <v>0.52102564102564097</v>
      </c>
      <c r="V36" s="287"/>
      <c r="W36" s="287">
        <f t="shared" si="161"/>
        <v>0.39576763701753931</v>
      </c>
      <c r="X36" s="287">
        <f t="shared" si="161"/>
        <v>0.37364341085271319</v>
      </c>
      <c r="Y36" s="287"/>
      <c r="Z36" s="287">
        <f t="shared" si="161"/>
        <v>0.5423151016382326</v>
      </c>
      <c r="AA36" s="287">
        <f t="shared" si="161"/>
        <v>0.53630952380952379</v>
      </c>
      <c r="AB36" s="287"/>
      <c r="AC36" s="287">
        <f t="shared" si="161"/>
        <v>0.44794195541822995</v>
      </c>
      <c r="AD36" s="287">
        <f t="shared" si="161"/>
        <v>0.45724907063197023</v>
      </c>
      <c r="AE36" s="383"/>
      <c r="AF36" s="336">
        <f t="shared" si="161"/>
        <v>0.34268254025575901</v>
      </c>
      <c r="AG36" s="336">
        <f t="shared" si="161"/>
        <v>0.34771126760563381</v>
      </c>
      <c r="AH36" s="383"/>
      <c r="AI36" s="334">
        <f t="shared" ref="AI36:AJ36" si="162">AI11/AI$26</f>
        <v>0.55349982747748283</v>
      </c>
      <c r="AJ36" s="334">
        <f t="shared" si="162"/>
        <v>0.54710458081244595</v>
      </c>
      <c r="AK36" s="383"/>
      <c r="AL36" s="428"/>
      <c r="AM36" s="428"/>
      <c r="AN36" s="383"/>
      <c r="AO36" s="346">
        <f t="shared" ref="AO36:AP36" si="163">AO11/AO$26</f>
        <v>0.48992845743038332</v>
      </c>
      <c r="AP36" s="346">
        <f t="shared" si="163"/>
        <v>0.48092643051771117</v>
      </c>
      <c r="AQ36" s="387"/>
      <c r="AR36" s="346">
        <f t="shared" ref="AR36:AS36" si="164">AR11/AR$26</f>
        <v>0.5404039278774152</v>
      </c>
      <c r="AS36" s="346">
        <f t="shared" si="164"/>
        <v>0.53104786545924965</v>
      </c>
      <c r="AT36" s="387"/>
      <c r="AU36" s="346">
        <f t="shared" ref="AU36:AV36" si="165">AU11/AU$26</f>
        <v>0.56690675405480839</v>
      </c>
      <c r="AV36" s="346">
        <f t="shared" si="165"/>
        <v>0.59649122807017541</v>
      </c>
      <c r="AW36" s="387"/>
      <c r="AX36" s="343">
        <f t="shared" si="129"/>
        <v>0.46548222611029899</v>
      </c>
      <c r="AY36" s="343">
        <f t="shared" si="130"/>
        <v>0.46127524269513209</v>
      </c>
      <c r="AZ36" s="343"/>
      <c r="BA36" s="12"/>
      <c r="BG36" s="172"/>
      <c r="BU36" s="172"/>
      <c r="BV36" s="693" t="s">
        <v>51</v>
      </c>
      <c r="BW36" s="420">
        <f t="shared" si="140"/>
        <v>0.14010090458882241</v>
      </c>
      <c r="BX36" s="420">
        <f t="shared" si="131"/>
        <v>0.1521953259117208</v>
      </c>
      <c r="BY36" s="420">
        <f t="shared" si="131"/>
        <v>0.18380214530463013</v>
      </c>
      <c r="BZ36" s="420">
        <f t="shared" si="131"/>
        <v>0.21900420757363293</v>
      </c>
      <c r="CA36" s="420">
        <f t="shared" si="131"/>
        <v>0.1256969926428444</v>
      </c>
      <c r="CB36" s="420">
        <f t="shared" si="131"/>
        <v>0.13314825079750126</v>
      </c>
      <c r="CC36" s="420">
        <f t="shared" si="132"/>
        <v>4.3701240715807721E-2</v>
      </c>
      <c r="CD36" s="420">
        <f t="shared" si="132"/>
        <v>6.6808881661912123E-2</v>
      </c>
      <c r="CE36" s="420">
        <f t="shared" si="131"/>
        <v>0.18380214530463013</v>
      </c>
      <c r="CF36" s="420">
        <f t="shared" si="131"/>
        <v>0.21900420757363293</v>
      </c>
      <c r="CG36" s="420">
        <f t="shared" si="131"/>
        <v>0.1684128729345753</v>
      </c>
      <c r="CH36" s="420">
        <f t="shared" si="131"/>
        <v>0.19641222318446117</v>
      </c>
      <c r="CI36" s="420">
        <f t="shared" si="131"/>
        <v>8.8335228535640464E-2</v>
      </c>
      <c r="CJ36" s="420">
        <f t="shared" si="131"/>
        <v>0.1017316017316019</v>
      </c>
      <c r="CK36" s="420">
        <f t="shared" si="131"/>
        <v>0.16367445363659172</v>
      </c>
      <c r="CL36" s="420">
        <f t="shared" si="131"/>
        <v>0.15315870570107881</v>
      </c>
      <c r="CM36" s="420">
        <f t="shared" si="131"/>
        <v>0.14010090458882241</v>
      </c>
      <c r="CN36" s="420">
        <f t="shared" si="131"/>
        <v>0.1521953259117208</v>
      </c>
      <c r="CO36" s="420">
        <f t="shared" si="131"/>
        <v>0.21284311097900721</v>
      </c>
      <c r="CP36" s="420">
        <f t="shared" si="131"/>
        <v>0.2044398487457495</v>
      </c>
      <c r="CQ36" s="420">
        <f t="shared" si="131"/>
        <v>5.2109889707866008E-2</v>
      </c>
      <c r="CR36" s="420">
        <f t="shared" si="131"/>
        <v>5.504659670887202E-2</v>
      </c>
      <c r="CS36" s="420">
        <f t="shared" si="131"/>
        <v>0.22534967727672406</v>
      </c>
      <c r="CT36" s="420">
        <f t="shared" si="131"/>
        <v>0.2145164866491398</v>
      </c>
      <c r="CU36" s="420">
        <f t="shared" si="131"/>
        <v>8.9133935069228842E-2</v>
      </c>
      <c r="CV36" s="420">
        <f t="shared" si="131"/>
        <v>0.10174074975572212</v>
      </c>
      <c r="CW36" s="420">
        <f t="shared" si="131"/>
        <v>6.5396767427968516E-2</v>
      </c>
      <c r="CX36" s="420">
        <f t="shared" si="131"/>
        <v>6.8881633698226974E-2</v>
      </c>
      <c r="CY36" s="420">
        <f t="shared" si="131"/>
        <v>0.27949062297929173</v>
      </c>
      <c r="CZ36" s="420">
        <f t="shared" si="131"/>
        <v>0.26445511421504397</v>
      </c>
      <c r="DA36" s="420">
        <f t="shared" si="131"/>
        <v>7.6326242047245918E-2</v>
      </c>
      <c r="DB36" s="420">
        <f t="shared" si="131"/>
        <v>7.7425892598939283E-2</v>
      </c>
      <c r="DC36" s="420"/>
      <c r="DD36" s="420"/>
      <c r="DE36" s="420">
        <f t="shared" si="133"/>
        <v>9.1130185779637607E-2</v>
      </c>
      <c r="DF36" s="420">
        <f t="shared" si="133"/>
        <v>0.11149169508388468</v>
      </c>
      <c r="DG36" s="420">
        <f t="shared" ref="DG36:DH36" si="166">DG11-DG12</f>
        <v>7.7445491069044525E-2</v>
      </c>
      <c r="DH36" s="420">
        <f t="shared" si="166"/>
        <v>7.4882293024481683E-2</v>
      </c>
      <c r="DI36" s="172"/>
      <c r="DJ36" s="172"/>
      <c r="DK36" s="172"/>
      <c r="DL36" s="172"/>
      <c r="DM36" s="172"/>
      <c r="DN36" s="172"/>
      <c r="DO36" s="172"/>
      <c r="DP36" s="172"/>
      <c r="DQ36" s="172"/>
      <c r="DR36" s="172"/>
      <c r="DS36" s="172"/>
      <c r="DT36" s="172"/>
      <c r="DU36" s="172"/>
      <c r="DV36" s="172"/>
      <c r="DW36" s="172"/>
    </row>
    <row r="37" spans="1:127" ht="15.75" hidden="1" outlineLevel="1" thickBot="1" x14ac:dyDescent="0.3">
      <c r="A37" s="692">
        <v>7</v>
      </c>
      <c r="B37" s="288">
        <f t="shared" si="125"/>
        <v>0.38784184778250058</v>
      </c>
      <c r="C37" s="333">
        <f t="shared" si="125"/>
        <v>0.35734870317002881</v>
      </c>
      <c r="E37" s="288">
        <f t="shared" ref="E37:AG37" si="167">E12/E$26</f>
        <v>0.40786521461502862</v>
      </c>
      <c r="F37" s="288">
        <f t="shared" si="167"/>
        <v>0.39021164021164023</v>
      </c>
      <c r="H37" s="288">
        <f t="shared" si="167"/>
        <v>0.45257651947547983</v>
      </c>
      <c r="I37" s="288">
        <f t="shared" si="167"/>
        <v>0.46808510638297873</v>
      </c>
      <c r="J37" s="288"/>
      <c r="K37" s="288">
        <f t="shared" si="167"/>
        <v>0.44696691891411361</v>
      </c>
      <c r="L37" s="288">
        <f t="shared" si="167"/>
        <v>0.47484909456740443</v>
      </c>
      <c r="M37" s="288"/>
      <c r="N37" s="288">
        <f t="shared" si="167"/>
        <v>0.61610694462453519</v>
      </c>
      <c r="O37" s="288">
        <f t="shared" si="167"/>
        <v>0.62740384615384615</v>
      </c>
      <c r="P37" s="288"/>
      <c r="Q37" s="288">
        <f t="shared" si="167"/>
        <v>0.42122420340736527</v>
      </c>
      <c r="R37" s="288">
        <f t="shared" si="167"/>
        <v>0.42762364294330518</v>
      </c>
      <c r="S37" s="288"/>
      <c r="T37" s="288">
        <f t="shared" si="167"/>
        <v>0.54752192887698226</v>
      </c>
      <c r="U37" s="288">
        <f t="shared" si="167"/>
        <v>0.53641025641025641</v>
      </c>
      <c r="V37" s="288"/>
      <c r="W37" s="288">
        <f t="shared" si="167"/>
        <v>0.43452086210940555</v>
      </c>
      <c r="X37" s="288">
        <f t="shared" si="167"/>
        <v>0.40620155038759692</v>
      </c>
      <c r="Y37" s="288"/>
      <c r="Z37" s="288">
        <f t="shared" si="167"/>
        <v>0.56986145144636058</v>
      </c>
      <c r="AA37" s="288">
        <f t="shared" si="167"/>
        <v>0.56726190476190474</v>
      </c>
      <c r="AB37" s="288"/>
      <c r="AC37" s="288">
        <f t="shared" si="167"/>
        <v>0.46145994261752371</v>
      </c>
      <c r="AD37" s="288">
        <f t="shared" si="167"/>
        <v>0.47211895910780671</v>
      </c>
      <c r="AE37" s="335"/>
      <c r="AF37" s="335">
        <f t="shared" si="167"/>
        <v>0.37897993331166563</v>
      </c>
      <c r="AG37" s="335">
        <f t="shared" si="167"/>
        <v>0.38292253521126762</v>
      </c>
      <c r="AH37" s="335"/>
      <c r="AI37" s="334">
        <f t="shared" ref="AI37:AJ37" si="168">AI12/AI$26</f>
        <v>0.57791473818220762</v>
      </c>
      <c r="AJ37" s="334">
        <f t="shared" si="168"/>
        <v>0.57130509939498708</v>
      </c>
      <c r="AK37" s="335"/>
      <c r="AL37" s="334">
        <f t="shared" ref="AL37:AM37" si="169">AL12/AL$26</f>
        <v>0.50067862104204253</v>
      </c>
      <c r="AM37" s="334">
        <f t="shared" si="169"/>
        <v>0.51764705882352946</v>
      </c>
      <c r="AN37" s="335"/>
      <c r="AO37" s="346">
        <f t="shared" ref="AO37:AP37" si="170">AO12/AO$26</f>
        <v>0.5128246800737204</v>
      </c>
      <c r="AP37" s="346">
        <f t="shared" si="170"/>
        <v>0.50817438692098094</v>
      </c>
      <c r="AQ37" s="343"/>
      <c r="AR37" s="346">
        <f t="shared" ref="AR37:AS37" si="171">AR12/AR$26</f>
        <v>0.56400873550393471</v>
      </c>
      <c r="AS37" s="346">
        <f t="shared" si="171"/>
        <v>0.5530401034928849</v>
      </c>
      <c r="AT37" s="343"/>
      <c r="AU37" s="346">
        <f t="shared" ref="AU37:AV51" si="172">AU12/AU$26</f>
        <v>0.58794729225509379</v>
      </c>
      <c r="AV37" s="346">
        <f t="shared" si="172"/>
        <v>0.61888764464352375</v>
      </c>
      <c r="AW37" s="343"/>
      <c r="AX37" s="343">
        <f t="shared" si="129"/>
        <v>0.49236107597147366</v>
      </c>
      <c r="AY37" s="343">
        <f t="shared" si="130"/>
        <v>0.48923340722350933</v>
      </c>
      <c r="AZ37" s="343"/>
      <c r="BA37" s="12"/>
      <c r="BH37" s="172"/>
      <c r="BI37" s="172"/>
      <c r="BJ37" s="172"/>
      <c r="BK37" s="172"/>
      <c r="BL37" s="172"/>
      <c r="BM37" s="172"/>
      <c r="BN37" s="172"/>
      <c r="BO37" s="172"/>
      <c r="BP37" s="172"/>
      <c r="BQ37" s="172"/>
      <c r="BR37" s="172"/>
      <c r="BS37" s="172"/>
      <c r="BT37" s="172"/>
      <c r="BV37" s="693" t="s">
        <v>113</v>
      </c>
      <c r="BW37" s="420">
        <f t="shared" si="140"/>
        <v>7.2197680810996756E-2</v>
      </c>
      <c r="BX37" s="420">
        <f t="shared" si="131"/>
        <v>5.8814381247260572E-2</v>
      </c>
      <c r="BY37" s="420">
        <f t="shared" si="131"/>
        <v>0.23302892220250593</v>
      </c>
      <c r="BZ37" s="420">
        <f t="shared" si="131"/>
        <v>0.24691650853889957</v>
      </c>
      <c r="CA37" s="420">
        <f t="shared" si="131"/>
        <v>0.12247913150026957</v>
      </c>
      <c r="CB37" s="420">
        <f t="shared" si="131"/>
        <v>0.12116545249351551</v>
      </c>
      <c r="CC37" s="420">
        <f t="shared" si="132"/>
        <v>0.16083124139150917</v>
      </c>
      <c r="CD37" s="420">
        <f t="shared" si="132"/>
        <v>0.188102127291639</v>
      </c>
      <c r="CE37" s="420">
        <f t="shared" si="131"/>
        <v>0.24151385040250117</v>
      </c>
      <c r="CF37" s="420">
        <f t="shared" si="131"/>
        <v>0.24691650853889957</v>
      </c>
      <c r="CG37" s="420">
        <f t="shared" si="131"/>
        <v>0.10644872466052036</v>
      </c>
      <c r="CH37" s="420">
        <f t="shared" si="131"/>
        <v>0.10816640986132509</v>
      </c>
      <c r="CI37" s="420">
        <f t="shared" si="131"/>
        <v>0.10575275258120609</v>
      </c>
      <c r="CJ37" s="420">
        <f t="shared" si="131"/>
        <v>0.11174825174825154</v>
      </c>
      <c r="CK37" s="420">
        <f t="shared" si="131"/>
        <v>0.18111687455309644</v>
      </c>
      <c r="CL37" s="420">
        <f t="shared" si="131"/>
        <v>0.14150532591947473</v>
      </c>
      <c r="CM37" s="420">
        <f t="shared" si="131"/>
        <v>7.2197680810996756E-2</v>
      </c>
      <c r="CN37" s="420">
        <f t="shared" si="131"/>
        <v>5.8814381247260572E-2</v>
      </c>
      <c r="CO37" s="420">
        <f t="shared" si="131"/>
        <v>0.23845747610406764</v>
      </c>
      <c r="CP37" s="420">
        <f t="shared" si="131"/>
        <v>0.24507059309598089</v>
      </c>
      <c r="CQ37" s="420">
        <f t="shared" si="131"/>
        <v>4.6864537163943343E-2</v>
      </c>
      <c r="CR37" s="420">
        <f t="shared" si="131"/>
        <v>5.5339361539853194E-2</v>
      </c>
      <c r="CS37" s="420">
        <f t="shared" si="131"/>
        <v>0.18852250960537509</v>
      </c>
      <c r="CT37" s="420">
        <f t="shared" si="131"/>
        <v>0.21444530148682084</v>
      </c>
      <c r="CU37" s="420">
        <f t="shared" si="131"/>
        <v>7.6298169434927621E-2</v>
      </c>
      <c r="CV37" s="420">
        <f t="shared" si="131"/>
        <v>7.2713299735453596E-2</v>
      </c>
      <c r="CW37" s="420">
        <f t="shared" si="131"/>
        <v>0.11588096360527533</v>
      </c>
      <c r="CX37" s="420">
        <f t="shared" si="131"/>
        <v>0.11064754965330792</v>
      </c>
      <c r="CY37" s="420">
        <f t="shared" si="131"/>
        <v>0.22077384235715991</v>
      </c>
      <c r="CZ37" s="420">
        <f t="shared" si="131"/>
        <v>0.22493963102482395</v>
      </c>
      <c r="DA37" s="420">
        <f t="shared" si="131"/>
        <v>6.0606397402576118E-2</v>
      </c>
      <c r="DB37" s="420">
        <f t="shared" si="131"/>
        <v>6.6244299251057681E-2</v>
      </c>
      <c r="DC37" s="420">
        <f t="shared" si="133"/>
        <v>0.12009358327651465</v>
      </c>
      <c r="DD37" s="420">
        <f t="shared" si="133"/>
        <v>0.11557886557886565</v>
      </c>
      <c r="DE37" s="420">
        <f t="shared" si="133"/>
        <v>8.6923917124505312E-2</v>
      </c>
      <c r="DF37" s="420">
        <f t="shared" si="133"/>
        <v>8.818693295527491E-2</v>
      </c>
      <c r="DG37" s="420">
        <f t="shared" ref="DG37:DH37" si="173">DG12-DG13</f>
        <v>7.1644856054507988E-2</v>
      </c>
      <c r="DH37" s="420">
        <f t="shared" si="173"/>
        <v>5.5352667382742471E-2</v>
      </c>
      <c r="DI37" s="171"/>
      <c r="DJ37" s="171"/>
      <c r="DK37" s="171"/>
      <c r="DL37" s="171"/>
      <c r="DM37" s="171"/>
      <c r="DN37" s="171"/>
      <c r="DO37" s="171"/>
      <c r="DP37" s="171"/>
      <c r="DQ37" s="171"/>
      <c r="DR37" s="171"/>
      <c r="DS37" s="171"/>
      <c r="DT37" s="171"/>
      <c r="DU37" s="171"/>
      <c r="DV37" s="171"/>
      <c r="DW37" s="171"/>
    </row>
    <row r="38" spans="1:127" ht="15.75" hidden="1" outlineLevel="1" thickBot="1" x14ac:dyDescent="0.3">
      <c r="A38" s="692">
        <v>8</v>
      </c>
      <c r="B38" s="287">
        <f t="shared" si="125"/>
        <v>0.42792525463148606</v>
      </c>
      <c r="C38" s="332">
        <f t="shared" si="125"/>
        <v>0.39193083573487031</v>
      </c>
      <c r="D38" s="374"/>
      <c r="E38" s="287">
        <f t="shared" ref="E38:AG38" si="174">E13/E$26</f>
        <v>0.42637711554120949</v>
      </c>
      <c r="F38" s="287">
        <f t="shared" si="174"/>
        <v>0.40740740740740738</v>
      </c>
      <c r="G38" s="374"/>
      <c r="H38" s="287">
        <f t="shared" si="174"/>
        <v>0.47532620822351934</v>
      </c>
      <c r="I38" s="287">
        <f t="shared" si="174"/>
        <v>0.4939209726443769</v>
      </c>
      <c r="J38" s="287"/>
      <c r="K38" s="287">
        <f t="shared" si="174"/>
        <v>0.48633752264115299</v>
      </c>
      <c r="L38" s="287">
        <f t="shared" si="174"/>
        <v>0.50905432595573441</v>
      </c>
      <c r="M38" s="287"/>
      <c r="N38" s="287">
        <f t="shared" si="174"/>
        <v>0.64478808082751582</v>
      </c>
      <c r="O38" s="331">
        <f t="shared" si="174"/>
        <v>0.65144230769230771</v>
      </c>
      <c r="P38" s="331"/>
      <c r="Q38" s="287">
        <f t="shared" si="174"/>
        <v>0.46825793135590399</v>
      </c>
      <c r="R38" s="287">
        <f t="shared" si="174"/>
        <v>0.47768395657418578</v>
      </c>
      <c r="S38" s="287"/>
      <c r="T38" s="287">
        <f t="shared" si="174"/>
        <v>0.56194097567298962</v>
      </c>
      <c r="U38" s="287">
        <f t="shared" si="174"/>
        <v>0.55282051282051281</v>
      </c>
      <c r="V38" s="287"/>
      <c r="W38" s="287">
        <f t="shared" si="174"/>
        <v>0.47329146143354789</v>
      </c>
      <c r="X38" s="287">
        <f t="shared" si="174"/>
        <v>0.4449612403100775</v>
      </c>
      <c r="Y38" s="287"/>
      <c r="Z38" s="287">
        <f t="shared" si="174"/>
        <v>0.59576494521244627</v>
      </c>
      <c r="AA38" s="287">
        <f t="shared" si="174"/>
        <v>0.59166666666666667</v>
      </c>
      <c r="AB38" s="287"/>
      <c r="AC38" s="287">
        <f t="shared" si="174"/>
        <v>0.48753034650187599</v>
      </c>
      <c r="AD38" s="287">
        <f t="shared" si="174"/>
        <v>0.49814126394052044</v>
      </c>
      <c r="AE38" s="287"/>
      <c r="AF38" s="287">
        <f t="shared" si="174"/>
        <v>0.4135840365301201</v>
      </c>
      <c r="AG38" s="287">
        <f t="shared" si="174"/>
        <v>0.41901408450704225</v>
      </c>
      <c r="AH38" s="287"/>
      <c r="AI38" s="334">
        <f t="shared" ref="AI38:AJ38" si="175">AI13/AI$26</f>
        <v>0.59889109664830398</v>
      </c>
      <c r="AJ38" s="334">
        <f t="shared" si="175"/>
        <v>0.59377700950734658</v>
      </c>
      <c r="AK38" s="287"/>
      <c r="AL38" s="334">
        <f t="shared" ref="AL38:AM38" si="176">AL13/AL$26</f>
        <v>0.53270953422645184</v>
      </c>
      <c r="AM38" s="334">
        <f t="shared" si="176"/>
        <v>0.5505882352941176</v>
      </c>
      <c r="AN38" s="287"/>
      <c r="AO38" s="346">
        <f t="shared" ref="AO38:AP38" si="177">AO13/AO$26</f>
        <v>0.53675129774515762</v>
      </c>
      <c r="AP38" s="346">
        <f t="shared" si="177"/>
        <v>0.53201634877384196</v>
      </c>
      <c r="AQ38" s="387"/>
      <c r="AR38" s="346">
        <f t="shared" ref="AR38:AS38" si="178">AR13/AR$26</f>
        <v>0.58775909587709707</v>
      </c>
      <c r="AS38" s="346">
        <f t="shared" si="178"/>
        <v>0.57050452781371286</v>
      </c>
      <c r="AT38" s="387"/>
      <c r="AU38" s="346">
        <f t="shared" si="172"/>
        <v>0.60962792157301515</v>
      </c>
      <c r="AV38" s="346">
        <f t="shared" si="172"/>
        <v>0.64203060843598359</v>
      </c>
      <c r="AW38" s="387"/>
      <c r="AX38" s="417">
        <f t="shared" si="129"/>
        <v>0.52084164094709273</v>
      </c>
      <c r="AY38" s="417">
        <f t="shared" si="130"/>
        <v>0.51656364429550472</v>
      </c>
      <c r="AZ38" s="418" t="s">
        <v>239</v>
      </c>
      <c r="BA38" s="419" t="s">
        <v>113</v>
      </c>
      <c r="BV38" s="693" t="s">
        <v>114</v>
      </c>
      <c r="BW38" s="420">
        <f t="shared" si="140"/>
        <v>4.3875054718877315E-2</v>
      </c>
      <c r="BX38" s="420">
        <f t="shared" si="131"/>
        <v>3.8652472855663866E-2</v>
      </c>
      <c r="BY38" s="420">
        <f t="shared" si="131"/>
        <v>0.10818790727233241</v>
      </c>
      <c r="BZ38" s="420">
        <f t="shared" si="131"/>
        <v>0.10780861640430794</v>
      </c>
      <c r="CA38" s="420">
        <f t="shared" si="131"/>
        <v>9.0327805274693418E-2</v>
      </c>
      <c r="CB38" s="420">
        <f t="shared" si="131"/>
        <v>0.1003077633047198</v>
      </c>
      <c r="CC38" s="420">
        <f t="shared" si="132"/>
        <v>6.4312852553455091E-2</v>
      </c>
      <c r="CD38" s="420">
        <f t="shared" si="132"/>
        <v>6.9156143548644078E-2</v>
      </c>
      <c r="CE38" s="420">
        <f t="shared" si="131"/>
        <v>9.9702979072337161E-2</v>
      </c>
      <c r="CF38" s="420">
        <f t="shared" si="131"/>
        <v>0.10780861640430794</v>
      </c>
      <c r="CG38" s="420">
        <f t="shared" si="131"/>
        <v>0.11678176670562479</v>
      </c>
      <c r="CH38" s="420">
        <f t="shared" si="131"/>
        <v>0.15667311411992246</v>
      </c>
      <c r="CI38" s="420">
        <f t="shared" si="131"/>
        <v>0.1497267247284757</v>
      </c>
      <c r="CJ38" s="420">
        <f t="shared" si="131"/>
        <v>0.14461538461538481</v>
      </c>
      <c r="CK38" s="420">
        <f t="shared" si="131"/>
        <v>9.8624965571375123E-2</v>
      </c>
      <c r="CL38" s="420">
        <f t="shared" si="131"/>
        <v>0.10300365649657284</v>
      </c>
      <c r="CM38" s="420">
        <f t="shared" si="131"/>
        <v>4.3875054718877315E-2</v>
      </c>
      <c r="CN38" s="420">
        <f t="shared" si="131"/>
        <v>3.8652472855663866E-2</v>
      </c>
      <c r="CO38" s="420">
        <f t="shared" si="131"/>
        <v>0.13297514574150426</v>
      </c>
      <c r="CP38" s="420">
        <f t="shared" si="131"/>
        <v>0.14513822122517772</v>
      </c>
      <c r="CQ38" s="420">
        <f t="shared" si="131"/>
        <v>4.2279504028683634E-2</v>
      </c>
      <c r="CR38" s="420">
        <f t="shared" si="131"/>
        <v>3.9395398482772181E-2</v>
      </c>
      <c r="CS38" s="420">
        <f t="shared" si="131"/>
        <v>0.20903589326107541</v>
      </c>
      <c r="CT38" s="420">
        <f t="shared" si="131"/>
        <v>0.2566460188411408</v>
      </c>
      <c r="CU38" s="420">
        <f t="shared" si="131"/>
        <v>7.2519729246474762E-2</v>
      </c>
      <c r="CV38" s="420">
        <f t="shared" si="131"/>
        <v>7.4756229685807085E-2</v>
      </c>
      <c r="CW38" s="420">
        <f t="shared" si="131"/>
        <v>3.5360797143403566E-2</v>
      </c>
      <c r="CX38" s="420">
        <f t="shared" si="131"/>
        <v>5.8187324248323735E-2</v>
      </c>
      <c r="CY38" s="420">
        <f t="shared" si="131"/>
        <v>0.21531469511779866</v>
      </c>
      <c r="CZ38" s="420">
        <f t="shared" si="131"/>
        <v>0.21861569055102947</v>
      </c>
      <c r="DA38" s="420">
        <f t="shared" si="131"/>
        <v>4.2038897150301402E-2</v>
      </c>
      <c r="DB38" s="420">
        <f t="shared" si="131"/>
        <v>4.299916380191382E-2</v>
      </c>
      <c r="DC38" s="420">
        <f t="shared" si="133"/>
        <v>0.13678320626031271</v>
      </c>
      <c r="DD38" s="420">
        <f t="shared" si="133"/>
        <v>4.5405982905982967E-2</v>
      </c>
      <c r="DE38" s="420">
        <f t="shared" si="133"/>
        <v>8.925373333390163E-2</v>
      </c>
      <c r="DF38" s="420">
        <f t="shared" si="133"/>
        <v>9.1578147881865357E-2</v>
      </c>
      <c r="DG38" s="420">
        <f t="shared" ref="DG38:DH38" si="179">DG13-DG14</f>
        <v>4.2086277868983002E-2</v>
      </c>
      <c r="DH38" s="420">
        <f t="shared" si="179"/>
        <v>4.454717430250188E-2</v>
      </c>
      <c r="DI38" s="171"/>
      <c r="DJ38" s="171"/>
      <c r="DK38" s="171"/>
      <c r="DL38" s="171"/>
      <c r="DM38" s="171"/>
      <c r="DN38" s="171"/>
      <c r="DO38" s="171"/>
      <c r="DP38" s="171"/>
      <c r="DQ38" s="171"/>
      <c r="DR38" s="171"/>
      <c r="DS38" s="171"/>
      <c r="DT38" s="171"/>
      <c r="DU38" s="171"/>
      <c r="DV38" s="171"/>
      <c r="DW38" s="171"/>
    </row>
    <row r="39" spans="1:127" ht="15.75" hidden="1" outlineLevel="1" thickBot="1" x14ac:dyDescent="0.3">
      <c r="A39" s="692">
        <v>9</v>
      </c>
      <c r="B39" s="288">
        <f t="shared" si="125"/>
        <v>0.44699655144759004</v>
      </c>
      <c r="C39" s="288">
        <f t="shared" si="125"/>
        <v>0.40922190201729108</v>
      </c>
      <c r="D39" s="371"/>
      <c r="E39" s="288">
        <f t="shared" ref="E39:AG39" si="180">E14/E$26</f>
        <v>0.4487202769755303</v>
      </c>
      <c r="F39" s="288">
        <f t="shared" si="180"/>
        <v>0.43518518518518517</v>
      </c>
      <c r="G39" s="371"/>
      <c r="H39" s="288">
        <f t="shared" si="180"/>
        <v>0.51174672983329828</v>
      </c>
      <c r="I39" s="288">
        <f t="shared" si="180"/>
        <v>0.53191489361702127</v>
      </c>
      <c r="J39" s="288"/>
      <c r="K39" s="288">
        <f t="shared" si="180"/>
        <v>0.51083997288617755</v>
      </c>
      <c r="L39" s="288">
        <f t="shared" si="180"/>
        <v>0.53722334004024141</v>
      </c>
      <c r="M39" s="334"/>
      <c r="N39" s="334">
        <f t="shared" si="180"/>
        <v>0.66356027555975694</v>
      </c>
      <c r="O39" s="333">
        <f t="shared" si="180"/>
        <v>0.66826923076923073</v>
      </c>
      <c r="P39" s="368"/>
      <c r="Q39" s="288">
        <f t="shared" si="180"/>
        <v>0.49935084390292622</v>
      </c>
      <c r="R39" s="288">
        <f t="shared" si="180"/>
        <v>0.51326899879372734</v>
      </c>
      <c r="S39" s="288"/>
      <c r="T39" s="288">
        <f t="shared" si="180"/>
        <v>0.57561681718014091</v>
      </c>
      <c r="U39" s="288">
        <f t="shared" si="180"/>
        <v>0.56512820512820516</v>
      </c>
      <c r="V39" s="288"/>
      <c r="W39" s="288">
        <f t="shared" si="180"/>
        <v>0.52525779017139684</v>
      </c>
      <c r="X39" s="288">
        <f t="shared" si="180"/>
        <v>0.50232558139534889</v>
      </c>
      <c r="Y39" s="288"/>
      <c r="Z39" s="288">
        <f t="shared" si="180"/>
        <v>0.62266709818607735</v>
      </c>
      <c r="AA39" s="288">
        <f t="shared" si="180"/>
        <v>0.61904761904761907</v>
      </c>
      <c r="AB39" s="288"/>
      <c r="AC39" s="288">
        <f t="shared" si="180"/>
        <v>0.49608254248510264</v>
      </c>
      <c r="AD39" s="288">
        <f t="shared" si="180"/>
        <v>0.51301115241635686</v>
      </c>
      <c r="AE39" s="288"/>
      <c r="AF39" s="288">
        <f t="shared" si="180"/>
        <v>0.45401434080066128</v>
      </c>
      <c r="AG39" s="288">
        <f t="shared" si="180"/>
        <v>0.46126760563380281</v>
      </c>
      <c r="AH39" s="288"/>
      <c r="AI39" s="288">
        <f t="shared" ref="AI39:AJ39" si="181">AI14/AI$26</f>
        <v>0.61435863266981572</v>
      </c>
      <c r="AJ39" s="288">
        <f t="shared" si="181"/>
        <v>0.60933448573898008</v>
      </c>
      <c r="AK39" s="288"/>
      <c r="AL39" s="288">
        <f t="shared" ref="AL39:AM39" si="182">AL14/AL$26</f>
        <v>0.57457646063199574</v>
      </c>
      <c r="AM39" s="288">
        <f t="shared" si="182"/>
        <v>0.56470588235294117</v>
      </c>
      <c r="AN39" s="288"/>
      <c r="AO39" s="346">
        <f t="shared" ref="AO39:AP39" si="183">AO14/AO$26</f>
        <v>0.56375934912838988</v>
      </c>
      <c r="AP39" s="346">
        <f t="shared" si="183"/>
        <v>0.55926430517711168</v>
      </c>
      <c r="AQ39" s="343"/>
      <c r="AR39" s="346">
        <f t="shared" ref="AR39:AS39" si="184">AR14/AR$26</f>
        <v>0.60266702455449694</v>
      </c>
      <c r="AS39" s="346">
        <f t="shared" si="184"/>
        <v>0.58538163001293664</v>
      </c>
      <c r="AT39" s="343"/>
      <c r="AU39" s="346">
        <f t="shared" si="172"/>
        <v>0.62506610160070242</v>
      </c>
      <c r="AV39" s="346">
        <f t="shared" si="172"/>
        <v>0.65882792086599473</v>
      </c>
      <c r="AW39" s="343"/>
      <c r="AX39" s="343">
        <f t="shared" si="129"/>
        <v>0.5447403003831307</v>
      </c>
      <c r="AY39" s="343">
        <f t="shared" si="130"/>
        <v>0.54219819456455809</v>
      </c>
      <c r="AZ39" s="343"/>
      <c r="BA39" s="12"/>
      <c r="BV39" s="172" t="s">
        <v>115</v>
      </c>
      <c r="BW39" s="420">
        <f t="shared" si="140"/>
        <v>4.2035642238921644E-2</v>
      </c>
      <c r="BX39" s="420">
        <f t="shared" si="131"/>
        <v>3.6753754890824109E-2</v>
      </c>
      <c r="BY39" s="420">
        <f t="shared" si="131"/>
        <v>0.1382074952826633</v>
      </c>
      <c r="BZ39" s="420">
        <f t="shared" si="131"/>
        <v>0.28366197183098585</v>
      </c>
      <c r="CA39" s="420">
        <f t="shared" si="131"/>
        <v>9.0538638507353886E-2</v>
      </c>
      <c r="CB39" s="420">
        <f t="shared" si="131"/>
        <v>9.2525406051983339E-2</v>
      </c>
      <c r="CC39" s="420">
        <f t="shared" si="132"/>
        <v>9.6171853043741651E-2</v>
      </c>
      <c r="CD39" s="420">
        <f t="shared" si="132"/>
        <v>0.24690821694016174</v>
      </c>
      <c r="CE39" s="420">
        <f t="shared" si="131"/>
        <v>0.26339869890041334</v>
      </c>
      <c r="CF39" s="420">
        <f t="shared" si="131"/>
        <v>0.28838246872539575</v>
      </c>
      <c r="CG39" s="420">
        <f t="shared" si="131"/>
        <v>0.12961363584937091</v>
      </c>
      <c r="CH39" s="420">
        <f t="shared" si="131"/>
        <v>0.13787234042553198</v>
      </c>
      <c r="CI39" s="420">
        <f t="shared" si="131"/>
        <v>9.8217658680072928E-2</v>
      </c>
      <c r="CJ39" s="420">
        <f t="shared" si="131"/>
        <v>9.6802168021680179E-2</v>
      </c>
      <c r="CK39" s="420">
        <f t="shared" si="131"/>
        <v>0.11548294883162291</v>
      </c>
      <c r="CL39" s="420">
        <f t="shared" si="131"/>
        <v>9.9011873456052335E-2</v>
      </c>
      <c r="CM39" s="420">
        <f t="shared" si="131"/>
        <v>4.2035642238921644E-2</v>
      </c>
      <c r="CN39" s="420">
        <f t="shared" si="131"/>
        <v>3.6753754890824109E-2</v>
      </c>
      <c r="CO39" s="420">
        <f t="shared" si="131"/>
        <v>8.7195123530364071E-2</v>
      </c>
      <c r="CP39" s="420">
        <f t="shared" si="131"/>
        <v>9.1633188278594568E-2</v>
      </c>
      <c r="CQ39" s="420">
        <f t="shared" si="131"/>
        <v>4.4475250594836035E-2</v>
      </c>
      <c r="CR39" s="420">
        <f t="shared" si="131"/>
        <v>4.3846265037020382E-2</v>
      </c>
      <c r="CS39" s="420">
        <f t="shared" si="131"/>
        <v>6.5196224755324161E-2</v>
      </c>
      <c r="CT39" s="420">
        <f t="shared" si="131"/>
        <v>7.1097883597883493E-2</v>
      </c>
      <c r="CU39" s="420">
        <f t="shared" si="131"/>
        <v>5.3792859040129759E-2</v>
      </c>
      <c r="CV39" s="420">
        <f t="shared" si="131"/>
        <v>4.9680980715463452E-2</v>
      </c>
      <c r="CW39" s="420">
        <f t="shared" si="131"/>
        <v>5.9614402433854519E-2</v>
      </c>
      <c r="CX39" s="420">
        <f t="shared" si="131"/>
        <v>6.815648119995954E-2</v>
      </c>
      <c r="CY39" s="420">
        <f t="shared" si="131"/>
        <v>0.13722847428956975</v>
      </c>
      <c r="CZ39" s="420">
        <f t="shared" si="131"/>
        <v>0.15375453413458962</v>
      </c>
      <c r="DA39" s="420">
        <f t="shared" si="131"/>
        <v>6.1338450208062056E-2</v>
      </c>
      <c r="DB39" s="420">
        <f t="shared" si="131"/>
        <v>4.9662949847327553E-2</v>
      </c>
      <c r="DC39" s="420">
        <f t="shared" si="133"/>
        <v>6.8307957390530749E-2</v>
      </c>
      <c r="DD39" s="420">
        <f t="shared" si="133"/>
        <v>7.0833333333333304E-2</v>
      </c>
      <c r="DE39" s="420">
        <f t="shared" si="133"/>
        <v>6.9710345050437938E-2</v>
      </c>
      <c r="DF39" s="420">
        <f t="shared" si="133"/>
        <v>7.710762643771174E-2</v>
      </c>
      <c r="DG39" s="420">
        <f t="shared" ref="DG39:DH39" si="185">DG14-DG15</f>
        <v>8.6931060482187572E-2</v>
      </c>
      <c r="DH39" s="420">
        <f t="shared" si="185"/>
        <v>9.2822298042339879E-2</v>
      </c>
      <c r="DI39" s="171"/>
      <c r="DJ39" s="171"/>
      <c r="DK39" s="171"/>
      <c r="DL39" s="171"/>
      <c r="DM39" s="171"/>
      <c r="DN39" s="171"/>
      <c r="DO39" s="171"/>
      <c r="DP39" s="171"/>
      <c r="DQ39" s="171"/>
      <c r="DR39" s="171"/>
      <c r="DS39" s="171"/>
      <c r="DT39" s="171"/>
      <c r="DU39" s="171"/>
      <c r="DV39" s="171"/>
      <c r="DW39" s="171"/>
    </row>
    <row r="40" spans="1:127" ht="15.75" hidden="1" outlineLevel="1" thickBot="1" x14ac:dyDescent="0.3">
      <c r="A40" s="302">
        <v>10</v>
      </c>
      <c r="B40" s="287">
        <f t="shared" si="125"/>
        <v>0.50664848825086217</v>
      </c>
      <c r="C40" s="287">
        <f t="shared" si="125"/>
        <v>0.46397694524495675</v>
      </c>
      <c r="D40" s="372"/>
      <c r="E40" s="287">
        <f t="shared" ref="E40:AG40" si="186">E15/E$26</f>
        <v>0.47642954639984536</v>
      </c>
      <c r="F40" s="287">
        <f t="shared" si="186"/>
        <v>0.46296296296296297</v>
      </c>
      <c r="G40" s="372"/>
      <c r="H40" s="287">
        <f t="shared" si="186"/>
        <v>0.53882969262858349</v>
      </c>
      <c r="I40" s="287">
        <f t="shared" si="186"/>
        <v>0.56079027355623101</v>
      </c>
      <c r="J40" s="287"/>
      <c r="K40" s="287">
        <f t="shared" si="186"/>
        <v>0.54286539765087616</v>
      </c>
      <c r="L40" s="287">
        <f t="shared" si="186"/>
        <v>0.56740442655935619</v>
      </c>
      <c r="M40" s="383"/>
      <c r="N40" s="336">
        <f t="shared" si="186"/>
        <v>0.68260016647356292</v>
      </c>
      <c r="O40" s="332">
        <f t="shared" si="186"/>
        <v>0.68509615384615385</v>
      </c>
      <c r="P40" s="332"/>
      <c r="Q40" s="287">
        <f t="shared" si="186"/>
        <v>0.52208283078152251</v>
      </c>
      <c r="R40" s="287">
        <f t="shared" si="186"/>
        <v>0.5386007237635706</v>
      </c>
      <c r="S40" s="287"/>
      <c r="T40" s="287">
        <f t="shared" si="186"/>
        <v>0.59074018061616906</v>
      </c>
      <c r="U40" s="287">
        <f t="shared" si="186"/>
        <v>0.57948717948717954</v>
      </c>
      <c r="V40" s="287"/>
      <c r="W40" s="287">
        <f t="shared" si="186"/>
        <v>0.54388296717138807</v>
      </c>
      <c r="X40" s="287">
        <f t="shared" si="186"/>
        <v>0.52093023255813953</v>
      </c>
      <c r="Y40" s="287"/>
      <c r="Z40" s="287">
        <f t="shared" si="186"/>
        <v>0.64424615100097093</v>
      </c>
      <c r="AA40" s="287">
        <f t="shared" si="186"/>
        <v>0.63869047619047614</v>
      </c>
      <c r="AB40" s="287"/>
      <c r="AC40" s="287">
        <f t="shared" si="186"/>
        <v>0.51120061796512906</v>
      </c>
      <c r="AD40" s="287">
        <f t="shared" si="186"/>
        <v>0.53159851301115246</v>
      </c>
      <c r="AE40" s="287"/>
      <c r="AF40" s="287">
        <f t="shared" si="186"/>
        <v>0.48418058013233339</v>
      </c>
      <c r="AG40" s="287">
        <f t="shared" si="186"/>
        <v>0.49647887323943662</v>
      </c>
      <c r="AH40" s="287"/>
      <c r="AI40" s="287">
        <f t="shared" ref="AI40:AJ40" si="187">AI15/AI$26</f>
        <v>0.63841660023558244</v>
      </c>
      <c r="AJ40" s="287">
        <f t="shared" si="187"/>
        <v>0.62834917891097664</v>
      </c>
      <c r="AK40" s="287"/>
      <c r="AL40" s="287">
        <f t="shared" ref="AL40:AM40" si="188">AL15/AL$26</f>
        <v>0.59804876490970349</v>
      </c>
      <c r="AM40" s="287">
        <f t="shared" si="188"/>
        <v>0.58823529411764708</v>
      </c>
      <c r="AN40" s="287"/>
      <c r="AO40" s="346">
        <f t="shared" ref="AO40:AP40" si="189">AO15/AO$26</f>
        <v>0.58682134510432349</v>
      </c>
      <c r="AP40" s="346">
        <f t="shared" si="189"/>
        <v>0.58446866485013627</v>
      </c>
      <c r="AQ40" s="387"/>
      <c r="AR40" s="346">
        <f t="shared" ref="AR40:AS40" si="190">AR15/AR$26</f>
        <v>0.6359866739413802</v>
      </c>
      <c r="AS40" s="346">
        <f t="shared" si="190"/>
        <v>0.61901681759379046</v>
      </c>
      <c r="AT40" s="387"/>
      <c r="AU40" s="346">
        <f t="shared" si="172"/>
        <v>0.63440589832851346</v>
      </c>
      <c r="AV40" s="346">
        <f t="shared" si="172"/>
        <v>0.67077267637178051</v>
      </c>
      <c r="AW40" s="387"/>
      <c r="AX40" s="343">
        <f t="shared" si="129"/>
        <v>0.57082697370924584</v>
      </c>
      <c r="AY40" s="343">
        <f t="shared" si="130"/>
        <v>0.56779788834885248</v>
      </c>
      <c r="AZ40" s="343"/>
      <c r="BA40" s="12"/>
      <c r="BV40" s="172" t="s">
        <v>116</v>
      </c>
      <c r="BW40" s="420">
        <f t="shared" si="140"/>
        <v>2.8268811130132354E-2</v>
      </c>
      <c r="BX40" s="420">
        <f t="shared" si="131"/>
        <v>2.8866663649665947E-2</v>
      </c>
      <c r="BY40" s="420">
        <f t="shared" si="131"/>
        <v>4.3842812694647737E-2</v>
      </c>
      <c r="BZ40" s="420">
        <f t="shared" si="131"/>
        <v>3.6404494382022534E-2</v>
      </c>
      <c r="CA40" s="420">
        <f t="shared" si="131"/>
        <v>6.2719115918787871E-2</v>
      </c>
      <c r="CB40" s="420">
        <f t="shared" si="131"/>
        <v>6.646751889634972E-2</v>
      </c>
      <c r="CC40" s="420">
        <f t="shared" si="132"/>
        <v>1.5574001564515383E-2</v>
      </c>
      <c r="CD40" s="420">
        <f t="shared" si="132"/>
        <v>7.5378307323565874E-3</v>
      </c>
      <c r="CE40" s="420">
        <f t="shared" si="131"/>
        <v>0.17722446648411583</v>
      </c>
      <c r="CF40" s="420">
        <f t="shared" si="131"/>
        <v>0.20584130085839925</v>
      </c>
      <c r="CG40" s="420">
        <f t="shared" si="131"/>
        <v>4.3842812694647737E-2</v>
      </c>
      <c r="CH40" s="420">
        <f t="shared" si="131"/>
        <v>3.6404494382022534E-2</v>
      </c>
      <c r="CI40" s="420">
        <f t="shared" ref="BX40:DB49" si="191">CI15-CI16</f>
        <v>8.0395987209468167E-2</v>
      </c>
      <c r="CJ40" s="420">
        <f t="shared" si="191"/>
        <v>7.8534619543086492E-2</v>
      </c>
      <c r="CK40" s="420">
        <f t="shared" si="191"/>
        <v>5.2422491206897348E-2</v>
      </c>
      <c r="CL40" s="420">
        <f t="shared" si="191"/>
        <v>5.4507567449002092E-2</v>
      </c>
      <c r="CM40" s="420">
        <f t="shared" si="191"/>
        <v>2.8268811130132354E-2</v>
      </c>
      <c r="CN40" s="420">
        <f t="shared" si="191"/>
        <v>2.8866663649665947E-2</v>
      </c>
      <c r="CO40" s="420">
        <f t="shared" si="191"/>
        <v>8.0263848057180898E-2</v>
      </c>
      <c r="CP40" s="420">
        <f t="shared" si="191"/>
        <v>8.3400901845009701E-2</v>
      </c>
      <c r="CQ40" s="420">
        <f t="shared" si="191"/>
        <v>3.5814413262104772E-2</v>
      </c>
      <c r="CR40" s="420">
        <f t="shared" si="191"/>
        <v>5.040598485539638E-2</v>
      </c>
      <c r="CS40" s="420">
        <f t="shared" si="191"/>
        <v>3.1717947786620293E-2</v>
      </c>
      <c r="CT40" s="420">
        <f t="shared" si="191"/>
        <v>5.0077639751552772E-2</v>
      </c>
      <c r="CU40" s="420">
        <f t="shared" si="191"/>
        <v>4.2576830821442035E-2</v>
      </c>
      <c r="CV40" s="420">
        <f t="shared" si="191"/>
        <v>4.3964504234369262E-2</v>
      </c>
      <c r="CW40" s="420">
        <f t="shared" si="191"/>
        <v>0.10130249303767558</v>
      </c>
      <c r="CX40" s="420">
        <f t="shared" si="191"/>
        <v>8.7785547785547813E-2</v>
      </c>
      <c r="CY40" s="420">
        <f t="shared" si="191"/>
        <v>0.10843009190799036</v>
      </c>
      <c r="CZ40" s="420">
        <f t="shared" si="191"/>
        <v>0.10814412870674461</v>
      </c>
      <c r="DA40" s="420">
        <f t="shared" si="191"/>
        <v>5.2069519056104019E-2</v>
      </c>
      <c r="DB40" s="420">
        <f t="shared" si="191"/>
        <v>5.4951217596372892E-2</v>
      </c>
      <c r="DC40" s="420">
        <f t="shared" si="133"/>
        <v>4.7201744578845295E-2</v>
      </c>
      <c r="DD40" s="420">
        <f t="shared" si="133"/>
        <v>3.9843749999999956E-2</v>
      </c>
      <c r="DE40" s="420">
        <f t="shared" si="133"/>
        <v>3.9193704436065291E-2</v>
      </c>
      <c r="DF40" s="420">
        <f t="shared" si="133"/>
        <v>3.7067455539519401E-2</v>
      </c>
      <c r="DG40" s="420">
        <f t="shared" ref="DG40:DH40" si="192">DG15-DG16</f>
        <v>5.025518176179089E-2</v>
      </c>
      <c r="DH40" s="420">
        <f t="shared" si="192"/>
        <v>5.2269848162599608E-2</v>
      </c>
      <c r="DI40" s="171"/>
      <c r="DJ40" s="171"/>
      <c r="DK40" s="171"/>
      <c r="DL40" s="171"/>
      <c r="DM40" s="171"/>
      <c r="DN40" s="171"/>
      <c r="DO40" s="171"/>
      <c r="DP40" s="171"/>
      <c r="DQ40" s="171"/>
      <c r="DR40" s="171"/>
      <c r="DS40" s="171"/>
      <c r="DT40" s="171"/>
      <c r="DU40" s="171"/>
      <c r="DV40" s="171"/>
      <c r="DW40" s="171"/>
    </row>
    <row r="41" spans="1:127" ht="15.75" hidden="1" outlineLevel="1" thickBot="1" x14ac:dyDescent="0.3">
      <c r="A41" s="302">
        <v>11</v>
      </c>
      <c r="B41" s="288">
        <f t="shared" si="125"/>
        <v>0.55662843852754829</v>
      </c>
      <c r="C41" s="288">
        <f t="shared" si="125"/>
        <v>0.51296829971181557</v>
      </c>
      <c r="D41" s="371"/>
      <c r="E41" s="288">
        <f t="shared" ref="E41:AG41" si="193">E16/E$26</f>
        <v>0.48659351731975792</v>
      </c>
      <c r="F41" s="288">
        <f t="shared" si="193"/>
        <v>0.47089947089947087</v>
      </c>
      <c r="G41" s="371"/>
      <c r="H41" s="288">
        <f t="shared" si="193"/>
        <v>0.56322861254385825</v>
      </c>
      <c r="I41" s="288">
        <f t="shared" si="193"/>
        <v>0.58662613981762923</v>
      </c>
      <c r="J41" s="288"/>
      <c r="K41" s="288">
        <f t="shared" si="193"/>
        <v>0.55876698780989209</v>
      </c>
      <c r="L41" s="288">
        <f t="shared" si="193"/>
        <v>0.5855130784708249</v>
      </c>
      <c r="M41" s="335"/>
      <c r="N41" s="335">
        <f t="shared" si="193"/>
        <v>0.69603098583301615</v>
      </c>
      <c r="O41" s="288">
        <f t="shared" si="193"/>
        <v>0.69891826923076927</v>
      </c>
      <c r="P41" s="288"/>
      <c r="Q41" s="288">
        <f t="shared" si="193"/>
        <v>0.54491724860245783</v>
      </c>
      <c r="R41" s="288">
        <f t="shared" si="193"/>
        <v>0.56393244873341375</v>
      </c>
      <c r="S41" s="288"/>
      <c r="T41" s="288">
        <f t="shared" si="193"/>
        <v>0.60350862031715857</v>
      </c>
      <c r="U41" s="288">
        <f t="shared" si="193"/>
        <v>0.59692307692307689</v>
      </c>
      <c r="V41" s="288"/>
      <c r="W41" s="288">
        <f t="shared" si="193"/>
        <v>0.55343010780711133</v>
      </c>
      <c r="X41" s="288">
        <f t="shared" si="193"/>
        <v>0.53488372093023251</v>
      </c>
      <c r="Y41" s="334"/>
      <c r="Z41" s="334">
        <f t="shared" si="193"/>
        <v>0.66241620047158911</v>
      </c>
      <c r="AA41" s="334">
        <f t="shared" si="193"/>
        <v>0.65714285714285714</v>
      </c>
      <c r="AB41" s="334"/>
      <c r="AC41" s="288">
        <f t="shared" si="193"/>
        <v>0.53911939969101741</v>
      </c>
      <c r="AD41" s="288">
        <f t="shared" si="193"/>
        <v>0.55762081784386619</v>
      </c>
      <c r="AE41" s="288"/>
      <c r="AF41" s="288">
        <f t="shared" si="193"/>
        <v>0.51100839021101918</v>
      </c>
      <c r="AG41" s="288">
        <f t="shared" si="193"/>
        <v>0.52464788732394363</v>
      </c>
      <c r="AH41" s="288"/>
      <c r="AI41" s="288">
        <f t="shared" ref="AI41:AJ41" si="194">AI16/AI$26</f>
        <v>0.66036860328149727</v>
      </c>
      <c r="AJ41" s="288">
        <f t="shared" si="194"/>
        <v>0.65082108902333624</v>
      </c>
      <c r="AK41" s="288"/>
      <c r="AL41" s="288">
        <f t="shared" ref="AL41:AM41" si="195">AL16/AL$26</f>
        <v>0.61542146358599326</v>
      </c>
      <c r="AM41" s="288">
        <f t="shared" si="195"/>
        <v>0.60235294117647054</v>
      </c>
      <c r="AN41" s="288"/>
      <c r="AO41" s="346">
        <f t="shared" ref="AO41:AP41" si="196">AO16/AO$26</f>
        <v>0.6006357894873704</v>
      </c>
      <c r="AP41" s="346">
        <f t="shared" si="196"/>
        <v>0.59741144414168934</v>
      </c>
      <c r="AQ41" s="343"/>
      <c r="AR41" s="346">
        <f t="shared" ref="AR41:AS41" si="197">AR16/AR$26</f>
        <v>0.65698498216116308</v>
      </c>
      <c r="AS41" s="346">
        <f t="shared" si="197"/>
        <v>0.63971539456662352</v>
      </c>
      <c r="AT41" s="343"/>
      <c r="AU41" s="346">
        <f t="shared" si="172"/>
        <v>0.66987296148229136</v>
      </c>
      <c r="AV41" s="346">
        <f t="shared" si="172"/>
        <v>0.68309070548712203</v>
      </c>
      <c r="AW41" s="343"/>
      <c r="AX41" s="343">
        <f t="shared" si="129"/>
        <v>0.59097149952718742</v>
      </c>
      <c r="AY41" s="343">
        <f t="shared" si="130"/>
        <v>0.58872123903350804</v>
      </c>
      <c r="AZ41" s="343"/>
      <c r="BA41" s="12"/>
      <c r="BG41" s="172"/>
      <c r="BU41" s="172"/>
      <c r="BV41" s="172" t="s">
        <v>117</v>
      </c>
      <c r="BW41" s="420">
        <f t="shared" si="140"/>
        <v>2.8560030967313521E-2</v>
      </c>
      <c r="BX41" s="420">
        <f t="shared" si="191"/>
        <v>3.1287084893264261E-2</v>
      </c>
      <c r="BY41" s="420">
        <f t="shared" si="191"/>
        <v>7.3756061987989785E-2</v>
      </c>
      <c r="BZ41" s="420">
        <f t="shared" si="191"/>
        <v>8.5859656561373843E-2</v>
      </c>
      <c r="CA41" s="420">
        <f t="shared" si="191"/>
        <v>6.3940996374441283E-2</v>
      </c>
      <c r="CB41" s="420">
        <f t="shared" si="191"/>
        <v>6.5756237370860227E-2</v>
      </c>
      <c r="CC41" s="420">
        <f t="shared" si="132"/>
        <v>4.5196031020676264E-2</v>
      </c>
      <c r="CD41" s="420">
        <f t="shared" si="132"/>
        <v>5.4572571668109582E-2</v>
      </c>
      <c r="CE41" s="420">
        <f t="shared" si="191"/>
        <v>0.110892750416973</v>
      </c>
      <c r="CF41" s="420">
        <f t="shared" si="191"/>
        <v>0.15151074110729468</v>
      </c>
      <c r="CG41" s="420">
        <f t="shared" si="191"/>
        <v>7.3756061987989785E-2</v>
      </c>
      <c r="CH41" s="420">
        <f t="shared" si="191"/>
        <v>8.5859656561373843E-2</v>
      </c>
      <c r="CI41" s="420">
        <f t="shared" si="191"/>
        <v>4.0298563164090195E-2</v>
      </c>
      <c r="CJ41" s="420">
        <f t="shared" si="191"/>
        <v>3.8840427625106644E-2</v>
      </c>
      <c r="CK41" s="420">
        <f t="shared" si="191"/>
        <v>0.12985543232151375</v>
      </c>
      <c r="CL41" s="420">
        <f t="shared" si="191"/>
        <v>0.1098330405188892</v>
      </c>
      <c r="CM41" s="420">
        <f t="shared" si="191"/>
        <v>2.8560030967313521E-2</v>
      </c>
      <c r="CN41" s="420">
        <f t="shared" si="191"/>
        <v>3.1287084893264261E-2</v>
      </c>
      <c r="CO41" s="420">
        <f t="shared" si="191"/>
        <v>7.5022216888278148E-2</v>
      </c>
      <c r="CP41" s="420">
        <f t="shared" si="191"/>
        <v>7.4491540282282775E-2</v>
      </c>
      <c r="CQ41" s="420">
        <f t="shared" si="191"/>
        <v>3.9230388184030796E-2</v>
      </c>
      <c r="CR41" s="420">
        <f t="shared" si="191"/>
        <v>4.4822949350067365E-2</v>
      </c>
      <c r="CS41" s="420">
        <f t="shared" si="191"/>
        <v>6.5257074587595776E-2</v>
      </c>
      <c r="CT41" s="420">
        <f t="shared" si="191"/>
        <v>8.2861616283271156E-2</v>
      </c>
      <c r="CU41" s="420">
        <f t="shared" si="191"/>
        <v>3.9584406656193227E-2</v>
      </c>
      <c r="CV41" s="420">
        <f t="shared" si="191"/>
        <v>4.4166571068028126E-2</v>
      </c>
      <c r="CW41" s="420">
        <f t="shared" si="191"/>
        <v>9.4752367826708372E-2</v>
      </c>
      <c r="CX41" s="420">
        <f t="shared" si="191"/>
        <v>4.6580086580086499E-2</v>
      </c>
      <c r="CY41" s="420">
        <f t="shared" si="191"/>
        <v>9.8015070234309887E-2</v>
      </c>
      <c r="CZ41" s="420">
        <f t="shared" si="191"/>
        <v>8.5527447943555268E-2</v>
      </c>
      <c r="DA41" s="420">
        <f t="shared" si="191"/>
        <v>4.0133233646222344E-2</v>
      </c>
      <c r="DB41" s="420">
        <f t="shared" si="191"/>
        <v>4.3617358522897609E-2</v>
      </c>
      <c r="DC41" s="420">
        <f t="shared" si="133"/>
        <v>7.7104769680313323E-2</v>
      </c>
      <c r="DD41" s="420">
        <f t="shared" si="133"/>
        <v>8.6082175925925819E-2</v>
      </c>
      <c r="DE41" s="420">
        <f t="shared" si="133"/>
        <v>3.9683882329705877E-2</v>
      </c>
      <c r="DF41" s="420">
        <f t="shared" si="133"/>
        <v>4.4587478501652233E-2</v>
      </c>
      <c r="DG41" s="420">
        <f t="shared" ref="DG41:DH41" si="198">DG16-DG17</f>
        <v>5.4206543891124559E-2</v>
      </c>
      <c r="DH41" s="420">
        <f t="shared" si="198"/>
        <v>5.6372534526970108E-2</v>
      </c>
      <c r="DI41" s="172"/>
      <c r="DJ41" s="172"/>
      <c r="DK41" s="172"/>
      <c r="DL41" s="172"/>
      <c r="DM41" s="172"/>
      <c r="DN41" s="172"/>
      <c r="DO41" s="172"/>
      <c r="DP41" s="172"/>
      <c r="DQ41" s="172"/>
      <c r="DR41" s="172"/>
      <c r="DS41" s="172"/>
      <c r="DT41" s="172"/>
      <c r="DU41" s="172"/>
      <c r="DV41" s="172"/>
      <c r="DW41" s="172"/>
    </row>
    <row r="42" spans="1:127" ht="15.75" hidden="1" outlineLevel="1" thickBot="1" x14ac:dyDescent="0.3">
      <c r="A42" s="302">
        <v>12</v>
      </c>
      <c r="B42" s="287">
        <f t="shared" si="125"/>
        <v>0.59324725318790605</v>
      </c>
      <c r="C42" s="287">
        <f t="shared" si="125"/>
        <v>0.55619596541786742</v>
      </c>
      <c r="D42" s="372"/>
      <c r="E42" s="287">
        <f t="shared" ref="E42:AG42" si="199">E17/E$26</f>
        <v>0.50470706088423622</v>
      </c>
      <c r="F42" s="287">
        <f t="shared" si="199"/>
        <v>0.49074074074074076</v>
      </c>
      <c r="G42" s="372"/>
      <c r="H42" s="287">
        <f t="shared" si="199"/>
        <v>0.57630927935065568</v>
      </c>
      <c r="I42" s="287">
        <f t="shared" si="199"/>
        <v>0.60030395136778114</v>
      </c>
      <c r="J42" s="287"/>
      <c r="K42" s="287">
        <f t="shared" si="199"/>
        <v>0.60248247046926917</v>
      </c>
      <c r="L42" s="287">
        <f t="shared" si="199"/>
        <v>0.62575452716297786</v>
      </c>
      <c r="M42" s="287"/>
      <c r="N42" s="287">
        <f t="shared" si="199"/>
        <v>0.71014777665772955</v>
      </c>
      <c r="O42" s="287">
        <f t="shared" si="199"/>
        <v>0.71454326923076927</v>
      </c>
      <c r="P42" s="287"/>
      <c r="Q42" s="287">
        <f t="shared" si="199"/>
        <v>0.56814346477784006</v>
      </c>
      <c r="R42" s="287">
        <f t="shared" si="199"/>
        <v>0.58866103739445119</v>
      </c>
      <c r="S42" s="287"/>
      <c r="T42" s="287">
        <f t="shared" si="199"/>
        <v>0.61814371516225208</v>
      </c>
      <c r="U42" s="287">
        <f t="shared" si="199"/>
        <v>0.61333333333333329</v>
      </c>
      <c r="V42" s="287"/>
      <c r="W42" s="287">
        <f t="shared" si="199"/>
        <v>0.57416625402865007</v>
      </c>
      <c r="X42" s="287">
        <f t="shared" si="199"/>
        <v>0.55968992248062011</v>
      </c>
      <c r="Y42" s="383"/>
      <c r="Z42" s="336">
        <f t="shared" si="199"/>
        <v>0.68025336353969212</v>
      </c>
      <c r="AA42" s="336">
        <f t="shared" si="199"/>
        <v>0.67678571428571432</v>
      </c>
      <c r="AB42" s="383"/>
      <c r="AC42" s="287">
        <f t="shared" si="199"/>
        <v>0.56814169057603181</v>
      </c>
      <c r="AD42" s="287">
        <f t="shared" si="199"/>
        <v>0.57249070631970256</v>
      </c>
      <c r="AE42" s="287"/>
      <c r="AF42" s="287">
        <f t="shared" si="199"/>
        <v>0.53795256380934042</v>
      </c>
      <c r="AG42" s="287">
        <f t="shared" si="199"/>
        <v>0.54929577464788737</v>
      </c>
      <c r="AH42" s="287"/>
      <c r="AI42" s="336">
        <f t="shared" ref="AI42:AJ42" si="200">AI17/AI$26</f>
        <v>0.67834663938034667</v>
      </c>
      <c r="AJ42" s="336">
        <f t="shared" si="200"/>
        <v>0.6698357821953328</v>
      </c>
      <c r="AK42" s="287"/>
      <c r="AL42" s="336">
        <f t="shared" ref="AL42:AM42" si="201">AL17/AL$26</f>
        <v>0.646079167132387</v>
      </c>
      <c r="AM42" s="336">
        <f t="shared" si="201"/>
        <v>0.63529411764705879</v>
      </c>
      <c r="AN42" s="287"/>
      <c r="AO42" s="346">
        <f t="shared" ref="AO42:AP42" si="202">AO17/AO$26</f>
        <v>0.61530185373591328</v>
      </c>
      <c r="AP42" s="346">
        <f t="shared" si="202"/>
        <v>0.61376021798365121</v>
      </c>
      <c r="AQ42" s="387"/>
      <c r="AR42" s="346">
        <f t="shared" ref="AR42:AS42" si="203">AR17/AR$26</f>
        <v>0.68124612215085911</v>
      </c>
      <c r="AS42" s="346">
        <f t="shared" si="203"/>
        <v>0.6636481241914618</v>
      </c>
      <c r="AT42" s="387"/>
      <c r="AU42" s="346">
        <f t="shared" si="172"/>
        <v>0.68341616354765111</v>
      </c>
      <c r="AV42" s="346">
        <f t="shared" si="172"/>
        <v>0.69540873460246355</v>
      </c>
      <c r="AW42" s="387"/>
      <c r="AX42" s="343">
        <f t="shared" si="129"/>
        <v>0.61312591876164479</v>
      </c>
      <c r="AY42" s="343">
        <f t="shared" si="130"/>
        <v>0.61121102246956949</v>
      </c>
      <c r="AZ42" s="343"/>
      <c r="BA42" s="12"/>
      <c r="BV42" s="172" t="s">
        <v>118</v>
      </c>
      <c r="BW42" s="420">
        <f t="shared" si="140"/>
        <v>2.1689592819365666E-2</v>
      </c>
      <c r="BX42" s="420">
        <f t="shared" si="191"/>
        <v>1.8582511193548035E-2</v>
      </c>
      <c r="BY42" s="420">
        <f t="shared" si="191"/>
        <v>6.4693787558945504E-2</v>
      </c>
      <c r="BZ42" s="420">
        <f t="shared" si="191"/>
        <v>7.9186626258676229E-2</v>
      </c>
      <c r="CA42" s="420">
        <f t="shared" si="191"/>
        <v>4.4948302691937947E-2</v>
      </c>
      <c r="CB42" s="420">
        <f t="shared" si="191"/>
        <v>4.6378160016606218E-2</v>
      </c>
      <c r="CC42" s="420">
        <f t="shared" si="132"/>
        <v>4.3004194739579837E-2</v>
      </c>
      <c r="CD42" s="420">
        <f t="shared" si="132"/>
        <v>6.0604115065128195E-2</v>
      </c>
      <c r="CE42" s="420">
        <f t="shared" si="191"/>
        <v>3.2099722755958959E-2</v>
      </c>
      <c r="CF42" s="420">
        <f t="shared" si="191"/>
        <v>3.6506141342941945E-2</v>
      </c>
      <c r="CG42" s="420">
        <f t="shared" si="191"/>
        <v>6.4693787558945504E-2</v>
      </c>
      <c r="CH42" s="420">
        <f t="shared" si="191"/>
        <v>7.9186626258676229E-2</v>
      </c>
      <c r="CI42" s="420">
        <f t="shared" si="191"/>
        <v>6.5421457022977636E-2</v>
      </c>
      <c r="CJ42" s="420">
        <f t="shared" si="191"/>
        <v>6.094473602963868E-2</v>
      </c>
      <c r="CK42" s="420">
        <f t="shared" si="191"/>
        <v>4.081938800478091E-2</v>
      </c>
      <c r="CL42" s="420">
        <f t="shared" si="191"/>
        <v>4.0077009142315712E-2</v>
      </c>
      <c r="CM42" s="420">
        <f t="shared" si="191"/>
        <v>2.1689592819365666E-2</v>
      </c>
      <c r="CN42" s="420">
        <f t="shared" si="191"/>
        <v>1.8582511193548035E-2</v>
      </c>
      <c r="CO42" s="420">
        <f t="shared" si="191"/>
        <v>6.0052203194217668E-2</v>
      </c>
      <c r="CP42" s="420">
        <f t="shared" si="191"/>
        <v>5.8810056590617998E-2</v>
      </c>
      <c r="CQ42" s="420">
        <f t="shared" si="191"/>
        <v>7.2242444880196155E-2</v>
      </c>
      <c r="CR42" s="420">
        <f t="shared" si="191"/>
        <v>6.7934782608695565E-2</v>
      </c>
      <c r="CS42" s="420">
        <f t="shared" si="191"/>
        <v>5.5957018463153263E-2</v>
      </c>
      <c r="CT42" s="420">
        <f t="shared" si="191"/>
        <v>6.6703601108033306E-2</v>
      </c>
      <c r="CU42" s="420">
        <f t="shared" si="191"/>
        <v>2.6387623518857373E-2</v>
      </c>
      <c r="CV42" s="420">
        <f t="shared" si="191"/>
        <v>2.804710639005048E-2</v>
      </c>
      <c r="CW42" s="420">
        <f t="shared" si="191"/>
        <v>1.8185723784465369E-2</v>
      </c>
      <c r="CX42" s="420">
        <f t="shared" si="191"/>
        <v>1.1269375785504687E-2</v>
      </c>
      <c r="CY42" s="420">
        <f t="shared" si="191"/>
        <v>7.7873733814298518E-2</v>
      </c>
      <c r="CZ42" s="420">
        <f t="shared" si="191"/>
        <v>8.8805503439649769E-2</v>
      </c>
      <c r="DA42" s="420">
        <f t="shared" si="191"/>
        <v>2.1404334226303057E-2</v>
      </c>
      <c r="DB42" s="420">
        <f t="shared" si="191"/>
        <v>2.6490044564372983E-2</v>
      </c>
      <c r="DC42" s="420">
        <f t="shared" si="133"/>
        <v>5.926609634337221E-2</v>
      </c>
      <c r="DD42" s="420">
        <f t="shared" si="133"/>
        <v>6.6981875492513998E-2</v>
      </c>
      <c r="DE42" s="420">
        <f t="shared" si="133"/>
        <v>5.0865790840836311E-2</v>
      </c>
      <c r="DF42" s="420">
        <f t="shared" si="133"/>
        <v>4.9107020186875294E-2</v>
      </c>
      <c r="DG42" s="420">
        <f t="shared" ref="DG42:DH42" si="204">DG17-DG18</f>
        <v>5.450884792513655E-2</v>
      </c>
      <c r="DH42" s="420">
        <f t="shared" si="204"/>
        <v>5.925706901460881E-2</v>
      </c>
      <c r="DI42" s="171"/>
      <c r="DJ42" s="171"/>
      <c r="DK42" s="171"/>
      <c r="DL42" s="171"/>
      <c r="DM42" s="171"/>
      <c r="DN42" s="171"/>
      <c r="DO42" s="171"/>
      <c r="DP42" s="171"/>
      <c r="DQ42" s="171"/>
      <c r="DR42" s="171"/>
      <c r="DS42" s="171"/>
      <c r="DT42" s="171"/>
      <c r="DU42" s="171"/>
      <c r="DV42" s="171"/>
      <c r="DW42" s="171"/>
    </row>
    <row r="43" spans="1:127" ht="15.75" hidden="1" outlineLevel="1" thickBot="1" x14ac:dyDescent="0.3">
      <c r="A43" s="302">
        <v>13</v>
      </c>
      <c r="B43" s="288">
        <f t="shared" si="125"/>
        <v>0.60476381425936321</v>
      </c>
      <c r="C43" s="288">
        <f t="shared" si="125"/>
        <v>0.56772334293948123</v>
      </c>
      <c r="D43" s="371"/>
      <c r="E43" s="288">
        <f t="shared" ref="E43:AG43" si="205">E18/E$26</f>
        <v>0.5217426962935191</v>
      </c>
      <c r="F43" s="288">
        <f t="shared" si="205"/>
        <v>0.51058201058201058</v>
      </c>
      <c r="G43" s="371"/>
      <c r="H43" s="288">
        <f t="shared" si="205"/>
        <v>0.598889194302068</v>
      </c>
      <c r="I43" s="288">
        <f t="shared" si="205"/>
        <v>0.62310030395136773</v>
      </c>
      <c r="J43" s="288"/>
      <c r="K43" s="288">
        <f t="shared" si="205"/>
        <v>0.61767287839895102</v>
      </c>
      <c r="L43" s="288">
        <f t="shared" si="205"/>
        <v>0.64185110663983902</v>
      </c>
      <c r="M43" s="288"/>
      <c r="N43" s="288">
        <f t="shared" si="205"/>
        <v>0.72125716819267438</v>
      </c>
      <c r="O43" s="288">
        <f t="shared" si="205"/>
        <v>0.72415865384615385</v>
      </c>
      <c r="P43" s="288"/>
      <c r="Q43" s="288">
        <f t="shared" si="205"/>
        <v>0.58821224715562082</v>
      </c>
      <c r="R43" s="288">
        <f t="shared" si="205"/>
        <v>0.60977080820265384</v>
      </c>
      <c r="S43" s="334"/>
      <c r="T43" s="334">
        <f t="shared" si="205"/>
        <v>0.64703798124702938</v>
      </c>
      <c r="U43" s="334">
        <f t="shared" si="205"/>
        <v>0.64</v>
      </c>
      <c r="V43" s="334"/>
      <c r="W43" s="288">
        <f t="shared" si="205"/>
        <v>0.59322578683554417</v>
      </c>
      <c r="X43" s="288">
        <f t="shared" si="205"/>
        <v>0.58139534883720934</v>
      </c>
      <c r="Y43" s="335"/>
      <c r="Z43" s="335">
        <f t="shared" si="205"/>
        <v>0.69268728712993355</v>
      </c>
      <c r="AA43" s="335">
        <f t="shared" si="205"/>
        <v>0.68988095238095237</v>
      </c>
      <c r="AB43" s="335"/>
      <c r="AC43" s="288">
        <f t="shared" si="205"/>
        <v>0.5740730523063341</v>
      </c>
      <c r="AD43" s="288">
        <f t="shared" si="205"/>
        <v>0.57620817843866168</v>
      </c>
      <c r="AE43" s="288"/>
      <c r="AF43" s="288">
        <f t="shared" si="205"/>
        <v>0.56147404491631858</v>
      </c>
      <c r="AG43" s="288">
        <f t="shared" si="205"/>
        <v>0.57746478873239437</v>
      </c>
      <c r="AH43" s="288"/>
      <c r="AI43" s="288">
        <f t="shared" ref="AI43:AJ43" si="206">AI18/AI$26</f>
        <v>0.68834104727116974</v>
      </c>
      <c r="AJ43" s="288">
        <f t="shared" si="206"/>
        <v>0.68193604148660325</v>
      </c>
      <c r="AK43" s="288"/>
      <c r="AL43" s="288">
        <f t="shared" ref="AL43:AM43" si="207">AL18/AL$26</f>
        <v>0.67180289651428293</v>
      </c>
      <c r="AM43" s="288">
        <f t="shared" si="207"/>
        <v>0.66352941176470592</v>
      </c>
      <c r="AN43" s="288"/>
      <c r="AO43" s="346">
        <f t="shared" ref="AO43:AP43" si="208">AO18/AO$26</f>
        <v>0.63518165181749331</v>
      </c>
      <c r="AP43" s="346">
        <f t="shared" si="208"/>
        <v>0.6328337874659401</v>
      </c>
      <c r="AQ43" s="343"/>
      <c r="AR43" s="346">
        <f t="shared" ref="AR43:AS43" si="209">AR18/AR$26</f>
        <v>0.70751909466074636</v>
      </c>
      <c r="AS43" s="346">
        <f t="shared" si="209"/>
        <v>0.69081500646830529</v>
      </c>
      <c r="AT43" s="343"/>
      <c r="AU43" s="346">
        <f t="shared" si="172"/>
        <v>0.69664361920026474</v>
      </c>
      <c r="AV43" s="346">
        <f t="shared" si="172"/>
        <v>0.70735349010824933</v>
      </c>
      <c r="AW43" s="343"/>
      <c r="AX43" s="343">
        <f t="shared" si="129"/>
        <v>0.63004645383618818</v>
      </c>
      <c r="AY43" s="343">
        <f t="shared" si="130"/>
        <v>0.62848119547993675</v>
      </c>
      <c r="AZ43" s="343"/>
      <c r="BA43" s="12"/>
      <c r="BV43" s="172" t="s">
        <v>119</v>
      </c>
      <c r="BW43" s="420">
        <f t="shared" si="140"/>
        <v>3.6825961212072933E-2</v>
      </c>
      <c r="BX43" s="420">
        <f t="shared" si="191"/>
        <v>3.0263512421188743E-2</v>
      </c>
      <c r="BY43" s="420">
        <f t="shared" si="191"/>
        <v>8.330770372755647E-2</v>
      </c>
      <c r="BZ43" s="420">
        <f t="shared" si="191"/>
        <v>8.2618701706116182E-2</v>
      </c>
      <c r="CA43" s="420">
        <f t="shared" si="191"/>
        <v>5.5246863404206481E-2</v>
      </c>
      <c r="CB43" s="420">
        <f t="shared" si="191"/>
        <v>5.6897672784463671E-2</v>
      </c>
      <c r="CC43" s="420">
        <f t="shared" si="132"/>
        <v>4.6481742515483537E-2</v>
      </c>
      <c r="CD43" s="420">
        <f t="shared" si="132"/>
        <v>5.2355189284927439E-2</v>
      </c>
      <c r="CE43" s="420">
        <f t="shared" si="191"/>
        <v>3.5910105552609428E-2</v>
      </c>
      <c r="CF43" s="420">
        <f t="shared" si="191"/>
        <v>6.8738392967686135E-2</v>
      </c>
      <c r="CG43" s="420">
        <f t="shared" si="191"/>
        <v>8.330770372755647E-2</v>
      </c>
      <c r="CH43" s="420">
        <f t="shared" si="191"/>
        <v>8.2618701706116182E-2</v>
      </c>
      <c r="CI43" s="420">
        <f t="shared" si="191"/>
        <v>2.9493278224387964E-2</v>
      </c>
      <c r="CJ43" s="420">
        <f t="shared" si="191"/>
        <v>2.6940398900392015E-2</v>
      </c>
      <c r="CK43" s="420">
        <f t="shared" si="191"/>
        <v>5.8207801466041653E-2</v>
      </c>
      <c r="CL43" s="420">
        <f t="shared" si="191"/>
        <v>5.1933124346917436E-2</v>
      </c>
      <c r="CM43" s="420">
        <f t="shared" si="191"/>
        <v>3.2913397121072441E-2</v>
      </c>
      <c r="CN43" s="420">
        <f t="shared" si="191"/>
        <v>3.0263512421188743E-2</v>
      </c>
      <c r="CO43" s="420">
        <f t="shared" si="191"/>
        <v>7.8299183467734457E-2</v>
      </c>
      <c r="CP43" s="420">
        <f t="shared" si="191"/>
        <v>7.580949181643426E-2</v>
      </c>
      <c r="CQ43" s="420">
        <f t="shared" si="191"/>
        <v>6.1788466377582729E-2</v>
      </c>
      <c r="CR43" s="420">
        <f t="shared" si="191"/>
        <v>6.25E-2</v>
      </c>
      <c r="CS43" s="420">
        <f t="shared" si="191"/>
        <v>7.9052422747385664E-2</v>
      </c>
      <c r="CT43" s="420">
        <f t="shared" si="191"/>
        <v>8.708860759493664E-2</v>
      </c>
      <c r="CU43" s="420">
        <f t="shared" si="191"/>
        <v>4.9079270902901984E-2</v>
      </c>
      <c r="CV43" s="420">
        <f t="shared" si="191"/>
        <v>5.7644757036356076E-2</v>
      </c>
      <c r="CW43" s="420">
        <f t="shared" si="191"/>
        <v>5.0162237771510521E-2</v>
      </c>
      <c r="CX43" s="420">
        <f t="shared" si="191"/>
        <v>4.3659971596672786E-2</v>
      </c>
      <c r="CY43" s="420">
        <f t="shared" si="191"/>
        <v>0.10668496193040578</v>
      </c>
      <c r="CZ43" s="420">
        <f t="shared" si="191"/>
        <v>9.9523409027193699E-2</v>
      </c>
      <c r="DA43" s="420">
        <f t="shared" si="191"/>
        <v>2.9786372713391573E-2</v>
      </c>
      <c r="DB43" s="420">
        <f t="shared" si="191"/>
        <v>3.0929310274336652E-2</v>
      </c>
      <c r="DC43" s="420">
        <f t="shared" si="133"/>
        <v>5.2495057808959356E-2</v>
      </c>
      <c r="DD43" s="420">
        <f t="shared" si="133"/>
        <v>6.1513967289043237E-2</v>
      </c>
      <c r="DE43" s="420">
        <f t="shared" si="133"/>
        <v>6.6461629905194108E-2</v>
      </c>
      <c r="DF43" s="420">
        <f t="shared" si="133"/>
        <v>6.0525019667622582E-2</v>
      </c>
      <c r="DG43" s="420">
        <f t="shared" ref="DG43:DH43" si="210">DG18-DG19</f>
        <v>6.3747354277310597E-2</v>
      </c>
      <c r="DH43" s="420">
        <f t="shared" si="210"/>
        <v>6.1018457869367326E-2</v>
      </c>
      <c r="DI43" s="171"/>
      <c r="DJ43" s="171"/>
      <c r="DK43" s="171"/>
      <c r="DL43" s="171"/>
      <c r="DM43" s="171"/>
      <c r="DN43" s="171"/>
      <c r="DO43" s="171"/>
      <c r="DP43" s="171"/>
      <c r="DQ43" s="171"/>
      <c r="DR43" s="171"/>
      <c r="DS43" s="171"/>
      <c r="DT43" s="171"/>
      <c r="DU43" s="171"/>
      <c r="DV43" s="171"/>
      <c r="DW43" s="171"/>
    </row>
    <row r="44" spans="1:127" ht="15.75" hidden="1" outlineLevel="1" thickBot="1" x14ac:dyDescent="0.3">
      <c r="A44" s="302">
        <v>14</v>
      </c>
      <c r="B44" s="287">
        <f t="shared" si="125"/>
        <v>0.61818910899029589</v>
      </c>
      <c r="C44" s="287">
        <f t="shared" si="125"/>
        <v>0.59077809798270897</v>
      </c>
      <c r="D44" s="372"/>
      <c r="E44" s="287">
        <f t="shared" ref="E44:AG44" si="211">E19/E$26</f>
        <v>0.54545081751132096</v>
      </c>
      <c r="F44" s="287">
        <f t="shared" si="211"/>
        <v>0.53306878306878303</v>
      </c>
      <c r="G44" s="372"/>
      <c r="H44" s="287">
        <f t="shared" si="211"/>
        <v>0.60965770368813366</v>
      </c>
      <c r="I44" s="287">
        <f t="shared" si="211"/>
        <v>0.63373860182370823</v>
      </c>
      <c r="J44" s="287"/>
      <c r="K44" s="287">
        <f t="shared" si="211"/>
        <v>0.64070851529597406</v>
      </c>
      <c r="L44" s="331">
        <f t="shared" si="211"/>
        <v>0.66398390342052316</v>
      </c>
      <c r="M44" s="331"/>
      <c r="N44" s="287">
        <f t="shared" si="211"/>
        <v>0.73879545083801457</v>
      </c>
      <c r="O44" s="287">
        <f t="shared" si="211"/>
        <v>0.74038461538461542</v>
      </c>
      <c r="P44" s="287"/>
      <c r="Q44" s="287">
        <f t="shared" si="211"/>
        <v>0.61661122591912565</v>
      </c>
      <c r="R44" s="287">
        <f t="shared" si="211"/>
        <v>0.63932448733413749</v>
      </c>
      <c r="S44" s="383"/>
      <c r="T44" s="336">
        <f t="shared" si="211"/>
        <v>0.67398349392904977</v>
      </c>
      <c r="U44" s="336">
        <f t="shared" si="211"/>
        <v>0.66666666666666663</v>
      </c>
      <c r="V44" s="383"/>
      <c r="W44" s="287">
        <f t="shared" si="211"/>
        <v>0.62241449705941121</v>
      </c>
      <c r="X44" s="287">
        <f t="shared" si="211"/>
        <v>0.61240310077519378</v>
      </c>
      <c r="Y44" s="287"/>
      <c r="Z44" s="287">
        <f t="shared" si="211"/>
        <v>0.71706505155115818</v>
      </c>
      <c r="AA44" s="287">
        <f t="shared" si="211"/>
        <v>0.71845238095238095</v>
      </c>
      <c r="AB44" s="287"/>
      <c r="AC44" s="287">
        <f t="shared" si="211"/>
        <v>0.59109468108585306</v>
      </c>
      <c r="AD44" s="287">
        <f t="shared" si="211"/>
        <v>0.59107806691449816</v>
      </c>
      <c r="AE44" s="287"/>
      <c r="AF44" s="287">
        <f t="shared" si="211"/>
        <v>0.59724980840144615</v>
      </c>
      <c r="AG44" s="287">
        <f t="shared" si="211"/>
        <v>0.61267605633802813</v>
      </c>
      <c r="AH44" s="331"/>
      <c r="AI44" s="287">
        <f t="shared" ref="AI44:AJ44" si="212">AI19/AI$26</f>
        <v>0.70274965198043948</v>
      </c>
      <c r="AJ44" s="287">
        <f t="shared" si="212"/>
        <v>0.6966292134831461</v>
      </c>
      <c r="AK44" s="331"/>
      <c r="AL44" s="287">
        <f t="shared" ref="AL44:AM44" si="213">AL19/AL$26</f>
        <v>0.69636099445925881</v>
      </c>
      <c r="AM44" s="287">
        <f t="shared" si="213"/>
        <v>0.69176470588235295</v>
      </c>
      <c r="AN44" s="331"/>
      <c r="AO44" s="346">
        <f t="shared" ref="AO44:AP44" si="214">AO19/AO$26</f>
        <v>0.66317784228130106</v>
      </c>
      <c r="AP44" s="346">
        <f t="shared" si="214"/>
        <v>0.65803814713896458</v>
      </c>
      <c r="AQ44" s="387"/>
      <c r="AR44" s="346">
        <f t="shared" ref="AR44:AS44" si="215">AR19/AR$26</f>
        <v>0.740937192440146</v>
      </c>
      <c r="AS44" s="346">
        <f t="shared" si="215"/>
        <v>0.7212160413971539</v>
      </c>
      <c r="AT44" s="387"/>
      <c r="AU44" s="346">
        <f t="shared" si="172"/>
        <v>0.71024212148480592</v>
      </c>
      <c r="AV44" s="346">
        <f t="shared" si="172"/>
        <v>0.71967151922359085</v>
      </c>
      <c r="AW44" s="387"/>
      <c r="AX44" s="343">
        <f t="shared" si="129"/>
        <v>0.65237194096694029</v>
      </c>
      <c r="AY44" s="343">
        <f t="shared" si="130"/>
        <v>0.65121246971865243</v>
      </c>
      <c r="AZ44" s="343"/>
      <c r="BA44" s="12"/>
      <c r="BV44" s="172" t="s">
        <v>120</v>
      </c>
      <c r="BW44" s="420">
        <f t="shared" si="140"/>
        <v>7.9799864471708837E-2</v>
      </c>
      <c r="BX44" s="420">
        <f t="shared" si="191"/>
        <v>8.3322617976083313E-2</v>
      </c>
      <c r="BY44" s="420">
        <f t="shared" si="191"/>
        <v>8.1955635063029497E-2</v>
      </c>
      <c r="BZ44" s="420">
        <f t="shared" si="191"/>
        <v>8.4461326779015078E-2</v>
      </c>
      <c r="CA44" s="420">
        <f t="shared" si="191"/>
        <v>6.3749095023130309E-2</v>
      </c>
      <c r="CB44" s="420">
        <f t="shared" si="191"/>
        <v>6.1533016478977354E-2</v>
      </c>
      <c r="CC44" s="420">
        <f t="shared" si="132"/>
        <v>2.1557705913206604E-3</v>
      </c>
      <c r="CD44" s="420">
        <f t="shared" si="132"/>
        <v>1.1387088029317649E-3</v>
      </c>
      <c r="CE44" s="420">
        <f t="shared" si="191"/>
        <v>7.4473108187948389E-2</v>
      </c>
      <c r="CF44" s="420">
        <f t="shared" si="191"/>
        <v>7.1187599726464601E-2</v>
      </c>
      <c r="CG44" s="420">
        <f t="shared" si="191"/>
        <v>8.1955635063029497E-2</v>
      </c>
      <c r="CH44" s="420">
        <f t="shared" si="191"/>
        <v>8.4461326779015078E-2</v>
      </c>
      <c r="CI44" s="420">
        <f t="shared" si="191"/>
        <v>3.4182829749769716E-2</v>
      </c>
      <c r="CJ44" s="420">
        <f t="shared" si="191"/>
        <v>3.6954043322718899E-2</v>
      </c>
      <c r="CK44" s="420">
        <f t="shared" si="191"/>
        <v>3.9471804445878167E-2</v>
      </c>
      <c r="CL44" s="420">
        <f t="shared" si="191"/>
        <v>3.1283157989389521E-2</v>
      </c>
      <c r="CM44" s="420">
        <f t="shared" si="191"/>
        <v>8.3712428562709329E-2</v>
      </c>
      <c r="CN44" s="420">
        <f t="shared" si="191"/>
        <v>8.3322617976083313E-2</v>
      </c>
      <c r="CO44" s="420">
        <f t="shared" si="191"/>
        <v>5.3466220042947876E-2</v>
      </c>
      <c r="CP44" s="420">
        <f t="shared" si="191"/>
        <v>5.1377220768489273E-2</v>
      </c>
      <c r="CQ44" s="420">
        <f t="shared" si="191"/>
        <v>8.2400708905515874E-2</v>
      </c>
      <c r="CR44" s="420">
        <f t="shared" si="191"/>
        <v>8.6956521739130377E-2</v>
      </c>
      <c r="CS44" s="420">
        <f t="shared" si="191"/>
        <v>7.5705179244016652E-2</v>
      </c>
      <c r="CT44" s="420">
        <f t="shared" si="191"/>
        <v>7.8694524935183807E-2</v>
      </c>
      <c r="CU44" s="420">
        <f t="shared" si="191"/>
        <v>5.7904461027205256E-2</v>
      </c>
      <c r="CV44" s="420">
        <f t="shared" si="191"/>
        <v>5.5365182813856384E-2</v>
      </c>
      <c r="CW44" s="420">
        <f t="shared" si="191"/>
        <v>8.2399265289034185E-2</v>
      </c>
      <c r="CX44" s="420">
        <f t="shared" si="191"/>
        <v>5.1579996932044958E-2</v>
      </c>
      <c r="CY44" s="420">
        <f t="shared" si="191"/>
        <v>0.11491943397634485</v>
      </c>
      <c r="CZ44" s="420">
        <f t="shared" si="191"/>
        <v>6.959793830732508E-2</v>
      </c>
      <c r="DA44" s="420">
        <f t="shared" si="191"/>
        <v>3.0599225366205962E-2</v>
      </c>
      <c r="DB44" s="420">
        <f t="shared" si="191"/>
        <v>3.3059628543499642E-2</v>
      </c>
      <c r="DC44" s="420">
        <f t="shared" si="133"/>
        <v>7.312846433211484E-2</v>
      </c>
      <c r="DD44" s="420">
        <f t="shared" si="133"/>
        <v>6.5708101422387033E-2</v>
      </c>
      <c r="DE44" s="420">
        <f t="shared" si="133"/>
        <v>7.5319778434517204E-2</v>
      </c>
      <c r="DF44" s="420">
        <f t="shared" si="133"/>
        <v>7.0507828866556821E-2</v>
      </c>
      <c r="DG44" s="420">
        <f t="shared" ref="DG44:DH44" si="216">DG19-DG20</f>
        <v>5.7147590981917018E-2</v>
      </c>
      <c r="DH44" s="420">
        <f t="shared" si="216"/>
        <v>6.517956383427248E-2</v>
      </c>
      <c r="DI44" s="171"/>
      <c r="DJ44" s="171"/>
      <c r="DK44" s="171"/>
      <c r="DL44" s="171"/>
      <c r="DM44" s="171"/>
      <c r="DN44" s="171"/>
      <c r="DO44" s="171"/>
      <c r="DP44" s="171"/>
      <c r="DQ44" s="171"/>
      <c r="DR44" s="171"/>
      <c r="DS44" s="171"/>
      <c r="DT44" s="171"/>
      <c r="DU44" s="171"/>
      <c r="DV44" s="171"/>
      <c r="DW44" s="171"/>
    </row>
    <row r="45" spans="1:127" ht="15.75" hidden="1" outlineLevel="1" thickBot="1" x14ac:dyDescent="0.3">
      <c r="A45" s="302">
        <v>15</v>
      </c>
      <c r="B45" s="334">
        <f t="shared" si="125"/>
        <v>0.64802309728125751</v>
      </c>
      <c r="C45" s="288">
        <f t="shared" si="125"/>
        <v>0.61671469740634011</v>
      </c>
      <c r="D45" s="371"/>
      <c r="E45" s="288">
        <f t="shared" ref="E45:AG45" si="217">E20/E$26</f>
        <v>0.57097497964276722</v>
      </c>
      <c r="F45" s="288">
        <f t="shared" si="217"/>
        <v>0.55820105820105825</v>
      </c>
      <c r="G45" s="371"/>
      <c r="H45" s="288">
        <f t="shared" si="217"/>
        <v>0.62263327243035227</v>
      </c>
      <c r="I45" s="334">
        <f t="shared" si="217"/>
        <v>0.64893617021276595</v>
      </c>
      <c r="J45" s="334"/>
      <c r="K45" s="334">
        <f t="shared" si="217"/>
        <v>0.65733239990665737</v>
      </c>
      <c r="L45" s="333">
        <f t="shared" si="217"/>
        <v>0.67806841046277666</v>
      </c>
      <c r="M45" s="368"/>
      <c r="N45" s="288">
        <f t="shared" si="217"/>
        <v>0.78749942487148494</v>
      </c>
      <c r="O45" s="288">
        <f t="shared" si="217"/>
        <v>0.7890625</v>
      </c>
      <c r="P45" s="288"/>
      <c r="Q45" s="288">
        <f t="shared" si="217"/>
        <v>0.63763261606065957</v>
      </c>
      <c r="R45" s="334">
        <f t="shared" si="217"/>
        <v>0.66103739445114595</v>
      </c>
      <c r="S45" s="368"/>
      <c r="T45" s="335">
        <f t="shared" si="217"/>
        <v>0.71361534805340709</v>
      </c>
      <c r="U45" s="335">
        <f t="shared" si="217"/>
        <v>0.70769230769230773</v>
      </c>
      <c r="V45" s="368"/>
      <c r="W45" s="334">
        <f t="shared" si="217"/>
        <v>0.65319294953654239</v>
      </c>
      <c r="X45" s="334">
        <f t="shared" si="217"/>
        <v>0.64341085271317833</v>
      </c>
      <c r="Y45" s="334"/>
      <c r="Z45" s="288">
        <f t="shared" si="217"/>
        <v>0.74812828455622848</v>
      </c>
      <c r="AA45" s="288">
        <f t="shared" si="217"/>
        <v>0.74821428571428572</v>
      </c>
      <c r="AB45" s="288"/>
      <c r="AC45" s="288">
        <f t="shared" si="217"/>
        <v>0.62135841977488415</v>
      </c>
      <c r="AD45" s="288">
        <f t="shared" si="217"/>
        <v>0.60966542750929364</v>
      </c>
      <c r="AE45" s="334"/>
      <c r="AF45" s="334">
        <f t="shared" si="217"/>
        <v>0.64126330656972386</v>
      </c>
      <c r="AG45" s="334">
        <f t="shared" si="217"/>
        <v>0.63996478873239437</v>
      </c>
      <c r="AH45" s="368"/>
      <c r="AI45" s="287">
        <f t="shared" ref="AI45:AJ45" si="218">AI20/AI$26</f>
        <v>0.71819339179268737</v>
      </c>
      <c r="AJ45" s="287">
        <f t="shared" si="218"/>
        <v>0.71305099394987037</v>
      </c>
      <c r="AK45" s="368"/>
      <c r="AL45" s="287">
        <f t="shared" ref="AL45:AM45" si="219">AL20/AL$26</f>
        <v>0.73372507065642611</v>
      </c>
      <c r="AM45" s="287">
        <f t="shared" si="219"/>
        <v>0.7247058823529412</v>
      </c>
      <c r="AN45" s="368"/>
      <c r="AO45" s="346">
        <f t="shared" ref="AO45:AP45" si="220">AO20/AO$26</f>
        <v>0.69804549990411147</v>
      </c>
      <c r="AP45" s="346">
        <f t="shared" si="220"/>
        <v>0.69005449591280654</v>
      </c>
      <c r="AQ45" s="343"/>
      <c r="AR45" s="346">
        <f t="shared" ref="AR45:AS45" si="221">AR20/AR$26</f>
        <v>0.77369770057069076</v>
      </c>
      <c r="AS45" s="346">
        <f t="shared" si="221"/>
        <v>0.75679172056921085</v>
      </c>
      <c r="AT45" s="343"/>
      <c r="AU45" s="346">
        <f t="shared" si="172"/>
        <v>0.73527528199365644</v>
      </c>
      <c r="AV45" s="346">
        <f t="shared" si="172"/>
        <v>0.73684210526315785</v>
      </c>
      <c r="AW45" s="343"/>
      <c r="AX45" s="344">
        <f t="shared" si="129"/>
        <v>0.68079441418321018</v>
      </c>
      <c r="AY45" s="344">
        <f t="shared" si="130"/>
        <v>0.67853079344577227</v>
      </c>
      <c r="AZ45" s="416" t="s">
        <v>238</v>
      </c>
      <c r="BA45" s="12" t="s">
        <v>120</v>
      </c>
      <c r="BV45" s="172" t="s">
        <v>121</v>
      </c>
      <c r="BW45" s="420">
        <f t="shared" si="140"/>
        <v>3.2793393525950121E-2</v>
      </c>
      <c r="BX45" s="420">
        <f t="shared" si="191"/>
        <v>3.4734140080674658E-2</v>
      </c>
      <c r="BY45" s="420">
        <f t="shared" si="191"/>
        <v>0.10133996353020325</v>
      </c>
      <c r="BZ45" s="420">
        <f t="shared" si="191"/>
        <v>9.2592789818414234E-2</v>
      </c>
      <c r="CA45" s="420">
        <f t="shared" si="191"/>
        <v>5.7559701420744513E-2</v>
      </c>
      <c r="CB45" s="420">
        <f t="shared" si="191"/>
        <v>5.8230029785485415E-2</v>
      </c>
      <c r="CC45" s="420">
        <f t="shared" si="132"/>
        <v>6.8546570004253127E-2</v>
      </c>
      <c r="CD45" s="420">
        <f t="shared" si="132"/>
        <v>5.7858649737739576E-2</v>
      </c>
      <c r="CE45" s="420">
        <f t="shared" si="191"/>
        <v>6.8475968981483559E-2</v>
      </c>
      <c r="CF45" s="420">
        <f t="shared" si="191"/>
        <v>7.2388184245660847E-2</v>
      </c>
      <c r="CG45" s="420">
        <f t="shared" si="191"/>
        <v>0.10133996353020325</v>
      </c>
      <c r="CH45" s="420">
        <f t="shared" si="191"/>
        <v>9.2592789818414234E-2</v>
      </c>
      <c r="CI45" s="420">
        <f t="shared" si="191"/>
        <v>6.0853305606782149E-2</v>
      </c>
      <c r="CJ45" s="420">
        <f t="shared" si="191"/>
        <v>5.900162457539504E-2</v>
      </c>
      <c r="CK45" s="420">
        <f t="shared" si="191"/>
        <v>6.6124240802790002E-2</v>
      </c>
      <c r="CL45" s="420">
        <f t="shared" si="191"/>
        <v>5.0708680162907083E-2</v>
      </c>
      <c r="CM45" s="420">
        <f t="shared" si="191"/>
        <v>3.2793393525950121E-2</v>
      </c>
      <c r="CN45" s="420">
        <f t="shared" si="191"/>
        <v>3.4734140080674658E-2</v>
      </c>
      <c r="CO45" s="420">
        <f t="shared" si="191"/>
        <v>5.2746183978343408E-2</v>
      </c>
      <c r="CP45" s="420">
        <f t="shared" si="191"/>
        <v>5.0692593879941628E-2</v>
      </c>
      <c r="CQ45" s="420">
        <f t="shared" si="191"/>
        <v>7.1876557425115228E-2</v>
      </c>
      <c r="CR45" s="420">
        <f t="shared" si="191"/>
        <v>7.5594918590087712E-2</v>
      </c>
      <c r="CS45" s="420">
        <f t="shared" si="191"/>
        <v>6.76651569008071E-2</v>
      </c>
      <c r="CT45" s="420">
        <f t="shared" si="191"/>
        <v>8.1614127743852238E-2</v>
      </c>
      <c r="CU45" s="420">
        <f t="shared" si="191"/>
        <v>4.5030851726686638E-2</v>
      </c>
      <c r="CV45" s="420">
        <f t="shared" si="191"/>
        <v>4.5201139567690785E-2</v>
      </c>
      <c r="CW45" s="420">
        <f t="shared" si="191"/>
        <v>6.7105881784528032E-2</v>
      </c>
      <c r="CX45" s="420">
        <f t="shared" si="191"/>
        <v>7.6290414066931378E-2</v>
      </c>
      <c r="CY45" s="420">
        <f t="shared" si="191"/>
        <v>6.7887379793269531E-2</v>
      </c>
      <c r="CZ45" s="420">
        <f t="shared" si="191"/>
        <v>6.3905230952372216E-2</v>
      </c>
      <c r="DA45" s="420">
        <f t="shared" si="191"/>
        <v>2.2646640475562752E-2</v>
      </c>
      <c r="DB45" s="420">
        <f t="shared" si="191"/>
        <v>1.845295055821361E-2</v>
      </c>
      <c r="DC45" s="420">
        <f t="shared" si="133"/>
        <v>5.7608079859719385E-2</v>
      </c>
      <c r="DD45" s="420">
        <f t="shared" si="133"/>
        <v>4.7581728616211461E-2</v>
      </c>
      <c r="DE45" s="420">
        <f t="shared" si="133"/>
        <v>5.2595774096360959E-2</v>
      </c>
      <c r="DF45" s="420">
        <f t="shared" si="133"/>
        <v>4.9732881501396875E-2</v>
      </c>
      <c r="DG45" s="420">
        <f t="shared" ref="DG45:DH45" si="222">DG20-DG21</f>
        <v>3.902219963506437E-2</v>
      </c>
      <c r="DH45" s="420">
        <f t="shared" si="222"/>
        <v>4.9985942420152973E-2</v>
      </c>
    </row>
    <row r="46" spans="1:127" ht="15.75" hidden="1" outlineLevel="1" thickBot="1" x14ac:dyDescent="0.3">
      <c r="A46" s="302">
        <v>16</v>
      </c>
      <c r="B46" s="336">
        <f t="shared" si="125"/>
        <v>0.67811372203063602</v>
      </c>
      <c r="C46" s="331">
        <f t="shared" si="125"/>
        <v>0.64553314121037464</v>
      </c>
      <c r="D46" s="373"/>
      <c r="E46" s="287">
        <f t="shared" ref="E46:AG46" si="223">E21/E$26</f>
        <v>0.60604214386558952</v>
      </c>
      <c r="F46" s="287">
        <f t="shared" si="223"/>
        <v>0.58862433862433861</v>
      </c>
      <c r="G46" s="373"/>
      <c r="H46" s="331">
        <f t="shared" si="223"/>
        <v>0.647153459343218</v>
      </c>
      <c r="I46" s="336">
        <f t="shared" si="223"/>
        <v>0.67477203647416417</v>
      </c>
      <c r="J46" s="336"/>
      <c r="K46" s="336">
        <f t="shared" si="223"/>
        <v>0.68720205353868724</v>
      </c>
      <c r="L46" s="332">
        <f t="shared" si="223"/>
        <v>0.70221327967806846</v>
      </c>
      <c r="M46" s="332"/>
      <c r="N46" s="287">
        <f t="shared" si="223"/>
        <v>0.8083755442807129</v>
      </c>
      <c r="O46" s="287">
        <f t="shared" si="223"/>
        <v>0.81129807692307687</v>
      </c>
      <c r="P46" s="331"/>
      <c r="Q46" s="331">
        <f t="shared" si="223"/>
        <v>0.65982427971841739</v>
      </c>
      <c r="R46" s="336">
        <f t="shared" si="223"/>
        <v>0.68395657418576594</v>
      </c>
      <c r="S46" s="383"/>
      <c r="T46" s="287">
        <f t="shared" si="223"/>
        <v>0.75219720865920581</v>
      </c>
      <c r="U46" s="287">
        <f t="shared" si="223"/>
        <v>0.74769230769230766</v>
      </c>
      <c r="V46" s="383"/>
      <c r="W46" s="336">
        <f t="shared" si="223"/>
        <v>0.68339805234856188</v>
      </c>
      <c r="X46" s="336">
        <f t="shared" si="223"/>
        <v>0.67906976744186043</v>
      </c>
      <c r="Y46" s="383"/>
      <c r="Z46" s="287">
        <f t="shared" si="223"/>
        <v>0.77421055064959088</v>
      </c>
      <c r="AA46" s="287">
        <f t="shared" si="223"/>
        <v>0.77440476190476193</v>
      </c>
      <c r="AB46" s="287"/>
      <c r="AC46" s="287">
        <f t="shared" si="223"/>
        <v>0.64839439417347167</v>
      </c>
      <c r="AD46" s="287">
        <f t="shared" si="223"/>
        <v>0.63940520446096649</v>
      </c>
      <c r="AE46" s="383"/>
      <c r="AF46" s="336">
        <f t="shared" si="223"/>
        <v>0.67045048732239521</v>
      </c>
      <c r="AG46" s="336">
        <f t="shared" si="223"/>
        <v>0.66725352112676062</v>
      </c>
      <c r="AH46" s="383"/>
      <c r="AI46" s="287">
        <f t="shared" ref="AI46:AJ46" si="224">AI21/AI$26</f>
        <v>0.73006770021535572</v>
      </c>
      <c r="AJ46" s="287">
        <f t="shared" si="224"/>
        <v>0.72255834053586865</v>
      </c>
      <c r="AK46" s="383"/>
      <c r="AL46" s="287">
        <f t="shared" ref="AL46:AM46" si="225">AL21/AL$26</f>
        <v>0.7661072700273045</v>
      </c>
      <c r="AM46" s="287">
        <f t="shared" si="225"/>
        <v>0.75058823529411767</v>
      </c>
      <c r="AN46" s="383"/>
      <c r="AO46" s="346">
        <f t="shared" ref="AO46:AP46" si="226">AO21/AO$26</f>
        <v>0.72465049455710895</v>
      </c>
      <c r="AP46" s="346">
        <f t="shared" si="226"/>
        <v>0.71457765667574935</v>
      </c>
      <c r="AQ46" s="387"/>
      <c r="AR46" s="346">
        <f t="shared" ref="AR46:AS46" si="227">AR21/AR$26</f>
        <v>0.79778390241591834</v>
      </c>
      <c r="AS46" s="346">
        <f t="shared" si="227"/>
        <v>0.78654592496765852</v>
      </c>
      <c r="AT46" s="387"/>
      <c r="AU46" s="346">
        <f t="shared" si="172"/>
        <v>0.76267386478104582</v>
      </c>
      <c r="AV46" s="346">
        <f t="shared" si="172"/>
        <v>0.76110488988428515</v>
      </c>
      <c r="AW46" s="387"/>
      <c r="AX46" s="343">
        <f t="shared" si="129"/>
        <v>0.70749334659972873</v>
      </c>
      <c r="AY46" s="343">
        <f t="shared" si="130"/>
        <v>0.70543472390576611</v>
      </c>
      <c r="AZ46" s="343"/>
      <c r="BA46" s="12"/>
      <c r="BG46" s="172"/>
      <c r="BU46" s="172"/>
      <c r="BV46" s="172" t="s">
        <v>122</v>
      </c>
      <c r="BW46" s="420">
        <f t="shared" si="140"/>
        <v>3.1178763711135593E-2</v>
      </c>
      <c r="BX46" s="420">
        <f t="shared" si="191"/>
        <v>3.0280453864268919E-2</v>
      </c>
      <c r="BY46" s="420">
        <f t="shared" si="191"/>
        <v>9.180585834668431E-2</v>
      </c>
      <c r="BZ46" s="420">
        <f t="shared" si="191"/>
        <v>9.3780863093108069E-2</v>
      </c>
      <c r="CA46" s="420">
        <f t="shared" si="191"/>
        <v>5.7925368433961344E-2</v>
      </c>
      <c r="CB46" s="420">
        <f t="shared" si="191"/>
        <v>5.7011848811538757E-2</v>
      </c>
      <c r="CC46" s="420">
        <f t="shared" si="132"/>
        <v>6.0627094635548717E-2</v>
      </c>
      <c r="CD46" s="420">
        <f t="shared" si="132"/>
        <v>6.350040922883915E-2</v>
      </c>
      <c r="CE46" s="420">
        <f t="shared" si="191"/>
        <v>5.9001889866498791E-2</v>
      </c>
      <c r="CF46" s="420">
        <f t="shared" si="191"/>
        <v>5.9836756591048479E-2</v>
      </c>
      <c r="CG46" s="420">
        <f t="shared" si="191"/>
        <v>9.180585834668431E-2</v>
      </c>
      <c r="CH46" s="420">
        <f t="shared" si="191"/>
        <v>9.3780863093108069E-2</v>
      </c>
      <c r="CI46" s="420">
        <f t="shared" si="191"/>
        <v>0.12072403886010341</v>
      </c>
      <c r="CJ46" s="420">
        <f t="shared" si="191"/>
        <v>0.13085261853229002</v>
      </c>
      <c r="CK46" s="420">
        <f t="shared" si="191"/>
        <v>5.4712338431057272E-2</v>
      </c>
      <c r="CL46" s="420">
        <f t="shared" si="191"/>
        <v>5.4922762398667668E-2</v>
      </c>
      <c r="CM46" s="420">
        <f t="shared" si="191"/>
        <v>3.1178763711135593E-2</v>
      </c>
      <c r="CN46" s="420">
        <f t="shared" si="191"/>
        <v>3.0280453864268919E-2</v>
      </c>
      <c r="CO46" s="420">
        <f t="shared" si="191"/>
        <v>6.328386566454447E-2</v>
      </c>
      <c r="CP46" s="420">
        <f t="shared" si="191"/>
        <v>3.2770783920209379E-2</v>
      </c>
      <c r="CQ46" s="420">
        <f t="shared" si="191"/>
        <v>5.1201162750803997E-2</v>
      </c>
      <c r="CR46" s="420">
        <f t="shared" si="191"/>
        <v>4.9469695734190022E-2</v>
      </c>
      <c r="CS46" s="420">
        <f t="shared" si="191"/>
        <v>9.1903637305235097E-2</v>
      </c>
      <c r="CT46" s="420">
        <f t="shared" si="191"/>
        <v>0.10317598813367068</v>
      </c>
      <c r="CU46" s="420">
        <f t="shared" si="191"/>
        <v>3.5365357960522648E-2</v>
      </c>
      <c r="CV46" s="420">
        <f t="shared" si="191"/>
        <v>3.8517952977145331E-2</v>
      </c>
      <c r="CW46" s="420">
        <f t="shared" si="191"/>
        <v>2.8468735441396387E-2</v>
      </c>
      <c r="CX46" s="420">
        <f t="shared" si="191"/>
        <v>2.6810631229235771E-2</v>
      </c>
      <c r="CY46" s="420">
        <f t="shared" si="191"/>
        <v>6.1444016278088709E-2</v>
      </c>
      <c r="CZ46" s="420">
        <f t="shared" si="191"/>
        <v>6.0706055241976031E-2</v>
      </c>
      <c r="DA46" s="420">
        <f t="shared" si="191"/>
        <v>5.2116406697739093E-2</v>
      </c>
      <c r="DB46" s="420">
        <f t="shared" si="191"/>
        <v>4.6399037530768572E-2</v>
      </c>
      <c r="DC46" s="420">
        <f t="shared" si="133"/>
        <v>3.7213492044702923E-2</v>
      </c>
      <c r="DD46" s="420">
        <f t="shared" si="133"/>
        <v>4.0495088184009598E-2</v>
      </c>
      <c r="DE46" s="420">
        <f t="shared" si="133"/>
        <v>3.6113527823884883E-2</v>
      </c>
      <c r="DF46" s="420">
        <f t="shared" si="133"/>
        <v>3.3846631343250611E-2</v>
      </c>
      <c r="DG46" s="420">
        <f t="shared" ref="DG46:DH46" si="228">DG21-DG22</f>
        <v>3.7154206781893961E-2</v>
      </c>
      <c r="DH46" s="420">
        <f t="shared" si="228"/>
        <v>4.0489859202145428E-2</v>
      </c>
    </row>
    <row r="47" spans="1:127" ht="15.75" hidden="1" outlineLevel="1" thickBot="1" x14ac:dyDescent="0.3">
      <c r="A47" s="302">
        <v>17</v>
      </c>
      <c r="B47" s="337">
        <f t="shared" si="125"/>
        <v>0.70637581201379418</v>
      </c>
      <c r="C47" s="339">
        <f t="shared" si="125"/>
        <v>0.67146974063400577</v>
      </c>
      <c r="D47" s="375"/>
      <c r="E47" s="340">
        <f t="shared" ref="E47:AG47" si="229">E22/E$26</f>
        <v>0.64174785150643521</v>
      </c>
      <c r="F47" s="289">
        <f t="shared" si="229"/>
        <v>0.62301587301587302</v>
      </c>
      <c r="G47" s="375"/>
      <c r="H47" s="333">
        <f t="shared" si="229"/>
        <v>0.70199848012029686</v>
      </c>
      <c r="I47" s="335">
        <f t="shared" si="229"/>
        <v>0.74012158054711241</v>
      </c>
      <c r="J47" s="335"/>
      <c r="K47" s="335">
        <f t="shared" si="229"/>
        <v>0.71404918269604734</v>
      </c>
      <c r="L47" s="288">
        <f t="shared" si="229"/>
        <v>0.73038229376257546</v>
      </c>
      <c r="M47" s="288"/>
      <c r="N47" s="288">
        <f t="shared" si="229"/>
        <v>0.82927676020696262</v>
      </c>
      <c r="O47" s="288">
        <f t="shared" si="229"/>
        <v>0.83173076923076927</v>
      </c>
      <c r="P47" s="368"/>
      <c r="Q47" s="333">
        <f t="shared" si="229"/>
        <v>0.688576645232992</v>
      </c>
      <c r="R47" s="335">
        <f t="shared" si="229"/>
        <v>0.69963811821471655</v>
      </c>
      <c r="S47" s="335"/>
      <c r="T47" s="288">
        <f t="shared" si="229"/>
        <v>0.78232726958475562</v>
      </c>
      <c r="U47" s="288">
        <f t="shared" si="229"/>
        <v>0.77641025641025641</v>
      </c>
      <c r="V47" s="335"/>
      <c r="W47" s="335">
        <f t="shared" si="229"/>
        <v>0.72919652862839124</v>
      </c>
      <c r="X47" s="335">
        <f t="shared" si="229"/>
        <v>0.73023255813953492</v>
      </c>
      <c r="Y47" s="335"/>
      <c r="Z47" s="288">
        <f t="shared" si="229"/>
        <v>0.79600536316981829</v>
      </c>
      <c r="AA47" s="288">
        <f t="shared" si="229"/>
        <v>0.79821428571428577</v>
      </c>
      <c r="AB47" s="334"/>
      <c r="AC47" s="334">
        <f t="shared" si="229"/>
        <v>0.66058817038181417</v>
      </c>
      <c r="AD47" s="334">
        <f t="shared" si="229"/>
        <v>0.65055762081784385</v>
      </c>
      <c r="AE47" s="368"/>
      <c r="AF47" s="335">
        <f t="shared" si="229"/>
        <v>0.69925647723488182</v>
      </c>
      <c r="AG47" s="335">
        <f t="shared" si="229"/>
        <v>0.69542253521126762</v>
      </c>
      <c r="AH47" s="335"/>
      <c r="AI47" s="287">
        <f t="shared" ref="AI47:AJ47" si="230">AI22/AI$26</f>
        <v>0.758944400157055</v>
      </c>
      <c r="AJ47" s="287">
        <f t="shared" si="230"/>
        <v>0.74762316335350043</v>
      </c>
      <c r="AK47" s="335"/>
      <c r="AL47" s="287">
        <f t="shared" ref="AL47:AM47" si="231">AL22/AL$26</f>
        <v>0.78858958596132656</v>
      </c>
      <c r="AM47" s="287">
        <f t="shared" si="231"/>
        <v>0.77411764705882358</v>
      </c>
      <c r="AN47" s="335"/>
      <c r="AO47" s="346">
        <f t="shared" ref="AO47:AP47" si="232">AO22/AO$26</f>
        <v>0.74412398545095226</v>
      </c>
      <c r="AP47" s="346">
        <f t="shared" si="232"/>
        <v>0.73228882833787468</v>
      </c>
      <c r="AQ47" s="343"/>
      <c r="AR47" s="346">
        <f t="shared" ref="AR47:AS47" si="233">AR22/AR$26</f>
        <v>0.82215337364834484</v>
      </c>
      <c r="AS47" s="346">
        <f t="shared" si="233"/>
        <v>0.81241914618369993</v>
      </c>
      <c r="AT47" s="343"/>
      <c r="AU47" s="346">
        <f t="shared" si="172"/>
        <v>0.78388952628833286</v>
      </c>
      <c r="AV47" s="346">
        <f t="shared" si="172"/>
        <v>0.77976857036207536</v>
      </c>
      <c r="AW47" s="343"/>
      <c r="AX47" s="343">
        <f t="shared" si="129"/>
        <v>0.73656644790751236</v>
      </c>
      <c r="AY47" s="343">
        <f t="shared" si="130"/>
        <v>0.73416186418169604</v>
      </c>
      <c r="AZ47" s="343"/>
      <c r="BV47" s="172" t="s">
        <v>123</v>
      </c>
      <c r="BW47" s="420">
        <f t="shared" si="140"/>
        <v>2.9260058347381657E-2</v>
      </c>
      <c r="BX47" s="420">
        <f t="shared" si="191"/>
        <v>2.9655338164546352E-2</v>
      </c>
      <c r="BY47" s="420">
        <f t="shared" si="191"/>
        <v>7.9289286080712618E-2</v>
      </c>
      <c r="BZ47" s="420">
        <f t="shared" si="191"/>
        <v>9.6113505473130356E-2</v>
      </c>
      <c r="CA47" s="420">
        <f t="shared" si="191"/>
        <v>5.655824607464055E-2</v>
      </c>
      <c r="CB47" s="420">
        <f t="shared" si="191"/>
        <v>5.8458627289997844E-2</v>
      </c>
      <c r="CC47" s="420">
        <f t="shared" ref="CC47:CD48" si="234">CC22-CC23</f>
        <v>5.0029227733330961E-2</v>
      </c>
      <c r="CD47" s="420">
        <f t="shared" si="234"/>
        <v>6.6458167308584004E-2</v>
      </c>
      <c r="CE47" s="420">
        <f t="shared" si="191"/>
        <v>7.955048390613717E-2</v>
      </c>
      <c r="CF47" s="420">
        <f t="shared" si="191"/>
        <v>0.10127038626609441</v>
      </c>
      <c r="CG47" s="420">
        <f t="shared" si="191"/>
        <v>7.9289286080712618E-2</v>
      </c>
      <c r="CH47" s="420">
        <f t="shared" si="191"/>
        <v>9.6113505473130356E-2</v>
      </c>
      <c r="CI47" s="420">
        <f t="shared" si="191"/>
        <v>7.9624433850794984E-2</v>
      </c>
      <c r="CJ47" s="420">
        <f t="shared" si="191"/>
        <v>7.0973721426345726E-2</v>
      </c>
      <c r="CK47" s="420">
        <f t="shared" si="191"/>
        <v>5.2263782452394381E-2</v>
      </c>
      <c r="CL47" s="420">
        <f t="shared" si="191"/>
        <v>5.0843618241737332E-2</v>
      </c>
      <c r="CM47" s="420">
        <f t="shared" si="191"/>
        <v>2.8840810826703533E-2</v>
      </c>
      <c r="CN47" s="420">
        <f t="shared" si="191"/>
        <v>2.9655338164546352E-2</v>
      </c>
      <c r="CO47" s="420">
        <f t="shared" si="191"/>
        <v>6.1735176370555145E-2</v>
      </c>
      <c r="CP47" s="420">
        <f t="shared" si="191"/>
        <v>5.9062410943288679E-2</v>
      </c>
      <c r="CQ47" s="420">
        <f t="shared" si="191"/>
        <v>4.4121811242431752E-2</v>
      </c>
      <c r="CR47" s="420">
        <f t="shared" si="191"/>
        <v>3.9579376100484343E-2</v>
      </c>
      <c r="CS47" s="420">
        <f t="shared" si="191"/>
        <v>4.9617003597717479E-2</v>
      </c>
      <c r="CT47" s="420">
        <f t="shared" si="191"/>
        <v>5.5781130411093782E-2</v>
      </c>
      <c r="CU47" s="420">
        <f t="shared" si="191"/>
        <v>4.2715028125800414E-2</v>
      </c>
      <c r="CV47" s="420">
        <f t="shared" si="191"/>
        <v>4.0675208460443368E-2</v>
      </c>
      <c r="CW47" s="420">
        <f t="shared" si="191"/>
        <v>7.8976829653072844E-2</v>
      </c>
      <c r="CX47" s="420">
        <f t="shared" si="191"/>
        <v>9.090629800307215E-2</v>
      </c>
      <c r="CY47" s="420">
        <f t="shared" si="191"/>
        <v>4.7338013569712123E-2</v>
      </c>
      <c r="CZ47" s="420">
        <f t="shared" si="191"/>
        <v>5.429624261860333E-2</v>
      </c>
      <c r="DA47" s="420">
        <f t="shared" si="191"/>
        <v>5.0725801560659312E-2</v>
      </c>
      <c r="DB47" s="420">
        <f t="shared" si="191"/>
        <v>4.0487052541538171E-2</v>
      </c>
      <c r="DC47" s="420">
        <f t="shared" ref="DC47:DF48" si="235">DC22-DC23</f>
        <v>6.3628708241524112E-2</v>
      </c>
      <c r="DD47" s="420">
        <f t="shared" si="235"/>
        <v>6.7009451398439168E-2</v>
      </c>
      <c r="DE47" s="420">
        <f t="shared" si="235"/>
        <v>4.8088668646046884E-2</v>
      </c>
      <c r="DF47" s="420">
        <f t="shared" si="235"/>
        <v>4.6623623560876792E-2</v>
      </c>
      <c r="DG47" s="420">
        <f t="shared" ref="DG47:DH47" si="236">DG22-DG23</f>
        <v>3.9708082657300858E-2</v>
      </c>
      <c r="DH47" s="420">
        <f t="shared" si="236"/>
        <v>3.799048517732162E-2</v>
      </c>
    </row>
    <row r="48" spans="1:127" ht="15.75" hidden="1" outlineLevel="1" thickBot="1" x14ac:dyDescent="0.3">
      <c r="A48" s="302">
        <v>18</v>
      </c>
      <c r="B48" s="290">
        <f t="shared" si="125"/>
        <v>0.74843211163685941</v>
      </c>
      <c r="C48" s="338">
        <f t="shared" si="125"/>
        <v>0.72046109510086453</v>
      </c>
      <c r="D48" s="376"/>
      <c r="E48" s="341">
        <f t="shared" ref="E48:AG48" si="237">E23/E$26</f>
        <v>0.67615303952525174</v>
      </c>
      <c r="F48" s="342">
        <f t="shared" si="237"/>
        <v>0.66269841269841268</v>
      </c>
      <c r="G48" s="376"/>
      <c r="H48" s="332">
        <f t="shared" si="237"/>
        <v>0.74356072242792703</v>
      </c>
      <c r="I48" s="287">
        <f t="shared" si="237"/>
        <v>0.78115501519756836</v>
      </c>
      <c r="J48" s="287"/>
      <c r="K48" s="287">
        <f t="shared" si="237"/>
        <v>0.74172972852840835</v>
      </c>
      <c r="L48" s="287">
        <f t="shared" si="237"/>
        <v>0.75855130784708247</v>
      </c>
      <c r="M48" s="287"/>
      <c r="N48" s="287">
        <f t="shared" si="237"/>
        <v>0.84959657348887596</v>
      </c>
      <c r="O48" s="287">
        <f t="shared" si="237"/>
        <v>0.85276442307692313</v>
      </c>
      <c r="P48" s="332"/>
      <c r="Q48" s="332">
        <f t="shared" si="237"/>
        <v>0.71914715997408496</v>
      </c>
      <c r="R48" s="287">
        <f t="shared" si="237"/>
        <v>0.72979493365500603</v>
      </c>
      <c r="S48" s="287"/>
      <c r="T48" s="287">
        <f t="shared" si="237"/>
        <v>0.81029685001944429</v>
      </c>
      <c r="U48" s="287">
        <f t="shared" si="237"/>
        <v>0.801025641025641</v>
      </c>
      <c r="V48" s="287"/>
      <c r="W48" s="287">
        <f t="shared" si="237"/>
        <v>0.7565696315794046</v>
      </c>
      <c r="X48" s="287">
        <f t="shared" si="237"/>
        <v>0.76124031007751936</v>
      </c>
      <c r="Y48" s="287"/>
      <c r="Z48" s="287">
        <f t="shared" si="237"/>
        <v>0.82402330204817609</v>
      </c>
      <c r="AA48" s="287">
        <f t="shared" si="237"/>
        <v>0.82499999999999996</v>
      </c>
      <c r="AB48" s="383"/>
      <c r="AC48" s="336">
        <f t="shared" si="237"/>
        <v>0.69694879717501657</v>
      </c>
      <c r="AD48" s="336">
        <f t="shared" si="237"/>
        <v>0.69144981412639406</v>
      </c>
      <c r="AE48" s="383"/>
      <c r="AF48" s="287">
        <f t="shared" si="237"/>
        <v>0.72319526199848327</v>
      </c>
      <c r="AG48" s="287">
        <f t="shared" si="237"/>
        <v>0.72271126760563376</v>
      </c>
      <c r="AH48" s="287"/>
      <c r="AI48" s="287">
        <f t="shared" ref="AI48:AJ48" si="238">AI23/AI$26</f>
        <v>0.78933215938700962</v>
      </c>
      <c r="AJ48" s="287">
        <f t="shared" si="238"/>
        <v>0.77095937770095069</v>
      </c>
      <c r="AK48" s="287"/>
      <c r="AL48" s="287">
        <f t="shared" ref="AL48:AM48" si="239">AL23/AL$26</f>
        <v>0.83024893416577517</v>
      </c>
      <c r="AM48" s="287">
        <f t="shared" si="239"/>
        <v>0.81647058823529417</v>
      </c>
      <c r="AN48" s="287"/>
      <c r="AO48" s="346">
        <f t="shared" ref="AO48:AP48" si="240">AO23/AO$26</f>
        <v>0.77173987238703845</v>
      </c>
      <c r="AP48" s="346">
        <f t="shared" si="240"/>
        <v>0.75817438692098094</v>
      </c>
      <c r="AQ48" s="387"/>
      <c r="AR48" s="346">
        <f t="shared" ref="AR48:AS48" si="241">AR23/AR$26</f>
        <v>0.84989930018894377</v>
      </c>
      <c r="AS48" s="346">
        <f t="shared" si="241"/>
        <v>0.83829236739974122</v>
      </c>
      <c r="AT48" s="387"/>
      <c r="AU48" s="346">
        <f t="shared" si="172"/>
        <v>0.8099412811569463</v>
      </c>
      <c r="AV48" s="346">
        <f t="shared" si="172"/>
        <v>0.80179171332586785</v>
      </c>
      <c r="AW48" s="387"/>
      <c r="AX48" s="417">
        <f t="shared" si="129"/>
        <v>0.76749455756664942</v>
      </c>
      <c r="AY48" s="417">
        <f t="shared" si="130"/>
        <v>0.76550516037131422</v>
      </c>
      <c r="AZ48" s="418" t="s">
        <v>242</v>
      </c>
      <c r="BA48" s="419" t="s">
        <v>123</v>
      </c>
      <c r="BV48" s="172" t="s">
        <v>124</v>
      </c>
      <c r="BW48" s="420">
        <f t="shared" si="140"/>
        <v>4.9876832432260265E-2</v>
      </c>
      <c r="BX48" s="420">
        <f t="shared" si="191"/>
        <v>5.0606901710102514E-2</v>
      </c>
      <c r="BY48" s="420">
        <f t="shared" si="191"/>
        <v>9.7230686633940744E-2</v>
      </c>
      <c r="BZ48" s="420">
        <f t="shared" si="191"/>
        <v>0.10116080687786422</v>
      </c>
      <c r="CA48" s="420">
        <f t="shared" si="191"/>
        <v>7.678101363601364E-2</v>
      </c>
      <c r="CB48" s="420">
        <f t="shared" si="191"/>
        <v>7.7295772149583275E-2</v>
      </c>
      <c r="CC48" s="420">
        <f t="shared" si="234"/>
        <v>4.7353854201680479E-2</v>
      </c>
      <c r="CD48" s="420">
        <f t="shared" si="234"/>
        <v>5.0553905167761704E-2</v>
      </c>
      <c r="CE48" s="420">
        <f t="shared" si="191"/>
        <v>7.856238570941243E-2</v>
      </c>
      <c r="CF48" s="420">
        <f t="shared" si="191"/>
        <v>8.8374531835205827E-2</v>
      </c>
      <c r="CG48" s="420">
        <f t="shared" si="191"/>
        <v>9.7230686633940744E-2</v>
      </c>
      <c r="CH48" s="420">
        <f t="shared" si="191"/>
        <v>0.10116080687786422</v>
      </c>
      <c r="CI48" s="420">
        <f t="shared" si="191"/>
        <v>0.12224490627552909</v>
      </c>
      <c r="CJ48" s="420">
        <f t="shared" si="191"/>
        <v>8.1612836923164123E-2</v>
      </c>
      <c r="CK48" s="420">
        <f t="shared" si="191"/>
        <v>8.8404080378648553E-2</v>
      </c>
      <c r="CL48" s="420">
        <f t="shared" si="191"/>
        <v>7.8900891008552909E-2</v>
      </c>
      <c r="CM48" s="420">
        <f t="shared" si="191"/>
        <v>5.0296079952938388E-2</v>
      </c>
      <c r="CN48" s="420">
        <f t="shared" si="191"/>
        <v>5.0606901710102514E-2</v>
      </c>
      <c r="CO48" s="420">
        <f t="shared" si="191"/>
        <v>8.7286423504656874E-2</v>
      </c>
      <c r="CP48" s="420">
        <f t="shared" si="191"/>
        <v>8.4976616054839971E-2</v>
      </c>
      <c r="CQ48" s="420">
        <f t="shared" si="191"/>
        <v>6.3503582241870804E-2</v>
      </c>
      <c r="CR48" s="420">
        <f t="shared" si="191"/>
        <v>6.9439391100920123E-2</v>
      </c>
      <c r="CS48" s="420">
        <f t="shared" si="191"/>
        <v>6.5035826235646743E-2</v>
      </c>
      <c r="CT48" s="420">
        <f t="shared" si="191"/>
        <v>7.0871054707274395E-2</v>
      </c>
      <c r="CU48" s="420">
        <f t="shared" si="191"/>
        <v>5.4534475825388284E-2</v>
      </c>
      <c r="CV48" s="420">
        <f t="shared" si="191"/>
        <v>5.6687924638405995E-2</v>
      </c>
      <c r="CW48" s="420">
        <f t="shared" si="191"/>
        <v>7.7629288662660834E-2</v>
      </c>
      <c r="CX48" s="420">
        <f t="shared" si="191"/>
        <v>8.7650700553926431E-2</v>
      </c>
      <c r="CY48" s="420">
        <f t="shared" si="191"/>
        <v>0.12127368870081923</v>
      </c>
      <c r="CZ48" s="420">
        <f t="shared" si="191"/>
        <v>0.12145621870347822</v>
      </c>
      <c r="DA48" s="420">
        <f t="shared" si="191"/>
        <v>9.527840863777115E-2</v>
      </c>
      <c r="DB48" s="420">
        <f t="shared" si="191"/>
        <v>0.10797934362311556</v>
      </c>
      <c r="DC48" s="420">
        <f t="shared" si="235"/>
        <v>7.0342390822838663E-2</v>
      </c>
      <c r="DD48" s="420">
        <f t="shared" si="235"/>
        <v>6.9892557323643523E-2</v>
      </c>
      <c r="DE48" s="420">
        <f t="shared" si="235"/>
        <v>7.9024010207036532E-2</v>
      </c>
      <c r="DF48" s="420">
        <f t="shared" si="235"/>
        <v>8.7414147626886596E-2</v>
      </c>
      <c r="DG48" s="420">
        <f t="shared" ref="DG48:DH48" si="242">DG23-DG24</f>
        <v>3.9123023002673341E-2</v>
      </c>
      <c r="DH48" s="420">
        <f t="shared" si="242"/>
        <v>3.9169891284319247E-2</v>
      </c>
    </row>
    <row r="49" spans="1:127" ht="15.75" hidden="1" outlineLevel="1" thickBot="1" x14ac:dyDescent="0.3">
      <c r="A49" s="302">
        <v>19</v>
      </c>
      <c r="B49" s="289">
        <f t="shared" si="125"/>
        <v>0.79518806640468365</v>
      </c>
      <c r="C49" s="289">
        <f t="shared" si="125"/>
        <v>0.7694524495677233</v>
      </c>
      <c r="D49" s="377"/>
      <c r="E49" s="337">
        <f t="shared" ref="E49:AG49" si="243">E24/E$26</f>
        <v>0.72373331146273312</v>
      </c>
      <c r="F49" s="339">
        <f t="shared" si="243"/>
        <v>0.71031746031746035</v>
      </c>
      <c r="G49" s="377"/>
      <c r="H49" s="288">
        <f t="shared" si="243"/>
        <v>0.81790547641761124</v>
      </c>
      <c r="I49" s="288">
        <f t="shared" si="243"/>
        <v>0.83434650455927051</v>
      </c>
      <c r="J49" s="288"/>
      <c r="K49" s="288">
        <f t="shared" si="243"/>
        <v>0.79377937793779374</v>
      </c>
      <c r="L49" s="288">
        <f t="shared" si="243"/>
        <v>0.80684104627766595</v>
      </c>
      <c r="M49" s="288"/>
      <c r="N49" s="288">
        <f t="shared" si="243"/>
        <v>0.88752159346152082</v>
      </c>
      <c r="O49" s="288">
        <f t="shared" si="243"/>
        <v>0.89122596153846156</v>
      </c>
      <c r="P49" s="288"/>
      <c r="Q49" s="288">
        <f t="shared" si="243"/>
        <v>0.76731274983547026</v>
      </c>
      <c r="R49" s="288">
        <f t="shared" si="243"/>
        <v>0.77804583835946928</v>
      </c>
      <c r="S49" s="288"/>
      <c r="T49" s="288">
        <f t="shared" si="243"/>
        <v>0.8542539860865056</v>
      </c>
      <c r="U49" s="288">
        <f t="shared" si="243"/>
        <v>0.84820512820512817</v>
      </c>
      <c r="V49" s="288"/>
      <c r="W49" s="288">
        <f t="shared" si="243"/>
        <v>0.79572246401362134</v>
      </c>
      <c r="X49" s="288">
        <f t="shared" si="243"/>
        <v>0.8046511627906977</v>
      </c>
      <c r="Y49" s="288"/>
      <c r="Z49" s="288">
        <f t="shared" si="243"/>
        <v>0.86279532109667578</v>
      </c>
      <c r="AA49" s="288">
        <f t="shared" si="243"/>
        <v>0.86547619047619051</v>
      </c>
      <c r="AB49" s="335"/>
      <c r="AC49" s="335">
        <f t="shared" si="243"/>
        <v>0.73681306554844406</v>
      </c>
      <c r="AD49" s="335">
        <f t="shared" si="243"/>
        <v>0.73605947955390338</v>
      </c>
      <c r="AE49" s="335"/>
      <c r="AF49" s="288">
        <f t="shared" si="243"/>
        <v>0.79272045871301944</v>
      </c>
      <c r="AG49" s="288">
        <f t="shared" si="243"/>
        <v>0.79225352112676062</v>
      </c>
      <c r="AH49" s="288"/>
      <c r="AI49" s="288">
        <f t="shared" ref="AI49:AJ49" si="244">AI24/AI$26</f>
        <v>0.85352243387628346</v>
      </c>
      <c r="AJ49" s="288">
        <f t="shared" si="244"/>
        <v>0.84096802074330168</v>
      </c>
      <c r="AK49" s="288"/>
      <c r="AL49" s="288">
        <f t="shared" ref="AL49:AM49" si="245">AL24/AL$26</f>
        <v>0.88174429559135836</v>
      </c>
      <c r="AM49" s="288">
        <f t="shared" si="245"/>
        <v>0.86588235294117644</v>
      </c>
      <c r="AN49" s="288"/>
      <c r="AO49" s="346">
        <f t="shared" ref="AO49:AP49" si="246">AO24/AO$26</f>
        <v>0.82186192706623462</v>
      </c>
      <c r="AP49" s="346">
        <f t="shared" si="246"/>
        <v>0.81198910081743869</v>
      </c>
      <c r="AQ49" s="343"/>
      <c r="AR49" s="346">
        <f t="shared" ref="AR49:AS49" si="247">AR24/AR$26</f>
        <v>0.87913095829144827</v>
      </c>
      <c r="AS49" s="346">
        <f t="shared" si="247"/>
        <v>0.86675291073738681</v>
      </c>
      <c r="AT49" s="343"/>
      <c r="AU49" s="346">
        <f t="shared" si="172"/>
        <v>0.83937170102974723</v>
      </c>
      <c r="AV49" s="346">
        <f t="shared" si="172"/>
        <v>0.82904068682344156</v>
      </c>
      <c r="AW49" s="343"/>
      <c r="AX49" s="343">
        <f t="shared" si="129"/>
        <v>0.81458005626915575</v>
      </c>
      <c r="AY49" s="343">
        <f t="shared" si="130"/>
        <v>0.81264086568800775</v>
      </c>
      <c r="AZ49" s="343"/>
      <c r="BV49" s="172" t="s">
        <v>125</v>
      </c>
      <c r="BW49" s="420">
        <f t="shared" si="140"/>
        <v>4.44323483924145E-2</v>
      </c>
      <c r="BX49" s="420">
        <f t="shared" si="191"/>
        <v>4.5027245131991966E-2</v>
      </c>
      <c r="BY49" s="420">
        <f t="shared" si="191"/>
        <v>7.1904293223067794E-2</v>
      </c>
      <c r="BZ49" s="420">
        <f t="shared" si="191"/>
        <v>9.5321229050279399E-2</v>
      </c>
      <c r="CA49" s="420">
        <f t="shared" ref="BX49:DB50" si="248">CA24-CA25</f>
        <v>8.7878752295393436E-2</v>
      </c>
      <c r="CB49" s="420">
        <f t="shared" si="248"/>
        <v>9.2150527713025898E-2</v>
      </c>
      <c r="CC49" s="420">
        <f t="shared" ref="CC49:CD49" si="249">CC24-CC25</f>
        <v>2.7471944830653294E-2</v>
      </c>
      <c r="CD49" s="420">
        <f t="shared" si="249"/>
        <v>5.0293983918287433E-2</v>
      </c>
      <c r="CE49" s="420">
        <f t="shared" si="248"/>
        <v>0.11596522795145647</v>
      </c>
      <c r="CF49" s="420">
        <f t="shared" si="248"/>
        <v>0.14295880149812734</v>
      </c>
      <c r="CG49" s="420">
        <f t="shared" si="248"/>
        <v>7.1904293223067794E-2</v>
      </c>
      <c r="CH49" s="420">
        <f t="shared" si="248"/>
        <v>9.5321229050279399E-2</v>
      </c>
      <c r="CI49" s="420">
        <f t="shared" si="248"/>
        <v>8.6389279237190753E-2</v>
      </c>
      <c r="CJ49" s="420">
        <f t="shared" si="248"/>
        <v>7.1830476333058835E-2</v>
      </c>
      <c r="CK49" s="420">
        <f t="shared" si="248"/>
        <v>0.12056836616496636</v>
      </c>
      <c r="CL49" s="420">
        <f t="shared" si="248"/>
        <v>0.10985604171389696</v>
      </c>
      <c r="CM49" s="420">
        <f t="shared" si="248"/>
        <v>4.44323483924145E-2</v>
      </c>
      <c r="CN49" s="420">
        <f t="shared" si="248"/>
        <v>4.5027245131991966E-2</v>
      </c>
      <c r="CO49" s="420">
        <f t="shared" si="248"/>
        <v>0.12288526604607797</v>
      </c>
      <c r="CP49" s="420">
        <f t="shared" si="248"/>
        <v>0.11848736286816264</v>
      </c>
      <c r="CQ49" s="420">
        <f t="shared" si="248"/>
        <v>4.6985438064353513E-2</v>
      </c>
      <c r="CR49" s="420">
        <f t="shared" si="248"/>
        <v>4.9180258959984569E-2</v>
      </c>
      <c r="CS49" s="420">
        <f t="shared" si="248"/>
        <v>0.1021489585811719</v>
      </c>
      <c r="CT49" s="420">
        <f t="shared" si="248"/>
        <v>8.686058797936469E-2</v>
      </c>
      <c r="CU49" s="420">
        <f t="shared" si="248"/>
        <v>6.1698809113778008E-2</v>
      </c>
      <c r="CV49" s="420">
        <f t="shared" si="248"/>
        <v>5.9542876523902111E-2</v>
      </c>
      <c r="CW49" s="420">
        <f t="shared" si="248"/>
        <v>0.15446225581087902</v>
      </c>
      <c r="CX49" s="420">
        <f t="shared" si="248"/>
        <v>0.1735638321541404</v>
      </c>
      <c r="CY49" s="420">
        <f t="shared" si="248"/>
        <v>9.8311724997090622E-2</v>
      </c>
      <c r="CZ49" s="420">
        <f t="shared" si="248"/>
        <v>0.10892272983643525</v>
      </c>
      <c r="DA49" s="420">
        <f t="shared" si="248"/>
        <v>7.4668135048743256E-2</v>
      </c>
      <c r="DB49" s="420">
        <f t="shared" si="248"/>
        <v>9.0340426071841007E-2</v>
      </c>
      <c r="DC49" s="420">
        <f t="shared" ref="DC49:DF49" si="250">DC24-DC25</f>
        <v>6.4811587587802366E-2</v>
      </c>
      <c r="DD49" s="420">
        <f t="shared" si="250"/>
        <v>7.0707630878438454E-2</v>
      </c>
      <c r="DE49" s="420">
        <f t="shared" si="250"/>
        <v>9.0799202522545919E-2</v>
      </c>
      <c r="DF49" s="420">
        <f t="shared" si="250"/>
        <v>0.10318082631326431</v>
      </c>
      <c r="DG49" s="420">
        <f t="shared" ref="DG49:DH49" si="251">DG24-DG25</f>
        <v>4.9516199683472983E-2</v>
      </c>
      <c r="DH49" s="420">
        <f t="shared" si="251"/>
        <v>5.1806895671322684E-2</v>
      </c>
    </row>
    <row r="50" spans="1:127" hidden="1" outlineLevel="1" x14ac:dyDescent="0.25">
      <c r="A50" s="302">
        <v>20</v>
      </c>
      <c r="B50" s="290">
        <f t="shared" si="125"/>
        <v>0.87596439169139462</v>
      </c>
      <c r="C50" s="290">
        <f t="shared" si="125"/>
        <v>0.86455331412103742</v>
      </c>
      <c r="D50" s="378"/>
      <c r="E50" s="290">
        <f t="shared" ref="E50:AG50" si="252">E25/E$26</f>
        <v>0.76346360009607439</v>
      </c>
      <c r="F50" s="338">
        <f t="shared" si="252"/>
        <v>0.76190476190476186</v>
      </c>
      <c r="G50" s="378"/>
      <c r="H50" s="290">
        <f t="shared" si="252"/>
        <v>0.88009119278218828</v>
      </c>
      <c r="I50" s="290">
        <f t="shared" si="252"/>
        <v>0.88753799392097266</v>
      </c>
      <c r="J50" s="290"/>
      <c r="K50" s="287">
        <f t="shared" si="252"/>
        <v>0.87778777877787784</v>
      </c>
      <c r="L50" s="287">
        <f t="shared" si="252"/>
        <v>0.88531187122736421</v>
      </c>
      <c r="M50" s="287"/>
      <c r="N50" s="287">
        <f t="shared" si="252"/>
        <v>0.9239575534242106</v>
      </c>
      <c r="O50" s="287">
        <f t="shared" si="252"/>
        <v>0.92848557692307687</v>
      </c>
      <c r="P50" s="287"/>
      <c r="Q50" s="287">
        <f t="shared" si="252"/>
        <v>0.84719608099214616</v>
      </c>
      <c r="R50" s="287">
        <f t="shared" si="252"/>
        <v>0.85705669481302771</v>
      </c>
      <c r="S50" s="287"/>
      <c r="T50" s="287">
        <f t="shared" si="252"/>
        <v>0.88997537052240416</v>
      </c>
      <c r="U50" s="287">
        <f t="shared" si="252"/>
        <v>0.88512820512820511</v>
      </c>
      <c r="V50" s="287"/>
      <c r="W50" s="287">
        <f t="shared" si="252"/>
        <v>0.86612285319642435</v>
      </c>
      <c r="X50" s="287">
        <f t="shared" si="252"/>
        <v>0.8651162790697674</v>
      </c>
      <c r="Y50" s="287"/>
      <c r="Z50" s="287">
        <f t="shared" si="252"/>
        <v>0.91130734970024807</v>
      </c>
      <c r="AA50" s="287">
        <f t="shared" si="252"/>
        <v>0.91249999999999998</v>
      </c>
      <c r="AB50" s="287"/>
      <c r="AC50" s="287">
        <f t="shared" si="252"/>
        <v>0.83143897594350036</v>
      </c>
      <c r="AD50" s="287">
        <f t="shared" si="252"/>
        <v>0.84386617100371752</v>
      </c>
      <c r="AE50" s="287"/>
      <c r="AF50" s="287">
        <f t="shared" si="252"/>
        <v>0.85972177081201673</v>
      </c>
      <c r="AG50" s="287">
        <f t="shared" si="252"/>
        <v>0.86707746478873238</v>
      </c>
      <c r="AH50" s="287"/>
      <c r="AI50" s="287">
        <f t="shared" ref="AI50:AJ50" si="253">AI25/AI$26</f>
        <v>0.9116208787940081</v>
      </c>
      <c r="AJ50" s="287">
        <f t="shared" si="253"/>
        <v>0.9101123595505618</v>
      </c>
      <c r="AK50" s="287"/>
      <c r="AL50" s="287">
        <f t="shared" ref="AL50:AM50" si="254">AL25/AL$26</f>
        <v>0.93518769859645201</v>
      </c>
      <c r="AM50" s="287">
        <f t="shared" si="254"/>
        <v>0.9223529411764706</v>
      </c>
      <c r="AN50" s="287"/>
      <c r="AO50" s="347">
        <f t="shared" ref="AO50:AP50" si="255">AO25/AO$26</f>
        <v>0.88813875552984078</v>
      </c>
      <c r="AP50" s="347">
        <f t="shared" si="255"/>
        <v>0.88623978201634879</v>
      </c>
      <c r="AQ50" s="387"/>
      <c r="AR50" s="347">
        <f t="shared" ref="AR50:AS50" si="256">AR25/AR$26</f>
        <v>0.91914234988447596</v>
      </c>
      <c r="AS50" s="347">
        <f t="shared" si="256"/>
        <v>0.90750323415265199</v>
      </c>
      <c r="AT50" s="387"/>
      <c r="AU50" s="347">
        <f t="shared" si="172"/>
        <v>0.9046937470293972</v>
      </c>
      <c r="AV50" s="347">
        <f t="shared" si="172"/>
        <v>0.89734975737215383</v>
      </c>
      <c r="AW50" s="387"/>
      <c r="AX50" s="343">
        <f t="shared" si="129"/>
        <v>0.8758620870257533</v>
      </c>
      <c r="AY50" s="343">
        <f t="shared" si="130"/>
        <v>0.87656278798703779</v>
      </c>
      <c r="AZ50" s="343"/>
      <c r="BV50" s="172" t="s">
        <v>126</v>
      </c>
      <c r="BW50" s="420">
        <f t="shared" si="140"/>
        <v>8.2300800825724219E-2</v>
      </c>
      <c r="BX50" s="420">
        <f t="shared" si="248"/>
        <v>7.7022653721682932E-2</v>
      </c>
      <c r="BY50" s="420">
        <f t="shared" si="248"/>
        <v>0.30982014057272633</v>
      </c>
      <c r="BZ50" s="420">
        <f t="shared" si="248"/>
        <v>0.3125</v>
      </c>
      <c r="CA50" s="420">
        <f t="shared" si="248"/>
        <v>0.14451397565515145</v>
      </c>
      <c r="CB50" s="420">
        <f t="shared" si="248"/>
        <v>0.14345307614473102</v>
      </c>
      <c r="CC50" s="420">
        <f t="shared" ref="CC50:CD50" si="257">CC25-CC26</f>
        <v>0.22751933974700211</v>
      </c>
      <c r="CD50" s="420">
        <f t="shared" si="257"/>
        <v>0.23547734627831707</v>
      </c>
      <c r="CE50" s="420">
        <f t="shared" si="248"/>
        <v>0.14159891598915997</v>
      </c>
      <c r="CF50" s="420">
        <f t="shared" si="248"/>
        <v>0.15666666666666673</v>
      </c>
      <c r="CG50" s="420">
        <f t="shared" si="248"/>
        <v>0.30982014057272633</v>
      </c>
      <c r="CH50" s="420">
        <f t="shared" si="248"/>
        <v>0.3125</v>
      </c>
      <c r="CI50" s="420">
        <f t="shared" si="248"/>
        <v>0.13624588929102899</v>
      </c>
      <c r="CJ50" s="420">
        <f t="shared" si="248"/>
        <v>0.12671232876712324</v>
      </c>
      <c r="CK50" s="420">
        <f t="shared" si="248"/>
        <v>0.13922752648968895</v>
      </c>
      <c r="CL50" s="420">
        <f t="shared" si="248"/>
        <v>0.12954545454545463</v>
      </c>
      <c r="CM50" s="420">
        <f t="shared" si="248"/>
        <v>8.2300800825724219E-2</v>
      </c>
      <c r="CN50" s="420">
        <f t="shared" si="248"/>
        <v>7.7022653721682932E-2</v>
      </c>
      <c r="CO50" s="420">
        <f t="shared" si="248"/>
        <v>0.18036428925509917</v>
      </c>
      <c r="CP50" s="420">
        <f t="shared" si="248"/>
        <v>0.16678395496129483</v>
      </c>
      <c r="CQ50" s="420">
        <f t="shared" si="248"/>
        <v>0.12362660037773043</v>
      </c>
      <c r="CR50" s="420">
        <f t="shared" si="248"/>
        <v>0.12977983777520286</v>
      </c>
      <c r="CS50" s="420">
        <f t="shared" si="248"/>
        <v>0.15457062044893788</v>
      </c>
      <c r="CT50" s="420">
        <f t="shared" si="248"/>
        <v>0.15591397849462374</v>
      </c>
      <c r="CU50" s="420">
        <f t="shared" si="248"/>
        <v>9.7324629642156602E-2</v>
      </c>
      <c r="CV50" s="420">
        <f t="shared" si="248"/>
        <v>9.5890410958904049E-2</v>
      </c>
      <c r="CW50" s="420">
        <f t="shared" si="248"/>
        <v>0.2027340898533414</v>
      </c>
      <c r="CX50" s="420">
        <f t="shared" si="248"/>
        <v>0.18502202643171817</v>
      </c>
      <c r="CY50" s="420">
        <f t="shared" si="248"/>
        <v>0.16316700815368312</v>
      </c>
      <c r="CZ50" s="420">
        <f t="shared" si="248"/>
        <v>0.15329949238578688</v>
      </c>
      <c r="DA50" s="420">
        <f t="shared" si="248"/>
        <v>9.6947232409715589E-2</v>
      </c>
      <c r="DB50" s="420">
        <f t="shared" si="248"/>
        <v>9.8765432098765427E-2</v>
      </c>
      <c r="DC50" s="420">
        <f t="shared" ref="DC50:DF50" si="258">DC25-DC26</f>
        <v>6.9304056822838467E-2</v>
      </c>
      <c r="DD50" s="420">
        <f t="shared" si="258"/>
        <v>8.418367346938771E-2</v>
      </c>
      <c r="DE50" s="420">
        <f t="shared" si="258"/>
        <v>0.1259501893974051</v>
      </c>
      <c r="DF50" s="420">
        <f t="shared" si="258"/>
        <v>0.12836279784780946</v>
      </c>
      <c r="DG50" s="420">
        <f t="shared" ref="DG50:DH50" si="259">DG25-DG26</f>
        <v>8.797075896425266E-2</v>
      </c>
      <c r="DH50" s="420">
        <f t="shared" si="259"/>
        <v>0.10192444761225938</v>
      </c>
    </row>
    <row r="51" spans="1:127" hidden="1" outlineLevel="1" x14ac:dyDescent="0.25">
      <c r="A51" s="302">
        <v>21</v>
      </c>
      <c r="B51" s="289">
        <f t="shared" si="125"/>
        <v>1</v>
      </c>
      <c r="C51" s="289">
        <f t="shared" si="125"/>
        <v>1</v>
      </c>
      <c r="D51" s="377"/>
      <c r="E51" s="289">
        <f t="shared" ref="E51:AG51" si="260">E26/E$26</f>
        <v>1</v>
      </c>
      <c r="F51" s="289">
        <f t="shared" si="260"/>
        <v>1</v>
      </c>
      <c r="G51" s="377"/>
      <c r="H51" s="289">
        <f t="shared" si="260"/>
        <v>1</v>
      </c>
      <c r="I51" s="289">
        <f t="shared" si="260"/>
        <v>1</v>
      </c>
      <c r="J51" s="289"/>
      <c r="K51" s="288">
        <f t="shared" si="260"/>
        <v>1</v>
      </c>
      <c r="L51" s="288">
        <f t="shared" si="260"/>
        <v>1</v>
      </c>
      <c r="M51" s="288"/>
      <c r="N51" s="288">
        <f t="shared" si="260"/>
        <v>1</v>
      </c>
      <c r="O51" s="288">
        <f t="shared" si="260"/>
        <v>1</v>
      </c>
      <c r="P51" s="288"/>
      <c r="Q51" s="288">
        <f t="shared" si="260"/>
        <v>1</v>
      </c>
      <c r="R51" s="288">
        <f t="shared" si="260"/>
        <v>1</v>
      </c>
      <c r="S51" s="288"/>
      <c r="T51" s="288">
        <f t="shared" si="260"/>
        <v>1</v>
      </c>
      <c r="U51" s="288">
        <f t="shared" si="260"/>
        <v>1</v>
      </c>
      <c r="V51" s="288"/>
      <c r="W51" s="288">
        <f t="shared" si="260"/>
        <v>1</v>
      </c>
      <c r="X51" s="288">
        <f t="shared" si="260"/>
        <v>1</v>
      </c>
      <c r="Y51" s="288"/>
      <c r="Z51" s="288">
        <f t="shared" si="260"/>
        <v>1</v>
      </c>
      <c r="AA51" s="288">
        <f t="shared" si="260"/>
        <v>1</v>
      </c>
      <c r="AB51" s="288"/>
      <c r="AC51" s="288">
        <f t="shared" si="260"/>
        <v>1</v>
      </c>
      <c r="AD51" s="288">
        <f t="shared" si="260"/>
        <v>1</v>
      </c>
      <c r="AE51" s="288"/>
      <c r="AF51" s="288">
        <f t="shared" si="260"/>
        <v>1</v>
      </c>
      <c r="AG51" s="288">
        <f t="shared" si="260"/>
        <v>1</v>
      </c>
      <c r="AH51" s="288"/>
      <c r="AI51" s="288">
        <f t="shared" ref="AI51:AJ51" si="261">AI26/AI$26</f>
        <v>1</v>
      </c>
      <c r="AJ51" s="288">
        <f t="shared" si="261"/>
        <v>1</v>
      </c>
      <c r="AK51" s="288"/>
      <c r="AL51" s="288">
        <f t="shared" ref="AL51:AM51" si="262">AL26/AL$26</f>
        <v>1</v>
      </c>
      <c r="AM51" s="288">
        <f t="shared" si="262"/>
        <v>1</v>
      </c>
      <c r="AN51" s="288"/>
      <c r="AO51" s="345">
        <f t="shared" ref="AO51:AP51" si="263">AO26/AO$26</f>
        <v>1</v>
      </c>
      <c r="AP51" s="345">
        <f t="shared" si="263"/>
        <v>1</v>
      </c>
      <c r="AQ51" s="343"/>
      <c r="AR51" s="345">
        <f t="shared" ref="AR51:AS51" si="264">AR26/AR$26</f>
        <v>1</v>
      </c>
      <c r="AS51" s="345">
        <f t="shared" si="264"/>
        <v>1</v>
      </c>
      <c r="AT51" s="343"/>
      <c r="AU51" s="345">
        <f t="shared" si="172"/>
        <v>1</v>
      </c>
      <c r="AV51" s="345">
        <f t="shared" si="172"/>
        <v>1</v>
      </c>
      <c r="AW51" s="343"/>
      <c r="AX51" s="343">
        <f t="shared" si="129"/>
        <v>1</v>
      </c>
      <c r="AY51" s="343">
        <f t="shared" si="130"/>
        <v>1</v>
      </c>
      <c r="AZ51" s="343"/>
      <c r="BV51" s="171" t="s">
        <v>32</v>
      </c>
      <c r="BW51" s="271">
        <f>SUM(BW31:BW50)</f>
        <v>1.664255864489887</v>
      </c>
      <c r="BX51" s="271">
        <f t="shared" ref="BX51:DB51" si="265">SUM(BX31:BX50)</f>
        <v>1.6623999999999999</v>
      </c>
      <c r="BY51" s="271">
        <f t="shared" si="265"/>
        <v>3.706831714196178</v>
      </c>
      <c r="BZ51" s="271">
        <f t="shared" si="265"/>
        <v>3.8621700879765402</v>
      </c>
      <c r="CA51" s="271">
        <f t="shared" si="265"/>
        <v>2.7040581406207549</v>
      </c>
      <c r="CB51" s="271">
        <f t="shared" si="265"/>
        <v>2.8134805033335968</v>
      </c>
      <c r="CC51" s="271">
        <f t="shared" ref="CC51:CD51" si="266">SUM(CC31:CC50)</f>
        <v>2.04257584970629</v>
      </c>
      <c r="CD51" s="271">
        <f t="shared" si="266"/>
        <v>2.1997700879765398</v>
      </c>
      <c r="CE51" s="271">
        <f t="shared" si="265"/>
        <v>3.2207704285424139</v>
      </c>
      <c r="CF51" s="271">
        <f t="shared" si="265"/>
        <v>3.753424657534246</v>
      </c>
      <c r="CG51" s="271">
        <f t="shared" si="265"/>
        <v>2.9298524299560293</v>
      </c>
      <c r="CH51" s="271">
        <f t="shared" si="265"/>
        <v>3.2234636871508386</v>
      </c>
      <c r="CI51" s="271">
        <f t="shared" si="265"/>
        <v>2.3980001098840722</v>
      </c>
      <c r="CJ51" s="271">
        <f t="shared" si="265"/>
        <v>2.3743589743589739</v>
      </c>
      <c r="CK51" s="271">
        <f t="shared" si="265"/>
        <v>3.588568223536611</v>
      </c>
      <c r="CL51" s="271">
        <f t="shared" si="265"/>
        <v>3.3217391304347839</v>
      </c>
      <c r="CM51" s="271">
        <f t="shared" si="265"/>
        <v>1.664255864489887</v>
      </c>
      <c r="CN51" s="271">
        <f t="shared" si="265"/>
        <v>1.6623999999999999</v>
      </c>
      <c r="CO51" s="271">
        <f t="shared" si="265"/>
        <v>3.7068317141961771</v>
      </c>
      <c r="CP51" s="271">
        <f t="shared" si="265"/>
        <v>3.8621700879765397</v>
      </c>
      <c r="CQ51" s="271">
        <f t="shared" si="265"/>
        <v>2.0265739021264353</v>
      </c>
      <c r="CR51" s="271">
        <f t="shared" si="265"/>
        <v>2.0757097791798107</v>
      </c>
      <c r="CS51" s="271">
        <f t="shared" si="265"/>
        <v>3.3073152478952288</v>
      </c>
      <c r="CT51" s="271">
        <f t="shared" si="265"/>
        <v>3.742647058823529</v>
      </c>
      <c r="CU51" s="271">
        <f t="shared" si="265"/>
        <v>2.3383925172098006</v>
      </c>
      <c r="CV51" s="271">
        <f t="shared" si="265"/>
        <v>2.4355828220858902</v>
      </c>
      <c r="CW51" s="271">
        <f t="shared" si="265"/>
        <v>3.3374416656694974</v>
      </c>
      <c r="CX51" s="271">
        <f t="shared" si="265"/>
        <v>3.0149253731343277</v>
      </c>
      <c r="CY51" s="271">
        <f t="shared" si="265"/>
        <v>5.2940448530154569</v>
      </c>
      <c r="CZ51" s="271">
        <f t="shared" si="265"/>
        <v>5.3111111111111118</v>
      </c>
      <c r="DA51" s="271">
        <f t="shared" si="265"/>
        <v>2.2375577812018488</v>
      </c>
      <c r="DB51" s="271">
        <f t="shared" si="265"/>
        <v>2.3342939481268012</v>
      </c>
      <c r="DC51" s="271"/>
      <c r="DD51" s="271"/>
      <c r="DE51" s="271">
        <f t="shared" ref="DE51:DF51" si="267">SUM(DE31:DE50)</f>
        <v>2.4823589337257337</v>
      </c>
      <c r="DF51" s="271">
        <f t="shared" si="267"/>
        <v>2.7070707070707067</v>
      </c>
      <c r="DG51" s="271">
        <f t="shared" ref="DG51:DH51" si="268">SUM(DG31:DG50)</f>
        <v>1.9148370096360776</v>
      </c>
      <c r="DH51" s="271">
        <f t="shared" si="268"/>
        <v>2.0674603174603177</v>
      </c>
    </row>
    <row r="52" spans="1:127" hidden="1" outlineLevel="1" x14ac:dyDescent="0.25">
      <c r="W52" s="20"/>
      <c r="AD52" s="20"/>
      <c r="AE52" s="20"/>
      <c r="BV52" s="171" t="s">
        <v>243</v>
      </c>
      <c r="BW52" s="420">
        <f>_xlfn.STDEV.P(BW31:BW50)</f>
        <v>0.11598483206911862</v>
      </c>
      <c r="BX52" s="420">
        <f t="shared" ref="BX52:DB52" si="269">_xlfn.STDEV.P(BX31:BX50)</f>
        <v>0.11405215356530445</v>
      </c>
      <c r="BY52" s="420">
        <f t="shared" si="269"/>
        <v>0.1586673384790741</v>
      </c>
      <c r="BZ52" s="420">
        <f t="shared" si="269"/>
        <v>0.15762163655876735</v>
      </c>
      <c r="CA52" s="420">
        <f t="shared" si="269"/>
        <v>0.14424809878119449</v>
      </c>
      <c r="CB52" s="420">
        <f t="shared" si="269"/>
        <v>0.15283205995512736</v>
      </c>
      <c r="CC52" s="420">
        <f t="shared" ref="CC52:CD52" si="270">_xlfn.STDEV.P(CC31:CC50)</f>
        <v>9.5528348197046586E-2</v>
      </c>
      <c r="CD52" s="420">
        <f t="shared" si="270"/>
        <v>0.10904287057775568</v>
      </c>
      <c r="CE52" s="420">
        <f t="shared" si="269"/>
        <v>0.12466624402317973</v>
      </c>
      <c r="CF52" s="420">
        <f t="shared" si="269"/>
        <v>0.13991351382772266</v>
      </c>
      <c r="CG52" s="420">
        <f t="shared" si="269"/>
        <v>0.11026455452307622</v>
      </c>
      <c r="CH52" s="420">
        <f t="shared" si="269"/>
        <v>0.12015369501343491</v>
      </c>
      <c r="CI52" s="420">
        <f t="shared" si="269"/>
        <v>9.5636951842573037E-2</v>
      </c>
      <c r="CJ52" s="420">
        <f t="shared" si="269"/>
        <v>0.10699031417738196</v>
      </c>
      <c r="CK52" s="420">
        <f t="shared" si="269"/>
        <v>0.19867551856428031</v>
      </c>
      <c r="CL52" s="420">
        <f t="shared" si="269"/>
        <v>0.19163224696947781</v>
      </c>
      <c r="CM52" s="420">
        <f t="shared" si="269"/>
        <v>0.11606768642022185</v>
      </c>
      <c r="CN52" s="420">
        <f t="shared" si="269"/>
        <v>0.11405215356530445</v>
      </c>
      <c r="CO52" s="420">
        <f t="shared" si="269"/>
        <v>0.17732073300522386</v>
      </c>
      <c r="CP52" s="420">
        <f t="shared" si="269"/>
        <v>0.1940455098389828</v>
      </c>
      <c r="CQ52" s="420">
        <f t="shared" si="269"/>
        <v>0.14708664506235813</v>
      </c>
      <c r="CR52" s="420">
        <f t="shared" si="269"/>
        <v>0.15087018255178186</v>
      </c>
      <c r="CS52" s="420">
        <f t="shared" si="269"/>
        <v>0.17567093304321629</v>
      </c>
      <c r="CT52" s="420">
        <f t="shared" si="269"/>
        <v>0.21470341400100323</v>
      </c>
      <c r="CU52" s="420">
        <f t="shared" si="269"/>
        <v>0.15123306776146814</v>
      </c>
      <c r="CV52" s="420">
        <f t="shared" si="269"/>
        <v>0.16062294985721087</v>
      </c>
      <c r="CW52" s="420">
        <f t="shared" si="269"/>
        <v>0.24551251396459128</v>
      </c>
      <c r="CX52" s="420">
        <f t="shared" si="269"/>
        <v>0.20817847179216453</v>
      </c>
      <c r="CY52" s="420">
        <f t="shared" si="269"/>
        <v>0.38227844867785343</v>
      </c>
      <c r="CZ52" s="420">
        <f t="shared" si="269"/>
        <v>0.39429394232726822</v>
      </c>
      <c r="DA52" s="420">
        <f t="shared" si="269"/>
        <v>0.18393559005485638</v>
      </c>
      <c r="DB52" s="420">
        <f t="shared" si="269"/>
        <v>0.19561176967795843</v>
      </c>
      <c r="DC52" s="420"/>
      <c r="DD52" s="420"/>
      <c r="DE52" s="420">
        <f t="shared" ref="DE52:DF52" si="271">_xlfn.STDEV.P(DE31:DE50)</f>
        <v>0.15736936899320556</v>
      </c>
      <c r="DF52" s="420">
        <f t="shared" si="271"/>
        <v>0.17797671486912359</v>
      </c>
      <c r="DG52" s="420">
        <f t="shared" ref="DG52:DH52" si="272">_xlfn.STDEV.P(DG31:DG50)</f>
        <v>0.10808312005382299</v>
      </c>
      <c r="DH52" s="420">
        <f t="shared" si="272"/>
        <v>0.11947156551429891</v>
      </c>
    </row>
    <row r="53" spans="1:127" hidden="1" outlineLevel="1" x14ac:dyDescent="0.25">
      <c r="A53" s="358" t="s">
        <v>148</v>
      </c>
      <c r="W53" s="20"/>
      <c r="AD53" s="20"/>
      <c r="AE53" s="20"/>
      <c r="AL53" s="1008" t="s">
        <v>406</v>
      </c>
      <c r="AM53" s="1008"/>
      <c r="AN53" s="1008"/>
      <c r="AO53" s="1009"/>
      <c r="AP53" s="1009"/>
      <c r="AQ53" s="386"/>
      <c r="AR53" s="1009"/>
      <c r="AS53" s="1009"/>
      <c r="AT53" s="386"/>
      <c r="AU53" s="1009" t="s">
        <v>166</v>
      </c>
      <c r="AV53" s="1009"/>
      <c r="AW53" s="386"/>
    </row>
    <row r="54" spans="1:127" hidden="1" outlineLevel="1" x14ac:dyDescent="0.25">
      <c r="A54" s="252" t="s">
        <v>12</v>
      </c>
      <c r="B54" s="291" t="str">
        <f>Tabelle3[[#Headers],[Ned (€)]]</f>
        <v>Ned (€)</v>
      </c>
      <c r="C54" s="292" t="str">
        <f>C$4</f>
        <v>Ned (Backer)</v>
      </c>
      <c r="D54" s="370" t="str">
        <f t="shared" ref="D54:AW54" si="273">D$4</f>
        <v>Ned (€/B)</v>
      </c>
      <c r="E54" s="294" t="str">
        <f t="shared" si="273"/>
        <v>Werkzeuge (€)</v>
      </c>
      <c r="F54" s="295" t="str">
        <f t="shared" si="273"/>
        <v>Werkzeuge (Backer)</v>
      </c>
      <c r="G54" s="407" t="str">
        <f t="shared" si="273"/>
        <v>Werkz (€/B)</v>
      </c>
      <c r="H54" s="298" t="str">
        <f t="shared" si="273"/>
        <v>DSK Fasar (€)</v>
      </c>
      <c r="I54" s="299" t="str">
        <f t="shared" si="273"/>
        <v>DSK Fasar (Backer)</v>
      </c>
      <c r="J54" s="300" t="str">
        <f t="shared" si="273"/>
        <v>DSK Fasar (€/B)</v>
      </c>
      <c r="K54" s="291" t="str">
        <f t="shared" si="273"/>
        <v>Mythen (€)</v>
      </c>
      <c r="L54" s="292" t="str">
        <f t="shared" si="273"/>
        <v>Mythen (Backer)</v>
      </c>
      <c r="M54" s="292" t="str">
        <f t="shared" si="273"/>
        <v>Mythen (€/B)</v>
      </c>
      <c r="N54" s="296" t="str">
        <f t="shared" si="273"/>
        <v>SOK (€)</v>
      </c>
      <c r="O54" s="297" t="str">
        <f t="shared" si="273"/>
        <v>SOK (Backer)</v>
      </c>
      <c r="P54" s="297" t="str">
        <f t="shared" si="273"/>
        <v>SOK (€/B)</v>
      </c>
      <c r="Q54" s="293" t="str">
        <f t="shared" si="273"/>
        <v>RE (€)</v>
      </c>
      <c r="R54" s="293" t="str">
        <f t="shared" si="273"/>
        <v>RE (Backer)</v>
      </c>
      <c r="S54" s="293" t="str">
        <f t="shared" si="273"/>
        <v>RE (€/B)</v>
      </c>
      <c r="T54" s="293" t="str">
        <f t="shared" si="273"/>
        <v>DGG (€)</v>
      </c>
      <c r="U54" s="293" t="str">
        <f t="shared" si="273"/>
        <v>DGG (Backer)</v>
      </c>
      <c r="V54" s="293" t="str">
        <f t="shared" si="273"/>
        <v>DGG (€/B)</v>
      </c>
      <c r="W54" s="298" t="str">
        <f t="shared" si="273"/>
        <v>DSK SV (€)</v>
      </c>
      <c r="X54" s="299" t="str">
        <f t="shared" si="273"/>
        <v>DSK SV (Backer)</v>
      </c>
      <c r="Y54" s="300" t="str">
        <f t="shared" si="273"/>
        <v>DSK SV (€/B)</v>
      </c>
      <c r="Z54" s="296" t="str">
        <f t="shared" si="273"/>
        <v>WW (€)</v>
      </c>
      <c r="AA54" s="297" t="str">
        <f t="shared" si="273"/>
        <v>WW (Backer)</v>
      </c>
      <c r="AB54" s="297" t="str">
        <f t="shared" si="273"/>
        <v>WW (€/B)</v>
      </c>
      <c r="AC54" s="298" t="str">
        <f t="shared" si="273"/>
        <v>DSK R (€)</v>
      </c>
      <c r="AD54" s="299" t="str">
        <f t="shared" si="273"/>
        <v>DSK R (Backer)</v>
      </c>
      <c r="AE54" s="300" t="str">
        <f t="shared" si="273"/>
        <v>DSK R (€/B)</v>
      </c>
      <c r="AF54" s="293" t="str">
        <f t="shared" si="273"/>
        <v>Ära (€)</v>
      </c>
      <c r="AG54" s="293" t="str">
        <f t="shared" si="273"/>
        <v>Ära (Backer)</v>
      </c>
      <c r="AH54" s="293" t="str">
        <f t="shared" si="273"/>
        <v>Ära (€/B)</v>
      </c>
      <c r="AI54" s="293" t="str">
        <f t="shared" si="273"/>
        <v>Mosaik (€)</v>
      </c>
      <c r="AJ54" s="293" t="str">
        <f t="shared" si="273"/>
        <v>Mosaik (Backer)</v>
      </c>
      <c r="AK54" s="293" t="str">
        <f t="shared" si="273"/>
        <v>Mosaik (€/B)</v>
      </c>
      <c r="AL54" s="298" t="str">
        <f t="shared" si="273"/>
        <v>DSK ES (€)</v>
      </c>
      <c r="AM54" s="299" t="str">
        <f t="shared" si="273"/>
        <v>DSK ES (Backer)</v>
      </c>
      <c r="AN54" s="300" t="str">
        <f t="shared" si="273"/>
        <v>DSK ES (€/B)</v>
      </c>
      <c r="AO54" s="296" t="str">
        <f t="shared" si="273"/>
        <v>ES (€)</v>
      </c>
      <c r="AP54" s="297" t="str">
        <f t="shared" si="273"/>
        <v>ES (Backer)</v>
      </c>
      <c r="AQ54" s="424" t="str">
        <f t="shared" si="273"/>
        <v>ES (€/B)</v>
      </c>
      <c r="AR54" s="296" t="str">
        <f t="shared" si="273"/>
        <v>WF (€)</v>
      </c>
      <c r="AS54" s="297" t="str">
        <f t="shared" si="273"/>
        <v>WF(Backer)</v>
      </c>
      <c r="AT54" s="424" t="str">
        <f t="shared" si="273"/>
        <v>WF (€/B)</v>
      </c>
      <c r="AU54" s="291" t="str">
        <f t="shared" si="273"/>
        <v>AKM (€)</v>
      </c>
      <c r="AV54" s="292" t="str">
        <f t="shared" si="273"/>
        <v>AKM(Backer)</v>
      </c>
      <c r="AW54" s="292" t="str">
        <f t="shared" si="273"/>
        <v>AKM (€/B)</v>
      </c>
      <c r="AX54" s="1007" t="s">
        <v>167</v>
      </c>
      <c r="AY54" s="1007"/>
      <c r="AZ54" s="1007"/>
      <c r="BA54" s="1007"/>
      <c r="BV54" s="172"/>
      <c r="BW54" s="171"/>
      <c r="BX54" s="171"/>
      <c r="BY54" s="171"/>
      <c r="BZ54" s="171"/>
      <c r="CA54" s="171"/>
      <c r="CB54" s="171"/>
      <c r="CC54" s="171"/>
      <c r="CD54" s="171"/>
      <c r="CE54" s="171"/>
      <c r="CF54" s="171"/>
      <c r="CG54" s="171"/>
      <c r="CH54" s="171"/>
      <c r="CI54" s="171"/>
      <c r="CJ54" s="171"/>
      <c r="CK54" s="171"/>
      <c r="CL54" s="171"/>
      <c r="CM54" s="171"/>
      <c r="CN54" s="171"/>
      <c r="CO54" s="171"/>
      <c r="CP54" s="171"/>
      <c r="CQ54" s="171"/>
      <c r="CR54" s="171"/>
      <c r="CS54" s="171"/>
      <c r="CT54" s="171"/>
      <c r="CU54" s="171"/>
      <c r="CV54" s="171"/>
      <c r="CW54" s="171"/>
      <c r="CX54" s="171"/>
      <c r="CY54" s="171"/>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row>
    <row r="55" spans="1:127" hidden="1" outlineLevel="1" x14ac:dyDescent="0.25">
      <c r="A55" s="366">
        <v>1</v>
      </c>
      <c r="B55" s="288">
        <f>B31-B30</f>
        <v>0.23692357045472773</v>
      </c>
      <c r="C55" s="288">
        <f t="shared" ref="C55:AV55" si="274">C31-C30</f>
        <v>0.21037463976945245</v>
      </c>
      <c r="D55" s="371"/>
      <c r="E55" s="288">
        <f t="shared" si="274"/>
        <v>0.25446248118054376</v>
      </c>
      <c r="F55" s="288">
        <f t="shared" si="274"/>
        <v>0.23677248677248677</v>
      </c>
      <c r="G55" s="371"/>
      <c r="H55" s="288">
        <f t="shared" si="274"/>
        <v>0.29429074975342379</v>
      </c>
      <c r="I55" s="288">
        <f t="shared" si="274"/>
        <v>0.29635258358662614</v>
      </c>
      <c r="J55" s="288"/>
      <c r="K55" s="288">
        <f t="shared" si="274"/>
        <v>0.21793290440155128</v>
      </c>
      <c r="L55" s="288">
        <f t="shared" si="274"/>
        <v>0.23138832997987926</v>
      </c>
      <c r="M55" s="288"/>
      <c r="N55" s="288">
        <f t="shared" si="274"/>
        <v>0.37533932582389773</v>
      </c>
      <c r="O55" s="288">
        <f t="shared" si="274"/>
        <v>0.37560096153846156</v>
      </c>
      <c r="P55" s="288"/>
      <c r="Q55" s="288">
        <f t="shared" si="274"/>
        <v>0.212457139052565</v>
      </c>
      <c r="R55" s="288">
        <f t="shared" si="274"/>
        <v>0.20566948130277443</v>
      </c>
      <c r="S55" s="288"/>
      <c r="T55" s="288">
        <f t="shared" si="274"/>
        <v>0.33040660242838005</v>
      </c>
      <c r="U55" s="288">
        <f t="shared" si="274"/>
        <v>0.32512820512820512</v>
      </c>
      <c r="V55" s="288"/>
      <c r="W55" s="288">
        <f t="shared" si="274"/>
        <v>0.23216317878953724</v>
      </c>
      <c r="X55" s="288">
        <f t="shared" si="274"/>
        <v>0.21085271317829457</v>
      </c>
      <c r="Y55" s="288"/>
      <c r="Z55" s="288">
        <f t="shared" si="274"/>
        <v>0.29954536347804644</v>
      </c>
      <c r="AA55" s="288">
        <f t="shared" si="274"/>
        <v>0.29107142857142859</v>
      </c>
      <c r="AB55" s="288"/>
      <c r="AC55" s="288">
        <f t="shared" si="274"/>
        <v>0.23055065107040387</v>
      </c>
      <c r="AD55" s="288">
        <f t="shared" si="274"/>
        <v>0.24907063197026022</v>
      </c>
      <c r="AE55" s="288"/>
      <c r="AF55" s="288">
        <f t="shared" si="274"/>
        <v>0.15888034218899844</v>
      </c>
      <c r="AG55" s="288">
        <f t="shared" si="274"/>
        <v>0.15845070422535212</v>
      </c>
      <c r="AH55" s="288"/>
      <c r="AI55" s="288">
        <f t="shared" ref="AI55:AJ55" si="275">AI31-AI30</f>
        <v>0.30887479624495817</v>
      </c>
      <c r="AJ55" s="288">
        <f t="shared" si="275"/>
        <v>0.2999135695764909</v>
      </c>
      <c r="AK55" s="288"/>
      <c r="AL55" s="288">
        <f t="shared" ref="AL55:AM55" si="276">AL31-AL30</f>
        <v>0.27545627285356156</v>
      </c>
      <c r="AM55" s="288">
        <f t="shared" si="276"/>
        <v>0.2847058823529412</v>
      </c>
      <c r="AN55" s="288"/>
      <c r="AO55" s="288">
        <f t="shared" ref="AO55:AP55" si="277">AO31-AO30</f>
        <v>0.28716166800477166</v>
      </c>
      <c r="AP55" s="288">
        <f t="shared" si="277"/>
        <v>0.26975476839237056</v>
      </c>
      <c r="AQ55" s="368"/>
      <c r="AR55" s="288">
        <f t="shared" ref="AR55:AS55" si="278">AR31-AR30</f>
        <v>0.34307235591359936</v>
      </c>
      <c r="AS55" s="288">
        <f t="shared" si="278"/>
        <v>0.32600258732212162</v>
      </c>
      <c r="AT55" s="368"/>
      <c r="AU55" s="288">
        <f t="shared" si="274"/>
        <v>0.32721378729366507</v>
      </c>
      <c r="AV55" s="288">
        <f t="shared" si="274"/>
        <v>0.3467711832773423</v>
      </c>
      <c r="AW55" s="368"/>
      <c r="AX55" s="343">
        <f t="shared" ref="AX55:AX75" si="279">AVERAGE(B55,E55,H55,K55,N55,Q55,T55,W55,Z55,AC55,AI55,AO55,AR55)</f>
        <v>0.27870621435356968</v>
      </c>
      <c r="AY55" s="343">
        <f t="shared" ref="AY55:AY75" si="280">AVERAGE(C55,F55,I55,L55,O55,R55,U55,X55,AA55,AD55,AJ55,AP55,AS55)</f>
        <v>0.27138095285298863</v>
      </c>
      <c r="AZ55" s="343"/>
    </row>
    <row r="56" spans="1:127" hidden="1" outlineLevel="1" x14ac:dyDescent="0.25">
      <c r="A56" s="409">
        <v>2</v>
      </c>
      <c r="B56" s="287">
        <f>B32-B31</f>
        <v>3.1967278851551872E-2</v>
      </c>
      <c r="C56" s="287">
        <f t="shared" ref="C56:AG56" si="281">C32-C31</f>
        <v>2.5936599423631135E-2</v>
      </c>
      <c r="D56" s="372"/>
      <c r="E56" s="287">
        <f t="shared" si="281"/>
        <v>3.5647125675889402E-2</v>
      </c>
      <c r="F56" s="287">
        <f t="shared" si="281"/>
        <v>3.5714285714285726E-2</v>
      </c>
      <c r="G56" s="372"/>
      <c r="H56" s="287">
        <f t="shared" si="281"/>
        <v>5.0584506928387785E-2</v>
      </c>
      <c r="I56" s="287">
        <f t="shared" si="281"/>
        <v>5.7750759878419433E-2</v>
      </c>
      <c r="J56" s="287"/>
      <c r="K56" s="287">
        <f t="shared" si="281"/>
        <v>5.4672133880054652E-2</v>
      </c>
      <c r="L56" s="287">
        <f t="shared" si="281"/>
        <v>6.0362173038229411E-2</v>
      </c>
      <c r="M56" s="287"/>
      <c r="N56" s="287">
        <f t="shared" si="281"/>
        <v>0.10150704584715387</v>
      </c>
      <c r="O56" s="287">
        <f t="shared" si="281"/>
        <v>9.8557692307692291E-2</v>
      </c>
      <c r="P56" s="287"/>
      <c r="Q56" s="287">
        <f t="shared" si="281"/>
        <v>3.4217056288363579E-2</v>
      </c>
      <c r="R56" s="287">
        <f t="shared" si="281"/>
        <v>3.7997587454764781E-2</v>
      </c>
      <c r="S56" s="287"/>
      <c r="T56" s="287">
        <f t="shared" si="281"/>
        <v>0.10254072505725276</v>
      </c>
      <c r="U56" s="287">
        <f t="shared" si="281"/>
        <v>0.10256410256410259</v>
      </c>
      <c r="V56" s="287"/>
      <c r="W56" s="287">
        <f t="shared" si="281"/>
        <v>4.9438377941674716E-2</v>
      </c>
      <c r="X56" s="287">
        <f t="shared" si="281"/>
        <v>5.5813953488372092E-2</v>
      </c>
      <c r="Y56" s="287"/>
      <c r="Z56" s="287">
        <f t="shared" si="281"/>
        <v>7.4622035230477612E-2</v>
      </c>
      <c r="AA56" s="287">
        <f t="shared" si="281"/>
        <v>7.678571428571429E-2</v>
      </c>
      <c r="AB56" s="287"/>
      <c r="AC56" s="287">
        <f t="shared" si="281"/>
        <v>8.4859854336791024E-2</v>
      </c>
      <c r="AD56" s="287">
        <f t="shared" si="281"/>
        <v>8.1784386617100385E-2</v>
      </c>
      <c r="AE56" s="287"/>
      <c r="AF56" s="287">
        <f t="shared" si="281"/>
        <v>6.4308901006745078E-2</v>
      </c>
      <c r="AG56" s="287">
        <f t="shared" si="281"/>
        <v>6.6901408450704219E-2</v>
      </c>
      <c r="AH56" s="287"/>
      <c r="AI56" s="287">
        <f t="shared" ref="AI56:AJ56" si="282">AI32-AI31</f>
        <v>0.11603031637060218</v>
      </c>
      <c r="AJ56" s="287">
        <f t="shared" si="282"/>
        <v>0.11754537597234227</v>
      </c>
      <c r="AK56" s="287"/>
      <c r="AL56" s="427"/>
      <c r="AM56" s="427"/>
      <c r="AN56" s="287"/>
      <c r="AO56" s="287">
        <f t="shared" ref="AO56:AP56" si="283">AO32-AO31</f>
        <v>8.1654742905063915E-2</v>
      </c>
      <c r="AP56" s="287">
        <f t="shared" si="283"/>
        <v>8.1743869209809306E-2</v>
      </c>
      <c r="AQ56" s="383"/>
      <c r="AR56" s="287">
        <f t="shared" ref="AR56:AS56" si="284">AR32-AR31</f>
        <v>7.3705010371144852E-2</v>
      </c>
      <c r="AS56" s="287">
        <f t="shared" si="284"/>
        <v>7.3091849935316922E-2</v>
      </c>
      <c r="AT56" s="383"/>
      <c r="AU56" s="287">
        <f t="shared" ref="AU56:AV56" si="285">AU32-AU31</f>
        <v>5.03088035594218E-2</v>
      </c>
      <c r="AV56" s="287">
        <f t="shared" si="285"/>
        <v>4.9645390070922002E-2</v>
      </c>
      <c r="AW56" s="383"/>
      <c r="AX56" s="343">
        <f t="shared" si="279"/>
        <v>6.8572785360339089E-2</v>
      </c>
      <c r="AY56" s="343">
        <f t="shared" si="280"/>
        <v>6.9665257683829279E-2</v>
      </c>
      <c r="AZ56" s="343"/>
    </row>
    <row r="57" spans="1:127" ht="15.75" hidden="1" outlineLevel="1" thickBot="1" x14ac:dyDescent="0.3">
      <c r="A57" s="366">
        <v>3</v>
      </c>
      <c r="B57" s="288">
        <f t="shared" ref="B57:AG57" si="286">B33-B32</f>
        <v>1.4596198572459695E-2</v>
      </c>
      <c r="C57" s="288">
        <f t="shared" si="286"/>
        <v>2.3054755043227654E-2</v>
      </c>
      <c r="D57" s="371"/>
      <c r="E57" s="288">
        <f t="shared" si="286"/>
        <v>2.5653042454350017E-2</v>
      </c>
      <c r="F57" s="288">
        <f t="shared" si="286"/>
        <v>2.380952380952378E-2</v>
      </c>
      <c r="G57" s="371"/>
      <c r="H57" s="288">
        <f t="shared" si="286"/>
        <v>2.1132795446828445E-2</v>
      </c>
      <c r="I57" s="288">
        <f t="shared" si="286"/>
        <v>2.2796352583586643E-2</v>
      </c>
      <c r="J57" s="288"/>
      <c r="K57" s="288">
        <f t="shared" si="286"/>
        <v>3.4881265904368242E-2</v>
      </c>
      <c r="L57" s="288">
        <f t="shared" si="286"/>
        <v>3.4205231388329982E-2</v>
      </c>
      <c r="M57" s="288"/>
      <c r="N57" s="288">
        <f t="shared" si="286"/>
        <v>3.5620323159484157E-2</v>
      </c>
      <c r="O57" s="288">
        <f t="shared" si="286"/>
        <v>3.7860576923076872E-2</v>
      </c>
      <c r="P57" s="288"/>
      <c r="Q57" s="288">
        <f t="shared" si="286"/>
        <v>4.8191197596970131E-2</v>
      </c>
      <c r="R57" s="288">
        <f t="shared" si="286"/>
        <v>4.5838359469240059E-2</v>
      </c>
      <c r="S57" s="288"/>
      <c r="T57" s="288">
        <f t="shared" si="286"/>
        <v>4.446700946290455E-2</v>
      </c>
      <c r="U57" s="288">
        <f t="shared" si="286"/>
        <v>4.2051282051282057E-2</v>
      </c>
      <c r="V57" s="288"/>
      <c r="W57" s="288">
        <f t="shared" si="286"/>
        <v>5.0168095697271375E-2</v>
      </c>
      <c r="X57" s="288">
        <f t="shared" si="286"/>
        <v>4.1860465116279055E-2</v>
      </c>
      <c r="Y57" s="288"/>
      <c r="Z57" s="288">
        <f t="shared" si="286"/>
        <v>6.9178726093054088E-2</v>
      </c>
      <c r="AA57" s="288">
        <f t="shared" si="286"/>
        <v>6.7261904761904745E-2</v>
      </c>
      <c r="AB57" s="288"/>
      <c r="AC57" s="288">
        <f t="shared" si="286"/>
        <v>4.7588832487309607E-2</v>
      </c>
      <c r="AD57" s="288">
        <f t="shared" si="286"/>
        <v>4.4609665427509271E-2</v>
      </c>
      <c r="AE57" s="288"/>
      <c r="AF57" s="288">
        <f t="shared" si="286"/>
        <v>3.9591684422134732E-2</v>
      </c>
      <c r="AG57" s="288">
        <f t="shared" si="286"/>
        <v>3.9612676056338031E-2</v>
      </c>
      <c r="AH57" s="288"/>
      <c r="AI57" s="288">
        <f t="shared" ref="AI57:AJ57" si="287">AI33-AI32</f>
        <v>4.3178221709281706E-2</v>
      </c>
      <c r="AJ57" s="288">
        <f t="shared" si="287"/>
        <v>4.5808124459809862E-2</v>
      </c>
      <c r="AK57" s="288"/>
      <c r="AL57" s="426"/>
      <c r="AM57" s="426"/>
      <c r="AN57" s="288"/>
      <c r="AO57" s="287">
        <f t="shared" ref="AO57:AP57" si="288">AO33-AO32</f>
        <v>4.1505091841676722E-2</v>
      </c>
      <c r="AP57" s="287">
        <f t="shared" si="288"/>
        <v>4.3596730245231585E-2</v>
      </c>
      <c r="AQ57" s="368"/>
      <c r="AR57" s="287">
        <f t="shared" ref="AR57:AS57" si="289">AR33-AR32</f>
        <v>4.77877035121545E-2</v>
      </c>
      <c r="AS57" s="287">
        <f t="shared" si="289"/>
        <v>5.1099611901681774E-2</v>
      </c>
      <c r="AT57" s="368"/>
      <c r="AU57" s="287">
        <f t="shared" ref="AU57:AV57" si="290">AU33-AU32</f>
        <v>2.6620633574968022E-2</v>
      </c>
      <c r="AV57" s="287">
        <f t="shared" si="290"/>
        <v>2.6875699888017912E-2</v>
      </c>
      <c r="AW57" s="368"/>
      <c r="AX57" s="343">
        <f t="shared" si="279"/>
        <v>4.0303731072162556E-2</v>
      </c>
      <c r="AY57" s="343">
        <f t="shared" si="280"/>
        <v>4.0296352552360255E-2</v>
      </c>
      <c r="AZ57" s="343"/>
    </row>
    <row r="58" spans="1:127" ht="15.75" hidden="1" outlineLevel="1" thickBot="1" x14ac:dyDescent="0.3">
      <c r="A58" s="366">
        <v>4</v>
      </c>
      <c r="B58" s="287">
        <f t="shared" ref="B58:AG58" si="291">B34-B33</f>
        <v>1.9360012831822926E-2</v>
      </c>
      <c r="C58" s="287">
        <f t="shared" si="291"/>
        <v>1.4409221902017266E-2</v>
      </c>
      <c r="D58" s="372"/>
      <c r="E58" s="287">
        <f t="shared" si="291"/>
        <v>3.5512387156490022E-2</v>
      </c>
      <c r="F58" s="287">
        <f t="shared" si="291"/>
        <v>3.0423280423280463E-2</v>
      </c>
      <c r="G58" s="372"/>
      <c r="H58" s="287">
        <f t="shared" si="291"/>
        <v>2.1698708102252329E-2</v>
      </c>
      <c r="I58" s="287">
        <f t="shared" si="291"/>
        <v>2.4316109422492405E-2</v>
      </c>
      <c r="J58" s="287"/>
      <c r="K58" s="287">
        <f t="shared" si="291"/>
        <v>2.9480725850362821E-2</v>
      </c>
      <c r="L58" s="287">
        <f t="shared" si="291"/>
        <v>3.2193158953722323E-2</v>
      </c>
      <c r="M58" s="287"/>
      <c r="N58" s="287">
        <f t="shared" si="291"/>
        <v>2.1269298175901508E-2</v>
      </c>
      <c r="O58" s="287">
        <f t="shared" si="291"/>
        <v>2.34375E-2</v>
      </c>
      <c r="P58" s="287"/>
      <c r="Q58" s="287">
        <f t="shared" si="291"/>
        <v>2.2245439902485731E-2</v>
      </c>
      <c r="R58" s="287">
        <f t="shared" si="291"/>
        <v>2.4125452352231569E-2</v>
      </c>
      <c r="S58" s="287"/>
      <c r="T58" s="287">
        <f t="shared" si="291"/>
        <v>2.9542410232035576E-2</v>
      </c>
      <c r="U58" s="287">
        <f t="shared" si="291"/>
        <v>2.8717948717948694E-2</v>
      </c>
      <c r="V58" s="287"/>
      <c r="W58" s="287">
        <f t="shared" si="291"/>
        <v>2.9588317566217548E-2</v>
      </c>
      <c r="X58" s="287">
        <f t="shared" si="291"/>
        <v>2.9457364341085313E-2</v>
      </c>
      <c r="Y58" s="287"/>
      <c r="Z58" s="287">
        <f t="shared" si="291"/>
        <v>4.0075824125017312E-2</v>
      </c>
      <c r="AA58" s="287">
        <f t="shared" si="291"/>
        <v>3.9285714285714257E-2</v>
      </c>
      <c r="AB58" s="287"/>
      <c r="AC58" s="287">
        <f t="shared" si="291"/>
        <v>2.9711984109468126E-2</v>
      </c>
      <c r="AD58" s="287">
        <f t="shared" si="291"/>
        <v>3.3457249070631967E-2</v>
      </c>
      <c r="AE58" s="287"/>
      <c r="AF58" s="287">
        <f t="shared" si="291"/>
        <v>1.7430452734342072E-2</v>
      </c>
      <c r="AG58" s="287">
        <f t="shared" si="291"/>
        <v>1.9366197183098566E-2</v>
      </c>
      <c r="AH58" s="287"/>
      <c r="AI58" s="287">
        <f t="shared" ref="AI58:AJ58" si="292">AI34-AI33</f>
        <v>4.6581079634014255E-2</v>
      </c>
      <c r="AJ58" s="287">
        <f t="shared" si="292"/>
        <v>4.2350907519446868E-2</v>
      </c>
      <c r="AK58" s="287"/>
      <c r="AL58" s="427"/>
      <c r="AM58" s="427"/>
      <c r="AN58" s="287"/>
      <c r="AO58" s="287">
        <f t="shared" ref="AO58:AP58" si="293">AO34-AO33</f>
        <v>2.5834636225048668E-2</v>
      </c>
      <c r="AP58" s="287">
        <f t="shared" si="293"/>
        <v>2.8610354223433221E-2</v>
      </c>
      <c r="AQ58" s="383"/>
      <c r="AR58" s="287">
        <f t="shared" ref="AR58:AS58" si="294">AR34-AR33</f>
        <v>4.0171651658184371E-2</v>
      </c>
      <c r="AS58" s="287">
        <f t="shared" si="294"/>
        <v>4.0750323415265188E-2</v>
      </c>
      <c r="AT58" s="383"/>
      <c r="AU58" s="287">
        <f t="shared" ref="AU58:AV58" si="295">AU34-AU33</f>
        <v>9.0737652121091583E-2</v>
      </c>
      <c r="AV58" s="287">
        <f t="shared" si="295"/>
        <v>9.4811496827174324E-2</v>
      </c>
      <c r="AW58" s="383"/>
      <c r="AX58" s="344">
        <f t="shared" si="279"/>
        <v>3.0082498120715475E-2</v>
      </c>
      <c r="AY58" s="344">
        <f t="shared" si="280"/>
        <v>3.0118044971328424E-2</v>
      </c>
      <c r="AZ58" s="343"/>
      <c r="BA58" s="21"/>
      <c r="BB58" s="21"/>
      <c r="BC58" s="21"/>
    </row>
    <row r="59" spans="1:127" hidden="1" outlineLevel="1" x14ac:dyDescent="0.25">
      <c r="A59" s="366">
        <v>5</v>
      </c>
      <c r="B59" s="288">
        <f t="shared" ref="B59:AG59" si="296">B35-B34</f>
        <v>4.819953484641909E-2</v>
      </c>
      <c r="C59" s="288">
        <f t="shared" si="296"/>
        <v>4.6109510086455363E-2</v>
      </c>
      <c r="D59" s="371"/>
      <c r="E59" s="288">
        <f t="shared" si="296"/>
        <v>1.8465035354215842E-2</v>
      </c>
      <c r="F59" s="288">
        <f t="shared" si="296"/>
        <v>2.2486772486772444E-2</v>
      </c>
      <c r="G59" s="371"/>
      <c r="H59" s="288">
        <f t="shared" si="296"/>
        <v>2.2685013015991073E-2</v>
      </c>
      <c r="I59" s="288">
        <f t="shared" si="296"/>
        <v>2.4316109422492405E-2</v>
      </c>
      <c r="J59" s="288"/>
      <c r="K59" s="288">
        <f t="shared" si="296"/>
        <v>2.5524774699692165E-2</v>
      </c>
      <c r="L59" s="288">
        <f t="shared" si="296"/>
        <v>2.6156941649899401E-2</v>
      </c>
      <c r="M59" s="288"/>
      <c r="N59" s="288">
        <f t="shared" si="296"/>
        <v>1.5350702911614222E-2</v>
      </c>
      <c r="O59" s="288">
        <f t="shared" si="296"/>
        <v>1.6225961538461564E-2</v>
      </c>
      <c r="P59" s="288"/>
      <c r="Q59" s="288">
        <f t="shared" si="296"/>
        <v>2.0916398425636418E-2</v>
      </c>
      <c r="R59" s="288">
        <f t="shared" si="296"/>
        <v>2.6537997587454787E-2</v>
      </c>
      <c r="S59" s="288"/>
      <c r="T59" s="288">
        <f t="shared" si="296"/>
        <v>1.3148684267381139E-2</v>
      </c>
      <c r="U59" s="288">
        <f t="shared" si="296"/>
        <v>1.1282051282051342E-2</v>
      </c>
      <c r="V59" s="288"/>
      <c r="W59" s="288">
        <f t="shared" si="296"/>
        <v>2.3985127657171645E-2</v>
      </c>
      <c r="X59" s="288">
        <f t="shared" si="296"/>
        <v>2.635658914728678E-2</v>
      </c>
      <c r="Y59" s="288"/>
      <c r="Z59" s="288">
        <f t="shared" si="296"/>
        <v>3.1155701450213458E-2</v>
      </c>
      <c r="AA59" s="288">
        <f t="shared" si="296"/>
        <v>2.9761904761904767E-2</v>
      </c>
      <c r="AB59" s="288"/>
      <c r="AC59" s="288">
        <f t="shared" si="296"/>
        <v>2.1518428602957385E-2</v>
      </c>
      <c r="AD59" s="288">
        <f t="shared" si="296"/>
        <v>2.2304832713754663E-2</v>
      </c>
      <c r="AE59" s="288"/>
      <c r="AF59" s="288">
        <f t="shared" si="296"/>
        <v>2.29396635088015E-2</v>
      </c>
      <c r="AG59" s="288">
        <f t="shared" si="296"/>
        <v>2.4647887323943685E-2</v>
      </c>
      <c r="AH59" s="288"/>
      <c r="AI59" s="288">
        <f t="shared" ref="AI59:AJ59" si="297">AI35-AI34</f>
        <v>2.0345758920603974E-2</v>
      </c>
      <c r="AJ59" s="288">
        <f t="shared" si="297"/>
        <v>2.2471910112359494E-2</v>
      </c>
      <c r="AK59" s="288"/>
      <c r="AL59" s="426"/>
      <c r="AM59" s="426"/>
      <c r="AN59" s="288"/>
      <c r="AO59" s="287">
        <f t="shared" ref="AO59:AP59" si="298">AO35-AO34</f>
        <v>2.414439832406412E-2</v>
      </c>
      <c r="AP59" s="287">
        <f t="shared" si="298"/>
        <v>2.6566757493188042E-2</v>
      </c>
      <c r="AQ59" s="368"/>
      <c r="AR59" s="287">
        <f t="shared" ref="AR59:AS59" si="299">AR35-AR34</f>
        <v>1.7954887420301269E-2</v>
      </c>
      <c r="AS59" s="287">
        <f t="shared" si="299"/>
        <v>2.0051746442432128E-2</v>
      </c>
      <c r="AT59" s="368"/>
      <c r="AU59" s="287">
        <f t="shared" ref="AU59:AV59" si="300">AU35-AU34</f>
        <v>4.1199359002672353E-2</v>
      </c>
      <c r="AV59" s="287">
        <f t="shared" si="300"/>
        <v>4.5912653975363926E-2</v>
      </c>
      <c r="AW59" s="368"/>
      <c r="AX59" s="343">
        <f t="shared" si="279"/>
        <v>2.3338034299712446E-2</v>
      </c>
      <c r="AY59" s="343">
        <f t="shared" si="280"/>
        <v>2.4663775748039476E-2</v>
      </c>
      <c r="AZ59" s="343"/>
      <c r="BA59" s="21"/>
      <c r="BB59" s="21"/>
      <c r="BC59" s="21"/>
    </row>
    <row r="60" spans="1:127" hidden="1" outlineLevel="1" x14ac:dyDescent="0.25">
      <c r="A60" s="366">
        <v>6</v>
      </c>
      <c r="B60" s="287">
        <f t="shared" ref="B60:AG60" si="301">B36-B35</f>
        <v>1.0987248375972425E-2</v>
      </c>
      <c r="C60" s="287">
        <f t="shared" si="301"/>
        <v>1.1527377521613813E-2</v>
      </c>
      <c r="D60" s="372"/>
      <c r="E60" s="287">
        <f t="shared" si="301"/>
        <v>1.1909713475609374E-2</v>
      </c>
      <c r="F60" s="287">
        <f t="shared" si="301"/>
        <v>1.3227513227513255E-2</v>
      </c>
      <c r="G60" s="372"/>
      <c r="H60" s="287">
        <f t="shared" si="301"/>
        <v>2.478697430756549E-2</v>
      </c>
      <c r="I60" s="287">
        <f t="shared" si="301"/>
        <v>2.1276595744680826E-2</v>
      </c>
      <c r="J60" s="287"/>
      <c r="K60" s="287">
        <f t="shared" si="301"/>
        <v>5.4005400540053983E-2</v>
      </c>
      <c r="L60" s="287">
        <f t="shared" si="301"/>
        <v>5.8350100603621724E-2</v>
      </c>
      <c r="M60" s="287"/>
      <c r="N60" s="287">
        <f t="shared" si="301"/>
        <v>1.8065309502796167E-2</v>
      </c>
      <c r="O60" s="287">
        <f t="shared" si="301"/>
        <v>2.1033653846153855E-2</v>
      </c>
      <c r="P60" s="287"/>
      <c r="Q60" s="287">
        <f t="shared" si="301"/>
        <v>4.8539462800922861E-2</v>
      </c>
      <c r="R60" s="287">
        <f t="shared" si="301"/>
        <v>5.3075995174909518E-2</v>
      </c>
      <c r="S60" s="287"/>
      <c r="T60" s="287">
        <f t="shared" si="301"/>
        <v>1.2228319578274194E-2</v>
      </c>
      <c r="U60" s="287">
        <f t="shared" si="301"/>
        <v>1.1282051282051175E-2</v>
      </c>
      <c r="V60" s="287"/>
      <c r="W60" s="287">
        <f t="shared" si="301"/>
        <v>1.0424539365666785E-2</v>
      </c>
      <c r="X60" s="287">
        <f t="shared" si="301"/>
        <v>9.3023255813953765E-3</v>
      </c>
      <c r="Y60" s="287"/>
      <c r="Z60" s="287">
        <f t="shared" si="301"/>
        <v>2.7737451261423685E-2</v>
      </c>
      <c r="AA60" s="287">
        <f t="shared" si="301"/>
        <v>3.214285714285714E-2</v>
      </c>
      <c r="AB60" s="287"/>
      <c r="AC60" s="287">
        <f t="shared" si="301"/>
        <v>3.371220481129994E-2</v>
      </c>
      <c r="AD60" s="287">
        <f t="shared" si="301"/>
        <v>2.6022304832713727E-2</v>
      </c>
      <c r="AE60" s="287"/>
      <c r="AF60" s="287">
        <f t="shared" si="301"/>
        <v>3.9531496394737187E-2</v>
      </c>
      <c r="AG60" s="287">
        <f t="shared" si="301"/>
        <v>3.8732394366197187E-2</v>
      </c>
      <c r="AH60" s="287"/>
      <c r="AI60" s="287">
        <f t="shared" ref="AI60:AJ60" si="302">AI36-AI35</f>
        <v>1.8489654598022542E-2</v>
      </c>
      <c r="AJ60" s="287">
        <f t="shared" si="302"/>
        <v>1.9014693171996555E-2</v>
      </c>
      <c r="AK60" s="287"/>
      <c r="AL60" s="427"/>
      <c r="AM60" s="427"/>
      <c r="AN60" s="287"/>
      <c r="AO60" s="287">
        <f t="shared" ref="AO60:AP60" si="303">AO36-AO35</f>
        <v>2.9627920129758234E-2</v>
      </c>
      <c r="AP60" s="287">
        <f t="shared" si="303"/>
        <v>3.0653950953678455E-2</v>
      </c>
      <c r="AQ60" s="383"/>
      <c r="AR60" s="287">
        <f t="shared" ref="AR60:AS60" si="304">AR36-AR35</f>
        <v>1.7712319002030852E-2</v>
      </c>
      <c r="AS60" s="287">
        <f t="shared" si="304"/>
        <v>2.0051746442432017E-2</v>
      </c>
      <c r="AT60" s="383"/>
      <c r="AU60" s="287">
        <f t="shared" ref="AU60:AV60" si="305">AU36-AU35</f>
        <v>3.0826518502989564E-2</v>
      </c>
      <c r="AV60" s="287">
        <f t="shared" si="305"/>
        <v>3.2474804031354942E-2</v>
      </c>
      <c r="AW60" s="383"/>
      <c r="AX60" s="343">
        <f t="shared" si="279"/>
        <v>2.4478962903799733E-2</v>
      </c>
      <c r="AY60" s="343">
        <f t="shared" si="280"/>
        <v>2.5150858886585956E-2</v>
      </c>
      <c r="AZ60" s="343"/>
    </row>
    <row r="61" spans="1:127" hidden="1" outlineLevel="1" x14ac:dyDescent="0.25">
      <c r="A61" s="692">
        <v>7</v>
      </c>
      <c r="B61" s="288">
        <f t="shared" ref="B61:AG61" si="306">B37-B36</f>
        <v>2.5808003849546846E-2</v>
      </c>
      <c r="C61" s="288">
        <f t="shared" si="306"/>
        <v>2.5936599423631135E-2</v>
      </c>
      <c r="D61" s="371"/>
      <c r="E61" s="288">
        <f t="shared" si="306"/>
        <v>2.6215429317930194E-2</v>
      </c>
      <c r="F61" s="288">
        <f t="shared" si="306"/>
        <v>2.777777777777779E-2</v>
      </c>
      <c r="G61" s="371"/>
      <c r="H61" s="288">
        <f t="shared" si="306"/>
        <v>1.7397771921030925E-2</v>
      </c>
      <c r="I61" s="288">
        <f t="shared" si="306"/>
        <v>2.1276595744680882E-2</v>
      </c>
      <c r="J61" s="288"/>
      <c r="K61" s="288">
        <f t="shared" si="306"/>
        <v>3.0469713638030471E-2</v>
      </c>
      <c r="L61" s="288">
        <f t="shared" si="306"/>
        <v>3.2193158953722323E-2</v>
      </c>
      <c r="M61" s="288"/>
      <c r="N61" s="288">
        <f t="shared" si="306"/>
        <v>4.8954939203687542E-2</v>
      </c>
      <c r="O61" s="288">
        <f t="shared" si="306"/>
        <v>5.46875E-2</v>
      </c>
      <c r="P61" s="288"/>
      <c r="Q61" s="288">
        <f t="shared" si="306"/>
        <v>3.4657509340421555E-2</v>
      </c>
      <c r="R61" s="288">
        <f t="shared" si="306"/>
        <v>3.4378769601930037E-2</v>
      </c>
      <c r="S61" s="288"/>
      <c r="T61" s="288">
        <f t="shared" si="306"/>
        <v>1.5188177850753992E-2</v>
      </c>
      <c r="U61" s="288">
        <f t="shared" si="306"/>
        <v>1.5384615384615441E-2</v>
      </c>
      <c r="V61" s="288"/>
      <c r="W61" s="288">
        <f t="shared" si="306"/>
        <v>3.8753225091866239E-2</v>
      </c>
      <c r="X61" s="288">
        <f t="shared" si="306"/>
        <v>3.2558139534883734E-2</v>
      </c>
      <c r="Y61" s="288"/>
      <c r="Z61" s="288">
        <f t="shared" si="306"/>
        <v>2.7546349808127979E-2</v>
      </c>
      <c r="AA61" s="288">
        <f t="shared" si="306"/>
        <v>3.0952380952380953E-2</v>
      </c>
      <c r="AB61" s="288"/>
      <c r="AC61" s="288">
        <f t="shared" si="306"/>
        <v>1.3517987199293757E-2</v>
      </c>
      <c r="AD61" s="288">
        <f t="shared" si="306"/>
        <v>1.4869888475836479E-2</v>
      </c>
      <c r="AE61" s="288"/>
      <c r="AF61" s="288">
        <f t="shared" si="306"/>
        <v>3.6297393055906624E-2</v>
      </c>
      <c r="AG61" s="288">
        <f t="shared" si="306"/>
        <v>3.5211267605633811E-2</v>
      </c>
      <c r="AH61" s="288"/>
      <c r="AI61" s="288">
        <f t="shared" ref="AI61:AJ61" si="307">AI37-AI36</f>
        <v>2.441491070472479E-2</v>
      </c>
      <c r="AJ61" s="288">
        <f t="shared" si="307"/>
        <v>2.4200518582541131E-2</v>
      </c>
      <c r="AK61" s="288"/>
      <c r="AL61" s="426"/>
      <c r="AM61" s="426"/>
      <c r="AN61" s="288"/>
      <c r="AO61" s="287">
        <f t="shared" ref="AO61:AP61" si="308">AO37-AO36</f>
        <v>2.2896222643337072E-2</v>
      </c>
      <c r="AP61" s="287">
        <f t="shared" si="308"/>
        <v>2.7247956403269769E-2</v>
      </c>
      <c r="AQ61" s="368"/>
      <c r="AR61" s="287">
        <f t="shared" ref="AR61:AS61" si="309">AR37-AR36</f>
        <v>2.3604807626519508E-2</v>
      </c>
      <c r="AS61" s="287">
        <f t="shared" si="309"/>
        <v>2.1992238033635259E-2</v>
      </c>
      <c r="AT61" s="368"/>
      <c r="AU61" s="287">
        <f t="shared" ref="AU61:AV61" si="310">AU37-AU36</f>
        <v>2.1040538200285397E-2</v>
      </c>
      <c r="AV61" s="287">
        <f t="shared" si="310"/>
        <v>2.2396416573348343E-2</v>
      </c>
      <c r="AW61" s="368"/>
      <c r="AX61" s="343">
        <f t="shared" si="279"/>
        <v>2.6878849861174683E-2</v>
      </c>
      <c r="AY61" s="343">
        <f t="shared" si="280"/>
        <v>2.7958164528377301E-2</v>
      </c>
      <c r="AZ61" s="343"/>
    </row>
    <row r="62" spans="1:127" hidden="1" outlineLevel="1" x14ac:dyDescent="0.25">
      <c r="A62" s="692">
        <v>8</v>
      </c>
      <c r="B62" s="287">
        <f t="shared" ref="B62:AV62" si="311">B38-B37</f>
        <v>4.0083406848985481E-2</v>
      </c>
      <c r="C62" s="287">
        <f t="shared" si="311"/>
        <v>3.4582132564841495E-2</v>
      </c>
      <c r="D62" s="372"/>
      <c r="E62" s="287">
        <f t="shared" si="311"/>
        <v>1.851190092618088E-2</v>
      </c>
      <c r="F62" s="287">
        <f t="shared" si="311"/>
        <v>1.7195767195767153E-2</v>
      </c>
      <c r="G62" s="372"/>
      <c r="H62" s="287">
        <f t="shared" si="311"/>
        <v>2.2749688748039509E-2</v>
      </c>
      <c r="I62" s="287">
        <f t="shared" si="311"/>
        <v>2.5835866261398166E-2</v>
      </c>
      <c r="J62" s="287"/>
      <c r="K62" s="287">
        <f t="shared" si="311"/>
        <v>3.9370603727039377E-2</v>
      </c>
      <c r="L62" s="287">
        <f t="shared" si="311"/>
        <v>3.4205231388329982E-2</v>
      </c>
      <c r="M62" s="287"/>
      <c r="N62" s="287">
        <f t="shared" si="311"/>
        <v>2.8681136202980628E-2</v>
      </c>
      <c r="O62" s="287">
        <f t="shared" si="311"/>
        <v>2.4038461538461564E-2</v>
      </c>
      <c r="P62" s="287"/>
      <c r="Q62" s="287">
        <f t="shared" si="311"/>
        <v>4.7033727948538717E-2</v>
      </c>
      <c r="R62" s="287">
        <f t="shared" si="311"/>
        <v>5.0060313630880593E-2</v>
      </c>
      <c r="S62" s="287"/>
      <c r="T62" s="287">
        <f t="shared" si="311"/>
        <v>1.4419046796007362E-2</v>
      </c>
      <c r="U62" s="287">
        <f t="shared" si="311"/>
        <v>1.6410256410256396E-2</v>
      </c>
      <c r="V62" s="287"/>
      <c r="W62" s="287">
        <f t="shared" si="311"/>
        <v>3.8770599324142341E-2</v>
      </c>
      <c r="X62" s="287">
        <f t="shared" si="311"/>
        <v>3.8759689922480578E-2</v>
      </c>
      <c r="Y62" s="287"/>
      <c r="Z62" s="287">
        <f t="shared" si="311"/>
        <v>2.5903493766085695E-2</v>
      </c>
      <c r="AA62" s="287">
        <f t="shared" si="311"/>
        <v>2.4404761904761929E-2</v>
      </c>
      <c r="AB62" s="287"/>
      <c r="AC62" s="287">
        <f t="shared" si="311"/>
        <v>2.6070403884352278E-2</v>
      </c>
      <c r="AD62" s="287">
        <f t="shared" si="311"/>
        <v>2.6022304832713727E-2</v>
      </c>
      <c r="AE62" s="287"/>
      <c r="AF62" s="287">
        <f t="shared" si="311"/>
        <v>3.4604103218454474E-2</v>
      </c>
      <c r="AG62" s="287">
        <f t="shared" si="311"/>
        <v>3.6091549295774628E-2</v>
      </c>
      <c r="AH62" s="287"/>
      <c r="AI62" s="287">
        <f t="shared" ref="AI62:AJ62" si="312">AI38-AI37</f>
        <v>2.0976358466096356E-2</v>
      </c>
      <c r="AJ62" s="287">
        <f t="shared" si="312"/>
        <v>2.2471910112359494E-2</v>
      </c>
      <c r="AK62" s="287"/>
      <c r="AL62" s="287">
        <f t="shared" ref="AL62:AM62" si="313">AL38-AL37</f>
        <v>3.2030913184409315E-2</v>
      </c>
      <c r="AM62" s="287">
        <f t="shared" si="313"/>
        <v>3.294117647058814E-2</v>
      </c>
      <c r="AN62" s="287"/>
      <c r="AO62" s="287">
        <f t="shared" ref="AO62:AP62" si="314">AO38-AO37</f>
        <v>2.3926617671437223E-2</v>
      </c>
      <c r="AP62" s="287">
        <f t="shared" si="314"/>
        <v>2.3841961852861027E-2</v>
      </c>
      <c r="AQ62" s="383"/>
      <c r="AR62" s="287">
        <f t="shared" ref="AR62:AS62" si="315">AR38-AR37</f>
        <v>2.375036037316236E-2</v>
      </c>
      <c r="AS62" s="287">
        <f t="shared" si="315"/>
        <v>1.7464424320827954E-2</v>
      </c>
      <c r="AT62" s="383"/>
      <c r="AU62" s="287">
        <f t="shared" si="311"/>
        <v>2.1680629317921363E-2</v>
      </c>
      <c r="AV62" s="287">
        <f t="shared" si="311"/>
        <v>2.3142963792459836E-2</v>
      </c>
      <c r="AW62" s="383"/>
      <c r="AX62" s="343">
        <f t="shared" si="279"/>
        <v>2.8480564975619092E-2</v>
      </c>
      <c r="AY62" s="343">
        <f t="shared" si="280"/>
        <v>2.7330237071995389E-2</v>
      </c>
      <c r="AZ62" s="343"/>
    </row>
    <row r="63" spans="1:127" hidden="1" outlineLevel="1" x14ac:dyDescent="0.25">
      <c r="A63" s="692">
        <v>9</v>
      </c>
      <c r="B63" s="288">
        <f t="shared" ref="B63:AV63" si="316">B39-B38</f>
        <v>1.9071296816103978E-2</v>
      </c>
      <c r="C63" s="288">
        <f t="shared" si="316"/>
        <v>1.7291066282420775E-2</v>
      </c>
      <c r="D63" s="371"/>
      <c r="E63" s="288">
        <f t="shared" si="316"/>
        <v>2.2343161434320802E-2</v>
      </c>
      <c r="F63" s="288">
        <f t="shared" si="316"/>
        <v>2.777777777777779E-2</v>
      </c>
      <c r="G63" s="371"/>
      <c r="H63" s="288">
        <f t="shared" si="316"/>
        <v>3.6420521609778933E-2</v>
      </c>
      <c r="I63" s="288">
        <f t="shared" si="316"/>
        <v>3.7993920972644368E-2</v>
      </c>
      <c r="J63" s="288"/>
      <c r="K63" s="288">
        <f t="shared" si="316"/>
        <v>2.4502450245024565E-2</v>
      </c>
      <c r="L63" s="288">
        <f t="shared" si="316"/>
        <v>2.8169014084507005E-2</v>
      </c>
      <c r="M63" s="288"/>
      <c r="N63" s="288">
        <f t="shared" si="316"/>
        <v>1.8772194732241121E-2</v>
      </c>
      <c r="O63" s="288">
        <f t="shared" si="316"/>
        <v>1.6826923076923017E-2</v>
      </c>
      <c r="P63" s="288"/>
      <c r="Q63" s="288">
        <f t="shared" si="316"/>
        <v>3.1092912547022233E-2</v>
      </c>
      <c r="R63" s="288">
        <f t="shared" si="316"/>
        <v>3.5585042219541563E-2</v>
      </c>
      <c r="S63" s="288"/>
      <c r="T63" s="288">
        <f t="shared" si="316"/>
        <v>1.3675841507151287E-2</v>
      </c>
      <c r="U63" s="288">
        <f t="shared" si="316"/>
        <v>1.2307692307692353E-2</v>
      </c>
      <c r="V63" s="288"/>
      <c r="W63" s="288">
        <f t="shared" si="316"/>
        <v>5.1966328737848955E-2</v>
      </c>
      <c r="X63" s="288">
        <f t="shared" si="316"/>
        <v>5.7364341085271386E-2</v>
      </c>
      <c r="Y63" s="288"/>
      <c r="Z63" s="288">
        <f t="shared" si="316"/>
        <v>2.6902152973631077E-2</v>
      </c>
      <c r="AA63" s="288">
        <f t="shared" si="316"/>
        <v>2.7380952380952395E-2</v>
      </c>
      <c r="AB63" s="288"/>
      <c r="AC63" s="288">
        <f t="shared" si="316"/>
        <v>8.5521959832266514E-3</v>
      </c>
      <c r="AD63" s="288">
        <f t="shared" si="316"/>
        <v>1.4869888475836424E-2</v>
      </c>
      <c r="AE63" s="288"/>
      <c r="AF63" s="288">
        <f t="shared" si="316"/>
        <v>4.0430304270541173E-2</v>
      </c>
      <c r="AG63" s="288">
        <f t="shared" si="316"/>
        <v>4.2253521126760563E-2</v>
      </c>
      <c r="AH63" s="288"/>
      <c r="AI63" s="288">
        <f t="shared" ref="AI63:AJ63" si="317">AI39-AI38</f>
        <v>1.5467536021511741E-2</v>
      </c>
      <c r="AJ63" s="288">
        <f t="shared" si="317"/>
        <v>1.5557476231633505E-2</v>
      </c>
      <c r="AK63" s="288"/>
      <c r="AL63" s="288">
        <f t="shared" ref="AL63:AM63" si="318">AL39-AL38</f>
        <v>4.1866926405543903E-2</v>
      </c>
      <c r="AM63" s="288">
        <f t="shared" si="318"/>
        <v>1.4117647058823568E-2</v>
      </c>
      <c r="AN63" s="288"/>
      <c r="AO63" s="288">
        <f t="shared" ref="AO63:AP63" si="319">AO39-AO38</f>
        <v>2.7008051383232257E-2</v>
      </c>
      <c r="AP63" s="288">
        <f t="shared" si="319"/>
        <v>2.7247956403269713E-2</v>
      </c>
      <c r="AQ63" s="368"/>
      <c r="AR63" s="288">
        <f t="shared" ref="AR63:AS63" si="320">AR39-AR38</f>
        <v>1.4907928677399873E-2</v>
      </c>
      <c r="AS63" s="288">
        <f t="shared" si="320"/>
        <v>1.487710219922378E-2</v>
      </c>
      <c r="AT63" s="368"/>
      <c r="AU63" s="288">
        <f t="shared" si="316"/>
        <v>1.5438180027687265E-2</v>
      </c>
      <c r="AV63" s="288">
        <f t="shared" si="316"/>
        <v>1.6797312430011146E-2</v>
      </c>
      <c r="AW63" s="368"/>
      <c r="AX63" s="343">
        <f t="shared" si="279"/>
        <v>2.3898659436037958E-2</v>
      </c>
      <c r="AY63" s="343">
        <f t="shared" si="280"/>
        <v>2.563455026905339E-2</v>
      </c>
      <c r="AZ63" s="343"/>
    </row>
    <row r="64" spans="1:127" hidden="1" outlineLevel="1" x14ac:dyDescent="0.25">
      <c r="A64" s="302">
        <v>10</v>
      </c>
      <c r="B64" s="287">
        <f t="shared" ref="B64:AV64" si="321">B40-B39</f>
        <v>5.9651936803272132E-2</v>
      </c>
      <c r="C64" s="287">
        <f t="shared" si="321"/>
        <v>5.4755043227665667E-2</v>
      </c>
      <c r="D64" s="372"/>
      <c r="E64" s="287">
        <f t="shared" si="321"/>
        <v>2.7709269424315064E-2</v>
      </c>
      <c r="F64" s="287">
        <f t="shared" si="321"/>
        <v>2.777777777777779E-2</v>
      </c>
      <c r="G64" s="372"/>
      <c r="H64" s="287">
        <f t="shared" si="321"/>
        <v>2.7082962795285215E-2</v>
      </c>
      <c r="I64" s="287">
        <f t="shared" si="321"/>
        <v>2.8875379939209744E-2</v>
      </c>
      <c r="J64" s="287"/>
      <c r="K64" s="287">
        <f t="shared" si="321"/>
        <v>3.2025424764698607E-2</v>
      </c>
      <c r="L64" s="287">
        <f t="shared" si="321"/>
        <v>3.0181086519114775E-2</v>
      </c>
      <c r="M64" s="287"/>
      <c r="N64" s="287">
        <f t="shared" si="321"/>
        <v>1.9039890913805979E-2</v>
      </c>
      <c r="O64" s="287">
        <f t="shared" si="321"/>
        <v>1.6826923076923128E-2</v>
      </c>
      <c r="P64" s="287"/>
      <c r="Q64" s="287">
        <f t="shared" si="321"/>
        <v>2.2731986878596289E-2</v>
      </c>
      <c r="R64" s="287">
        <f t="shared" si="321"/>
        <v>2.5331724969843261E-2</v>
      </c>
      <c r="S64" s="287"/>
      <c r="T64" s="287">
        <f t="shared" si="321"/>
        <v>1.5123363436028159E-2</v>
      </c>
      <c r="U64" s="287">
        <f t="shared" si="321"/>
        <v>1.4358974358974375E-2</v>
      </c>
      <c r="V64" s="287"/>
      <c r="W64" s="287">
        <f t="shared" si="321"/>
        <v>1.8625176999991222E-2</v>
      </c>
      <c r="X64" s="287">
        <f t="shared" si="321"/>
        <v>1.8604651162790642E-2</v>
      </c>
      <c r="Y64" s="287"/>
      <c r="Z64" s="287">
        <f t="shared" si="321"/>
        <v>2.1579052814893585E-2</v>
      </c>
      <c r="AA64" s="287">
        <f t="shared" si="321"/>
        <v>1.9642857142857073E-2</v>
      </c>
      <c r="AB64" s="287"/>
      <c r="AC64" s="287">
        <f t="shared" si="321"/>
        <v>1.5118075480026416E-2</v>
      </c>
      <c r="AD64" s="287">
        <f t="shared" si="321"/>
        <v>1.8587360594795599E-2</v>
      </c>
      <c r="AE64" s="287"/>
      <c r="AF64" s="287">
        <f t="shared" si="321"/>
        <v>3.0166239331672118E-2</v>
      </c>
      <c r="AG64" s="287">
        <f t="shared" si="321"/>
        <v>3.5211267605633811E-2</v>
      </c>
      <c r="AH64" s="287"/>
      <c r="AI64" s="287">
        <f t="shared" ref="AI64:AJ64" si="322">AI40-AI39</f>
        <v>2.4057967565766725E-2</v>
      </c>
      <c r="AJ64" s="287">
        <f t="shared" si="322"/>
        <v>1.9014693171996555E-2</v>
      </c>
      <c r="AK64" s="287"/>
      <c r="AL64" s="287">
        <f t="shared" ref="AL64:AM64" si="323">AL40-AL39</f>
        <v>2.3472304277707745E-2</v>
      </c>
      <c r="AM64" s="287">
        <f t="shared" si="323"/>
        <v>2.352941176470591E-2</v>
      </c>
      <c r="AN64" s="287"/>
      <c r="AO64" s="287">
        <f t="shared" ref="AO64:AP64" si="324">AO40-AO39</f>
        <v>2.3061995975933614E-2</v>
      </c>
      <c r="AP64" s="287">
        <f t="shared" si="324"/>
        <v>2.520435967302459E-2</v>
      </c>
      <c r="AQ64" s="383"/>
      <c r="AR64" s="287">
        <f t="shared" ref="AR64:AS64" si="325">AR40-AR39</f>
        <v>3.3319649386883254E-2</v>
      </c>
      <c r="AS64" s="287">
        <f t="shared" si="325"/>
        <v>3.363518758085382E-2</v>
      </c>
      <c r="AT64" s="383"/>
      <c r="AU64" s="287">
        <f t="shared" si="321"/>
        <v>9.339796727811045E-3</v>
      </c>
      <c r="AV64" s="287">
        <f t="shared" si="321"/>
        <v>1.1944755505785776E-2</v>
      </c>
      <c r="AW64" s="383"/>
      <c r="AX64" s="343">
        <f t="shared" si="279"/>
        <v>2.6086673326115098E-2</v>
      </c>
      <c r="AY64" s="343">
        <f t="shared" si="280"/>
        <v>2.5599693784294386E-2</v>
      </c>
      <c r="AZ64" s="343"/>
    </row>
    <row r="65" spans="1:127" hidden="1" outlineLevel="1" x14ac:dyDescent="0.25">
      <c r="A65" s="302">
        <v>11</v>
      </c>
      <c r="B65" s="288">
        <f t="shared" ref="B65:AV65" si="326">B41-B40</f>
        <v>4.9979950276686114E-2</v>
      </c>
      <c r="C65" s="288">
        <f t="shared" si="326"/>
        <v>4.8991354466858816E-2</v>
      </c>
      <c r="D65" s="371"/>
      <c r="E65" s="288">
        <f t="shared" si="326"/>
        <v>1.0163970919912557E-2</v>
      </c>
      <c r="F65" s="288">
        <f t="shared" si="326"/>
        <v>7.9365079365079083E-3</v>
      </c>
      <c r="G65" s="371"/>
      <c r="H65" s="288">
        <f t="shared" si="326"/>
        <v>2.4398919915274764E-2</v>
      </c>
      <c r="I65" s="288">
        <f t="shared" si="326"/>
        <v>2.5835866261398222E-2</v>
      </c>
      <c r="J65" s="288"/>
      <c r="K65" s="288">
        <f t="shared" si="326"/>
        <v>1.5901590159015933E-2</v>
      </c>
      <c r="L65" s="288">
        <f t="shared" si="326"/>
        <v>1.8108651911468709E-2</v>
      </c>
      <c r="M65" s="288"/>
      <c r="N65" s="288">
        <f t="shared" si="326"/>
        <v>1.3430819359453228E-2</v>
      </c>
      <c r="O65" s="288">
        <f t="shared" si="326"/>
        <v>1.3822115384615419E-2</v>
      </c>
      <c r="P65" s="288"/>
      <c r="Q65" s="288">
        <f t="shared" si="326"/>
        <v>2.2834417820935315E-2</v>
      </c>
      <c r="R65" s="288">
        <f t="shared" si="326"/>
        <v>2.533172496984315E-2</v>
      </c>
      <c r="S65" s="288"/>
      <c r="T65" s="288">
        <f t="shared" si="326"/>
        <v>1.2768439700989509E-2</v>
      </c>
      <c r="U65" s="288">
        <f t="shared" si="326"/>
        <v>1.7435897435897352E-2</v>
      </c>
      <c r="V65" s="288"/>
      <c r="W65" s="288">
        <f t="shared" si="326"/>
        <v>9.5471406357232613E-3</v>
      </c>
      <c r="X65" s="288">
        <f t="shared" si="326"/>
        <v>1.3953488372092981E-2</v>
      </c>
      <c r="Y65" s="288"/>
      <c r="Z65" s="288">
        <f t="shared" si="326"/>
        <v>1.8170049470618177E-2</v>
      </c>
      <c r="AA65" s="288">
        <f t="shared" si="326"/>
        <v>1.8452380952380998E-2</v>
      </c>
      <c r="AB65" s="288"/>
      <c r="AC65" s="288">
        <f t="shared" si="326"/>
        <v>2.7918781725888353E-2</v>
      </c>
      <c r="AD65" s="288">
        <f t="shared" si="326"/>
        <v>2.6022304832713727E-2</v>
      </c>
      <c r="AE65" s="288"/>
      <c r="AF65" s="288">
        <f t="shared" si="326"/>
        <v>2.6827810078685788E-2</v>
      </c>
      <c r="AG65" s="288">
        <f t="shared" si="326"/>
        <v>2.8169014084507005E-2</v>
      </c>
      <c r="AH65" s="288"/>
      <c r="AI65" s="288">
        <f t="shared" ref="AI65:AJ65" si="327">AI41-AI40</f>
        <v>2.1952003045914825E-2</v>
      </c>
      <c r="AJ65" s="288">
        <f t="shared" si="327"/>
        <v>2.2471910112359605E-2</v>
      </c>
      <c r="AK65" s="288"/>
      <c r="AL65" s="288">
        <f t="shared" ref="AL65:AM65" si="328">AL41-AL40</f>
        <v>1.7372698676289766E-2</v>
      </c>
      <c r="AM65" s="288">
        <f t="shared" si="328"/>
        <v>1.4117647058823457E-2</v>
      </c>
      <c r="AN65" s="288"/>
      <c r="AO65" s="288">
        <f t="shared" ref="AO65:AP65" si="329">AO41-AO40</f>
        <v>1.3814444383046909E-2</v>
      </c>
      <c r="AP65" s="288">
        <f t="shared" si="329"/>
        <v>1.2942779291553075E-2</v>
      </c>
      <c r="AQ65" s="368"/>
      <c r="AR65" s="288">
        <f t="shared" ref="AR65:AS65" si="330">AR41-AR40</f>
        <v>2.099830821978288E-2</v>
      </c>
      <c r="AS65" s="288">
        <f t="shared" si="330"/>
        <v>2.069857697283306E-2</v>
      </c>
      <c r="AT65" s="368"/>
      <c r="AU65" s="288">
        <f t="shared" si="326"/>
        <v>3.54670631537779E-2</v>
      </c>
      <c r="AV65" s="288">
        <f t="shared" si="326"/>
        <v>1.2318029115341522E-2</v>
      </c>
      <c r="AW65" s="368"/>
      <c r="AX65" s="343">
        <f t="shared" si="279"/>
        <v>2.014452581794168E-2</v>
      </c>
      <c r="AY65" s="343">
        <f t="shared" si="280"/>
        <v>2.0923350684655617E-2</v>
      </c>
      <c r="AZ65" s="343"/>
    </row>
    <row r="66" spans="1:127" hidden="1" outlineLevel="1" x14ac:dyDescent="0.25">
      <c r="A66" s="302">
        <v>12</v>
      </c>
      <c r="B66" s="287">
        <f t="shared" ref="B66:AV66" si="331">B42-B41</f>
        <v>3.6618814660357768E-2</v>
      </c>
      <c r="C66" s="287">
        <f t="shared" si="331"/>
        <v>4.3227665706051854E-2</v>
      </c>
      <c r="D66" s="372"/>
      <c r="E66" s="287">
        <f t="shared" si="331"/>
        <v>1.8113543564478307E-2</v>
      </c>
      <c r="F66" s="287">
        <f t="shared" si="331"/>
        <v>1.9841269841269882E-2</v>
      </c>
      <c r="G66" s="372"/>
      <c r="H66" s="287">
        <f t="shared" si="331"/>
        <v>1.3080666806797425E-2</v>
      </c>
      <c r="I66" s="287">
        <f t="shared" si="331"/>
        <v>1.3677811550151908E-2</v>
      </c>
      <c r="J66" s="287"/>
      <c r="K66" s="287">
        <f t="shared" si="331"/>
        <v>4.3715482659377081E-2</v>
      </c>
      <c r="L66" s="287">
        <f t="shared" si="331"/>
        <v>4.0241448692152959E-2</v>
      </c>
      <c r="M66" s="287"/>
      <c r="N66" s="287">
        <f t="shared" si="331"/>
        <v>1.4116790824713399E-2</v>
      </c>
      <c r="O66" s="287">
        <f t="shared" si="331"/>
        <v>1.5625E-2</v>
      </c>
      <c r="P66" s="287"/>
      <c r="Q66" s="287">
        <f t="shared" si="331"/>
        <v>2.322621617538223E-2</v>
      </c>
      <c r="R66" s="287">
        <f t="shared" si="331"/>
        <v>2.4728588661037443E-2</v>
      </c>
      <c r="S66" s="287"/>
      <c r="T66" s="287">
        <f t="shared" si="331"/>
        <v>1.463509484509351E-2</v>
      </c>
      <c r="U66" s="287">
        <f t="shared" si="331"/>
        <v>1.6410256410256396E-2</v>
      </c>
      <c r="V66" s="287"/>
      <c r="W66" s="287">
        <f t="shared" si="331"/>
        <v>2.0736146221538743E-2</v>
      </c>
      <c r="X66" s="287">
        <f t="shared" si="331"/>
        <v>2.4806201550387597E-2</v>
      </c>
      <c r="Y66" s="287"/>
      <c r="Z66" s="287">
        <f t="shared" si="331"/>
        <v>1.7837163068103012E-2</v>
      </c>
      <c r="AA66" s="287">
        <f t="shared" si="331"/>
        <v>1.9642857142857184E-2</v>
      </c>
      <c r="AB66" s="287"/>
      <c r="AC66" s="287">
        <f t="shared" si="331"/>
        <v>2.9022290885014401E-2</v>
      </c>
      <c r="AD66" s="287">
        <f t="shared" si="331"/>
        <v>1.4869888475836368E-2</v>
      </c>
      <c r="AE66" s="287"/>
      <c r="AF66" s="287">
        <f t="shared" si="331"/>
        <v>2.6944173598321242E-2</v>
      </c>
      <c r="AG66" s="287">
        <f t="shared" si="331"/>
        <v>2.464788732394374E-2</v>
      </c>
      <c r="AH66" s="287"/>
      <c r="AI66" s="287">
        <f t="shared" ref="AI66:AJ66" si="332">AI42-AI41</f>
        <v>1.7978036098849404E-2</v>
      </c>
      <c r="AJ66" s="287">
        <f t="shared" si="332"/>
        <v>1.9014693171996555E-2</v>
      </c>
      <c r="AK66" s="287"/>
      <c r="AL66" s="287">
        <f t="shared" ref="AL66:AM66" si="333">AL42-AL41</f>
        <v>3.0657703546393744E-2</v>
      </c>
      <c r="AM66" s="287">
        <f t="shared" si="333"/>
        <v>3.2941176470588251E-2</v>
      </c>
      <c r="AN66" s="287"/>
      <c r="AO66" s="287">
        <f t="shared" ref="AO66:AP66" si="334">AO42-AO41</f>
        <v>1.4666064248542887E-2</v>
      </c>
      <c r="AP66" s="287">
        <f t="shared" si="334"/>
        <v>1.6348773841961872E-2</v>
      </c>
      <c r="AQ66" s="383"/>
      <c r="AR66" s="287">
        <f t="shared" ref="AR66:AS66" si="335">AR42-AR41</f>
        <v>2.4261139989696034E-2</v>
      </c>
      <c r="AS66" s="287">
        <f t="shared" si="335"/>
        <v>2.3932729624838278E-2</v>
      </c>
      <c r="AT66" s="383"/>
      <c r="AU66" s="287">
        <f t="shared" si="331"/>
        <v>1.354320206535975E-2</v>
      </c>
      <c r="AV66" s="287">
        <f t="shared" si="331"/>
        <v>1.2318029115341522E-2</v>
      </c>
      <c r="AW66" s="383"/>
      <c r="AX66" s="343">
        <f t="shared" si="279"/>
        <v>2.2154419234457247E-2</v>
      </c>
      <c r="AY66" s="343">
        <f t="shared" si="280"/>
        <v>2.2489783436061409E-2</v>
      </c>
      <c r="AZ66" s="343"/>
    </row>
    <row r="67" spans="1:127" hidden="1" outlineLevel="1" x14ac:dyDescent="0.25">
      <c r="A67" s="302">
        <v>13</v>
      </c>
      <c r="B67" s="288">
        <f t="shared" ref="B67:AV67" si="336">B43-B42</f>
        <v>1.1516561071457154E-2</v>
      </c>
      <c r="C67" s="288">
        <f t="shared" si="336"/>
        <v>1.1527377521613813E-2</v>
      </c>
      <c r="D67" s="371"/>
      <c r="E67" s="288">
        <f t="shared" si="336"/>
        <v>1.7035635409282879E-2</v>
      </c>
      <c r="F67" s="288">
        <f t="shared" si="336"/>
        <v>1.9841269841269826E-2</v>
      </c>
      <c r="G67" s="371"/>
      <c r="H67" s="288">
        <f t="shared" si="336"/>
        <v>2.2579914951412317E-2</v>
      </c>
      <c r="I67" s="288">
        <f t="shared" si="336"/>
        <v>2.2796352583586588E-2</v>
      </c>
      <c r="J67" s="288"/>
      <c r="K67" s="288">
        <f t="shared" si="336"/>
        <v>1.5190407929681848E-2</v>
      </c>
      <c r="L67" s="288">
        <f t="shared" si="336"/>
        <v>1.6096579476861161E-2</v>
      </c>
      <c r="M67" s="288"/>
      <c r="N67" s="288">
        <f t="shared" si="336"/>
        <v>1.1109391534944835E-2</v>
      </c>
      <c r="O67" s="288">
        <f t="shared" si="336"/>
        <v>9.6153846153845812E-3</v>
      </c>
      <c r="P67" s="288"/>
      <c r="Q67" s="288">
        <f t="shared" si="336"/>
        <v>2.0068782377780758E-2</v>
      </c>
      <c r="R67" s="288">
        <f t="shared" si="336"/>
        <v>2.1109770808202644E-2</v>
      </c>
      <c r="S67" s="288"/>
      <c r="T67" s="288">
        <f t="shared" si="336"/>
        <v>2.8894266084777298E-2</v>
      </c>
      <c r="U67" s="288">
        <f t="shared" si="336"/>
        <v>2.6666666666666727E-2</v>
      </c>
      <c r="V67" s="288"/>
      <c r="W67" s="288">
        <f t="shared" si="336"/>
        <v>1.9059532806894097E-2</v>
      </c>
      <c r="X67" s="288">
        <f t="shared" si="336"/>
        <v>2.170542635658923E-2</v>
      </c>
      <c r="Y67" s="288"/>
      <c r="Z67" s="288">
        <f t="shared" si="336"/>
        <v>1.2433923590241425E-2</v>
      </c>
      <c r="AA67" s="288">
        <f t="shared" si="336"/>
        <v>1.3095238095238049E-2</v>
      </c>
      <c r="AB67" s="288"/>
      <c r="AC67" s="288">
        <f t="shared" si="336"/>
        <v>5.931361730302287E-3</v>
      </c>
      <c r="AD67" s="288">
        <f t="shared" si="336"/>
        <v>3.7174721189591198E-3</v>
      </c>
      <c r="AE67" s="288"/>
      <c r="AF67" s="288">
        <f t="shared" si="336"/>
        <v>2.3521481106978159E-2</v>
      </c>
      <c r="AG67" s="288">
        <f t="shared" si="336"/>
        <v>2.8169014084507005E-2</v>
      </c>
      <c r="AH67" s="288"/>
      <c r="AI67" s="288">
        <f t="shared" ref="AI67:AJ67" si="337">AI43-AI42</f>
        <v>9.9944078908230649E-3</v>
      </c>
      <c r="AJ67" s="288">
        <f t="shared" si="337"/>
        <v>1.2100259291270454E-2</v>
      </c>
      <c r="AK67" s="288"/>
      <c r="AL67" s="288">
        <f t="shared" ref="AL67:AM67" si="338">AL43-AL42</f>
        <v>2.5723729381895932E-2</v>
      </c>
      <c r="AM67" s="288">
        <f t="shared" si="338"/>
        <v>2.8235294117647136E-2</v>
      </c>
      <c r="AN67" s="288"/>
      <c r="AO67" s="288">
        <f t="shared" ref="AO67:AP67" si="339">AO43-AO42</f>
        <v>1.9879798081580025E-2</v>
      </c>
      <c r="AP67" s="288">
        <f t="shared" si="339"/>
        <v>1.9073569482288888E-2</v>
      </c>
      <c r="AQ67" s="368"/>
      <c r="AR67" s="288">
        <f t="shared" ref="AR67:AS67" si="340">AR43-AR42</f>
        <v>2.6272972509887249E-2</v>
      </c>
      <c r="AS67" s="288">
        <f t="shared" si="340"/>
        <v>2.7166882276843496E-2</v>
      </c>
      <c r="AT67" s="368"/>
      <c r="AU67" s="288">
        <f t="shared" si="336"/>
        <v>1.3227455652613629E-2</v>
      </c>
      <c r="AV67" s="288">
        <f t="shared" si="336"/>
        <v>1.1944755505785776E-2</v>
      </c>
      <c r="AW67" s="368"/>
      <c r="AX67" s="343">
        <f t="shared" si="279"/>
        <v>1.6920535074543479E-2</v>
      </c>
      <c r="AY67" s="343">
        <f t="shared" si="280"/>
        <v>1.7270173010367276E-2</v>
      </c>
      <c r="AZ67" s="343"/>
    </row>
    <row r="68" spans="1:127" hidden="1" outlineLevel="1" x14ac:dyDescent="0.25">
      <c r="A68" s="302">
        <v>14</v>
      </c>
      <c r="B68" s="287">
        <f t="shared" ref="B68:AV68" si="341">B44-B43</f>
        <v>1.342529473093268E-2</v>
      </c>
      <c r="C68" s="287">
        <f t="shared" si="341"/>
        <v>2.3054755043227737E-2</v>
      </c>
      <c r="D68" s="372"/>
      <c r="E68" s="287">
        <f t="shared" si="341"/>
        <v>2.3708121217801859E-2</v>
      </c>
      <c r="F68" s="287">
        <f t="shared" si="341"/>
        <v>2.2486772486772444E-2</v>
      </c>
      <c r="G68" s="372"/>
      <c r="H68" s="287">
        <f t="shared" si="341"/>
        <v>1.0768509386065661E-2</v>
      </c>
      <c r="I68" s="287">
        <f t="shared" si="341"/>
        <v>1.0638297872340496E-2</v>
      </c>
      <c r="J68" s="287"/>
      <c r="K68" s="287">
        <f t="shared" si="341"/>
        <v>2.3035636897023037E-2</v>
      </c>
      <c r="L68" s="287">
        <f t="shared" si="341"/>
        <v>2.2132796780684139E-2</v>
      </c>
      <c r="M68" s="287"/>
      <c r="N68" s="287">
        <f t="shared" si="341"/>
        <v>1.7538282645340186E-2</v>
      </c>
      <c r="O68" s="287">
        <f t="shared" si="341"/>
        <v>1.6225961538461564E-2</v>
      </c>
      <c r="P68" s="287"/>
      <c r="Q68" s="287">
        <f t="shared" si="341"/>
        <v>2.8398978763504834E-2</v>
      </c>
      <c r="R68" s="287">
        <f t="shared" si="341"/>
        <v>2.9553679131483657E-2</v>
      </c>
      <c r="S68" s="287"/>
      <c r="T68" s="287">
        <f t="shared" si="341"/>
        <v>2.6945512682020389E-2</v>
      </c>
      <c r="U68" s="287">
        <f t="shared" si="341"/>
        <v>2.6666666666666616E-2</v>
      </c>
      <c r="V68" s="287"/>
      <c r="W68" s="287">
        <f t="shared" si="341"/>
        <v>2.9188710223867043E-2</v>
      </c>
      <c r="X68" s="287">
        <f t="shared" si="341"/>
        <v>3.100775193798444E-2</v>
      </c>
      <c r="Y68" s="287"/>
      <c r="Z68" s="287">
        <f t="shared" si="341"/>
        <v>2.4377764421224635E-2</v>
      </c>
      <c r="AA68" s="287">
        <f t="shared" si="341"/>
        <v>2.8571428571428581E-2</v>
      </c>
      <c r="AB68" s="287"/>
      <c r="AC68" s="287">
        <f t="shared" si="341"/>
        <v>1.702162877951896E-2</v>
      </c>
      <c r="AD68" s="287">
        <f t="shared" si="341"/>
        <v>1.4869888475836479E-2</v>
      </c>
      <c r="AE68" s="287"/>
      <c r="AF68" s="287">
        <f t="shared" si="341"/>
        <v>3.5775763485127565E-2</v>
      </c>
      <c r="AG68" s="287">
        <f t="shared" si="341"/>
        <v>3.5211267605633756E-2</v>
      </c>
      <c r="AH68" s="287"/>
      <c r="AI68" s="287">
        <f t="shared" ref="AI68:AJ68" si="342">AI44-AI43</f>
        <v>1.4408604709269746E-2</v>
      </c>
      <c r="AJ68" s="287">
        <f t="shared" si="342"/>
        <v>1.4693171996542853E-2</v>
      </c>
      <c r="AK68" s="287"/>
      <c r="AL68" s="287">
        <f t="shared" ref="AL68:AM68" si="343">AL44-AL43</f>
        <v>2.4558097944975876E-2</v>
      </c>
      <c r="AM68" s="287">
        <f t="shared" si="343"/>
        <v>2.8235294117647025E-2</v>
      </c>
      <c r="AN68" s="287"/>
      <c r="AO68" s="287">
        <f t="shared" ref="AO68:AP68" si="344">AO44-AO43</f>
        <v>2.7996190463807746E-2</v>
      </c>
      <c r="AP68" s="287">
        <f t="shared" si="344"/>
        <v>2.5204359673024479E-2</v>
      </c>
      <c r="AQ68" s="383"/>
      <c r="AR68" s="287">
        <f t="shared" ref="AR68:AS68" si="345">AR44-AR43</f>
        <v>3.3418097779399636E-2</v>
      </c>
      <c r="AS68" s="287">
        <f t="shared" si="345"/>
        <v>3.0401034928848603E-2</v>
      </c>
      <c r="AT68" s="383"/>
      <c r="AU68" s="287">
        <f t="shared" si="341"/>
        <v>1.3598502284541181E-2</v>
      </c>
      <c r="AV68" s="287">
        <f t="shared" si="341"/>
        <v>1.2318029115341522E-2</v>
      </c>
      <c r="AW68" s="383"/>
      <c r="AX68" s="343">
        <f t="shared" si="279"/>
        <v>2.2325487130752032E-2</v>
      </c>
      <c r="AY68" s="343">
        <f t="shared" si="280"/>
        <v>2.2731274238715547E-2</v>
      </c>
      <c r="AZ68" s="343"/>
    </row>
    <row r="69" spans="1:127" ht="15.75" hidden="1" outlineLevel="1" thickBot="1" x14ac:dyDescent="0.3">
      <c r="A69" s="302">
        <v>15</v>
      </c>
      <c r="B69" s="288">
        <f t="shared" ref="B69:AV69" si="346">B45-B44</f>
        <v>2.9833988290961622E-2</v>
      </c>
      <c r="C69" s="288">
        <f t="shared" si="346"/>
        <v>2.5936599423631135E-2</v>
      </c>
      <c r="D69" s="371"/>
      <c r="E69" s="288">
        <f t="shared" si="346"/>
        <v>2.552416213144626E-2</v>
      </c>
      <c r="F69" s="288">
        <f t="shared" si="346"/>
        <v>2.5132275132275228E-2</v>
      </c>
      <c r="G69" s="371"/>
      <c r="H69" s="288">
        <f t="shared" si="346"/>
        <v>1.2975568742218613E-2</v>
      </c>
      <c r="I69" s="288">
        <f t="shared" si="346"/>
        <v>1.5197568389057725E-2</v>
      </c>
      <c r="J69" s="288"/>
      <c r="K69" s="288">
        <f t="shared" si="346"/>
        <v>1.6623884610683315E-2</v>
      </c>
      <c r="L69" s="288">
        <f t="shared" si="346"/>
        <v>1.4084507042253502E-2</v>
      </c>
      <c r="M69" s="288"/>
      <c r="N69" s="288">
        <f t="shared" si="346"/>
        <v>4.8703974033470376E-2</v>
      </c>
      <c r="O69" s="288">
        <f t="shared" si="346"/>
        <v>4.8677884615384581E-2</v>
      </c>
      <c r="P69" s="288"/>
      <c r="Q69" s="288">
        <f t="shared" si="346"/>
        <v>2.1021390141533924E-2</v>
      </c>
      <c r="R69" s="288">
        <f t="shared" si="346"/>
        <v>2.1712907117008462E-2</v>
      </c>
      <c r="S69" s="288"/>
      <c r="T69" s="288">
        <f t="shared" si="346"/>
        <v>3.9631854124357324E-2</v>
      </c>
      <c r="U69" s="288">
        <f t="shared" si="346"/>
        <v>4.1025641025641102E-2</v>
      </c>
      <c r="V69" s="288"/>
      <c r="W69" s="288">
        <f t="shared" si="346"/>
        <v>3.077845247713118E-2</v>
      </c>
      <c r="X69" s="288">
        <f t="shared" si="346"/>
        <v>3.1007751937984551E-2</v>
      </c>
      <c r="Y69" s="288"/>
      <c r="Z69" s="288">
        <f t="shared" si="346"/>
        <v>3.1063233005070301E-2</v>
      </c>
      <c r="AA69" s="288">
        <f t="shared" si="346"/>
        <v>2.9761904761904767E-2</v>
      </c>
      <c r="AB69" s="288"/>
      <c r="AC69" s="288">
        <f t="shared" si="346"/>
        <v>3.0263738689031094E-2</v>
      </c>
      <c r="AD69" s="288">
        <f t="shared" si="346"/>
        <v>1.8587360594795488E-2</v>
      </c>
      <c r="AE69" s="288"/>
      <c r="AF69" s="288">
        <f t="shared" si="346"/>
        <v>4.4013498168277709E-2</v>
      </c>
      <c r="AG69" s="288">
        <f t="shared" si="346"/>
        <v>2.7288732394366244E-2</v>
      </c>
      <c r="AH69" s="288"/>
      <c r="AI69" s="288">
        <f t="shared" ref="AI69:AJ69" si="347">AI45-AI44</f>
        <v>1.5443739812247892E-2</v>
      </c>
      <c r="AJ69" s="288">
        <f t="shared" si="347"/>
        <v>1.6421780466724267E-2</v>
      </c>
      <c r="AK69" s="288"/>
      <c r="AL69" s="288">
        <f t="shared" ref="AL69:AM69" si="348">AL45-AL44</f>
        <v>3.7364076197167306E-2</v>
      </c>
      <c r="AM69" s="288">
        <f t="shared" si="348"/>
        <v>3.2941176470588251E-2</v>
      </c>
      <c r="AN69" s="288"/>
      <c r="AO69" s="288">
        <f t="shared" ref="AO69:AP69" si="349">AO45-AO44</f>
        <v>3.4867657622810411E-2</v>
      </c>
      <c r="AP69" s="288">
        <f t="shared" si="349"/>
        <v>3.2016348773841963E-2</v>
      </c>
      <c r="AQ69" s="368"/>
      <c r="AR69" s="288">
        <f t="shared" ref="AR69:AS69" si="350">AR45-AR44</f>
        <v>3.2760508130544763E-2</v>
      </c>
      <c r="AS69" s="288">
        <f t="shared" si="350"/>
        <v>3.5575679172056951E-2</v>
      </c>
      <c r="AT69" s="368"/>
      <c r="AU69" s="288">
        <f t="shared" si="346"/>
        <v>2.5033160508850516E-2</v>
      </c>
      <c r="AV69" s="288">
        <f t="shared" si="346"/>
        <v>1.7170586039567004E-2</v>
      </c>
      <c r="AW69" s="368"/>
      <c r="AX69" s="343">
        <f t="shared" si="279"/>
        <v>2.8422473216269777E-2</v>
      </c>
      <c r="AY69" s="343">
        <f t="shared" si="280"/>
        <v>2.7318323727119977E-2</v>
      </c>
      <c r="AZ69" s="343"/>
    </row>
    <row r="70" spans="1:127" ht="15.75" hidden="1" outlineLevel="1" thickBot="1" x14ac:dyDescent="0.3">
      <c r="A70" s="302">
        <v>16</v>
      </c>
      <c r="B70" s="287">
        <f t="shared" ref="B70:AV70" si="351">B46-B45</f>
        <v>3.0090624749378514E-2</v>
      </c>
      <c r="C70" s="287">
        <f t="shared" si="351"/>
        <v>2.8818443804034533E-2</v>
      </c>
      <c r="D70" s="372"/>
      <c r="E70" s="287">
        <f t="shared" si="351"/>
        <v>3.50671642228223E-2</v>
      </c>
      <c r="F70" s="287">
        <f t="shared" si="351"/>
        <v>3.0423280423280352E-2</v>
      </c>
      <c r="G70" s="372"/>
      <c r="H70" s="287">
        <f t="shared" si="351"/>
        <v>2.4520186912865727E-2</v>
      </c>
      <c r="I70" s="287">
        <f t="shared" si="351"/>
        <v>2.5835866261398222E-2</v>
      </c>
      <c r="J70" s="287"/>
      <c r="K70" s="287">
        <f t="shared" si="351"/>
        <v>2.9869653632029869E-2</v>
      </c>
      <c r="L70" s="287">
        <f t="shared" si="351"/>
        <v>2.4144869215291798E-2</v>
      </c>
      <c r="M70" s="287"/>
      <c r="N70" s="287">
        <f t="shared" si="351"/>
        <v>2.0876119409227956E-2</v>
      </c>
      <c r="O70" s="287">
        <f t="shared" si="351"/>
        <v>2.2235576923076872E-2</v>
      </c>
      <c r="P70" s="287"/>
      <c r="Q70" s="287">
        <f t="shared" si="351"/>
        <v>2.2191663657757821E-2</v>
      </c>
      <c r="R70" s="287">
        <f t="shared" si="351"/>
        <v>2.2919179734619988E-2</v>
      </c>
      <c r="S70" s="287"/>
      <c r="T70" s="287">
        <f t="shared" si="351"/>
        <v>3.8581860605798712E-2</v>
      </c>
      <c r="U70" s="287">
        <f t="shared" si="351"/>
        <v>3.9999999999999925E-2</v>
      </c>
      <c r="V70" s="287"/>
      <c r="W70" s="287">
        <f t="shared" si="351"/>
        <v>3.0205102812019491E-2</v>
      </c>
      <c r="X70" s="287">
        <f t="shared" si="351"/>
        <v>3.5658914728682101E-2</v>
      </c>
      <c r="Y70" s="287"/>
      <c r="Z70" s="287">
        <f t="shared" si="351"/>
        <v>2.6082266093362394E-2</v>
      </c>
      <c r="AA70" s="287">
        <f t="shared" si="351"/>
        <v>2.6190476190476208E-2</v>
      </c>
      <c r="AB70" s="287"/>
      <c r="AC70" s="287">
        <f t="shared" si="351"/>
        <v>2.7035974398587515E-2</v>
      </c>
      <c r="AD70" s="287">
        <f t="shared" si="351"/>
        <v>2.9739776951672847E-2</v>
      </c>
      <c r="AE70" s="287"/>
      <c r="AF70" s="287">
        <f t="shared" si="351"/>
        <v>2.9187180752671349E-2</v>
      </c>
      <c r="AG70" s="287">
        <f t="shared" si="351"/>
        <v>2.7288732394366244E-2</v>
      </c>
      <c r="AH70" s="287"/>
      <c r="AI70" s="287">
        <f t="shared" ref="AI70:AJ70" si="352">AI46-AI45</f>
        <v>1.1874308422668345E-2</v>
      </c>
      <c r="AJ70" s="287">
        <f t="shared" si="352"/>
        <v>9.5073465859982775E-3</v>
      </c>
      <c r="AK70" s="287"/>
      <c r="AL70" s="287">
        <f t="shared" ref="AL70:AM70" si="353">AL46-AL45</f>
        <v>3.2382199370878384E-2</v>
      </c>
      <c r="AM70" s="287">
        <f t="shared" si="353"/>
        <v>2.5882352941176467E-2</v>
      </c>
      <c r="AN70" s="287"/>
      <c r="AO70" s="287">
        <f t="shared" ref="AO70:AP70" si="354">AO46-AO45</f>
        <v>2.6604994652997482E-2</v>
      </c>
      <c r="AP70" s="287">
        <f t="shared" si="354"/>
        <v>2.4523160762942808E-2</v>
      </c>
      <c r="AQ70" s="383"/>
      <c r="AR70" s="287">
        <f t="shared" ref="AR70:AS70" si="355">AR46-AR45</f>
        <v>2.4086201845227584E-2</v>
      </c>
      <c r="AS70" s="287">
        <f t="shared" si="355"/>
        <v>2.975420439844767E-2</v>
      </c>
      <c r="AT70" s="383"/>
      <c r="AU70" s="287">
        <f t="shared" si="351"/>
        <v>2.7398582787389381E-2</v>
      </c>
      <c r="AV70" s="287">
        <f t="shared" si="351"/>
        <v>2.4262784621127298E-2</v>
      </c>
      <c r="AW70" s="383"/>
      <c r="AX70" s="344">
        <f t="shared" si="279"/>
        <v>2.6698932416518748E-2</v>
      </c>
      <c r="AY70" s="344">
        <f t="shared" si="280"/>
        <v>2.690393045999397E-2</v>
      </c>
      <c r="AZ70" s="343"/>
    </row>
    <row r="71" spans="1:127" hidden="1" outlineLevel="1" x14ac:dyDescent="0.25">
      <c r="A71" s="302">
        <v>17</v>
      </c>
      <c r="B71" s="289">
        <f t="shared" ref="B71:AV71" si="356">B47-B46</f>
        <v>2.8262089983158156E-2</v>
      </c>
      <c r="C71" s="289">
        <f t="shared" si="356"/>
        <v>2.5936599423631135E-2</v>
      </c>
      <c r="D71" s="377"/>
      <c r="E71" s="289">
        <f t="shared" si="356"/>
        <v>3.5705707640845685E-2</v>
      </c>
      <c r="F71" s="289">
        <f t="shared" si="356"/>
        <v>3.4391534391534417E-2</v>
      </c>
      <c r="G71" s="377"/>
      <c r="H71" s="288">
        <f t="shared" si="356"/>
        <v>5.4845020777078868E-2</v>
      </c>
      <c r="I71" s="288">
        <f t="shared" si="356"/>
        <v>6.534954407294824E-2</v>
      </c>
      <c r="J71" s="288"/>
      <c r="K71" s="288">
        <f t="shared" si="356"/>
        <v>2.6847129157360095E-2</v>
      </c>
      <c r="L71" s="288">
        <f t="shared" si="356"/>
        <v>2.8169014084507005E-2</v>
      </c>
      <c r="M71" s="288"/>
      <c r="N71" s="288">
        <f t="shared" si="356"/>
        <v>2.0901215926249717E-2</v>
      </c>
      <c r="O71" s="288">
        <f t="shared" si="356"/>
        <v>2.0432692307692402E-2</v>
      </c>
      <c r="P71" s="288"/>
      <c r="Q71" s="288">
        <f t="shared" si="356"/>
        <v>2.8752365514574607E-2</v>
      </c>
      <c r="R71" s="288">
        <f t="shared" si="356"/>
        <v>1.5681544028950611E-2</v>
      </c>
      <c r="S71" s="288"/>
      <c r="T71" s="288">
        <f t="shared" si="356"/>
        <v>3.0130060925549818E-2</v>
      </c>
      <c r="U71" s="288">
        <f t="shared" si="356"/>
        <v>2.8717948717948749E-2</v>
      </c>
      <c r="V71" s="288"/>
      <c r="W71" s="288">
        <f t="shared" si="356"/>
        <v>4.5798476279829359E-2</v>
      </c>
      <c r="X71" s="288">
        <f t="shared" si="356"/>
        <v>5.1162790697674487E-2</v>
      </c>
      <c r="Y71" s="288"/>
      <c r="Z71" s="288">
        <f t="shared" si="356"/>
        <v>2.1794812520227413E-2</v>
      </c>
      <c r="AA71" s="288">
        <f t="shared" si="356"/>
        <v>2.3809523809523836E-2</v>
      </c>
      <c r="AB71" s="288"/>
      <c r="AC71" s="288">
        <f t="shared" si="356"/>
        <v>1.2193776208342499E-2</v>
      </c>
      <c r="AD71" s="288">
        <f t="shared" si="356"/>
        <v>1.1152416356877359E-2</v>
      </c>
      <c r="AE71" s="288"/>
      <c r="AF71" s="288">
        <f t="shared" si="356"/>
        <v>2.8805989912486618E-2</v>
      </c>
      <c r="AG71" s="288">
        <f t="shared" si="356"/>
        <v>2.8169014084507005E-2</v>
      </c>
      <c r="AH71" s="288"/>
      <c r="AI71" s="288">
        <f t="shared" ref="AI71:AJ71" si="357">AI47-AI46</f>
        <v>2.887669994169928E-2</v>
      </c>
      <c r="AJ71" s="288">
        <f t="shared" si="357"/>
        <v>2.5064822817631782E-2</v>
      </c>
      <c r="AK71" s="288"/>
      <c r="AL71" s="288">
        <f t="shared" ref="AL71:AM71" si="358">AL47-AL46</f>
        <v>2.2482315934022057E-2</v>
      </c>
      <c r="AM71" s="288">
        <f t="shared" si="358"/>
        <v>2.352941176470591E-2</v>
      </c>
      <c r="AN71" s="288"/>
      <c r="AO71" s="288">
        <f t="shared" ref="AO71:AP71" si="359">AO47-AO46</f>
        <v>1.9473490893843315E-2</v>
      </c>
      <c r="AP71" s="288">
        <f t="shared" si="359"/>
        <v>1.7711171662125325E-2</v>
      </c>
      <c r="AQ71" s="368"/>
      <c r="AR71" s="288">
        <f t="shared" ref="AR71:AS71" si="360">AR47-AR46</f>
        <v>2.4369471232426498E-2</v>
      </c>
      <c r="AS71" s="288">
        <f t="shared" si="360"/>
        <v>2.5873221216041409E-2</v>
      </c>
      <c r="AT71" s="368"/>
      <c r="AU71" s="288">
        <f t="shared" si="356"/>
        <v>2.1215661507287042E-2</v>
      </c>
      <c r="AV71" s="288">
        <f t="shared" si="356"/>
        <v>1.8663680477790212E-2</v>
      </c>
      <c r="AW71" s="368"/>
      <c r="AX71" s="343">
        <f t="shared" si="279"/>
        <v>2.9073101307783487E-2</v>
      </c>
      <c r="AY71" s="343">
        <f t="shared" si="280"/>
        <v>2.872714027592975E-2</v>
      </c>
      <c r="AZ71" s="343"/>
    </row>
    <row r="72" spans="1:127" hidden="1" outlineLevel="1" x14ac:dyDescent="0.25">
      <c r="A72" s="302">
        <v>18</v>
      </c>
      <c r="B72" s="290">
        <f t="shared" ref="B72:AV72" si="361">B48-B47</f>
        <v>4.205629962306523E-2</v>
      </c>
      <c r="C72" s="290">
        <f t="shared" si="361"/>
        <v>4.8991354466858761E-2</v>
      </c>
      <c r="D72" s="378"/>
      <c r="E72" s="290">
        <f t="shared" si="361"/>
        <v>3.4405188018816535E-2</v>
      </c>
      <c r="F72" s="290">
        <f t="shared" si="361"/>
        <v>3.9682539682539653E-2</v>
      </c>
      <c r="G72" s="378"/>
      <c r="H72" s="287">
        <f t="shared" si="361"/>
        <v>4.1562242307630171E-2</v>
      </c>
      <c r="I72" s="287">
        <f t="shared" si="361"/>
        <v>4.1033434650455947E-2</v>
      </c>
      <c r="J72" s="287"/>
      <c r="K72" s="287">
        <f t="shared" si="361"/>
        <v>2.7680545832361014E-2</v>
      </c>
      <c r="L72" s="287">
        <f t="shared" si="361"/>
        <v>2.8169014084507005E-2</v>
      </c>
      <c r="M72" s="287"/>
      <c r="N72" s="287">
        <f t="shared" si="361"/>
        <v>2.0319813281913346E-2</v>
      </c>
      <c r="O72" s="287">
        <f t="shared" si="361"/>
        <v>2.1033653846153855E-2</v>
      </c>
      <c r="P72" s="287"/>
      <c r="Q72" s="287">
        <f t="shared" si="361"/>
        <v>3.0570514741092958E-2</v>
      </c>
      <c r="R72" s="287">
        <f t="shared" si="361"/>
        <v>3.0156815440289475E-2</v>
      </c>
      <c r="S72" s="287"/>
      <c r="T72" s="287">
        <f t="shared" si="361"/>
        <v>2.7969580434688668E-2</v>
      </c>
      <c r="U72" s="287">
        <f t="shared" si="361"/>
        <v>2.4615384615384595E-2</v>
      </c>
      <c r="V72" s="287"/>
      <c r="W72" s="287">
        <f t="shared" si="361"/>
        <v>2.7373102951013362E-2</v>
      </c>
      <c r="X72" s="287">
        <f t="shared" si="361"/>
        <v>3.100775193798444E-2</v>
      </c>
      <c r="Y72" s="287"/>
      <c r="Z72" s="287">
        <f t="shared" si="361"/>
        <v>2.8017938878357795E-2</v>
      </c>
      <c r="AA72" s="287">
        <f t="shared" si="361"/>
        <v>2.6785714285714191E-2</v>
      </c>
      <c r="AB72" s="287"/>
      <c r="AC72" s="287">
        <f t="shared" si="361"/>
        <v>3.63606267932024E-2</v>
      </c>
      <c r="AD72" s="287">
        <f t="shared" si="361"/>
        <v>4.0892193308550207E-2</v>
      </c>
      <c r="AE72" s="287"/>
      <c r="AF72" s="287">
        <f t="shared" si="361"/>
        <v>2.3938784763601451E-2</v>
      </c>
      <c r="AG72" s="287">
        <f t="shared" si="361"/>
        <v>2.7288732394366133E-2</v>
      </c>
      <c r="AH72" s="287"/>
      <c r="AI72" s="287">
        <f t="shared" ref="AI72:AJ72" si="362">AI48-AI47</f>
        <v>3.0387759229954625E-2</v>
      </c>
      <c r="AJ72" s="287">
        <f t="shared" si="362"/>
        <v>2.3336214347450257E-2</v>
      </c>
      <c r="AK72" s="287"/>
      <c r="AL72" s="287">
        <f t="shared" ref="AL72:AM72" si="363">AL48-AL47</f>
        <v>4.165934820444861E-2</v>
      </c>
      <c r="AM72" s="287">
        <f t="shared" si="363"/>
        <v>4.2352941176470593E-2</v>
      </c>
      <c r="AN72" s="287"/>
      <c r="AO72" s="287">
        <f t="shared" ref="AO72:AP72" si="364">AO48-AO47</f>
        <v>2.7615886936086187E-2</v>
      </c>
      <c r="AP72" s="287">
        <f t="shared" si="364"/>
        <v>2.5885558583106261E-2</v>
      </c>
      <c r="AQ72" s="383"/>
      <c r="AR72" s="287">
        <f t="shared" ref="AR72:AS72" si="365">AR48-AR47</f>
        <v>2.7745926540598931E-2</v>
      </c>
      <c r="AS72" s="287">
        <f t="shared" si="365"/>
        <v>2.5873221216041298E-2</v>
      </c>
      <c r="AT72" s="383"/>
      <c r="AU72" s="287">
        <f t="shared" si="361"/>
        <v>2.6051754868613441E-2</v>
      </c>
      <c r="AV72" s="287">
        <f t="shared" si="361"/>
        <v>2.2023142963792486E-2</v>
      </c>
      <c r="AW72" s="383"/>
      <c r="AX72" s="343">
        <f t="shared" si="279"/>
        <v>3.0928109659137018E-2</v>
      </c>
      <c r="AY72" s="343">
        <f t="shared" si="280"/>
        <v>3.1343296189618147E-2</v>
      </c>
      <c r="AZ72" s="343"/>
    </row>
    <row r="73" spans="1:127" hidden="1" outlineLevel="1" x14ac:dyDescent="0.25">
      <c r="A73" s="302">
        <v>19</v>
      </c>
      <c r="B73" s="289">
        <f t="shared" ref="B73:AV73" si="366">B49-B48</f>
        <v>4.6755954767824237E-2</v>
      </c>
      <c r="C73" s="289">
        <f t="shared" si="366"/>
        <v>4.8991354466858761E-2</v>
      </c>
      <c r="D73" s="377"/>
      <c r="E73" s="289">
        <f t="shared" si="366"/>
        <v>4.7580271937481378E-2</v>
      </c>
      <c r="F73" s="289">
        <f t="shared" si="366"/>
        <v>4.7619047619047672E-2</v>
      </c>
      <c r="G73" s="377"/>
      <c r="H73" s="288">
        <f t="shared" si="366"/>
        <v>7.4344753989684209E-2</v>
      </c>
      <c r="I73" s="288">
        <f t="shared" si="366"/>
        <v>5.3191489361702149E-2</v>
      </c>
      <c r="J73" s="288"/>
      <c r="K73" s="288">
        <f t="shared" si="366"/>
        <v>5.204964940938539E-2</v>
      </c>
      <c r="L73" s="288">
        <f t="shared" si="366"/>
        <v>4.8289738430583484E-2</v>
      </c>
      <c r="M73" s="288"/>
      <c r="N73" s="288">
        <f t="shared" si="366"/>
        <v>3.7925019972644858E-2</v>
      </c>
      <c r="O73" s="288">
        <f t="shared" si="366"/>
        <v>3.8461538461538436E-2</v>
      </c>
      <c r="P73" s="288"/>
      <c r="Q73" s="288">
        <f t="shared" si="366"/>
        <v>4.8165589861385305E-2</v>
      </c>
      <c r="R73" s="288">
        <f t="shared" si="366"/>
        <v>4.8250904704463249E-2</v>
      </c>
      <c r="S73" s="288"/>
      <c r="T73" s="288">
        <f t="shared" si="366"/>
        <v>4.3957136067061309E-2</v>
      </c>
      <c r="U73" s="288">
        <f t="shared" si="366"/>
        <v>4.7179487179487167E-2</v>
      </c>
      <c r="V73" s="288"/>
      <c r="W73" s="288">
        <f t="shared" si="366"/>
        <v>3.9152832434216744E-2</v>
      </c>
      <c r="X73" s="288">
        <f t="shared" si="366"/>
        <v>4.3410852713178349E-2</v>
      </c>
      <c r="Y73" s="288"/>
      <c r="Z73" s="288">
        <f t="shared" si="366"/>
        <v>3.8772019048499695E-2</v>
      </c>
      <c r="AA73" s="288">
        <f t="shared" si="366"/>
        <v>4.0476190476190554E-2</v>
      </c>
      <c r="AB73" s="288"/>
      <c r="AC73" s="288">
        <f t="shared" si="366"/>
        <v>3.9864268373427492E-2</v>
      </c>
      <c r="AD73" s="288">
        <f t="shared" si="366"/>
        <v>4.4609665427509326E-2</v>
      </c>
      <c r="AE73" s="288"/>
      <c r="AF73" s="288">
        <f t="shared" si="366"/>
        <v>6.9525196714536164E-2</v>
      </c>
      <c r="AG73" s="288">
        <f t="shared" si="366"/>
        <v>6.9542253521126862E-2</v>
      </c>
      <c r="AH73" s="288"/>
      <c r="AI73" s="288">
        <f t="shared" ref="AI73:AJ73" si="367">AI49-AI48</f>
        <v>6.4190274489273835E-2</v>
      </c>
      <c r="AJ73" s="288">
        <f t="shared" si="367"/>
        <v>7.0008643042350993E-2</v>
      </c>
      <c r="AK73" s="288"/>
      <c r="AL73" s="288">
        <f t="shared" ref="AL73:AM73" si="368">AL49-AL48</f>
        <v>5.1495361425583197E-2</v>
      </c>
      <c r="AM73" s="288">
        <f t="shared" si="368"/>
        <v>4.9411764705882266E-2</v>
      </c>
      <c r="AN73" s="288"/>
      <c r="AO73" s="288">
        <f t="shared" ref="AO73:AP73" si="369">AO49-AO48</f>
        <v>5.0122054679196171E-2</v>
      </c>
      <c r="AP73" s="288">
        <f t="shared" si="369"/>
        <v>5.3814713896457755E-2</v>
      </c>
      <c r="AQ73" s="368"/>
      <c r="AR73" s="288">
        <f t="shared" ref="AR73:AS73" si="370">AR49-AR48</f>
        <v>2.9231658102504499E-2</v>
      </c>
      <c r="AS73" s="288">
        <f t="shared" si="370"/>
        <v>2.8460543337645583E-2</v>
      </c>
      <c r="AT73" s="368"/>
      <c r="AU73" s="288">
        <f t="shared" si="366"/>
        <v>2.9430419872800928E-2</v>
      </c>
      <c r="AV73" s="288">
        <f t="shared" si="366"/>
        <v>2.7248973497573714E-2</v>
      </c>
      <c r="AW73" s="368"/>
      <c r="AX73" s="343">
        <f t="shared" si="279"/>
        <v>4.7085498702506549E-2</v>
      </c>
      <c r="AY73" s="343">
        <f t="shared" si="280"/>
        <v>4.7135705316693345E-2</v>
      </c>
      <c r="AZ73" s="343"/>
    </row>
    <row r="74" spans="1:127" hidden="1" outlineLevel="1" x14ac:dyDescent="0.25">
      <c r="A74" s="302">
        <v>20</v>
      </c>
      <c r="B74" s="290">
        <f t="shared" ref="B74:AV74" si="371">B50-B49</f>
        <v>8.077632528671097E-2</v>
      </c>
      <c r="C74" s="290">
        <f t="shared" si="371"/>
        <v>9.5100864553314124E-2</v>
      </c>
      <c r="D74" s="378"/>
      <c r="E74" s="290">
        <f t="shared" si="371"/>
        <v>3.9730288633341271E-2</v>
      </c>
      <c r="F74" s="290">
        <f t="shared" si="371"/>
        <v>5.1587301587301515E-2</v>
      </c>
      <c r="G74" s="378"/>
      <c r="H74" s="290">
        <f t="shared" si="371"/>
        <v>6.2185716364577037E-2</v>
      </c>
      <c r="I74" s="290">
        <f t="shared" si="371"/>
        <v>5.3191489361702149E-2</v>
      </c>
      <c r="J74" s="290"/>
      <c r="K74" s="287">
        <f t="shared" si="371"/>
        <v>8.4008400840084096E-2</v>
      </c>
      <c r="L74" s="287">
        <f t="shared" si="371"/>
        <v>7.8470824949698259E-2</v>
      </c>
      <c r="M74" s="287"/>
      <c r="N74" s="287">
        <f t="shared" si="371"/>
        <v>3.6435959962689779E-2</v>
      </c>
      <c r="O74" s="287">
        <f t="shared" si="371"/>
        <v>3.7259615384615308E-2</v>
      </c>
      <c r="P74" s="287"/>
      <c r="Q74" s="287">
        <f t="shared" si="371"/>
        <v>7.9883331156675896E-2</v>
      </c>
      <c r="R74" s="287">
        <f t="shared" si="371"/>
        <v>7.9010856453558431E-2</v>
      </c>
      <c r="S74" s="287"/>
      <c r="T74" s="287">
        <f t="shared" si="371"/>
        <v>3.5721384435898562E-2</v>
      </c>
      <c r="U74" s="287">
        <f t="shared" si="371"/>
        <v>3.6923076923076947E-2</v>
      </c>
      <c r="V74" s="287"/>
      <c r="W74" s="287">
        <f t="shared" si="371"/>
        <v>7.0400389182803003E-2</v>
      </c>
      <c r="X74" s="287">
        <f t="shared" si="371"/>
        <v>6.0465116279069697E-2</v>
      </c>
      <c r="Y74" s="287"/>
      <c r="Z74" s="287">
        <f t="shared" si="371"/>
        <v>4.8512028603572288E-2</v>
      </c>
      <c r="AA74" s="287">
        <f t="shared" si="371"/>
        <v>4.7023809523809468E-2</v>
      </c>
      <c r="AB74" s="287"/>
      <c r="AC74" s="287">
        <f t="shared" si="371"/>
        <v>9.4625910395056301E-2</v>
      </c>
      <c r="AD74" s="287">
        <f t="shared" si="371"/>
        <v>0.10780669144981414</v>
      </c>
      <c r="AE74" s="287"/>
      <c r="AF74" s="287">
        <f t="shared" si="371"/>
        <v>6.700131209899729E-2</v>
      </c>
      <c r="AG74" s="287">
        <f t="shared" si="371"/>
        <v>7.4823943661971759E-2</v>
      </c>
      <c r="AH74" s="287"/>
      <c r="AI74" s="287">
        <f t="shared" ref="AI74:AJ74" si="372">AI50-AI49</f>
        <v>5.8098444917724645E-2</v>
      </c>
      <c r="AJ74" s="287">
        <f t="shared" si="372"/>
        <v>6.9144338807260119E-2</v>
      </c>
      <c r="AK74" s="287"/>
      <c r="AL74" s="287">
        <f t="shared" ref="AL74:AM74" si="373">AL50-AL49</f>
        <v>5.3443403005093648E-2</v>
      </c>
      <c r="AM74" s="287">
        <f t="shared" si="373"/>
        <v>5.6470588235294161E-2</v>
      </c>
      <c r="AN74" s="287"/>
      <c r="AO74" s="287">
        <f t="shared" ref="AO74:AP74" si="374">AO50-AO49</f>
        <v>6.6276828463606163E-2</v>
      </c>
      <c r="AP74" s="287">
        <f t="shared" si="374"/>
        <v>7.4250681198910096E-2</v>
      </c>
      <c r="AQ74" s="383"/>
      <c r="AR74" s="287">
        <f t="shared" ref="AR74:AS74" si="375">AR50-AR49</f>
        <v>4.001139159302769E-2</v>
      </c>
      <c r="AS74" s="287">
        <f t="shared" si="375"/>
        <v>4.0750323415265188E-2</v>
      </c>
      <c r="AT74" s="383"/>
      <c r="AU74" s="287">
        <f t="shared" si="371"/>
        <v>6.5322045999649969E-2</v>
      </c>
      <c r="AV74" s="287">
        <f t="shared" si="371"/>
        <v>6.830907054871227E-2</v>
      </c>
      <c r="AW74" s="383"/>
      <c r="AX74" s="343">
        <f t="shared" si="279"/>
        <v>6.1282030756597515E-2</v>
      </c>
      <c r="AY74" s="343">
        <f t="shared" si="280"/>
        <v>6.3921922299030418E-2</v>
      </c>
      <c r="AZ74" s="343"/>
    </row>
    <row r="75" spans="1:127" hidden="1" outlineLevel="1" x14ac:dyDescent="0.25">
      <c r="A75" s="302">
        <v>21</v>
      </c>
      <c r="B75" s="289">
        <f t="shared" ref="B75:AV75" si="376">B51-B50</f>
        <v>0.12403560830860538</v>
      </c>
      <c r="C75" s="289">
        <f t="shared" si="376"/>
        <v>0.13544668587896258</v>
      </c>
      <c r="D75" s="377"/>
      <c r="E75" s="289">
        <f t="shared" si="376"/>
        <v>0.23653639990392561</v>
      </c>
      <c r="F75" s="289">
        <f t="shared" si="376"/>
        <v>0.23809523809523814</v>
      </c>
      <c r="G75" s="377"/>
      <c r="H75" s="289">
        <f t="shared" si="376"/>
        <v>0.11990880721781172</v>
      </c>
      <c r="I75" s="289">
        <f t="shared" si="376"/>
        <v>0.11246200607902734</v>
      </c>
      <c r="J75" s="289"/>
      <c r="K75" s="288">
        <f t="shared" si="376"/>
        <v>0.12221222122212216</v>
      </c>
      <c r="L75" s="288">
        <f t="shared" si="376"/>
        <v>0.11468812877263579</v>
      </c>
      <c r="M75" s="288"/>
      <c r="N75" s="288">
        <f t="shared" si="376"/>
        <v>7.6042446575789402E-2</v>
      </c>
      <c r="O75" s="288">
        <f t="shared" si="376"/>
        <v>7.1514423076923128E-2</v>
      </c>
      <c r="P75" s="288"/>
      <c r="Q75" s="288">
        <f t="shared" si="376"/>
        <v>0.15280391900785384</v>
      </c>
      <c r="R75" s="288">
        <f t="shared" si="376"/>
        <v>0.14294330518697229</v>
      </c>
      <c r="S75" s="288"/>
      <c r="T75" s="288">
        <f t="shared" si="376"/>
        <v>0.11002462947759584</v>
      </c>
      <c r="U75" s="288">
        <f t="shared" si="376"/>
        <v>0.11487179487179489</v>
      </c>
      <c r="V75" s="288"/>
      <c r="W75" s="288">
        <f t="shared" si="376"/>
        <v>0.13387714680357565</v>
      </c>
      <c r="X75" s="288">
        <f t="shared" si="376"/>
        <v>0.1348837209302326</v>
      </c>
      <c r="Y75" s="288"/>
      <c r="Z75" s="288">
        <f t="shared" si="376"/>
        <v>8.8692650299751929E-2</v>
      </c>
      <c r="AA75" s="288">
        <f t="shared" si="376"/>
        <v>8.7500000000000022E-2</v>
      </c>
      <c r="AB75" s="288"/>
      <c r="AC75" s="288">
        <f t="shared" si="376"/>
        <v>0.16856102405649964</v>
      </c>
      <c r="AD75" s="288">
        <f t="shared" si="376"/>
        <v>0.15613382899628248</v>
      </c>
      <c r="AE75" s="288"/>
      <c r="AF75" s="288">
        <f t="shared" si="376"/>
        <v>0.14027822918798327</v>
      </c>
      <c r="AG75" s="288">
        <f t="shared" si="376"/>
        <v>0.13292253521126762</v>
      </c>
      <c r="AH75" s="288"/>
      <c r="AI75" s="288">
        <f t="shared" ref="AI75:AJ75" si="377">AI51-AI50</f>
        <v>8.8379121205991895E-2</v>
      </c>
      <c r="AJ75" s="288">
        <f t="shared" si="377"/>
        <v>8.98876404494382E-2</v>
      </c>
      <c r="AK75" s="288"/>
      <c r="AL75" s="288">
        <f t="shared" ref="AL75:AM75" si="378">AL51-AL50</f>
        <v>6.4812301403547989E-2</v>
      </c>
      <c r="AM75" s="288">
        <f t="shared" si="378"/>
        <v>7.7647058823529402E-2</v>
      </c>
      <c r="AN75" s="288"/>
      <c r="AO75" s="288">
        <f t="shared" ref="AO75:AP75" si="379">AO51-AO50</f>
        <v>0.11186124447015922</v>
      </c>
      <c r="AP75" s="288">
        <f t="shared" si="379"/>
        <v>0.11376021798365121</v>
      </c>
      <c r="AQ75" s="368"/>
      <c r="AR75" s="288">
        <f t="shared" ref="AR75:AS75" si="380">AR51-AR50</f>
        <v>8.0857650115524038E-2</v>
      </c>
      <c r="AS75" s="288">
        <f t="shared" si="380"/>
        <v>9.2496765847348006E-2</v>
      </c>
      <c r="AT75" s="368"/>
      <c r="AU75" s="288">
        <f t="shared" si="376"/>
        <v>9.5306252970602801E-2</v>
      </c>
      <c r="AV75" s="288">
        <f t="shared" si="376"/>
        <v>0.10265024262784617</v>
      </c>
      <c r="AW75" s="368"/>
      <c r="AX75" s="343">
        <f t="shared" si="279"/>
        <v>0.12413791297424664</v>
      </c>
      <c r="AY75" s="343">
        <f t="shared" si="280"/>
        <v>0.12343721201296204</v>
      </c>
      <c r="AZ75" s="343"/>
    </row>
    <row r="76" spans="1:127" hidden="1" outlineLevel="1" x14ac:dyDescent="0.25">
      <c r="AX76" s="12"/>
      <c r="AY76" s="12"/>
      <c r="AZ76" s="12"/>
    </row>
    <row r="77" spans="1:127" hidden="1" outlineLevel="1" x14ac:dyDescent="0.25">
      <c r="A77" s="358" t="s">
        <v>250</v>
      </c>
      <c r="W77" s="20"/>
      <c r="AD77" s="20"/>
      <c r="AE77" s="20"/>
      <c r="AL77" s="1008" t="s">
        <v>406</v>
      </c>
      <c r="AM77" s="1008"/>
      <c r="AN77" s="1008"/>
      <c r="AO77" s="1009"/>
      <c r="AP77" s="1009"/>
      <c r="AQ77" s="386"/>
      <c r="AR77" s="1009"/>
      <c r="AS77" s="1009"/>
      <c r="AT77" s="386"/>
      <c r="AU77" s="1009" t="s">
        <v>166</v>
      </c>
      <c r="AV77" s="1009"/>
      <c r="AW77" s="386"/>
    </row>
    <row r="78" spans="1:127" hidden="1" outlineLevel="1" x14ac:dyDescent="0.25">
      <c r="A78" s="252" t="s">
        <v>12</v>
      </c>
      <c r="B78" s="291" t="str">
        <f>Tabelle3[[#Headers],[Ned (€)]]</f>
        <v>Ned (€)</v>
      </c>
      <c r="C78" s="292" t="str">
        <f>C$4</f>
        <v>Ned (Backer)</v>
      </c>
      <c r="D78" s="370" t="str">
        <f t="shared" ref="D78:AW78" si="381">D$4</f>
        <v>Ned (€/B)</v>
      </c>
      <c r="E78" s="294" t="str">
        <f t="shared" si="381"/>
        <v>Werkzeuge (€)</v>
      </c>
      <c r="F78" s="295" t="str">
        <f t="shared" si="381"/>
        <v>Werkzeuge (Backer)</v>
      </c>
      <c r="G78" s="407" t="str">
        <f t="shared" si="381"/>
        <v>Werkz (€/B)</v>
      </c>
      <c r="H78" s="298" t="str">
        <f t="shared" si="381"/>
        <v>DSK Fasar (€)</v>
      </c>
      <c r="I78" s="299" t="str">
        <f t="shared" si="381"/>
        <v>DSK Fasar (Backer)</v>
      </c>
      <c r="J78" s="300" t="str">
        <f t="shared" si="381"/>
        <v>DSK Fasar (€/B)</v>
      </c>
      <c r="K78" s="291" t="str">
        <f t="shared" si="381"/>
        <v>Mythen (€)</v>
      </c>
      <c r="L78" s="292" t="str">
        <f t="shared" si="381"/>
        <v>Mythen (Backer)</v>
      </c>
      <c r="M78" s="292" t="str">
        <f t="shared" si="381"/>
        <v>Mythen (€/B)</v>
      </c>
      <c r="N78" s="296" t="str">
        <f t="shared" si="381"/>
        <v>SOK (€)</v>
      </c>
      <c r="O78" s="297" t="str">
        <f t="shared" si="381"/>
        <v>SOK (Backer)</v>
      </c>
      <c r="P78" s="297" t="str">
        <f t="shared" si="381"/>
        <v>SOK (€/B)</v>
      </c>
      <c r="Q78" s="293" t="str">
        <f t="shared" si="381"/>
        <v>RE (€)</v>
      </c>
      <c r="R78" s="293" t="str">
        <f t="shared" si="381"/>
        <v>RE (Backer)</v>
      </c>
      <c r="S78" s="293" t="str">
        <f t="shared" si="381"/>
        <v>RE (€/B)</v>
      </c>
      <c r="T78" s="293" t="str">
        <f t="shared" si="381"/>
        <v>DGG (€)</v>
      </c>
      <c r="U78" s="293" t="str">
        <f t="shared" si="381"/>
        <v>DGG (Backer)</v>
      </c>
      <c r="V78" s="293" t="str">
        <f t="shared" si="381"/>
        <v>DGG (€/B)</v>
      </c>
      <c r="W78" s="298" t="str">
        <f t="shared" si="381"/>
        <v>DSK SV (€)</v>
      </c>
      <c r="X78" s="299" t="str">
        <f t="shared" si="381"/>
        <v>DSK SV (Backer)</v>
      </c>
      <c r="Y78" s="300" t="str">
        <f t="shared" si="381"/>
        <v>DSK SV (€/B)</v>
      </c>
      <c r="Z78" s="296" t="str">
        <f t="shared" si="381"/>
        <v>WW (€)</v>
      </c>
      <c r="AA78" s="297" t="str">
        <f t="shared" si="381"/>
        <v>WW (Backer)</v>
      </c>
      <c r="AB78" s="297" t="str">
        <f t="shared" si="381"/>
        <v>WW (€/B)</v>
      </c>
      <c r="AC78" s="298" t="str">
        <f t="shared" si="381"/>
        <v>DSK R (€)</v>
      </c>
      <c r="AD78" s="299" t="str">
        <f t="shared" si="381"/>
        <v>DSK R (Backer)</v>
      </c>
      <c r="AE78" s="300" t="str">
        <f t="shared" si="381"/>
        <v>DSK R (€/B)</v>
      </c>
      <c r="AF78" s="293" t="str">
        <f t="shared" si="381"/>
        <v>Ära (€)</v>
      </c>
      <c r="AG78" s="293" t="str">
        <f t="shared" si="381"/>
        <v>Ära (Backer)</v>
      </c>
      <c r="AH78" s="293" t="str">
        <f t="shared" si="381"/>
        <v>Ära (€/B)</v>
      </c>
      <c r="AI78" s="293" t="str">
        <f t="shared" si="381"/>
        <v>Mosaik (€)</v>
      </c>
      <c r="AJ78" s="293" t="str">
        <f t="shared" si="381"/>
        <v>Mosaik (Backer)</v>
      </c>
      <c r="AK78" s="293" t="str">
        <f t="shared" si="381"/>
        <v>Mosaik (€/B)</v>
      </c>
      <c r="AL78" s="298" t="str">
        <f t="shared" si="381"/>
        <v>DSK ES (€)</v>
      </c>
      <c r="AM78" s="299" t="str">
        <f t="shared" si="381"/>
        <v>DSK ES (Backer)</v>
      </c>
      <c r="AN78" s="300" t="str">
        <f t="shared" si="381"/>
        <v>DSK ES (€/B)</v>
      </c>
      <c r="AO78" s="296" t="str">
        <f t="shared" si="381"/>
        <v>ES (€)</v>
      </c>
      <c r="AP78" s="297" t="str">
        <f t="shared" si="381"/>
        <v>ES (Backer)</v>
      </c>
      <c r="AQ78" s="424" t="str">
        <f t="shared" si="381"/>
        <v>ES (€/B)</v>
      </c>
      <c r="AR78" s="296" t="str">
        <f t="shared" si="381"/>
        <v>WF (€)</v>
      </c>
      <c r="AS78" s="297" t="str">
        <f t="shared" si="381"/>
        <v>WF(Backer)</v>
      </c>
      <c r="AT78" s="424" t="str">
        <f t="shared" si="381"/>
        <v>WF (€/B)</v>
      </c>
      <c r="AU78" s="291" t="str">
        <f t="shared" si="381"/>
        <v>AKM (€)</v>
      </c>
      <c r="AV78" s="292" t="str">
        <f t="shared" si="381"/>
        <v>AKM(Backer)</v>
      </c>
      <c r="AW78" s="292" t="str">
        <f t="shared" si="381"/>
        <v>AKM (€/B)</v>
      </c>
      <c r="AX78" s="1007" t="s">
        <v>167</v>
      </c>
      <c r="AY78" s="1007"/>
      <c r="AZ78" s="1007"/>
      <c r="BA78" s="1007"/>
      <c r="BV78" s="172"/>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row>
    <row r="79" spans="1:127" hidden="1" outlineLevel="2" x14ac:dyDescent="0.25">
      <c r="A79" s="366">
        <v>1</v>
      </c>
      <c r="B79" s="288"/>
      <c r="C79" s="288"/>
      <c r="D79" s="371"/>
      <c r="E79" s="288"/>
      <c r="F79" s="288"/>
      <c r="G79" s="371"/>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368"/>
      <c r="AR79" s="288"/>
      <c r="AS79" s="288"/>
      <c r="AT79" s="368"/>
      <c r="AU79" s="288"/>
      <c r="AV79" s="288"/>
      <c r="AW79" s="368"/>
      <c r="AX79" s="343"/>
      <c r="AY79" s="343"/>
      <c r="AZ79" s="343"/>
    </row>
    <row r="80" spans="1:127" hidden="1" outlineLevel="2" x14ac:dyDescent="0.25">
      <c r="A80" s="409">
        <v>2</v>
      </c>
      <c r="B80" s="288"/>
      <c r="C80" s="288"/>
      <c r="D80" s="371"/>
      <c r="E80" s="288"/>
      <c r="F80" s="288"/>
      <c r="G80" s="371"/>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288"/>
      <c r="AO80" s="288"/>
      <c r="AP80" s="288"/>
      <c r="AQ80" s="368"/>
      <c r="AR80" s="288"/>
      <c r="AS80" s="288"/>
      <c r="AT80" s="368"/>
      <c r="AU80" s="288"/>
      <c r="AV80" s="288"/>
      <c r="AW80" s="368"/>
      <c r="AX80" s="343"/>
      <c r="AY80" s="343"/>
      <c r="AZ80" s="343"/>
    </row>
    <row r="81" spans="1:52" hidden="1" outlineLevel="2" x14ac:dyDescent="0.25">
      <c r="A81" s="409">
        <v>3</v>
      </c>
      <c r="B81" s="288"/>
      <c r="C81" s="288"/>
      <c r="D81" s="371"/>
      <c r="E81" s="288"/>
      <c r="F81" s="288"/>
      <c r="G81" s="371"/>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368"/>
      <c r="AR81" s="288"/>
      <c r="AS81" s="288"/>
      <c r="AT81" s="368"/>
      <c r="AU81" s="288"/>
      <c r="AV81" s="288"/>
      <c r="AW81" s="368"/>
      <c r="AX81" s="343"/>
      <c r="AY81" s="343"/>
      <c r="AZ81" s="343"/>
    </row>
    <row r="82" spans="1:52" hidden="1" outlineLevel="2" x14ac:dyDescent="0.25">
      <c r="A82" s="409">
        <v>4</v>
      </c>
      <c r="B82" s="288"/>
      <c r="C82" s="288"/>
      <c r="D82" s="371"/>
      <c r="E82" s="288"/>
      <c r="F82" s="288"/>
      <c r="G82" s="371"/>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368"/>
      <c r="AR82" s="288"/>
      <c r="AS82" s="288"/>
      <c r="AT82" s="368"/>
      <c r="AU82" s="288"/>
      <c r="AV82" s="288"/>
      <c r="AW82" s="368"/>
      <c r="AX82" s="343"/>
      <c r="AY82" s="343"/>
      <c r="AZ82" s="343"/>
    </row>
    <row r="83" spans="1:52" hidden="1" outlineLevel="2" x14ac:dyDescent="0.25">
      <c r="A83" s="366">
        <v>5</v>
      </c>
      <c r="B83" s="288"/>
      <c r="C83" s="288"/>
      <c r="D83" s="371"/>
      <c r="E83" s="288"/>
      <c r="F83" s="288"/>
      <c r="G83" s="371"/>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368"/>
      <c r="AR83" s="288"/>
      <c r="AS83" s="288"/>
      <c r="AT83" s="368"/>
      <c r="AU83" s="288"/>
      <c r="AV83" s="288"/>
      <c r="AW83" s="368"/>
      <c r="AX83" s="343"/>
      <c r="AY83" s="343"/>
      <c r="AZ83" s="343"/>
    </row>
    <row r="84" spans="1:52" hidden="1" outlineLevel="2" x14ac:dyDescent="0.25">
      <c r="A84" s="366">
        <v>6</v>
      </c>
      <c r="B84" s="288"/>
      <c r="C84" s="288"/>
      <c r="D84" s="371"/>
      <c r="E84" s="288"/>
      <c r="F84" s="288"/>
      <c r="G84" s="371"/>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368"/>
      <c r="AR84" s="288"/>
      <c r="AS84" s="288"/>
      <c r="AT84" s="368"/>
      <c r="AU84" s="288"/>
      <c r="AV84" s="288"/>
      <c r="AW84" s="368"/>
      <c r="AX84" s="343"/>
      <c r="AY84" s="343"/>
      <c r="AZ84" s="343"/>
    </row>
    <row r="85" spans="1:52" hidden="1" outlineLevel="2" x14ac:dyDescent="0.25">
      <c r="A85" s="302">
        <v>7</v>
      </c>
      <c r="B85" s="288">
        <f t="shared" ref="B85:C99" si="382">B61/SUM(B$61:B$75)</f>
        <v>4.0453562628852975E-2</v>
      </c>
      <c r="C85" s="288">
        <f t="shared" si="382"/>
        <v>3.8793103448275877E-2</v>
      </c>
      <c r="D85" s="371"/>
      <c r="E85" s="288">
        <f t="shared" ref="E85:F99" si="383">E61/SUM(E$61:E$75)</f>
        <v>4.2395763265847507E-2</v>
      </c>
      <c r="F85" s="288">
        <f t="shared" si="383"/>
        <v>4.3568464730290475E-2</v>
      </c>
      <c r="G85" s="371"/>
      <c r="H85" s="288">
        <f t="shared" ref="H85:I99" si="384">H61/SUM(H$61:H$75)</f>
        <v>3.0802261504329766E-2</v>
      </c>
      <c r="I85" s="288">
        <f t="shared" si="384"/>
        <v>3.8461538461538512E-2</v>
      </c>
      <c r="J85" s="288"/>
      <c r="K85" s="288">
        <f t="shared" ref="K85:L99" si="385">K61/SUM(K$61:K$75)</f>
        <v>5.221862502380499E-2</v>
      </c>
      <c r="L85" s="288">
        <f t="shared" si="385"/>
        <v>5.7761732851985541E-2</v>
      </c>
      <c r="M85" s="288"/>
      <c r="N85" s="288">
        <f t="shared" ref="N85:O99" si="386">N61/SUM(N$61:N$75)</f>
        <v>0.11309960960148434</v>
      </c>
      <c r="O85" s="288">
        <f t="shared" si="386"/>
        <v>0.12798874824191281</v>
      </c>
      <c r="P85" s="288"/>
      <c r="Q85" s="288">
        <f t="shared" ref="Q85:R99" si="387">Q61/SUM(Q$61:Q$75)</f>
        <v>5.6497599666040489E-2</v>
      </c>
      <c r="R85" s="288">
        <f t="shared" si="387"/>
        <v>5.6660039761431413E-2</v>
      </c>
      <c r="S85" s="288"/>
      <c r="T85" s="288">
        <f t="shared" ref="T85:U99" si="388">T61/SUM(T$61:T$75)</f>
        <v>3.2476531894448928E-2</v>
      </c>
      <c r="U85" s="288">
        <f t="shared" si="388"/>
        <v>3.2119914346895193E-2</v>
      </c>
      <c r="V85" s="288"/>
      <c r="W85" s="288">
        <f t="shared" ref="W85:X99" si="389">W61/SUM(W$61:W$75)</f>
        <v>6.4136295018330805E-2</v>
      </c>
      <c r="X85" s="288">
        <f t="shared" si="389"/>
        <v>5.1980198019801999E-2</v>
      </c>
      <c r="Y85" s="288"/>
      <c r="Z85" s="288">
        <f t="shared" ref="Z85:AA99" si="390">Z61/SUM(Z$61:Z$75)</f>
        <v>6.0186276424516294E-2</v>
      </c>
      <c r="AA85" s="288">
        <f t="shared" si="390"/>
        <v>6.6752246469833118E-2</v>
      </c>
      <c r="AB85" s="288"/>
      <c r="AC85" s="288">
        <f t="shared" ref="AC85:AD99" si="391">AC61/SUM(AC$61:AC$75)</f>
        <v>2.4486532407176062E-2</v>
      </c>
      <c r="AD85" s="288">
        <f t="shared" si="391"/>
        <v>2.7397260273972691E-2</v>
      </c>
      <c r="AE85" s="288"/>
      <c r="AF85" s="288">
        <f t="shared" ref="AF85:AG99" si="392">AF61/SUM(AF$61:AF$75)</f>
        <v>5.5220491282902733E-2</v>
      </c>
      <c r="AG85" s="288">
        <f t="shared" si="392"/>
        <v>5.3981106612685577E-2</v>
      </c>
      <c r="AH85" s="288"/>
      <c r="AI85" s="288">
        <f t="shared" ref="AI85:AJ99" si="393">AI61/SUM(AI$61:AI$75)</f>
        <v>5.4680629946438686E-2</v>
      </c>
      <c r="AJ85" s="288">
        <f t="shared" si="393"/>
        <v>5.3435114503816959E-2</v>
      </c>
      <c r="AK85" s="288"/>
      <c r="AL85" s="426"/>
      <c r="AM85" s="426"/>
      <c r="AN85" s="288"/>
      <c r="AO85" s="288">
        <f t="shared" ref="AO85:AP99" si="394">AO61/SUM(AO$61:AO$75)</f>
        <v>4.4888257298165382E-2</v>
      </c>
      <c r="AP85" s="288">
        <f t="shared" si="394"/>
        <v>5.2493438320210008E-2</v>
      </c>
      <c r="AQ85" s="368"/>
      <c r="AR85" s="288">
        <f t="shared" ref="AR85:AS99" si="395">AR61/SUM(AR$61:AR$75)</f>
        <v>5.1359898524597408E-2</v>
      </c>
      <c r="AS85" s="288">
        <f t="shared" si="395"/>
        <v>4.6896551724138077E-2</v>
      </c>
      <c r="AT85" s="368"/>
      <c r="AU85" s="288">
        <f t="shared" ref="AU85:AV99" si="396">AU61/SUM(AU$61:AU$75)</f>
        <v>4.8582004908356617E-2</v>
      </c>
      <c r="AV85" s="288">
        <f t="shared" si="396"/>
        <v>5.5504162812211107E-2</v>
      </c>
      <c r="AW85" s="368"/>
      <c r="AX85" s="343">
        <f t="shared" ref="AX85:AX99" si="397">AVERAGE(B85,E85,H85,K85,N85,Q85,T85,W85,Z85,AC85,AI85,AO85,AR85)</f>
        <v>5.1360141784925664E-2</v>
      </c>
      <c r="AY85" s="343">
        <f t="shared" ref="AY85:AY99" si="398">AVERAGE(C85,F85,I85,L85,O85,R85,U85,X85,AA85,AD85,AJ85,AP85,AS85)</f>
        <v>5.3408334704161758E-2</v>
      </c>
      <c r="AZ85" s="343"/>
    </row>
    <row r="86" spans="1:52" hidden="1" outlineLevel="2" x14ac:dyDescent="0.25">
      <c r="A86" s="302">
        <v>8</v>
      </c>
      <c r="B86" s="288">
        <f t="shared" si="382"/>
        <v>6.2829989440337908E-2</v>
      </c>
      <c r="C86" s="288">
        <f t="shared" si="382"/>
        <v>5.1724137931034468E-2</v>
      </c>
      <c r="D86" s="371"/>
      <c r="E86" s="288">
        <f t="shared" si="383"/>
        <v>2.9937566909514671E-2</v>
      </c>
      <c r="F86" s="288">
        <f t="shared" si="383"/>
        <v>2.6970954356846405E-2</v>
      </c>
      <c r="G86" s="371"/>
      <c r="H86" s="288">
        <f t="shared" si="384"/>
        <v>4.0277678379732326E-2</v>
      </c>
      <c r="I86" s="288">
        <f t="shared" si="384"/>
        <v>4.6703296703296683E-2</v>
      </c>
      <c r="J86" s="288"/>
      <c r="K86" s="288">
        <f t="shared" si="385"/>
        <v>6.7472862311940593E-2</v>
      </c>
      <c r="L86" s="288">
        <f t="shared" si="385"/>
        <v>6.1371841155234662E-2</v>
      </c>
      <c r="M86" s="288"/>
      <c r="N86" s="288">
        <f t="shared" si="386"/>
        <v>6.6261451045572253E-2</v>
      </c>
      <c r="O86" s="288">
        <f t="shared" si="386"/>
        <v>5.6258790436005686E-2</v>
      </c>
      <c r="P86" s="288"/>
      <c r="Q86" s="288">
        <f t="shared" si="387"/>
        <v>7.6672928407430632E-2</v>
      </c>
      <c r="R86" s="288">
        <f t="shared" si="387"/>
        <v>8.2504970178926468E-2</v>
      </c>
      <c r="S86" s="288"/>
      <c r="T86" s="288">
        <f t="shared" si="388"/>
        <v>3.0831916623549265E-2</v>
      </c>
      <c r="U86" s="288">
        <f t="shared" si="388"/>
        <v>3.426124197002138E-2</v>
      </c>
      <c r="V86" s="288"/>
      <c r="W86" s="288">
        <f t="shared" si="389"/>
        <v>6.4165049241607333E-2</v>
      </c>
      <c r="X86" s="288">
        <f t="shared" si="389"/>
        <v>6.1881188118811811E-2</v>
      </c>
      <c r="Y86" s="288"/>
      <c r="Z86" s="288">
        <f t="shared" si="390"/>
        <v>5.6596784947033192E-2</v>
      </c>
      <c r="AA86" s="288">
        <f t="shared" si="390"/>
        <v>5.2631578947368474E-2</v>
      </c>
      <c r="AB86" s="288"/>
      <c r="AC86" s="288">
        <f t="shared" si="391"/>
        <v>4.7224026785268172E-2</v>
      </c>
      <c r="AD86" s="288">
        <f t="shared" si="391"/>
        <v>4.794520547945201E-2</v>
      </c>
      <c r="AE86" s="288"/>
      <c r="AF86" s="288">
        <f t="shared" si="392"/>
        <v>5.2644430336475111E-2</v>
      </c>
      <c r="AG86" s="288">
        <f t="shared" si="392"/>
        <v>5.5330634278002673E-2</v>
      </c>
      <c r="AH86" s="288"/>
      <c r="AI86" s="288">
        <f t="shared" si="393"/>
        <v>4.6979508087510335E-2</v>
      </c>
      <c r="AJ86" s="288">
        <f t="shared" si="393"/>
        <v>4.9618320610686897E-2</v>
      </c>
      <c r="AK86" s="288"/>
      <c r="AL86" s="288">
        <f>AL62/SUM(AL$62:AL$75)</f>
        <v>6.414889194461329E-2</v>
      </c>
      <c r="AM86" s="288">
        <f t="shared" ref="AM86:AM99" si="399">AM62/SUM(AM$62:AM$75)</f>
        <v>6.8292682926829079E-2</v>
      </c>
      <c r="AN86" s="288"/>
      <c r="AO86" s="288">
        <f t="shared" si="394"/>
        <v>4.6908356327625585E-2</v>
      </c>
      <c r="AP86" s="288">
        <f t="shared" si="394"/>
        <v>4.5931758530183713E-2</v>
      </c>
      <c r="AQ86" s="368"/>
      <c r="AR86" s="288">
        <f t="shared" si="395"/>
        <v>5.1676595632061006E-2</v>
      </c>
      <c r="AS86" s="288">
        <f t="shared" si="395"/>
        <v>3.7241379310344845E-2</v>
      </c>
      <c r="AT86" s="368"/>
      <c r="AU86" s="288">
        <f t="shared" si="396"/>
        <v>5.0059957112942532E-2</v>
      </c>
      <c r="AV86" s="288">
        <f t="shared" si="396"/>
        <v>5.7354301572617852E-2</v>
      </c>
      <c r="AW86" s="368"/>
      <c r="AX86" s="343">
        <f t="shared" si="397"/>
        <v>5.2910362626091029E-2</v>
      </c>
      <c r="AY86" s="343">
        <f t="shared" si="398"/>
        <v>5.0388051056016431E-2</v>
      </c>
      <c r="AZ86" s="343"/>
    </row>
    <row r="87" spans="1:52" hidden="1" outlineLevel="2" x14ac:dyDescent="0.25">
      <c r="A87" s="302">
        <v>9</v>
      </c>
      <c r="B87" s="288">
        <f t="shared" si="382"/>
        <v>2.9893900538039992E-2</v>
      </c>
      <c r="C87" s="288">
        <f t="shared" si="382"/>
        <v>2.5862068965517276E-2</v>
      </c>
      <c r="D87" s="371"/>
      <c r="E87" s="288">
        <f t="shared" si="383"/>
        <v>3.6133506390154661E-2</v>
      </c>
      <c r="F87" s="288">
        <f t="shared" si="383"/>
        <v>4.3568464730290475E-2</v>
      </c>
      <c r="G87" s="371"/>
      <c r="H87" s="288">
        <f t="shared" si="384"/>
        <v>6.4481500035783221E-2</v>
      </c>
      <c r="I87" s="288">
        <f t="shared" si="384"/>
        <v>6.8681318681318659E-2</v>
      </c>
      <c r="J87" s="288"/>
      <c r="K87" s="288">
        <f t="shared" si="385"/>
        <v>4.1992001523519437E-2</v>
      </c>
      <c r="L87" s="288">
        <f t="shared" si="385"/>
        <v>5.0541516245487299E-2</v>
      </c>
      <c r="M87" s="288"/>
      <c r="N87" s="288">
        <f t="shared" si="386"/>
        <v>4.3369023230644448E-2</v>
      </c>
      <c r="O87" s="288">
        <f t="shared" si="386"/>
        <v>3.9381153305203795E-2</v>
      </c>
      <c r="P87" s="288"/>
      <c r="Q87" s="288">
        <f t="shared" si="387"/>
        <v>5.0686704237111288E-2</v>
      </c>
      <c r="R87" s="288">
        <f t="shared" si="387"/>
        <v>5.8648111332007861E-2</v>
      </c>
      <c r="S87" s="288"/>
      <c r="T87" s="288">
        <f t="shared" si="388"/>
        <v>2.9242737822455674E-2</v>
      </c>
      <c r="U87" s="288">
        <f t="shared" si="388"/>
        <v>2.569593147751615E-2</v>
      </c>
      <c r="V87" s="288"/>
      <c r="W87" s="288">
        <f t="shared" si="389"/>
        <v>8.6003881820142444E-2</v>
      </c>
      <c r="X87" s="288">
        <f t="shared" si="389"/>
        <v>9.1584158415841693E-2</v>
      </c>
      <c r="Y87" s="288"/>
      <c r="Z87" s="288">
        <f t="shared" si="390"/>
        <v>5.8778764756985354E-2</v>
      </c>
      <c r="AA87" s="288">
        <f t="shared" si="390"/>
        <v>5.9050064184852404E-2</v>
      </c>
      <c r="AB87" s="288"/>
      <c r="AC87" s="288">
        <f t="shared" si="391"/>
        <v>1.549147968617259E-2</v>
      </c>
      <c r="AD87" s="288">
        <f t="shared" si="391"/>
        <v>2.7397260273972591E-2</v>
      </c>
      <c r="AE87" s="288"/>
      <c r="AF87" s="288">
        <f t="shared" si="392"/>
        <v>6.1508033403330574E-2</v>
      </c>
      <c r="AG87" s="288">
        <f t="shared" si="392"/>
        <v>6.4777327935222673E-2</v>
      </c>
      <c r="AH87" s="288"/>
      <c r="AI87" s="288">
        <f t="shared" si="393"/>
        <v>3.4641724624936636E-2</v>
      </c>
      <c r="AJ87" s="288">
        <f t="shared" si="393"/>
        <v>3.4351145038167871E-2</v>
      </c>
      <c r="AK87" s="288"/>
      <c r="AL87" s="288">
        <f t="shared" ref="AL87" si="400">AL63/SUM(AL$62:AL$75)</f>
        <v>8.3847654376259087E-2</v>
      </c>
      <c r="AM87" s="288">
        <f t="shared" si="399"/>
        <v>2.9268292682926911E-2</v>
      </c>
      <c r="AN87" s="288"/>
      <c r="AO87" s="288">
        <f t="shared" si="394"/>
        <v>5.2949535759576477E-2</v>
      </c>
      <c r="AP87" s="288">
        <f t="shared" si="394"/>
        <v>5.2493438320209897E-2</v>
      </c>
      <c r="AQ87" s="368"/>
      <c r="AR87" s="288">
        <f t="shared" si="395"/>
        <v>3.2437023685928254E-2</v>
      </c>
      <c r="AS87" s="288">
        <f t="shared" si="395"/>
        <v>3.172413793103443E-2</v>
      </c>
      <c r="AT87" s="368"/>
      <c r="AU87" s="288">
        <f t="shared" si="396"/>
        <v>3.5646319059985949E-2</v>
      </c>
      <c r="AV87" s="288">
        <f t="shared" si="396"/>
        <v>4.1628122109158054E-2</v>
      </c>
      <c r="AW87" s="368"/>
      <c r="AX87" s="343">
        <f t="shared" si="397"/>
        <v>4.4315521854726966E-2</v>
      </c>
      <c r="AY87" s="343">
        <f t="shared" si="398"/>
        <v>4.684452068472466E-2</v>
      </c>
      <c r="AZ87" s="343"/>
    </row>
    <row r="88" spans="1:52" hidden="1" outlineLevel="2" x14ac:dyDescent="0.25">
      <c r="A88" s="302">
        <v>10</v>
      </c>
      <c r="B88" s="288">
        <f t="shared" si="382"/>
        <v>9.3503293608890273E-2</v>
      </c>
      <c r="C88" s="288">
        <f t="shared" si="382"/>
        <v>8.1896551724137859E-2</v>
      </c>
      <c r="D88" s="371"/>
      <c r="E88" s="288">
        <f t="shared" si="383"/>
        <v>4.4811611228482422E-2</v>
      </c>
      <c r="F88" s="288">
        <f t="shared" si="383"/>
        <v>4.3568464730290475E-2</v>
      </c>
      <c r="G88" s="371"/>
      <c r="H88" s="288">
        <f t="shared" si="384"/>
        <v>4.794961711872911E-2</v>
      </c>
      <c r="I88" s="288">
        <f t="shared" si="384"/>
        <v>5.2197802197802227E-2</v>
      </c>
      <c r="J88" s="288"/>
      <c r="K88" s="288">
        <f t="shared" si="385"/>
        <v>5.4884783850694958E-2</v>
      </c>
      <c r="L88" s="288">
        <f t="shared" si="385"/>
        <v>5.4151624548736621E-2</v>
      </c>
      <c r="M88" s="288"/>
      <c r="N88" s="288">
        <f t="shared" si="386"/>
        <v>4.3987476324842407E-2</v>
      </c>
      <c r="O88" s="288">
        <f t="shared" si="386"/>
        <v>3.9381153305204059E-2</v>
      </c>
      <c r="P88" s="288"/>
      <c r="Q88" s="288">
        <f t="shared" si="387"/>
        <v>3.7056981840951783E-2</v>
      </c>
      <c r="R88" s="288">
        <f t="shared" si="387"/>
        <v>4.174950298210748E-2</v>
      </c>
      <c r="S88" s="288"/>
      <c r="T88" s="288">
        <f t="shared" si="388"/>
        <v>3.2337940719934927E-2</v>
      </c>
      <c r="U88" s="288">
        <f t="shared" si="388"/>
        <v>2.9978586723768765E-2</v>
      </c>
      <c r="V88" s="288"/>
      <c r="W88" s="288">
        <f t="shared" si="389"/>
        <v>3.0824527352454747E-2</v>
      </c>
      <c r="X88" s="288">
        <f t="shared" si="389"/>
        <v>2.9702970297029611E-2</v>
      </c>
      <c r="Y88" s="288"/>
      <c r="Z88" s="288">
        <f t="shared" si="390"/>
        <v>4.7148273609492961E-2</v>
      </c>
      <c r="AA88" s="288">
        <f t="shared" si="390"/>
        <v>4.236200256739394E-2</v>
      </c>
      <c r="AB88" s="288"/>
      <c r="AC88" s="288">
        <f t="shared" si="391"/>
        <v>2.738493828394371E-2</v>
      </c>
      <c r="AD88" s="288">
        <f t="shared" si="391"/>
        <v>3.4246575342465863E-2</v>
      </c>
      <c r="AE88" s="288"/>
      <c r="AF88" s="288">
        <f t="shared" si="392"/>
        <v>4.5892953069297228E-2</v>
      </c>
      <c r="AG88" s="288">
        <f t="shared" si="392"/>
        <v>5.3981106612685577E-2</v>
      </c>
      <c r="AH88" s="288"/>
      <c r="AI88" s="288">
        <f t="shared" si="393"/>
        <v>5.3881205532016835E-2</v>
      </c>
      <c r="AJ88" s="288">
        <f t="shared" si="393"/>
        <v>4.1984732824427502E-2</v>
      </c>
      <c r="AK88" s="288"/>
      <c r="AL88" s="288">
        <f t="shared" ref="AL88" si="401">AL64/SUM(AL$62:AL$75)</f>
        <v>4.7008410348246071E-2</v>
      </c>
      <c r="AM88" s="288">
        <f t="shared" si="399"/>
        <v>4.8780487804878113E-2</v>
      </c>
      <c r="AN88" s="288"/>
      <c r="AO88" s="288">
        <f t="shared" si="394"/>
        <v>4.5213257457479145E-2</v>
      </c>
      <c r="AP88" s="288">
        <f t="shared" si="394"/>
        <v>4.8556430446194357E-2</v>
      </c>
      <c r="AQ88" s="368"/>
      <c r="AR88" s="288">
        <f t="shared" si="395"/>
        <v>7.2497680915767582E-2</v>
      </c>
      <c r="AS88" s="288">
        <f t="shared" si="395"/>
        <v>7.1724137931034493E-2</v>
      </c>
      <c r="AT88" s="368"/>
      <c r="AU88" s="288">
        <f t="shared" si="396"/>
        <v>2.1565325285615295E-2</v>
      </c>
      <c r="AV88" s="288">
        <f t="shared" si="396"/>
        <v>2.9602220166512573E-2</v>
      </c>
      <c r="AW88" s="368"/>
      <c r="AX88" s="343">
        <f t="shared" si="397"/>
        <v>4.8575506757206226E-2</v>
      </c>
      <c r="AY88" s="343">
        <f t="shared" si="398"/>
        <v>4.7038502740045632E-2</v>
      </c>
      <c r="AZ88" s="343"/>
    </row>
    <row r="89" spans="1:52" hidden="1" outlineLevel="2" x14ac:dyDescent="0.25">
      <c r="A89" s="302">
        <v>11</v>
      </c>
      <c r="B89" s="288">
        <f t="shared" si="382"/>
        <v>7.8342635892794193E-2</v>
      </c>
      <c r="C89" s="288">
        <f t="shared" si="382"/>
        <v>7.3275862068965553E-2</v>
      </c>
      <c r="D89" s="371"/>
      <c r="E89" s="288">
        <f t="shared" si="383"/>
        <v>1.6437240059496112E-2</v>
      </c>
      <c r="F89" s="288">
        <f t="shared" si="383"/>
        <v>1.2448132780082943E-2</v>
      </c>
      <c r="G89" s="371"/>
      <c r="H89" s="288">
        <f t="shared" si="384"/>
        <v>4.3197595362484742E-2</v>
      </c>
      <c r="I89" s="288">
        <f t="shared" si="384"/>
        <v>4.670329670329678E-2</v>
      </c>
      <c r="J89" s="288"/>
      <c r="K89" s="288">
        <f t="shared" si="385"/>
        <v>2.7251952009141166E-2</v>
      </c>
      <c r="L89" s="288">
        <f t="shared" si="385"/>
        <v>3.2490974729241694E-2</v>
      </c>
      <c r="M89" s="288"/>
      <c r="N89" s="288">
        <f t="shared" si="386"/>
        <v>3.1028951335472142E-2</v>
      </c>
      <c r="O89" s="288">
        <f t="shared" si="386"/>
        <v>3.2348804500703314E-2</v>
      </c>
      <c r="P89" s="288"/>
      <c r="Q89" s="288">
        <f t="shared" si="387"/>
        <v>3.7223961594656588E-2</v>
      </c>
      <c r="R89" s="288">
        <f t="shared" si="387"/>
        <v>4.1749502982107299E-2</v>
      </c>
      <c r="S89" s="288"/>
      <c r="T89" s="288">
        <f t="shared" si="388"/>
        <v>2.7302461379259388E-2</v>
      </c>
      <c r="U89" s="288">
        <f t="shared" si="388"/>
        <v>3.6402569593147568E-2</v>
      </c>
      <c r="V89" s="288"/>
      <c r="W89" s="288">
        <f t="shared" si="389"/>
        <v>1.5800445690460959E-2</v>
      </c>
      <c r="X89" s="288">
        <f t="shared" si="389"/>
        <v>2.227722772277221E-2</v>
      </c>
      <c r="Y89" s="288"/>
      <c r="Z89" s="288">
        <f t="shared" si="390"/>
        <v>3.9699910431075756E-2</v>
      </c>
      <c r="AA89" s="288">
        <f t="shared" si="390"/>
        <v>3.9794608472400607E-2</v>
      </c>
      <c r="AB89" s="288"/>
      <c r="AC89" s="288">
        <f t="shared" si="391"/>
        <v>5.057218529808611E-2</v>
      </c>
      <c r="AD89" s="288">
        <f t="shared" si="391"/>
        <v>4.794520547945201E-2</v>
      </c>
      <c r="AE89" s="288"/>
      <c r="AF89" s="288">
        <f t="shared" si="392"/>
        <v>4.0814084094349723E-2</v>
      </c>
      <c r="AG89" s="288">
        <f t="shared" si="392"/>
        <v>4.3184885290148398E-2</v>
      </c>
      <c r="AH89" s="288"/>
      <c r="AI89" s="288">
        <f t="shared" si="393"/>
        <v>4.9164601486929499E-2</v>
      </c>
      <c r="AJ89" s="288">
        <f t="shared" si="393"/>
        <v>4.961832061068714E-2</v>
      </c>
      <c r="AK89" s="288"/>
      <c r="AL89" s="288">
        <f t="shared" ref="AL89" si="402">AL65/SUM(AL$62:AL$75)</f>
        <v>3.4792619359790194E-2</v>
      </c>
      <c r="AM89" s="288">
        <f t="shared" si="399"/>
        <v>2.9268292682926682E-2</v>
      </c>
      <c r="AN89" s="288"/>
      <c r="AO89" s="288">
        <f t="shared" si="394"/>
        <v>2.7083346609483618E-2</v>
      </c>
      <c r="AP89" s="288">
        <f t="shared" si="394"/>
        <v>2.4934383202099626E-2</v>
      </c>
      <c r="AQ89" s="368"/>
      <c r="AR89" s="288">
        <f t="shared" si="395"/>
        <v>4.5688615489694939E-2</v>
      </c>
      <c r="AS89" s="288">
        <f t="shared" si="395"/>
        <v>4.413793103448263E-2</v>
      </c>
      <c r="AT89" s="368"/>
      <c r="AU89" s="288">
        <f t="shared" si="396"/>
        <v>8.1892441144802083E-2</v>
      </c>
      <c r="AV89" s="288">
        <f t="shared" si="396"/>
        <v>3.0527289546715942E-2</v>
      </c>
      <c r="AW89" s="368"/>
      <c r="AX89" s="343">
        <f t="shared" si="397"/>
        <v>3.759953097223348E-2</v>
      </c>
      <c r="AY89" s="343">
        <f t="shared" si="398"/>
        <v>3.8778986144572265E-2</v>
      </c>
      <c r="AZ89" s="343"/>
    </row>
    <row r="90" spans="1:52" hidden="1" outlineLevel="2" x14ac:dyDescent="0.25">
      <c r="A90" s="302">
        <v>12</v>
      </c>
      <c r="B90" s="288">
        <f t="shared" si="382"/>
        <v>5.7399306079348449E-2</v>
      </c>
      <c r="C90" s="288">
        <f t="shared" si="382"/>
        <v>6.4655172413793066E-2</v>
      </c>
      <c r="D90" s="371"/>
      <c r="E90" s="288">
        <f t="shared" si="383"/>
        <v>2.9293340786145455E-2</v>
      </c>
      <c r="F90" s="288">
        <f t="shared" si="383"/>
        <v>3.1120331950207532E-2</v>
      </c>
      <c r="G90" s="371"/>
      <c r="H90" s="288">
        <f t="shared" si="384"/>
        <v>2.3158949402418961E-2</v>
      </c>
      <c r="I90" s="288">
        <f t="shared" si="384"/>
        <v>2.4725274725274603E-2</v>
      </c>
      <c r="J90" s="288"/>
      <c r="K90" s="288">
        <f t="shared" si="385"/>
        <v>7.4919063035612313E-2</v>
      </c>
      <c r="L90" s="288">
        <f t="shared" si="385"/>
        <v>7.2202166064982032E-2</v>
      </c>
      <c r="M90" s="288"/>
      <c r="N90" s="288">
        <f t="shared" si="386"/>
        <v>3.2613737389354927E-2</v>
      </c>
      <c r="O90" s="288">
        <f t="shared" si="386"/>
        <v>3.6568213783403657E-2</v>
      </c>
      <c r="P90" s="288"/>
      <c r="Q90" s="288">
        <f t="shared" si="387"/>
        <v>3.78626591525777E-2</v>
      </c>
      <c r="R90" s="288">
        <f t="shared" si="387"/>
        <v>4.0755467196819162E-2</v>
      </c>
      <c r="S90" s="288"/>
      <c r="T90" s="288">
        <f t="shared" si="388"/>
        <v>3.1293887205262688E-2</v>
      </c>
      <c r="U90" s="288">
        <f t="shared" si="388"/>
        <v>3.426124197002138E-2</v>
      </c>
      <c r="V90" s="288"/>
      <c r="W90" s="288">
        <f t="shared" si="389"/>
        <v>3.4318165480554809E-2</v>
      </c>
      <c r="X90" s="288">
        <f t="shared" si="389"/>
        <v>3.9603960396039598E-2</v>
      </c>
      <c r="Y90" s="288"/>
      <c r="Z90" s="288">
        <f t="shared" si="390"/>
        <v>3.8972583827758291E-2</v>
      </c>
      <c r="AA90" s="288">
        <f t="shared" si="390"/>
        <v>4.2362002567394183E-2</v>
      </c>
      <c r="AB90" s="288"/>
      <c r="AC90" s="288">
        <f t="shared" si="391"/>
        <v>5.2571085902753591E-2</v>
      </c>
      <c r="AD90" s="288">
        <f t="shared" si="391"/>
        <v>2.7397260273972487E-2</v>
      </c>
      <c r="AE90" s="288"/>
      <c r="AF90" s="288">
        <f t="shared" si="392"/>
        <v>4.0991111979293976E-2</v>
      </c>
      <c r="AG90" s="288">
        <f t="shared" si="392"/>
        <v>3.7786774628880013E-2</v>
      </c>
      <c r="AH90" s="288"/>
      <c r="AI90" s="288">
        <f t="shared" si="393"/>
        <v>4.0264343006368636E-2</v>
      </c>
      <c r="AJ90" s="288">
        <f t="shared" si="393"/>
        <v>4.1984732824427502E-2</v>
      </c>
      <c r="AK90" s="288"/>
      <c r="AL90" s="288">
        <f t="shared" ref="AL90" si="403">AL66/SUM(AL$62:AL$75)</f>
        <v>6.1398740046688653E-2</v>
      </c>
      <c r="AM90" s="288">
        <f t="shared" si="399"/>
        <v>6.8292682926829315E-2</v>
      </c>
      <c r="AN90" s="288"/>
      <c r="AO90" s="288">
        <f t="shared" si="394"/>
        <v>2.8752955271056316E-2</v>
      </c>
      <c r="AP90" s="288">
        <f t="shared" si="394"/>
        <v>3.1496062992126025E-2</v>
      </c>
      <c r="AQ90" s="368"/>
      <c r="AR90" s="288">
        <f t="shared" si="395"/>
        <v>5.278796199812829E-2</v>
      </c>
      <c r="AS90" s="288">
        <f t="shared" si="395"/>
        <v>5.1034482758620658E-2</v>
      </c>
      <c r="AT90" s="368"/>
      <c r="AU90" s="288">
        <f t="shared" si="396"/>
        <v>3.127086878439489E-2</v>
      </c>
      <c r="AV90" s="288">
        <f t="shared" si="396"/>
        <v>3.0527289546715942E-2</v>
      </c>
      <c r="AW90" s="368"/>
      <c r="AX90" s="343">
        <f t="shared" si="397"/>
        <v>4.1092926041333883E-2</v>
      </c>
      <c r="AY90" s="343">
        <f t="shared" si="398"/>
        <v>4.1397413070544758E-2</v>
      </c>
      <c r="AZ90" s="343"/>
    </row>
    <row r="91" spans="1:52" hidden="1" outlineLevel="2" x14ac:dyDescent="0.25">
      <c r="A91" s="302">
        <v>13</v>
      </c>
      <c r="B91" s="288">
        <f t="shared" si="382"/>
        <v>1.8051993764770864E-2</v>
      </c>
      <c r="C91" s="288">
        <f t="shared" si="382"/>
        <v>1.7241379310344796E-2</v>
      </c>
      <c r="D91" s="371"/>
      <c r="E91" s="288">
        <f t="shared" si="383"/>
        <v>2.7550140687616614E-2</v>
      </c>
      <c r="F91" s="288">
        <f t="shared" si="383"/>
        <v>3.1120331950207445E-2</v>
      </c>
      <c r="G91" s="371"/>
      <c r="H91" s="288">
        <f t="shared" si="384"/>
        <v>3.9977098690331281E-2</v>
      </c>
      <c r="I91" s="288">
        <f t="shared" si="384"/>
        <v>4.1208791208791139E-2</v>
      </c>
      <c r="J91" s="288"/>
      <c r="K91" s="288">
        <f t="shared" si="385"/>
        <v>2.6033136545419906E-2</v>
      </c>
      <c r="L91" s="288">
        <f t="shared" si="385"/>
        <v>2.888086642599277E-2</v>
      </c>
      <c r="M91" s="288"/>
      <c r="N91" s="288">
        <f t="shared" si="386"/>
        <v>2.566580340922274E-2</v>
      </c>
      <c r="O91" s="288">
        <f t="shared" si="386"/>
        <v>2.2503516174402171E-2</v>
      </c>
      <c r="P91" s="288"/>
      <c r="Q91" s="288">
        <f t="shared" si="387"/>
        <v>3.2715508244625463E-2</v>
      </c>
      <c r="R91" s="288">
        <f t="shared" si="387"/>
        <v>3.4791252485089449E-2</v>
      </c>
      <c r="S91" s="288"/>
      <c r="T91" s="288">
        <f t="shared" si="388"/>
        <v>6.1783945598344395E-2</v>
      </c>
      <c r="U91" s="288">
        <f t="shared" si="388"/>
        <v>5.5674518201284919E-2</v>
      </c>
      <c r="V91" s="288"/>
      <c r="W91" s="288">
        <f t="shared" si="389"/>
        <v>3.1543382934368494E-2</v>
      </c>
      <c r="X91" s="288">
        <f t="shared" si="389"/>
        <v>3.4653465346534781E-2</v>
      </c>
      <c r="Y91" s="288"/>
      <c r="Z91" s="288">
        <f t="shared" si="390"/>
        <v>2.7166995535022637E-2</v>
      </c>
      <c r="AA91" s="288">
        <f t="shared" si="390"/>
        <v>2.8241335044929296E-2</v>
      </c>
      <c r="AB91" s="288"/>
      <c r="AC91" s="288">
        <f t="shared" si="391"/>
        <v>1.0744090750087318E-2</v>
      </c>
      <c r="AD91" s="288">
        <f t="shared" si="391"/>
        <v>6.8493150684931729E-3</v>
      </c>
      <c r="AE91" s="288"/>
      <c r="AF91" s="288">
        <f t="shared" si="392"/>
        <v>3.5784050398007465E-2</v>
      </c>
      <c r="AG91" s="288">
        <f t="shared" si="392"/>
        <v>4.3184885290148398E-2</v>
      </c>
      <c r="AH91" s="288"/>
      <c r="AI91" s="288">
        <f t="shared" si="393"/>
        <v>2.2383883603805423E-2</v>
      </c>
      <c r="AJ91" s="288">
        <f t="shared" si="393"/>
        <v>2.6717557251908233E-2</v>
      </c>
      <c r="AK91" s="288"/>
      <c r="AL91" s="288">
        <f t="shared" ref="AL91" si="404">AL67/SUM(AL$62:AL$75)</f>
        <v>5.1517380320424556E-2</v>
      </c>
      <c r="AM91" s="288">
        <f t="shared" si="399"/>
        <v>5.8536585365853822E-2</v>
      </c>
      <c r="AN91" s="288"/>
      <c r="AO91" s="288">
        <f t="shared" si="394"/>
        <v>3.897452890908288E-2</v>
      </c>
      <c r="AP91" s="288">
        <f t="shared" si="394"/>
        <v>3.6745406824147099E-2</v>
      </c>
      <c r="AQ91" s="368"/>
      <c r="AR91" s="288">
        <f t="shared" si="395"/>
        <v>5.7165354761516858E-2</v>
      </c>
      <c r="AS91" s="288">
        <f t="shared" si="395"/>
        <v>5.793103448275868E-2</v>
      </c>
      <c r="AT91" s="368"/>
      <c r="AU91" s="288">
        <f t="shared" si="396"/>
        <v>3.0541819288236089E-2</v>
      </c>
      <c r="AV91" s="288">
        <f t="shared" si="396"/>
        <v>2.9602220166512573E-2</v>
      </c>
      <c r="AW91" s="368"/>
      <c r="AX91" s="343">
        <f t="shared" si="397"/>
        <v>3.2288912571862685E-2</v>
      </c>
      <c r="AY91" s="343">
        <f t="shared" si="398"/>
        <v>3.2504520751914151E-2</v>
      </c>
      <c r="AZ91" s="343"/>
    </row>
    <row r="92" spans="1:52" hidden="1" outlineLevel="2" x14ac:dyDescent="0.25">
      <c r="A92" s="302">
        <v>14</v>
      </c>
      <c r="B92" s="288">
        <f t="shared" si="382"/>
        <v>2.1043898023834617E-2</v>
      </c>
      <c r="C92" s="288">
        <f t="shared" si="382"/>
        <v>3.4482758620689759E-2</v>
      </c>
      <c r="D92" s="371"/>
      <c r="E92" s="288">
        <f t="shared" si="383"/>
        <v>3.8340928254052414E-2</v>
      </c>
      <c r="F92" s="288">
        <f t="shared" si="383"/>
        <v>3.5269709543568395E-2</v>
      </c>
      <c r="G92" s="371"/>
      <c r="H92" s="288">
        <f t="shared" si="384"/>
        <v>1.9065340299148442E-2</v>
      </c>
      <c r="I92" s="288">
        <f t="shared" si="384"/>
        <v>1.9230769230769357E-2</v>
      </c>
      <c r="J92" s="288"/>
      <c r="K92" s="288">
        <f t="shared" si="385"/>
        <v>3.9478194629594364E-2</v>
      </c>
      <c r="L92" s="288">
        <f t="shared" si="385"/>
        <v>3.9711191335740137E-2</v>
      </c>
      <c r="M92" s="288"/>
      <c r="N92" s="288">
        <f t="shared" si="386"/>
        <v>4.051834099957477E-2</v>
      </c>
      <c r="O92" s="288">
        <f t="shared" si="386"/>
        <v>3.7974683544303854E-2</v>
      </c>
      <c r="P92" s="288"/>
      <c r="Q92" s="288">
        <f t="shared" si="387"/>
        <v>4.6295136714673266E-2</v>
      </c>
      <c r="R92" s="288">
        <f t="shared" si="387"/>
        <v>4.8707753479125149E-2</v>
      </c>
      <c r="S92" s="288"/>
      <c r="T92" s="288">
        <f t="shared" si="388"/>
        <v>5.7616970951289627E-2</v>
      </c>
      <c r="U92" s="288">
        <f t="shared" si="388"/>
        <v>5.5674518201284683E-2</v>
      </c>
      <c r="V92" s="288"/>
      <c r="W92" s="288">
        <f t="shared" si="389"/>
        <v>4.8307095104593592E-2</v>
      </c>
      <c r="X92" s="288">
        <f t="shared" si="389"/>
        <v>4.950495049504941E-2</v>
      </c>
      <c r="Y92" s="288"/>
      <c r="Z92" s="288">
        <f t="shared" si="390"/>
        <v>5.326320468182838E-2</v>
      </c>
      <c r="AA92" s="288">
        <f t="shared" si="390"/>
        <v>6.1617458279845973E-2</v>
      </c>
      <c r="AB92" s="288"/>
      <c r="AC92" s="288">
        <f t="shared" si="391"/>
        <v>3.0833041826995318E-2</v>
      </c>
      <c r="AD92" s="288">
        <f t="shared" si="391"/>
        <v>2.7397260273972691E-2</v>
      </c>
      <c r="AE92" s="288"/>
      <c r="AF92" s="288">
        <f t="shared" si="392"/>
        <v>5.4426918005567267E-2</v>
      </c>
      <c r="AG92" s="288">
        <f t="shared" si="392"/>
        <v>5.3981106612685494E-2</v>
      </c>
      <c r="AH92" s="288"/>
      <c r="AI92" s="288">
        <f t="shared" si="393"/>
        <v>3.227009886215243E-2</v>
      </c>
      <c r="AJ92" s="288">
        <f t="shared" si="393"/>
        <v>3.2442748091603205E-2</v>
      </c>
      <c r="AK92" s="288"/>
      <c r="AL92" s="288">
        <f t="shared" ref="AL92" si="405">AL68/SUM(AL$62:AL$75)</f>
        <v>4.9182949058232998E-2</v>
      </c>
      <c r="AM92" s="288">
        <f t="shared" si="399"/>
        <v>5.8536585365853593E-2</v>
      </c>
      <c r="AN92" s="288"/>
      <c r="AO92" s="288">
        <f t="shared" si="394"/>
        <v>5.4886791611172284E-2</v>
      </c>
      <c r="AP92" s="288">
        <f t="shared" si="394"/>
        <v>4.8556430446194149E-2</v>
      </c>
      <c r="AQ92" s="368"/>
      <c r="AR92" s="288">
        <f t="shared" si="395"/>
        <v>7.271188725582986E-2</v>
      </c>
      <c r="AS92" s="288">
        <f t="shared" si="395"/>
        <v>6.4827586206896465E-2</v>
      </c>
      <c r="AT92" s="368"/>
      <c r="AU92" s="288">
        <f t="shared" si="396"/>
        <v>3.139855541931514E-2</v>
      </c>
      <c r="AV92" s="288">
        <f t="shared" si="396"/>
        <v>3.0527289546715942E-2</v>
      </c>
      <c r="AW92" s="368"/>
      <c r="AX92" s="343">
        <f t="shared" si="397"/>
        <v>4.2663917631903026E-2</v>
      </c>
      <c r="AY92" s="343">
        <f t="shared" si="398"/>
        <v>4.2722909057618712E-2</v>
      </c>
      <c r="AZ92" s="343"/>
    </row>
    <row r="93" spans="1:52" hidden="1" outlineLevel="2" x14ac:dyDescent="0.25">
      <c r="A93" s="302">
        <v>15</v>
      </c>
      <c r="B93" s="288">
        <f t="shared" si="382"/>
        <v>4.6764217830743762E-2</v>
      </c>
      <c r="C93" s="288">
        <f t="shared" si="382"/>
        <v>3.8793103448275877E-2</v>
      </c>
      <c r="D93" s="371"/>
      <c r="E93" s="288">
        <f t="shared" si="383"/>
        <v>4.1277841463530238E-2</v>
      </c>
      <c r="F93" s="288">
        <f t="shared" si="383"/>
        <v>3.9419087136929612E-2</v>
      </c>
      <c r="G93" s="371"/>
      <c r="H93" s="288">
        <f t="shared" si="384"/>
        <v>2.297287626136104E-2</v>
      </c>
      <c r="I93" s="288">
        <f t="shared" si="384"/>
        <v>2.7472527472527423E-2</v>
      </c>
      <c r="J93" s="288"/>
      <c r="K93" s="288">
        <f t="shared" si="385"/>
        <v>2.8489811464482998E-2</v>
      </c>
      <c r="L93" s="288">
        <f t="shared" si="385"/>
        <v>2.5270758122743649E-2</v>
      </c>
      <c r="M93" s="288"/>
      <c r="N93" s="288">
        <f t="shared" si="386"/>
        <v>0.1125198098256735</v>
      </c>
      <c r="O93" s="288">
        <f t="shared" si="386"/>
        <v>0.11392405063291131</v>
      </c>
      <c r="P93" s="288"/>
      <c r="Q93" s="288">
        <f t="shared" si="387"/>
        <v>3.4268419954080517E-2</v>
      </c>
      <c r="R93" s="288">
        <f t="shared" si="387"/>
        <v>3.578528827037776E-2</v>
      </c>
      <c r="S93" s="288"/>
      <c r="T93" s="288">
        <f t="shared" si="388"/>
        <v>8.4743883509498269E-2</v>
      </c>
      <c r="U93" s="288">
        <f t="shared" si="388"/>
        <v>8.565310492505368E-2</v>
      </c>
      <c r="V93" s="288"/>
      <c r="W93" s="288">
        <f t="shared" si="389"/>
        <v>5.0938106534397266E-2</v>
      </c>
      <c r="X93" s="288">
        <f t="shared" si="389"/>
        <v>4.9504950495049591E-2</v>
      </c>
      <c r="Y93" s="288"/>
      <c r="Z93" s="288">
        <f t="shared" si="390"/>
        <v>6.7870347298452968E-2</v>
      </c>
      <c r="AA93" s="288">
        <f t="shared" si="390"/>
        <v>6.4184852374839549E-2</v>
      </c>
      <c r="AB93" s="288"/>
      <c r="AC93" s="288">
        <f t="shared" si="391"/>
        <v>5.4819849083004309E-2</v>
      </c>
      <c r="AD93" s="288">
        <f t="shared" si="391"/>
        <v>3.4246575342465661E-2</v>
      </c>
      <c r="AE93" s="288"/>
      <c r="AF93" s="288">
        <f t="shared" si="392"/>
        <v>6.6959271377643237E-2</v>
      </c>
      <c r="AG93" s="288">
        <f t="shared" si="392"/>
        <v>4.1835357624831385E-2</v>
      </c>
      <c r="AH93" s="288"/>
      <c r="AI93" s="288">
        <f t="shared" si="393"/>
        <v>3.4588429663975233E-2</v>
      </c>
      <c r="AJ93" s="288">
        <f t="shared" si="393"/>
        <v>3.6259541984732781E-2</v>
      </c>
      <c r="AK93" s="288"/>
      <c r="AL93" s="288">
        <f t="shared" ref="AL93" si="406">AL69/SUM(AL$62:AL$75)</f>
        <v>7.4829714431901659E-2</v>
      </c>
      <c r="AM93" s="288">
        <f t="shared" si="399"/>
        <v>6.8292682926829315E-2</v>
      </c>
      <c r="AN93" s="288"/>
      <c r="AO93" s="288">
        <f t="shared" si="394"/>
        <v>6.8358366842336676E-2</v>
      </c>
      <c r="AP93" s="288">
        <f t="shared" si="394"/>
        <v>6.1679790026246725E-2</v>
      </c>
      <c r="AQ93" s="368"/>
      <c r="AR93" s="288">
        <f t="shared" si="395"/>
        <v>7.1281088150393912E-2</v>
      </c>
      <c r="AS93" s="288">
        <f t="shared" si="395"/>
        <v>7.5862068965517296E-2</v>
      </c>
      <c r="AT93" s="368"/>
      <c r="AU93" s="288">
        <f t="shared" si="396"/>
        <v>5.7800856381903701E-2</v>
      </c>
      <c r="AV93" s="288">
        <f t="shared" si="396"/>
        <v>4.2553191489361701E-2</v>
      </c>
      <c r="AW93" s="368"/>
      <c r="AX93" s="343">
        <f t="shared" si="397"/>
        <v>5.529946522168698E-2</v>
      </c>
      <c r="AY93" s="343">
        <f t="shared" si="398"/>
        <v>5.2927361476743914E-2</v>
      </c>
      <c r="AZ93" s="343"/>
    </row>
    <row r="94" spans="1:52" hidden="1" outlineLevel="2" x14ac:dyDescent="0.25">
      <c r="A94" s="302">
        <v>16</v>
      </c>
      <c r="B94" s="288">
        <f t="shared" si="382"/>
        <v>4.7166490672298576E-2</v>
      </c>
      <c r="C94" s="288">
        <f t="shared" si="382"/>
        <v>4.3103448275861989E-2</v>
      </c>
      <c r="D94" s="371"/>
      <c r="E94" s="288">
        <f t="shared" si="383"/>
        <v>5.6710846683656446E-2</v>
      </c>
      <c r="F94" s="288">
        <f t="shared" si="383"/>
        <v>4.7717842323651338E-2</v>
      </c>
      <c r="G94" s="371"/>
      <c r="H94" s="288">
        <f t="shared" si="384"/>
        <v>4.341229514062854E-2</v>
      </c>
      <c r="I94" s="288">
        <f t="shared" si="384"/>
        <v>4.670329670329678E-2</v>
      </c>
      <c r="J94" s="288"/>
      <c r="K94" s="288">
        <f t="shared" si="385"/>
        <v>5.119024947629023E-2</v>
      </c>
      <c r="L94" s="288">
        <f t="shared" si="385"/>
        <v>4.3321299638989258E-2</v>
      </c>
      <c r="M94" s="288"/>
      <c r="N94" s="288">
        <f t="shared" si="386"/>
        <v>4.8229678017857755E-2</v>
      </c>
      <c r="O94" s="288">
        <f t="shared" si="386"/>
        <v>5.203938115330508E-2</v>
      </c>
      <c r="P94" s="288"/>
      <c r="Q94" s="288">
        <f t="shared" si="387"/>
        <v>3.6176163640158764E-2</v>
      </c>
      <c r="R94" s="288">
        <f t="shared" si="387"/>
        <v>3.7773359840954215E-2</v>
      </c>
      <c r="S94" s="288"/>
      <c r="T94" s="288">
        <f t="shared" si="388"/>
        <v>8.2498706482371176E-2</v>
      </c>
      <c r="U94" s="288">
        <f t="shared" si="388"/>
        <v>8.3511777301927034E-2</v>
      </c>
      <c r="V94" s="288"/>
      <c r="W94" s="288">
        <f t="shared" si="389"/>
        <v>4.9989217166271298E-2</v>
      </c>
      <c r="X94" s="288">
        <f t="shared" si="389"/>
        <v>5.6930693069306815E-2</v>
      </c>
      <c r="Y94" s="288"/>
      <c r="Z94" s="288">
        <f t="shared" si="390"/>
        <v>5.6987386271037097E-2</v>
      </c>
      <c r="AA94" s="288">
        <f t="shared" si="390"/>
        <v>5.6482670089858827E-2</v>
      </c>
      <c r="AB94" s="288"/>
      <c r="AC94" s="288">
        <f t="shared" si="391"/>
        <v>4.8973064814352124E-2</v>
      </c>
      <c r="AD94" s="288">
        <f t="shared" si="391"/>
        <v>5.4794520547945182E-2</v>
      </c>
      <c r="AE94" s="288"/>
      <c r="AF94" s="288">
        <f t="shared" si="392"/>
        <v>4.4403477071836707E-2</v>
      </c>
      <c r="AG94" s="288">
        <f t="shared" si="392"/>
        <v>4.1835357624831385E-2</v>
      </c>
      <c r="AH94" s="288"/>
      <c r="AI94" s="288">
        <f t="shared" si="393"/>
        <v>2.6594185519759277E-2</v>
      </c>
      <c r="AJ94" s="288">
        <f t="shared" si="393"/>
        <v>2.0992366412213751E-2</v>
      </c>
      <c r="AK94" s="288"/>
      <c r="AL94" s="288">
        <f t="shared" ref="AL94" si="407">AL70/SUM(AL$62:AL$75)</f>
        <v>6.4852419174314876E-2</v>
      </c>
      <c r="AM94" s="288">
        <f t="shared" si="399"/>
        <v>5.3658536585365853E-2</v>
      </c>
      <c r="AN94" s="288"/>
      <c r="AO94" s="288">
        <f t="shared" si="394"/>
        <v>5.2159339293793912E-2</v>
      </c>
      <c r="AP94" s="288">
        <f t="shared" si="394"/>
        <v>4.7244094488189038E-2</v>
      </c>
      <c r="AQ94" s="368"/>
      <c r="AR94" s="288">
        <f t="shared" si="395"/>
        <v>5.240732744731387E-2</v>
      </c>
      <c r="AS94" s="288">
        <f t="shared" si="395"/>
        <v>6.3448275862069095E-2</v>
      </c>
      <c r="AT94" s="368"/>
      <c r="AU94" s="288">
        <f t="shared" si="396"/>
        <v>6.3262549217534325E-2</v>
      </c>
      <c r="AV94" s="288">
        <f t="shared" si="396"/>
        <v>6.0129509713228516E-2</v>
      </c>
      <c r="AW94" s="368"/>
      <c r="AX94" s="343">
        <f t="shared" si="397"/>
        <v>5.0191919278906844E-2</v>
      </c>
      <c r="AY94" s="343">
        <f t="shared" si="398"/>
        <v>5.0312540439043728E-2</v>
      </c>
      <c r="AZ94" s="343"/>
    </row>
    <row r="95" spans="1:52" hidden="1" outlineLevel="2" x14ac:dyDescent="0.25">
      <c r="A95" s="302">
        <v>17</v>
      </c>
      <c r="B95" s="288">
        <f t="shared" si="382"/>
        <v>4.4300296676220534E-2</v>
      </c>
      <c r="C95" s="288">
        <f t="shared" si="382"/>
        <v>3.8793103448275877E-2</v>
      </c>
      <c r="D95" s="371"/>
      <c r="E95" s="288">
        <f t="shared" si="383"/>
        <v>5.7743503263763214E-2</v>
      </c>
      <c r="F95" s="288">
        <f t="shared" si="383"/>
        <v>5.394190871369299E-2</v>
      </c>
      <c r="G95" s="371"/>
      <c r="H95" s="288">
        <f t="shared" si="384"/>
        <v>9.7101552995061804E-2</v>
      </c>
      <c r="I95" s="288">
        <f t="shared" si="384"/>
        <v>0.11813186813186796</v>
      </c>
      <c r="J95" s="288"/>
      <c r="K95" s="288">
        <f t="shared" si="385"/>
        <v>4.6010283755475001E-2</v>
      </c>
      <c r="L95" s="288">
        <f t="shared" si="385"/>
        <v>5.0541516245487299E-2</v>
      </c>
      <c r="M95" s="288"/>
      <c r="N95" s="288">
        <f t="shared" si="386"/>
        <v>4.8287657995438937E-2</v>
      </c>
      <c r="O95" s="288">
        <f t="shared" si="386"/>
        <v>4.7819971870605001E-2</v>
      </c>
      <c r="P95" s="288"/>
      <c r="Q95" s="288">
        <f t="shared" si="387"/>
        <v>4.6871216864955059E-2</v>
      </c>
      <c r="R95" s="288">
        <f t="shared" si="387"/>
        <v>2.5844930417495141E-2</v>
      </c>
      <c r="S95" s="288"/>
      <c r="T95" s="288">
        <f t="shared" si="388"/>
        <v>6.4426417325744653E-2</v>
      </c>
      <c r="U95" s="288">
        <f t="shared" si="388"/>
        <v>5.995717344753753E-2</v>
      </c>
      <c r="V95" s="288"/>
      <c r="W95" s="288">
        <f t="shared" si="389"/>
        <v>7.5796132556969265E-2</v>
      </c>
      <c r="X95" s="288">
        <f t="shared" si="389"/>
        <v>8.1683168316831783E-2</v>
      </c>
      <c r="Y95" s="288"/>
      <c r="Z95" s="288">
        <f t="shared" si="390"/>
        <v>4.7619689000531894E-2</v>
      </c>
      <c r="AA95" s="288">
        <f t="shared" si="390"/>
        <v>5.1347881899871682E-2</v>
      </c>
      <c r="AB95" s="288"/>
      <c r="AC95" s="288">
        <f t="shared" si="391"/>
        <v>2.208785168157508E-2</v>
      </c>
      <c r="AD95" s="288">
        <f t="shared" si="391"/>
        <v>2.054794520547952E-2</v>
      </c>
      <c r="AE95" s="288"/>
      <c r="AF95" s="288">
        <f t="shared" si="392"/>
        <v>4.38235581383992E-2</v>
      </c>
      <c r="AG95" s="288">
        <f t="shared" si="392"/>
        <v>4.3184885290148398E-2</v>
      </c>
      <c r="AH95" s="288"/>
      <c r="AI95" s="288">
        <f t="shared" si="393"/>
        <v>6.4673435126708756E-2</v>
      </c>
      <c r="AJ95" s="288">
        <f t="shared" si="393"/>
        <v>5.5343511450381619E-2</v>
      </c>
      <c r="AK95" s="288"/>
      <c r="AL95" s="288">
        <f t="shared" ref="AL95" si="408">AL71/SUM(AL$62:AL$75)</f>
        <v>4.5025742700904967E-2</v>
      </c>
      <c r="AM95" s="288">
        <f t="shared" si="399"/>
        <v>4.8780487804878113E-2</v>
      </c>
      <c r="AN95" s="288"/>
      <c r="AO95" s="288">
        <f t="shared" si="394"/>
        <v>3.8177959891156819E-2</v>
      </c>
      <c r="AP95" s="288">
        <f t="shared" si="394"/>
        <v>3.4120734908136455E-2</v>
      </c>
      <c r="AQ95" s="368"/>
      <c r="AR95" s="288">
        <f t="shared" si="395"/>
        <v>5.3023671677347589E-2</v>
      </c>
      <c r="AS95" s="288">
        <f t="shared" si="395"/>
        <v>5.5172413793103468E-2</v>
      </c>
      <c r="AT95" s="368"/>
      <c r="AU95" s="288">
        <f t="shared" si="396"/>
        <v>4.8986359648683843E-2</v>
      </c>
      <c r="AV95" s="288">
        <f t="shared" si="396"/>
        <v>4.6253469010175741E-2</v>
      </c>
      <c r="AW95" s="368"/>
      <c r="AX95" s="343">
        <f t="shared" si="397"/>
        <v>5.4316897600842198E-2</v>
      </c>
      <c r="AY95" s="343">
        <f t="shared" si="398"/>
        <v>5.3326625219135879E-2</v>
      </c>
      <c r="AZ95" s="343"/>
    </row>
    <row r="96" spans="1:52" hidden="1" outlineLevel="2" x14ac:dyDescent="0.25">
      <c r="A96" s="302">
        <v>18</v>
      </c>
      <c r="B96" s="288">
        <f t="shared" si="382"/>
        <v>6.592246190979037E-2</v>
      </c>
      <c r="C96" s="288">
        <f t="shared" si="382"/>
        <v>7.3275862068965469E-2</v>
      </c>
      <c r="D96" s="371"/>
      <c r="E96" s="288">
        <f t="shared" si="383"/>
        <v>5.5640294449234039E-2</v>
      </c>
      <c r="F96" s="288">
        <f t="shared" si="383"/>
        <v>6.224066390041489E-2</v>
      </c>
      <c r="G96" s="371"/>
      <c r="H96" s="288">
        <f t="shared" si="384"/>
        <v>7.3584770629070442E-2</v>
      </c>
      <c r="I96" s="288">
        <f t="shared" si="384"/>
        <v>7.4175824175824204E-2</v>
      </c>
      <c r="J96" s="288"/>
      <c r="K96" s="288">
        <f t="shared" si="385"/>
        <v>4.7438583127023426E-2</v>
      </c>
      <c r="L96" s="288">
        <f t="shared" si="385"/>
        <v>5.0541516245487299E-2</v>
      </c>
      <c r="M96" s="288"/>
      <c r="N96" s="288">
        <f t="shared" si="386"/>
        <v>4.6944455181477295E-2</v>
      </c>
      <c r="O96" s="288">
        <f t="shared" si="386"/>
        <v>4.9226441631504941E-2</v>
      </c>
      <c r="P96" s="288"/>
      <c r="Q96" s="288">
        <f t="shared" si="387"/>
        <v>4.9835107493216388E-2</v>
      </c>
      <c r="R96" s="288">
        <f t="shared" si="387"/>
        <v>4.9701789264413467E-2</v>
      </c>
      <c r="S96" s="288"/>
      <c r="T96" s="288">
        <f t="shared" si="388"/>
        <v>5.9806711508611124E-2</v>
      </c>
      <c r="U96" s="288">
        <f t="shared" si="388"/>
        <v>5.1391862955032071E-2</v>
      </c>
      <c r="V96" s="288"/>
      <c r="W96" s="288">
        <f t="shared" si="389"/>
        <v>4.5302278772194685E-2</v>
      </c>
      <c r="X96" s="288">
        <f t="shared" si="389"/>
        <v>4.950495049504941E-2</v>
      </c>
      <c r="Y96" s="288"/>
      <c r="Z96" s="288">
        <f t="shared" si="390"/>
        <v>6.1216655779216041E-2</v>
      </c>
      <c r="AA96" s="288">
        <f t="shared" si="390"/>
        <v>5.7766367137355376E-2</v>
      </c>
      <c r="AB96" s="288"/>
      <c r="AC96" s="288">
        <f t="shared" si="391"/>
        <v>6.5863774923791946E-2</v>
      </c>
      <c r="AD96" s="288">
        <f t="shared" si="391"/>
        <v>7.5342465753424695E-2</v>
      </c>
      <c r="AE96" s="288"/>
      <c r="AF96" s="288">
        <f t="shared" si="392"/>
        <v>3.6418909019875899E-2</v>
      </c>
      <c r="AG96" s="288">
        <f t="shared" si="392"/>
        <v>4.1835357624831218E-2</v>
      </c>
      <c r="AH96" s="288"/>
      <c r="AI96" s="288">
        <f t="shared" si="393"/>
        <v>6.8057665147760182E-2</v>
      </c>
      <c r="AJ96" s="288">
        <f t="shared" si="393"/>
        <v>5.1526717557251807E-2</v>
      </c>
      <c r="AK96" s="288"/>
      <c r="AL96" s="288">
        <f t="shared" ref="AL96" si="409">AL72/SUM(AL$62:AL$75)</f>
        <v>8.3431933740526459E-2</v>
      </c>
      <c r="AM96" s="288">
        <f t="shared" si="399"/>
        <v>8.780487804878051E-2</v>
      </c>
      <c r="AN96" s="288"/>
      <c r="AO96" s="288">
        <f t="shared" si="394"/>
        <v>5.4141203010393497E-2</v>
      </c>
      <c r="AP96" s="288">
        <f t="shared" si="394"/>
        <v>4.9868766404199467E-2</v>
      </c>
      <c r="AQ96" s="368"/>
      <c r="AR96" s="288">
        <f t="shared" si="395"/>
        <v>6.0370242966738097E-2</v>
      </c>
      <c r="AS96" s="288">
        <f t="shared" si="395"/>
        <v>5.5172413793103232E-2</v>
      </c>
      <c r="AT96" s="368"/>
      <c r="AU96" s="288">
        <f t="shared" si="396"/>
        <v>6.0152761818664607E-2</v>
      </c>
      <c r="AV96" s="288">
        <f t="shared" si="396"/>
        <v>5.457909343200746E-2</v>
      </c>
      <c r="AW96" s="368"/>
      <c r="AX96" s="343">
        <f t="shared" si="397"/>
        <v>5.8009554222962875E-2</v>
      </c>
      <c r="AY96" s="343">
        <f t="shared" si="398"/>
        <v>5.7671972414002029E-2</v>
      </c>
      <c r="AZ96" s="343"/>
    </row>
    <row r="97" spans="1:127" hidden="1" outlineLevel="2" x14ac:dyDescent="0.25">
      <c r="A97" s="302">
        <v>19</v>
      </c>
      <c r="B97" s="288">
        <f t="shared" si="382"/>
        <v>7.3289083320762366E-2</v>
      </c>
      <c r="C97" s="288">
        <f t="shared" si="382"/>
        <v>7.3275862068965469E-2</v>
      </c>
      <c r="D97" s="371"/>
      <c r="E97" s="288">
        <f t="shared" si="383"/>
        <v>7.6947126088315901E-2</v>
      </c>
      <c r="F97" s="288">
        <f t="shared" si="383"/>
        <v>7.4688796680498007E-2</v>
      </c>
      <c r="G97" s="371"/>
      <c r="H97" s="288">
        <f t="shared" si="384"/>
        <v>0.13162527732054674</v>
      </c>
      <c r="I97" s="288">
        <f t="shared" si="384"/>
        <v>9.6153846153846187E-2</v>
      </c>
      <c r="J97" s="288"/>
      <c r="K97" s="288">
        <f t="shared" si="385"/>
        <v>8.9202056751095035E-2</v>
      </c>
      <c r="L97" s="288">
        <f t="shared" si="385"/>
        <v>8.6642599277978308E-2</v>
      </c>
      <c r="M97" s="288"/>
      <c r="N97" s="288">
        <f t="shared" si="386"/>
        <v>8.7617409454601808E-2</v>
      </c>
      <c r="O97" s="288">
        <f t="shared" si="386"/>
        <v>9.0014064697608934E-2</v>
      </c>
      <c r="P97" s="288"/>
      <c r="Q97" s="288">
        <f t="shared" si="387"/>
        <v>7.8518054685869296E-2</v>
      </c>
      <c r="R97" s="288">
        <f t="shared" si="387"/>
        <v>7.9522862823061702E-2</v>
      </c>
      <c r="S97" s="288"/>
      <c r="T97" s="288">
        <f t="shared" si="388"/>
        <v>9.3992534555399507E-2</v>
      </c>
      <c r="U97" s="288">
        <f t="shared" si="388"/>
        <v>9.850107066381153E-2</v>
      </c>
      <c r="V97" s="288"/>
      <c r="W97" s="288">
        <f t="shared" si="389"/>
        <v>6.4797642153691215E-2</v>
      </c>
      <c r="X97" s="288">
        <f t="shared" si="389"/>
        <v>6.9306930693069396E-2</v>
      </c>
      <c r="Y97" s="288"/>
      <c r="Z97" s="288">
        <f t="shared" si="390"/>
        <v>8.4713345769720297E-2</v>
      </c>
      <c r="AA97" s="288">
        <f t="shared" si="390"/>
        <v>8.7291399229781935E-2</v>
      </c>
      <c r="AB97" s="288"/>
      <c r="AC97" s="288">
        <f t="shared" si="391"/>
        <v>7.2210284343611E-2</v>
      </c>
      <c r="AD97" s="288">
        <f t="shared" si="391"/>
        <v>8.2191780821917873E-2</v>
      </c>
      <c r="AE97" s="288"/>
      <c r="AF97" s="288">
        <f t="shared" si="392"/>
        <v>0.10577110904917707</v>
      </c>
      <c r="AG97" s="288">
        <f t="shared" si="392"/>
        <v>0.10661268556005414</v>
      </c>
      <c r="AH97" s="288"/>
      <c r="AI97" s="288">
        <f t="shared" si="393"/>
        <v>0.14376315719348731</v>
      </c>
      <c r="AJ97" s="288">
        <f t="shared" si="393"/>
        <v>0.1545801526717559</v>
      </c>
      <c r="AK97" s="288"/>
      <c r="AL97" s="288">
        <f t="shared" ref="AL97" si="410">AL73/SUM(AL$62:AL$75)</f>
        <v>0.10313069617217226</v>
      </c>
      <c r="AM97" s="288">
        <f t="shared" si="399"/>
        <v>0.10243902439024373</v>
      </c>
      <c r="AN97" s="288"/>
      <c r="AO97" s="288">
        <f t="shared" si="394"/>
        <v>9.8264754051350156E-2</v>
      </c>
      <c r="AP97" s="288">
        <f t="shared" si="394"/>
        <v>0.10367454068241469</v>
      </c>
      <c r="AQ97" s="368"/>
      <c r="AR97" s="288">
        <f t="shared" si="395"/>
        <v>6.3602932826431438E-2</v>
      </c>
      <c r="AS97" s="288">
        <f t="shared" si="395"/>
        <v>6.0689655172413891E-2</v>
      </c>
      <c r="AT97" s="368"/>
      <c r="AU97" s="288">
        <f t="shared" si="396"/>
        <v>6.7954003319934883E-2</v>
      </c>
      <c r="AV97" s="288">
        <f t="shared" si="396"/>
        <v>6.7530064754856595E-2</v>
      </c>
      <c r="AW97" s="368"/>
      <c r="AX97" s="343">
        <f t="shared" si="397"/>
        <v>8.9118742962683212E-2</v>
      </c>
      <c r="AY97" s="343">
        <f t="shared" si="398"/>
        <v>8.8964120125932591E-2</v>
      </c>
      <c r="AZ97" s="343"/>
    </row>
    <row r="98" spans="1:127" hidden="1" outlineLevel="2" x14ac:dyDescent="0.25">
      <c r="A98" s="302">
        <v>20</v>
      </c>
      <c r="B98" s="288">
        <f t="shared" si="382"/>
        <v>0.12661537687936833</v>
      </c>
      <c r="C98" s="288">
        <f t="shared" si="382"/>
        <v>0.14224137931034481</v>
      </c>
      <c r="D98" s="371"/>
      <c r="E98" s="288">
        <f t="shared" si="383"/>
        <v>6.4252081892508861E-2</v>
      </c>
      <c r="F98" s="288">
        <f t="shared" si="383"/>
        <v>8.0912863070539312E-2</v>
      </c>
      <c r="G98" s="371"/>
      <c r="H98" s="288">
        <f t="shared" si="384"/>
        <v>0.11009804623201877</v>
      </c>
      <c r="I98" s="288">
        <f t="shared" si="384"/>
        <v>9.6153846153846187E-2</v>
      </c>
      <c r="J98" s="288"/>
      <c r="K98" s="288">
        <f t="shared" si="385"/>
        <v>0.14397257665206642</v>
      </c>
      <c r="L98" s="288">
        <f t="shared" si="385"/>
        <v>0.14079422382671494</v>
      </c>
      <c r="M98" s="288"/>
      <c r="N98" s="288">
        <f t="shared" si="386"/>
        <v>8.4177264118124387E-2</v>
      </c>
      <c r="O98" s="288">
        <f t="shared" si="386"/>
        <v>8.7201125175808539E-2</v>
      </c>
      <c r="P98" s="288"/>
      <c r="Q98" s="288">
        <f t="shared" si="387"/>
        <v>0.13022333542058037</v>
      </c>
      <c r="R98" s="288">
        <f t="shared" si="387"/>
        <v>0.13021868787276331</v>
      </c>
      <c r="S98" s="288"/>
      <c r="T98" s="288">
        <f t="shared" si="388"/>
        <v>7.6382215980486404E-2</v>
      </c>
      <c r="U98" s="288">
        <f t="shared" si="388"/>
        <v>7.7087794432548221E-2</v>
      </c>
      <c r="V98" s="288"/>
      <c r="W98" s="288">
        <f t="shared" si="389"/>
        <v>0.11651211271655529</v>
      </c>
      <c r="X98" s="288">
        <f t="shared" si="389"/>
        <v>9.6534653465346412E-2</v>
      </c>
      <c r="Y98" s="288"/>
      <c r="Z98" s="288">
        <f t="shared" si="390"/>
        <v>0.10599438342234088</v>
      </c>
      <c r="AA98" s="288">
        <f t="shared" si="390"/>
        <v>0.10141206675224634</v>
      </c>
      <c r="AB98" s="288"/>
      <c r="AC98" s="288">
        <f t="shared" si="391"/>
        <v>0.17140572685023242</v>
      </c>
      <c r="AD98" s="288">
        <f t="shared" si="391"/>
        <v>0.19863013698630141</v>
      </c>
      <c r="AE98" s="288"/>
      <c r="AF98" s="288">
        <f t="shared" si="392"/>
        <v>0.10193143526883826</v>
      </c>
      <c r="AG98" s="288">
        <f t="shared" si="392"/>
        <v>0.11470985155195672</v>
      </c>
      <c r="AH98" s="288"/>
      <c r="AI98" s="288">
        <f t="shared" si="393"/>
        <v>0.13011964718735852</v>
      </c>
      <c r="AJ98" s="288">
        <f t="shared" si="393"/>
        <v>0.15267175572519076</v>
      </c>
      <c r="AK98" s="288"/>
      <c r="AL98" s="288">
        <f t="shared" ref="AL98" si="411">AL74/SUM(AL$62:AL$75)</f>
        <v>0.10703207444597229</v>
      </c>
      <c r="AM98" s="288">
        <f t="shared" si="399"/>
        <v>0.11707317073170742</v>
      </c>
      <c r="AN98" s="288"/>
      <c r="AO98" s="288">
        <f t="shared" si="394"/>
        <v>0.12993633820408718</v>
      </c>
      <c r="AP98" s="288">
        <f t="shared" si="394"/>
        <v>0.14304461942257221</v>
      </c>
      <c r="AQ98" s="368"/>
      <c r="AR98" s="288">
        <f t="shared" si="395"/>
        <v>8.7057731821423692E-2</v>
      </c>
      <c r="AS98" s="288">
        <f t="shared" si="395"/>
        <v>8.6896551724137905E-2</v>
      </c>
      <c r="AT98" s="368"/>
      <c r="AU98" s="288">
        <f t="shared" si="396"/>
        <v>0.1508267483070298</v>
      </c>
      <c r="AV98" s="288">
        <f t="shared" si="396"/>
        <v>0.16928769657724344</v>
      </c>
      <c r="AW98" s="368"/>
      <c r="AX98" s="343">
        <f t="shared" si="397"/>
        <v>0.11359591056747319</v>
      </c>
      <c r="AY98" s="343">
        <f t="shared" si="398"/>
        <v>0.11798459260910467</v>
      </c>
      <c r="AZ98" s="343"/>
    </row>
    <row r="99" spans="1:127" hidden="1" outlineLevel="2" x14ac:dyDescent="0.25">
      <c r="A99" s="302">
        <v>21</v>
      </c>
      <c r="B99" s="288">
        <f t="shared" si="382"/>
        <v>0.19442349273394688</v>
      </c>
      <c r="C99" s="288">
        <f t="shared" si="382"/>
        <v>0.20258620689655177</v>
      </c>
      <c r="D99" s="371"/>
      <c r="E99" s="288">
        <f t="shared" si="383"/>
        <v>0.38252820857768138</v>
      </c>
      <c r="F99" s="288">
        <f t="shared" si="383"/>
        <v>0.37344398340248969</v>
      </c>
      <c r="G99" s="371"/>
      <c r="H99" s="288">
        <f t="shared" si="384"/>
        <v>0.21229514062835472</v>
      </c>
      <c r="I99" s="288">
        <f t="shared" si="384"/>
        <v>0.20329670329670327</v>
      </c>
      <c r="J99" s="288"/>
      <c r="K99" s="288">
        <f t="shared" si="385"/>
        <v>0.20944581984383917</v>
      </c>
      <c r="L99" s="288">
        <f t="shared" si="385"/>
        <v>0.20577617328519851</v>
      </c>
      <c r="M99" s="288"/>
      <c r="N99" s="288">
        <f t="shared" si="386"/>
        <v>0.17567933207065828</v>
      </c>
      <c r="O99" s="288">
        <f t="shared" si="386"/>
        <v>0.16736990154711687</v>
      </c>
      <c r="P99" s="288"/>
      <c r="Q99" s="288">
        <f t="shared" si="387"/>
        <v>0.24909622208307231</v>
      </c>
      <c r="R99" s="288">
        <f t="shared" si="387"/>
        <v>0.23558648111332015</v>
      </c>
      <c r="S99" s="288"/>
      <c r="T99" s="288">
        <f t="shared" si="388"/>
        <v>0.23526313844334398</v>
      </c>
      <c r="U99" s="288">
        <f t="shared" si="388"/>
        <v>0.2398286937901499</v>
      </c>
      <c r="V99" s="288"/>
      <c r="W99" s="288">
        <f t="shared" si="389"/>
        <v>0.22156566745740788</v>
      </c>
      <c r="X99" s="288">
        <f t="shared" si="389"/>
        <v>0.2153465346534654</v>
      </c>
      <c r="Y99" s="288"/>
      <c r="Z99" s="288">
        <f t="shared" si="390"/>
        <v>0.19378539824498794</v>
      </c>
      <c r="AA99" s="288">
        <f t="shared" si="390"/>
        <v>0.18870346598202828</v>
      </c>
      <c r="AB99" s="288"/>
      <c r="AC99" s="288">
        <f t="shared" si="391"/>
        <v>0.30533206736295038</v>
      </c>
      <c r="AD99" s="288">
        <f t="shared" si="391"/>
        <v>0.28767123287671226</v>
      </c>
      <c r="AE99" s="288"/>
      <c r="AF99" s="288">
        <f t="shared" si="392"/>
        <v>0.21341016750500566</v>
      </c>
      <c r="AG99" s="288">
        <f t="shared" si="392"/>
        <v>0.20377867746288802</v>
      </c>
      <c r="AH99" s="288"/>
      <c r="AI99" s="288">
        <f t="shared" si="393"/>
        <v>0.19793748501079225</v>
      </c>
      <c r="AJ99" s="288">
        <f t="shared" si="393"/>
        <v>0.19847328244274806</v>
      </c>
      <c r="AK99" s="288"/>
      <c r="AL99" s="288">
        <f t="shared" ref="AL99" si="412">AL75/SUM(AL$62:AL$75)</f>
        <v>0.12980077387995265</v>
      </c>
      <c r="AM99" s="288">
        <f t="shared" si="399"/>
        <v>0.16097560975609757</v>
      </c>
      <c r="AN99" s="288"/>
      <c r="AO99" s="288">
        <f t="shared" si="394"/>
        <v>0.21930500946324</v>
      </c>
      <c r="AP99" s="288">
        <f t="shared" si="394"/>
        <v>0.21916010498687663</v>
      </c>
      <c r="AQ99" s="368"/>
      <c r="AR99" s="288">
        <f t="shared" si="395"/>
        <v>0.1759319868468272</v>
      </c>
      <c r="AS99" s="288">
        <f t="shared" si="395"/>
        <v>0.19724137931034483</v>
      </c>
      <c r="AT99" s="368"/>
      <c r="AU99" s="288">
        <f t="shared" si="396"/>
        <v>0.22005943030260025</v>
      </c>
      <c r="AV99" s="288">
        <f t="shared" si="396"/>
        <v>0.25439407955596655</v>
      </c>
      <c r="AW99" s="368"/>
      <c r="AX99" s="343">
        <f t="shared" si="397"/>
        <v>0.2286606899051617</v>
      </c>
      <c r="AY99" s="343">
        <f t="shared" si="398"/>
        <v>0.22572954950643889</v>
      </c>
      <c r="AZ99" s="343"/>
    </row>
    <row r="100" spans="1:127" s="411" customFormat="1" hidden="1" outlineLevel="2" x14ac:dyDescent="0.25">
      <c r="B100" s="411">
        <f>SUM(B80:B99)</f>
        <v>0.99999999999999989</v>
      </c>
      <c r="C100" s="411">
        <f>SUM(C80:C99)</f>
        <v>1</v>
      </c>
      <c r="E100" s="411">
        <f>SUM(E80:E99)</f>
        <v>1</v>
      </c>
      <c r="F100" s="411">
        <f>SUM(F80:F99)</f>
        <v>1</v>
      </c>
      <c r="H100" s="411">
        <f>SUM(H80:H99)</f>
        <v>0.99999999999999989</v>
      </c>
      <c r="I100" s="411">
        <f>SUM(I80:I99)</f>
        <v>0.99999999999999989</v>
      </c>
      <c r="K100" s="411">
        <f>SUM(K80:K99)</f>
        <v>1</v>
      </c>
      <c r="L100" s="411">
        <f>SUM(L80:L99)</f>
        <v>1</v>
      </c>
      <c r="N100" s="411">
        <f>SUM(N80:N99)</f>
        <v>1</v>
      </c>
      <c r="O100" s="411">
        <f>SUM(O80:O99)</f>
        <v>1.0000000000000002</v>
      </c>
      <c r="Q100" s="411">
        <f>SUM(Q80:Q99)</f>
        <v>0.99999999999999978</v>
      </c>
      <c r="R100" s="411">
        <f>SUM(R80:R99)</f>
        <v>1</v>
      </c>
      <c r="T100" s="411">
        <f>SUM(T80:T99)</f>
        <v>1</v>
      </c>
      <c r="U100" s="411">
        <f>SUM(U80:U99)</f>
        <v>1</v>
      </c>
      <c r="W100" s="411">
        <f>SUM(W80:W99)</f>
        <v>1</v>
      </c>
      <c r="X100" s="411">
        <f>SUM(X80:X99)</f>
        <v>0.99999999999999989</v>
      </c>
      <c r="Z100" s="411">
        <f>SUM(Z80:Z99)</f>
        <v>1.0000000000000002</v>
      </c>
      <c r="AA100" s="411">
        <f>SUM(AA80:AA99)</f>
        <v>1.0000000000000002</v>
      </c>
      <c r="AC100" s="411">
        <f>SUM(AC80:AC99)</f>
        <v>1</v>
      </c>
      <c r="AD100" s="411">
        <f>SUM(AD80:AD99)</f>
        <v>1</v>
      </c>
      <c r="AF100" s="411">
        <f>SUM(AF80:AF99)</f>
        <v>1.0000000000000002</v>
      </c>
      <c r="AG100" s="411">
        <f>SUM(AG80:AG99)</f>
        <v>1</v>
      </c>
      <c r="AI100" s="411">
        <f>SUM(AI80:AI99)</f>
        <v>1</v>
      </c>
      <c r="AJ100" s="411">
        <f>SUM(AJ80:AJ99)</f>
        <v>1</v>
      </c>
      <c r="AL100" s="411">
        <f>SUM(AL80:AL99)</f>
        <v>1.0000000000000002</v>
      </c>
      <c r="AM100" s="411">
        <f>SUM(AM80:AM99)</f>
        <v>1</v>
      </c>
      <c r="AO100" s="411">
        <f>SUM(AO80:AO99)</f>
        <v>1</v>
      </c>
      <c r="AP100" s="411">
        <f>SUM(AP80:AP99)</f>
        <v>1</v>
      </c>
      <c r="AR100" s="411">
        <f>SUM(AR80:AR99)</f>
        <v>1</v>
      </c>
      <c r="AS100" s="411">
        <f>SUM(AS80:AS99)</f>
        <v>0.99999999999999989</v>
      </c>
      <c r="AU100" s="411">
        <f>SUM(AU80:AU99)</f>
        <v>0.99999999999999989</v>
      </c>
      <c r="AV100" s="411">
        <f>SUM(AV80:AV99)</f>
        <v>1</v>
      </c>
      <c r="AX100" s="411">
        <f>SUM(AX80:AX99)</f>
        <v>1</v>
      </c>
      <c r="AY100" s="411">
        <f>SUM(AY80:AY99)</f>
        <v>1</v>
      </c>
      <c r="BG100" s="413"/>
      <c r="BH100" s="171"/>
      <c r="BI100" s="171"/>
      <c r="BJ100" s="171"/>
      <c r="BK100" s="171"/>
      <c r="BL100" s="171"/>
      <c r="BM100" s="171"/>
      <c r="BN100" s="171"/>
      <c r="BO100" s="171"/>
      <c r="BP100" s="171"/>
      <c r="BQ100" s="171"/>
      <c r="BR100" s="171"/>
      <c r="BS100" s="171"/>
      <c r="BT100" s="171"/>
      <c r="BU100" s="171"/>
      <c r="BV100" s="413"/>
      <c r="CG100" s="412"/>
      <c r="CH100" s="412"/>
    </row>
    <row r="101" spans="1:127" hidden="1" outlineLevel="2" x14ac:dyDescent="0.25">
      <c r="A101" s="12" t="s">
        <v>248</v>
      </c>
      <c r="B101" s="20">
        <f>SUM(B97:B99)/1</f>
        <v>0.39432795293407757</v>
      </c>
      <c r="C101" s="20">
        <f>SUM(C97:C99)/1</f>
        <v>0.41810344827586204</v>
      </c>
      <c r="E101" s="20">
        <f t="shared" ref="E101:F101" si="413">SUM(E97:E99)/1</f>
        <v>0.52372741655850619</v>
      </c>
      <c r="F101" s="20">
        <f t="shared" si="413"/>
        <v>0.52904564315352698</v>
      </c>
      <c r="H101" s="20">
        <f t="shared" ref="H101:I101" si="414">SUM(H97:H99)/1</f>
        <v>0.45401846418092023</v>
      </c>
      <c r="I101" s="20">
        <f t="shared" si="414"/>
        <v>0.39560439560439564</v>
      </c>
      <c r="J101" s="20"/>
      <c r="K101" s="20">
        <f t="shared" ref="K101:L101" si="415">SUM(K97:K99)/1</f>
        <v>0.44262045324700061</v>
      </c>
      <c r="L101" s="20">
        <f t="shared" si="415"/>
        <v>0.43321299638989175</v>
      </c>
      <c r="M101" s="20"/>
      <c r="N101" s="20">
        <f t="shared" ref="N101:O101" si="416">SUM(N97:N99)/1</f>
        <v>0.34747400564338449</v>
      </c>
      <c r="O101" s="20">
        <f t="shared" si="416"/>
        <v>0.34458509142053434</v>
      </c>
      <c r="P101" s="20"/>
      <c r="Q101" s="20">
        <f t="shared" ref="Q101:R101" si="417">SUM(Q97:Q99)/1</f>
        <v>0.45783761218952196</v>
      </c>
      <c r="R101" s="20">
        <f t="shared" si="417"/>
        <v>0.44532803180914515</v>
      </c>
      <c r="S101" s="20"/>
      <c r="T101" s="20">
        <f t="shared" ref="T101:U101" si="418">SUM(T97:T99)/1</f>
        <v>0.40563788897922992</v>
      </c>
      <c r="U101" s="20">
        <f t="shared" si="418"/>
        <v>0.41541755888650966</v>
      </c>
      <c r="V101" s="20"/>
      <c r="W101" s="20">
        <f t="shared" ref="W101:X101" si="419">SUM(W97:W99)/1</f>
        <v>0.40287542232765439</v>
      </c>
      <c r="X101" s="20">
        <f t="shared" si="419"/>
        <v>0.38118811881188119</v>
      </c>
      <c r="Y101" s="20"/>
      <c r="Z101" s="20">
        <f t="shared" ref="Z101:AA101" si="420">SUM(Z97:Z99)/1</f>
        <v>0.38449312743704911</v>
      </c>
      <c r="AA101" s="20">
        <f t="shared" si="420"/>
        <v>0.37740693196405656</v>
      </c>
      <c r="AB101" s="20"/>
      <c r="AC101" s="20">
        <f t="shared" ref="AC101:AD101" si="421">SUM(AC97:AC99)/1</f>
        <v>0.54894807855679373</v>
      </c>
      <c r="AD101" s="20">
        <f t="shared" si="421"/>
        <v>0.56849315068493156</v>
      </c>
      <c r="AE101" s="20"/>
      <c r="AF101" s="20">
        <f t="shared" ref="AF101:AG101" si="422">SUM(AF97:AF99)/1</f>
        <v>0.42111271182302101</v>
      </c>
      <c r="AG101" s="20">
        <f t="shared" si="422"/>
        <v>0.42510121457489891</v>
      </c>
      <c r="AH101" s="20"/>
      <c r="AI101" s="20">
        <f t="shared" ref="AI101:AJ101" si="423">SUM(AI97:AI99)/1</f>
        <v>0.47182028939163811</v>
      </c>
      <c r="AJ101" s="20">
        <f t="shared" si="423"/>
        <v>0.50572519083969469</v>
      </c>
      <c r="AK101" s="20"/>
      <c r="AL101" s="20">
        <f t="shared" ref="AL101:AM101" si="424">SUM(AL97:AL99)/1</f>
        <v>0.33996354449809718</v>
      </c>
      <c r="AM101" s="20">
        <f t="shared" si="424"/>
        <v>0.38048780487804867</v>
      </c>
      <c r="AN101" s="20"/>
      <c r="AO101" s="20">
        <f t="shared" ref="AO101:AP101" si="425">SUM(AO97:AO99)/1</f>
        <v>0.44750610171867733</v>
      </c>
      <c r="AP101" s="20">
        <f t="shared" si="425"/>
        <v>0.4658792650918635</v>
      </c>
      <c r="AQ101" s="20"/>
      <c r="AR101" s="20">
        <f t="shared" ref="AR101:AS101" si="426">SUM(AR97:AR99)/1</f>
        <v>0.32659265149468231</v>
      </c>
      <c r="AS101" s="20">
        <f t="shared" si="426"/>
        <v>0.34482758620689663</v>
      </c>
      <c r="AT101" s="20"/>
      <c r="AU101" s="20">
        <f t="shared" ref="AU101:AV101" si="427">SUM(AU97:AU99)/1</f>
        <v>0.43884018192956498</v>
      </c>
      <c r="AV101" s="20">
        <f t="shared" si="427"/>
        <v>0.49121184088806658</v>
      </c>
      <c r="AW101" s="20"/>
      <c r="AX101" s="20">
        <f t="shared" ref="AX101:AY101" si="428">SUM(AX97:AX99)/1</f>
        <v>0.43137534343531808</v>
      </c>
      <c r="AY101" s="20">
        <f t="shared" si="428"/>
        <v>0.43267826224147615</v>
      </c>
      <c r="AZ101" s="20"/>
    </row>
    <row r="102" spans="1:127" hidden="1" outlineLevel="2" x14ac:dyDescent="0.25">
      <c r="A102" s="12" t="s">
        <v>249</v>
      </c>
      <c r="E102" s="1045" t="s">
        <v>150</v>
      </c>
      <c r="F102" s="1045"/>
      <c r="H102" s="1045"/>
      <c r="I102" s="1045"/>
      <c r="J102" s="348"/>
      <c r="N102" s="1045" t="s">
        <v>151</v>
      </c>
      <c r="O102" s="1045"/>
      <c r="T102" s="1045" t="s">
        <v>151</v>
      </c>
      <c r="U102" s="1045"/>
      <c r="W102" s="1045"/>
      <c r="X102" s="1045"/>
      <c r="Y102" s="348"/>
      <c r="AC102" s="1045" t="s">
        <v>150</v>
      </c>
      <c r="AD102" s="1045"/>
      <c r="AE102" s="348"/>
      <c r="AI102" s="1045" t="s">
        <v>150</v>
      </c>
      <c r="AJ102" s="1045"/>
      <c r="AL102" s="1045"/>
      <c r="AM102" s="1045"/>
    </row>
    <row r="103" spans="1:127" hidden="1" outlineLevel="2" x14ac:dyDescent="0.25">
      <c r="A103" s="12" t="s">
        <v>235</v>
      </c>
      <c r="B103" s="20">
        <f>SUM(B95:B99)/1</f>
        <v>0.50455071152008846</v>
      </c>
      <c r="C103" s="20">
        <f>SUM(C95:C99)/1</f>
        <v>0.53017241379310343</v>
      </c>
      <c r="E103" s="20">
        <f t="shared" ref="E103:F103" si="429">SUM(E95:E99)/1</f>
        <v>0.63711121427150341</v>
      </c>
      <c r="F103" s="20">
        <f t="shared" si="429"/>
        <v>0.64522821576763489</v>
      </c>
      <c r="H103" s="20">
        <f t="shared" ref="H103:I103" si="430">SUM(H95:H99)/1</f>
        <v>0.62470478780505256</v>
      </c>
      <c r="I103" s="20">
        <f t="shared" si="430"/>
        <v>0.58791208791208782</v>
      </c>
      <c r="J103" s="20"/>
      <c r="K103" s="20">
        <f t="shared" ref="K103:L103" si="431">SUM(K95:K99)/1</f>
        <v>0.53606932012949904</v>
      </c>
      <c r="L103" s="20">
        <f t="shared" si="431"/>
        <v>0.53429602888086636</v>
      </c>
      <c r="M103" s="20"/>
      <c r="N103" s="20">
        <f t="shared" ref="N103:O103" si="432">SUM(N95:N99)/1</f>
        <v>0.4427061188203007</v>
      </c>
      <c r="O103" s="20">
        <f t="shared" si="432"/>
        <v>0.44163150492264425</v>
      </c>
      <c r="P103" s="20"/>
      <c r="Q103" s="20">
        <f t="shared" ref="Q103:R103" si="433">SUM(Q95:Q99)/1</f>
        <v>0.55454393654769341</v>
      </c>
      <c r="R103" s="20">
        <f t="shared" si="433"/>
        <v>0.52087475149105378</v>
      </c>
      <c r="S103" s="20"/>
      <c r="T103" s="20">
        <f t="shared" ref="T103:U103" si="434">SUM(T95:T99)/1</f>
        <v>0.5298710178135857</v>
      </c>
      <c r="U103" s="20">
        <f t="shared" si="434"/>
        <v>0.52676659528907921</v>
      </c>
      <c r="V103" s="20"/>
      <c r="W103" s="20">
        <f t="shared" ref="W103:X103" si="435">SUM(W95:W99)/1</f>
        <v>0.52397383365681838</v>
      </c>
      <c r="X103" s="20">
        <f t="shared" si="435"/>
        <v>0.51237623762376239</v>
      </c>
      <c r="Y103" s="20"/>
      <c r="Z103" s="20">
        <f t="shared" ref="Z103:AA103" si="436">SUM(Z95:Z99)/1</f>
        <v>0.49332947221679713</v>
      </c>
      <c r="AA103" s="20">
        <f t="shared" si="436"/>
        <v>0.48652118100128361</v>
      </c>
      <c r="AB103" s="20"/>
      <c r="AC103" s="20">
        <f t="shared" ref="AC103:AD103" si="437">SUM(AC95:AC99)/1</f>
        <v>0.63689970516216077</v>
      </c>
      <c r="AD103" s="20">
        <f t="shared" si="437"/>
        <v>0.66438356164383572</v>
      </c>
      <c r="AE103" s="20"/>
      <c r="AF103" s="20">
        <f t="shared" ref="AF103:AG103" si="438">SUM(AF95:AF99)/1</f>
        <v>0.50135517898129611</v>
      </c>
      <c r="AG103" s="20">
        <f t="shared" si="438"/>
        <v>0.51012145748987847</v>
      </c>
      <c r="AH103" s="20"/>
      <c r="AI103" s="20">
        <f t="shared" ref="AI103:AJ103" si="439">SUM(AI95:AI99)/1</f>
        <v>0.604551389666107</v>
      </c>
      <c r="AJ103" s="20">
        <f t="shared" si="439"/>
        <v>0.61259541984732813</v>
      </c>
      <c r="AK103" s="20"/>
      <c r="AL103" s="20">
        <f t="shared" ref="AL103:AM103" si="440">SUM(AL95:AL99)/1</f>
        <v>0.46842122093952859</v>
      </c>
      <c r="AM103" s="20">
        <f t="shared" si="440"/>
        <v>0.51707317073170733</v>
      </c>
      <c r="AN103" s="20"/>
      <c r="AO103" s="20">
        <f t="shared" ref="AO103:AP103" si="441">SUM(AO95:AO99)/1</f>
        <v>0.53982526462022773</v>
      </c>
      <c r="AP103" s="20">
        <f t="shared" si="441"/>
        <v>0.54986876640419946</v>
      </c>
      <c r="AQ103" s="20"/>
      <c r="AR103" s="20">
        <f t="shared" ref="AR103:AS103" si="442">SUM(AR95:AR99)/1</f>
        <v>0.43998656613876802</v>
      </c>
      <c r="AS103" s="20">
        <f t="shared" si="442"/>
        <v>0.45517241379310336</v>
      </c>
      <c r="AT103" s="20"/>
      <c r="AU103" s="20">
        <f t="shared" ref="AU103:AY103" si="443">SUM(AU95:AU99)/1</f>
        <v>0.54797930339691336</v>
      </c>
      <c r="AV103" s="20">
        <f t="shared" si="443"/>
        <v>0.59204440333024977</v>
      </c>
      <c r="AW103" s="20"/>
      <c r="AX103" s="20">
        <f t="shared" si="443"/>
        <v>0.54370179525912321</v>
      </c>
      <c r="AY103" s="20">
        <f t="shared" si="443"/>
        <v>0.543676859874614</v>
      </c>
      <c r="AZ103" s="20"/>
    </row>
    <row r="104" spans="1:127" hidden="1" outlineLevel="2" x14ac:dyDescent="0.25">
      <c r="A104" s="12" t="s">
        <v>152</v>
      </c>
      <c r="E104" s="1045"/>
      <c r="F104" s="1045"/>
      <c r="H104" s="1045" t="s">
        <v>150</v>
      </c>
      <c r="I104" s="1045"/>
      <c r="J104" s="348"/>
      <c r="N104" s="1045" t="s">
        <v>151</v>
      </c>
      <c r="O104" s="1045"/>
      <c r="T104" s="1045" t="s">
        <v>151</v>
      </c>
      <c r="U104" s="1045"/>
      <c r="W104" s="1045"/>
      <c r="X104" s="1045"/>
      <c r="Y104" s="348"/>
      <c r="AC104" s="1045"/>
      <c r="AD104" s="1045"/>
      <c r="AE104" s="348"/>
      <c r="AI104" s="1045"/>
      <c r="AJ104" s="1045"/>
      <c r="AL104" s="1045"/>
      <c r="AM104" s="1045"/>
    </row>
    <row r="105" spans="1:127" hidden="1" outlineLevel="2" x14ac:dyDescent="0.25">
      <c r="A105" s="12" t="s">
        <v>236</v>
      </c>
      <c r="B105" s="20">
        <f>SUM(B94:B99)/1</f>
        <v>0.55171720219238707</v>
      </c>
      <c r="C105" s="20">
        <f>SUM(C94:C99)/1</f>
        <v>0.5732758620689653</v>
      </c>
      <c r="E105" s="20">
        <f t="shared" ref="E105:F105" si="444">SUM(E94:E99)/1</f>
        <v>0.69382206095515986</v>
      </c>
      <c r="F105" s="20">
        <f t="shared" si="444"/>
        <v>0.69294605809128629</v>
      </c>
      <c r="H105" s="20">
        <f t="shared" ref="H105:I105" si="445">SUM(H94:H99)/1</f>
        <v>0.66811708294568106</v>
      </c>
      <c r="I105" s="20">
        <f t="shared" si="445"/>
        <v>0.63461538461538458</v>
      </c>
      <c r="J105" s="20"/>
      <c r="K105" s="20">
        <f t="shared" ref="K105:L105" si="446">SUM(K94:K99)/1</f>
        <v>0.58725956960578929</v>
      </c>
      <c r="L105" s="20">
        <f t="shared" si="446"/>
        <v>0.57761732851985559</v>
      </c>
      <c r="M105" s="20"/>
      <c r="N105" s="20">
        <f t="shared" ref="N105:O105" si="447">SUM(N94:N99)/1</f>
        <v>0.49093579683815847</v>
      </c>
      <c r="O105" s="20">
        <f t="shared" si="447"/>
        <v>0.49367088607594933</v>
      </c>
      <c r="P105" s="20"/>
      <c r="Q105" s="20">
        <f t="shared" ref="Q105:R105" si="448">SUM(Q94:Q99)/1</f>
        <v>0.59072010018785215</v>
      </c>
      <c r="R105" s="20">
        <f t="shared" si="448"/>
        <v>0.55864811133200798</v>
      </c>
      <c r="S105" s="20"/>
      <c r="T105" s="20">
        <f t="shared" ref="T105:U105" si="449">SUM(T94:T99)/1</f>
        <v>0.61236972429595682</v>
      </c>
      <c r="U105" s="20">
        <f t="shared" si="449"/>
        <v>0.61027837259100626</v>
      </c>
      <c r="V105" s="20"/>
      <c r="W105" s="20">
        <f t="shared" ref="W105:X105" si="450">SUM(W94:W99)/1</f>
        <v>0.57396305082308963</v>
      </c>
      <c r="X105" s="20">
        <f t="shared" si="450"/>
        <v>0.56930693069306926</v>
      </c>
      <c r="Y105" s="20"/>
      <c r="Z105" s="20">
        <f t="shared" ref="Z105:AA105" si="451">SUM(Z94:Z99)/1</f>
        <v>0.55031685848783418</v>
      </c>
      <c r="AA105" s="20">
        <f t="shared" si="451"/>
        <v>0.54300385109114246</v>
      </c>
      <c r="AB105" s="20"/>
      <c r="AC105" s="20">
        <f t="shared" ref="AC105:AD105" si="452">SUM(AC94:AC99)/1</f>
        <v>0.68587276997651292</v>
      </c>
      <c r="AD105" s="20">
        <f t="shared" si="452"/>
        <v>0.71917808219178092</v>
      </c>
      <c r="AE105" s="20"/>
      <c r="AF105" s="20">
        <f t="shared" ref="AF105:AG105" si="453">SUM(AF94:AF99)/1</f>
        <v>0.54575865605313278</v>
      </c>
      <c r="AG105" s="20">
        <f t="shared" si="453"/>
        <v>0.55195681511470984</v>
      </c>
      <c r="AH105" s="20"/>
      <c r="AI105" s="20">
        <f t="shared" ref="AI105:AJ105" si="454">SUM(AI94:AI99)/1</f>
        <v>0.63114557518586634</v>
      </c>
      <c r="AJ105" s="20">
        <f t="shared" si="454"/>
        <v>0.63358778625954193</v>
      </c>
      <c r="AK105" s="20"/>
      <c r="AL105" s="20">
        <f t="shared" ref="AL105:AM105" si="455">SUM(AL94:AL99)/1</f>
        <v>0.53327364011384348</v>
      </c>
      <c r="AM105" s="20">
        <f t="shared" si="455"/>
        <v>0.57073170731707323</v>
      </c>
      <c r="AN105" s="20"/>
      <c r="AO105" s="20">
        <f t="shared" ref="AO105:AP105" si="456">SUM(AO94:AO99)/1</f>
        <v>0.59198460391402152</v>
      </c>
      <c r="AP105" s="20">
        <f t="shared" si="456"/>
        <v>0.59711286089238846</v>
      </c>
      <c r="AQ105" s="20"/>
      <c r="AR105" s="20">
        <f t="shared" ref="AR105:AS105" si="457">SUM(AR94:AR99)/1</f>
        <v>0.49239389358608188</v>
      </c>
      <c r="AS105" s="20">
        <f t="shared" si="457"/>
        <v>0.51862068965517238</v>
      </c>
      <c r="AT105" s="20"/>
      <c r="AU105" s="20">
        <f t="shared" ref="AU105:AV105" si="458">SUM(AU94:AU99)/1</f>
        <v>0.61124185261444774</v>
      </c>
      <c r="AV105" s="20">
        <f t="shared" si="458"/>
        <v>0.65217391304347827</v>
      </c>
      <c r="AW105" s="20"/>
      <c r="AX105" s="20">
        <f t="shared" ref="AX105:AY105" si="459">SUM(AX94:AX99)/1</f>
        <v>0.59389371453803008</v>
      </c>
      <c r="AY105" s="20">
        <f t="shared" si="459"/>
        <v>0.59398940031365777</v>
      </c>
      <c r="AZ105" s="20"/>
    </row>
    <row r="106" spans="1:127" hidden="1" outlineLevel="2" x14ac:dyDescent="0.25">
      <c r="A106" s="12" t="s">
        <v>153</v>
      </c>
      <c r="E106" s="1045"/>
      <c r="F106" s="1045"/>
      <c r="H106" s="1045" t="s">
        <v>150</v>
      </c>
      <c r="I106" s="1045"/>
      <c r="N106" s="1045" t="s">
        <v>151</v>
      </c>
      <c r="O106" s="1045"/>
      <c r="Q106" s="1045"/>
      <c r="R106" s="1045"/>
      <c r="S106" s="348"/>
      <c r="T106" s="1045"/>
      <c r="U106" s="1045"/>
      <c r="V106" s="348"/>
    </row>
    <row r="107" spans="1:127" s="5" customFormat="1" hidden="1" outlineLevel="2" x14ac:dyDescent="0.25">
      <c r="A107" s="5" t="s">
        <v>32</v>
      </c>
      <c r="B107" s="422">
        <f>SUM(B101:B106)</f>
        <v>1.450595866646553</v>
      </c>
      <c r="C107" s="422">
        <f>SUM(C101:C106)</f>
        <v>1.5215517241379308</v>
      </c>
      <c r="D107" s="422"/>
      <c r="E107" s="422">
        <f t="shared" ref="E107:F107" si="460">SUM(E101:E106)</f>
        <v>1.8546606917851696</v>
      </c>
      <c r="F107" s="422">
        <f t="shared" si="460"/>
        <v>1.8672199170124482</v>
      </c>
      <c r="G107" s="422"/>
      <c r="H107" s="422">
        <f t="shared" ref="H107:I107" si="461">SUM(H101:H106)</f>
        <v>1.7468403349316539</v>
      </c>
      <c r="I107" s="422">
        <f t="shared" si="461"/>
        <v>1.6181318681318682</v>
      </c>
      <c r="J107" s="422"/>
      <c r="K107" s="422">
        <f t="shared" ref="K107:L107" si="462">SUM(K101:K106)</f>
        <v>1.565949342982289</v>
      </c>
      <c r="L107" s="422">
        <f t="shared" si="462"/>
        <v>1.5451263537906137</v>
      </c>
      <c r="M107" s="422"/>
      <c r="N107" s="422">
        <f t="shared" ref="N107:O107" si="463">SUM(N101:N106)</f>
        <v>1.2811159213018437</v>
      </c>
      <c r="O107" s="422">
        <f t="shared" si="463"/>
        <v>1.279887482419128</v>
      </c>
      <c r="P107" s="422"/>
      <c r="Q107" s="422">
        <f t="shared" ref="Q107:R107" si="464">SUM(Q101:Q106)</f>
        <v>1.6031016489250676</v>
      </c>
      <c r="R107" s="422">
        <f t="shared" si="464"/>
        <v>1.5248508946322068</v>
      </c>
      <c r="S107" s="422"/>
      <c r="T107" s="422">
        <f t="shared" ref="T107:U107" si="465">SUM(T101:T106)</f>
        <v>1.5478786310887724</v>
      </c>
      <c r="U107" s="422">
        <f t="shared" si="465"/>
        <v>1.552462526766595</v>
      </c>
      <c r="V107" s="422"/>
      <c r="W107" s="422">
        <f t="shared" ref="W107:X107" si="466">SUM(W101:W106)</f>
        <v>1.5008123068075623</v>
      </c>
      <c r="X107" s="422">
        <f t="shared" si="466"/>
        <v>1.4628712871287128</v>
      </c>
      <c r="Y107" s="422"/>
      <c r="Z107" s="422">
        <f t="shared" ref="Z107:AA107" si="467">SUM(Z101:Z106)</f>
        <v>1.4281394581416804</v>
      </c>
      <c r="AA107" s="422">
        <f t="shared" si="467"/>
        <v>1.4069319640564828</v>
      </c>
      <c r="AB107" s="422"/>
      <c r="AC107" s="422">
        <f t="shared" ref="AC107:AD107" si="468">SUM(AC101:AC106)</f>
        <v>1.8717205536954675</v>
      </c>
      <c r="AD107" s="422">
        <f t="shared" si="468"/>
        <v>1.952054794520548</v>
      </c>
      <c r="AE107" s="422"/>
      <c r="AF107" s="422">
        <f t="shared" ref="AF107:AG107" si="469">SUM(AF101:AF106)</f>
        <v>1.46822654685745</v>
      </c>
      <c r="AG107" s="422">
        <f t="shared" si="469"/>
        <v>1.4871794871794872</v>
      </c>
      <c r="AH107" s="422"/>
      <c r="AI107" s="422">
        <f t="shared" ref="AI107:AJ107" si="470">SUM(AI101:AI106)</f>
        <v>1.7075172542436114</v>
      </c>
      <c r="AJ107" s="422">
        <f t="shared" si="470"/>
        <v>1.7519083969465647</v>
      </c>
      <c r="AK107" s="422"/>
      <c r="AL107" s="422">
        <f t="shared" ref="AL107:AM107" si="471">SUM(AL101:AL106)</f>
        <v>1.3416584055514691</v>
      </c>
      <c r="AM107" s="422">
        <f t="shared" si="471"/>
        <v>1.4682926829268292</v>
      </c>
      <c r="AN107" s="422"/>
      <c r="AO107" s="422">
        <f t="shared" ref="AO107:AP107" si="472">SUM(AO101:AO106)</f>
        <v>1.5793159702529267</v>
      </c>
      <c r="AP107" s="422">
        <f t="shared" si="472"/>
        <v>1.6128608923884515</v>
      </c>
      <c r="AQ107" s="422"/>
      <c r="AR107" s="422">
        <f t="shared" ref="AR107:AS107" si="473">SUM(AR101:AR106)</f>
        <v>1.2589731112195321</v>
      </c>
      <c r="AS107" s="422">
        <f t="shared" si="473"/>
        <v>1.3186206896551724</v>
      </c>
      <c r="AT107" s="422"/>
      <c r="AU107" s="422">
        <f t="shared" ref="AU107:AV107" si="474">SUM(AU101:AU106)</f>
        <v>1.5980613379409261</v>
      </c>
      <c r="AV107" s="422">
        <f t="shared" si="474"/>
        <v>1.7354301572617945</v>
      </c>
      <c r="AW107" s="422"/>
      <c r="AX107" s="422">
        <f t="shared" ref="AX107:AY107" si="475">SUM(AX101:AX106)</f>
        <v>1.5689708532324713</v>
      </c>
      <c r="AY107" s="422">
        <f t="shared" si="475"/>
        <v>1.5703445224297479</v>
      </c>
      <c r="AZ107" s="422"/>
      <c r="BG107" s="423"/>
      <c r="BH107" s="423"/>
      <c r="BI107" s="423"/>
      <c r="BJ107" s="423"/>
      <c r="BK107" s="423"/>
      <c r="BL107" s="423"/>
      <c r="BM107" s="423"/>
      <c r="BN107" s="423"/>
      <c r="BO107" s="423"/>
      <c r="BP107" s="423"/>
      <c r="BQ107" s="423"/>
      <c r="BR107" s="423"/>
      <c r="BS107" s="423"/>
      <c r="BT107" s="423"/>
      <c r="BU107" s="423"/>
      <c r="BV107" s="423"/>
      <c r="CE107" s="7"/>
      <c r="CG107" s="11"/>
      <c r="CH107" s="13"/>
      <c r="CI107" s="7"/>
      <c r="CK107" s="7"/>
      <c r="CM107" s="7"/>
      <c r="CO107" s="7"/>
      <c r="CQ107" s="7"/>
      <c r="CS107" s="7"/>
      <c r="CU107" s="7"/>
      <c r="CW107" s="7"/>
      <c r="CY107" s="7"/>
      <c r="DA107" s="7"/>
      <c r="DC107" s="7"/>
      <c r="DE107" s="7"/>
      <c r="DG107" s="7"/>
    </row>
    <row r="108" spans="1:127" hidden="1" outlineLevel="1" collapsed="1" x14ac:dyDescent="0.25">
      <c r="N108" s="1045" t="s">
        <v>151</v>
      </c>
      <c r="O108" s="1045"/>
      <c r="AC108" s="1045" t="s">
        <v>150</v>
      </c>
      <c r="AD108" s="1045"/>
    </row>
    <row r="109" spans="1:127" hidden="1" outlineLevel="1" x14ac:dyDescent="0.25">
      <c r="A109" s="357" t="s">
        <v>193</v>
      </c>
      <c r="AL109" s="1008" t="s">
        <v>406</v>
      </c>
      <c r="AM109" s="1008"/>
      <c r="AN109" s="1008"/>
      <c r="AO109" s="1009"/>
      <c r="AP109" s="1009"/>
      <c r="AQ109" s="386"/>
      <c r="AR109" s="1009"/>
      <c r="AS109" s="1009"/>
      <c r="AT109" s="386"/>
    </row>
    <row r="110" spans="1:127" hidden="1" outlineLevel="1" x14ac:dyDescent="0.25">
      <c r="A110" s="252" t="s">
        <v>12</v>
      </c>
      <c r="B110" s="291" t="str">
        <f>Tabelle3[[#Headers],[Ned (€)]]</f>
        <v>Ned (€)</v>
      </c>
      <c r="C110" s="292" t="str">
        <f>C$4</f>
        <v>Ned (Backer)</v>
      </c>
      <c r="D110" s="370" t="str">
        <f t="shared" ref="D110:AW110" si="476">D$4</f>
        <v>Ned (€/B)</v>
      </c>
      <c r="E110" s="294" t="str">
        <f t="shared" si="476"/>
        <v>Werkzeuge (€)</v>
      </c>
      <c r="F110" s="295" t="str">
        <f t="shared" si="476"/>
        <v>Werkzeuge (Backer)</v>
      </c>
      <c r="G110" s="407" t="str">
        <f t="shared" si="476"/>
        <v>Werkz (€/B)</v>
      </c>
      <c r="H110" s="298" t="str">
        <f t="shared" si="476"/>
        <v>DSK Fasar (€)</v>
      </c>
      <c r="I110" s="299" t="str">
        <f t="shared" si="476"/>
        <v>DSK Fasar (Backer)</v>
      </c>
      <c r="J110" s="300" t="str">
        <f t="shared" si="476"/>
        <v>DSK Fasar (€/B)</v>
      </c>
      <c r="K110" s="291" t="str">
        <f t="shared" si="476"/>
        <v>Mythen (€)</v>
      </c>
      <c r="L110" s="292" t="str">
        <f t="shared" si="476"/>
        <v>Mythen (Backer)</v>
      </c>
      <c r="M110" s="292" t="str">
        <f t="shared" si="476"/>
        <v>Mythen (€/B)</v>
      </c>
      <c r="N110" s="296" t="str">
        <f t="shared" si="476"/>
        <v>SOK (€)</v>
      </c>
      <c r="O110" s="297" t="str">
        <f t="shared" si="476"/>
        <v>SOK (Backer)</v>
      </c>
      <c r="P110" s="297" t="str">
        <f t="shared" si="476"/>
        <v>SOK (€/B)</v>
      </c>
      <c r="Q110" s="293" t="str">
        <f t="shared" si="476"/>
        <v>RE (€)</v>
      </c>
      <c r="R110" s="293" t="str">
        <f t="shared" si="476"/>
        <v>RE (Backer)</v>
      </c>
      <c r="S110" s="293" t="str">
        <f t="shared" si="476"/>
        <v>RE (€/B)</v>
      </c>
      <c r="T110" s="293" t="str">
        <f t="shared" si="476"/>
        <v>DGG (€)</v>
      </c>
      <c r="U110" s="293" t="str">
        <f t="shared" si="476"/>
        <v>DGG (Backer)</v>
      </c>
      <c r="V110" s="293" t="str">
        <f t="shared" si="476"/>
        <v>DGG (€/B)</v>
      </c>
      <c r="W110" s="298" t="str">
        <f t="shared" si="476"/>
        <v>DSK SV (€)</v>
      </c>
      <c r="X110" s="299" t="str">
        <f t="shared" si="476"/>
        <v>DSK SV (Backer)</v>
      </c>
      <c r="Y110" s="300" t="str">
        <f t="shared" si="476"/>
        <v>DSK SV (€/B)</v>
      </c>
      <c r="Z110" s="296" t="str">
        <f t="shared" si="476"/>
        <v>WW (€)</v>
      </c>
      <c r="AA110" s="297" t="str">
        <f t="shared" si="476"/>
        <v>WW (Backer)</v>
      </c>
      <c r="AB110" s="297" t="str">
        <f t="shared" si="476"/>
        <v>WW (€/B)</v>
      </c>
      <c r="AC110" s="298" t="str">
        <f t="shared" si="476"/>
        <v>DSK R (€)</v>
      </c>
      <c r="AD110" s="299" t="str">
        <f t="shared" si="476"/>
        <v>DSK R (Backer)</v>
      </c>
      <c r="AE110" s="300" t="str">
        <f t="shared" si="476"/>
        <v>DSK R (€/B)</v>
      </c>
      <c r="AF110" s="293" t="str">
        <f t="shared" si="476"/>
        <v>Ära (€)</v>
      </c>
      <c r="AG110" s="293" t="str">
        <f t="shared" si="476"/>
        <v>Ära (Backer)</v>
      </c>
      <c r="AH110" s="293" t="str">
        <f t="shared" si="476"/>
        <v>Ära (€/B)</v>
      </c>
      <c r="AI110" s="293" t="str">
        <f t="shared" si="476"/>
        <v>Mosaik (€)</v>
      </c>
      <c r="AJ110" s="293" t="str">
        <f t="shared" si="476"/>
        <v>Mosaik (Backer)</v>
      </c>
      <c r="AK110" s="293" t="str">
        <f t="shared" si="476"/>
        <v>Mosaik (€/B)</v>
      </c>
      <c r="AL110" s="298" t="str">
        <f t="shared" si="476"/>
        <v>DSK ES (€)</v>
      </c>
      <c r="AM110" s="299" t="str">
        <f t="shared" si="476"/>
        <v>DSK ES (Backer)</v>
      </c>
      <c r="AN110" s="300" t="str">
        <f t="shared" si="476"/>
        <v>DSK ES (€/B)</v>
      </c>
      <c r="AO110" s="296" t="str">
        <f t="shared" si="476"/>
        <v>ES (€)</v>
      </c>
      <c r="AP110" s="297" t="str">
        <f t="shared" si="476"/>
        <v>ES (Backer)</v>
      </c>
      <c r="AQ110" s="424" t="str">
        <f t="shared" si="476"/>
        <v>ES (€/B)</v>
      </c>
      <c r="AR110" s="296" t="str">
        <f t="shared" si="476"/>
        <v>WF (€)</v>
      </c>
      <c r="AS110" s="297" t="str">
        <f t="shared" si="476"/>
        <v>WF(Backer)</v>
      </c>
      <c r="AT110" s="424" t="str">
        <f t="shared" si="476"/>
        <v>WF (€/B)</v>
      </c>
      <c r="AU110" s="291" t="str">
        <f t="shared" si="476"/>
        <v>AKM (€)</v>
      </c>
      <c r="AV110" s="292" t="str">
        <f t="shared" si="476"/>
        <v>AKM(Backer)</v>
      </c>
      <c r="AW110" s="292" t="str">
        <f t="shared" si="476"/>
        <v>AKM (€/B)</v>
      </c>
      <c r="AX110" s="1007" t="s">
        <v>167</v>
      </c>
      <c r="AY110" s="1007"/>
      <c r="AZ110" s="1007"/>
      <c r="BA110" s="1007"/>
      <c r="BV110" s="172"/>
      <c r="BW110" s="171"/>
      <c r="BX110" s="171"/>
      <c r="BY110" s="171"/>
      <c r="BZ110" s="171"/>
      <c r="CA110" s="171"/>
      <c r="CB110" s="171"/>
      <c r="CC110" s="171"/>
      <c r="CD110" s="171"/>
      <c r="CE110" s="171"/>
      <c r="CF110" s="171"/>
      <c r="CG110" s="171"/>
      <c r="CH110" s="171"/>
      <c r="CI110" s="171"/>
      <c r="CJ110" s="171"/>
      <c r="CK110" s="171"/>
      <c r="CL110" s="171"/>
      <c r="CM110" s="171"/>
      <c r="CN110" s="171"/>
      <c r="CO110" s="171"/>
      <c r="CP110" s="171"/>
      <c r="CQ110" s="171"/>
      <c r="CR110" s="171"/>
      <c r="CS110" s="171"/>
      <c r="CT110" s="171"/>
      <c r="CU110" s="171"/>
      <c r="CV110" s="171"/>
      <c r="CW110" s="171"/>
      <c r="CX110" s="171"/>
      <c r="CY110" s="171"/>
      <c r="CZ110" s="171"/>
      <c r="DA110" s="171"/>
      <c r="DB110" s="171"/>
      <c r="DC110" s="171"/>
      <c r="DD110" s="171"/>
      <c r="DE110" s="171"/>
      <c r="DF110" s="171"/>
      <c r="DG110" s="171"/>
      <c r="DH110" s="171"/>
      <c r="DI110" s="171"/>
      <c r="DJ110" s="171"/>
      <c r="DK110" s="171"/>
      <c r="DL110" s="171"/>
      <c r="DM110" s="171"/>
      <c r="DN110" s="171"/>
      <c r="DO110" s="171"/>
      <c r="DP110" s="171"/>
      <c r="DQ110" s="171"/>
      <c r="DR110" s="171"/>
      <c r="DS110" s="171"/>
      <c r="DT110" s="171"/>
      <c r="DU110" s="171"/>
      <c r="DV110" s="171"/>
      <c r="DW110" s="171"/>
    </row>
    <row r="111" spans="1:127" hidden="1" outlineLevel="1" x14ac:dyDescent="0.25">
      <c r="A111" s="488" t="s">
        <v>398</v>
      </c>
      <c r="B111" s="359">
        <f>$AU$25/B50</f>
        <v>578961.89024390245</v>
      </c>
      <c r="C111" s="362">
        <f>$AV$25/C50</f>
        <v>2780.626666666667</v>
      </c>
      <c r="D111" s="379"/>
      <c r="E111" s="359">
        <f>$AU$25/E50</f>
        <v>664275.2842914582</v>
      </c>
      <c r="F111" s="362">
        <f>$AV$25/F50</f>
        <v>3155.25</v>
      </c>
      <c r="G111" s="379"/>
      <c r="H111" s="359">
        <f>$AU$25/H50</f>
        <v>576247.10275394539</v>
      </c>
      <c r="I111" s="362">
        <f>$AV$25/I50</f>
        <v>2708.6164383561645</v>
      </c>
      <c r="J111" s="362"/>
      <c r="K111" s="359">
        <f>$AU$25/K50</f>
        <v>577759.24005924573</v>
      </c>
      <c r="L111" s="362">
        <f>$AV$25/L50</f>
        <v>2715.4272727272728</v>
      </c>
      <c r="M111" s="362"/>
      <c r="N111" s="359">
        <f>$AU$25/N50</f>
        <v>548888.85113876604</v>
      </c>
      <c r="O111" s="362">
        <f>$AV$25/O50</f>
        <v>2589.1624595469257</v>
      </c>
      <c r="P111" s="362"/>
      <c r="Q111" s="359">
        <f>$AU$25/Q50</f>
        <v>598621.74929572351</v>
      </c>
      <c r="R111" s="362">
        <f>$AV$25/R50</f>
        <v>2804.948627726953</v>
      </c>
      <c r="S111" s="362"/>
      <c r="T111" s="359">
        <f>$AU$25/T50</f>
        <v>569847.23038156598</v>
      </c>
      <c r="U111" s="362">
        <f>$AV$25/U50</f>
        <v>2715.9907300115874</v>
      </c>
      <c r="V111" s="362"/>
      <c r="W111" s="359">
        <f>$AU$25/W50</f>
        <v>585540.49016067886</v>
      </c>
      <c r="X111" s="362">
        <f>$AV$25/X50</f>
        <v>2778.8172043010754</v>
      </c>
      <c r="Y111" s="362"/>
      <c r="Z111" s="359">
        <f>$AU$25/Z50</f>
        <v>556508.18592301977</v>
      </c>
      <c r="AA111" s="362">
        <f>$AV$25/AA50</f>
        <v>2634.5205479452056</v>
      </c>
      <c r="AB111" s="362"/>
      <c r="AC111" s="359">
        <f>$AU$25/AC50</f>
        <v>609966.59366912197</v>
      </c>
      <c r="AD111" s="362">
        <f>$AV$25/AD50</f>
        <v>2848.79295154185</v>
      </c>
      <c r="AE111" s="362"/>
      <c r="AF111" s="359">
        <f>$AU$25/AF50</f>
        <v>589900.14818514045</v>
      </c>
      <c r="AG111" s="362">
        <f>$AV$25/AG50</f>
        <v>2772.5319796954313</v>
      </c>
      <c r="AH111" s="362"/>
      <c r="AI111" s="359">
        <f>$AU$25/AI50</f>
        <v>556316.78891658725</v>
      </c>
      <c r="AJ111" s="362">
        <f>$AV$25/AJ50</f>
        <v>2641.4320987654319</v>
      </c>
      <c r="AK111" s="362"/>
      <c r="AL111" s="362"/>
      <c r="AM111" s="362"/>
      <c r="AN111" s="362"/>
      <c r="AO111" s="359">
        <f>$AU$25/AO50</f>
        <v>571025.638552894</v>
      </c>
      <c r="AP111" s="362">
        <f>$AV$25/AP50</f>
        <v>2712.5841660261335</v>
      </c>
      <c r="AQ111" s="362"/>
      <c r="AR111" s="359">
        <f>$AU$25/AR50</f>
        <v>551764.3704087208</v>
      </c>
      <c r="AS111" s="362">
        <f>$AV$25/AS50</f>
        <v>2649.0263720598718</v>
      </c>
      <c r="AT111" s="362"/>
      <c r="AU111" s="359"/>
      <c r="AV111" s="362"/>
      <c r="AW111" s="362"/>
      <c r="AX111" s="359">
        <f t="shared" ref="AX111" si="477">AVERAGE(B111,E111,H111,K111,N111,Q111,T111,W111,Z111,AC111,AI111,AO111,AR111)</f>
        <v>580440.26275351003</v>
      </c>
      <c r="AY111" s="362">
        <f t="shared" ref="AY111" si="478">AVERAGE(C111,F111,I111,L111,O111,R111,U111,X111,AA111,AD111,AJ111,AP111,AS111)</f>
        <v>2748.8611950519339</v>
      </c>
      <c r="AZ111" s="3"/>
    </row>
    <row r="112" spans="1:127" hidden="1" outlineLevel="1" x14ac:dyDescent="0.25">
      <c r="A112" s="365"/>
      <c r="AO112" s="394"/>
      <c r="AP112" s="394"/>
      <c r="AQ112" s="386"/>
      <c r="AR112" s="394"/>
      <c r="AS112" s="394"/>
      <c r="AT112" s="386"/>
      <c r="AU112" s="394"/>
      <c r="AV112" s="394"/>
      <c r="AW112" s="386"/>
    </row>
    <row r="113" spans="1:127" hidden="1" outlineLevel="1" x14ac:dyDescent="0.25">
      <c r="A113" s="365" t="s">
        <v>438</v>
      </c>
      <c r="AL113" s="1008" t="s">
        <v>406</v>
      </c>
      <c r="AM113" s="1008"/>
      <c r="AN113" s="1008"/>
      <c r="AO113" s="1009"/>
      <c r="AP113" s="1009"/>
      <c r="AQ113" s="386"/>
      <c r="AR113" s="1009"/>
      <c r="AS113" s="1009"/>
      <c r="AT113" s="386"/>
      <c r="AU113" s="1040" t="s">
        <v>166</v>
      </c>
      <c r="AV113" s="1040"/>
      <c r="AW113" s="386"/>
    </row>
    <row r="114" spans="1:127" hidden="1" outlineLevel="1" x14ac:dyDescent="0.25">
      <c r="A114" s="252" t="s">
        <v>12</v>
      </c>
      <c r="B114" s="291" t="str">
        <f>Tabelle3[[#Headers],[Ned (€)]]</f>
        <v>Ned (€)</v>
      </c>
      <c r="C114" s="292" t="str">
        <f>C$4</f>
        <v>Ned (Backer)</v>
      </c>
      <c r="D114" s="370" t="str">
        <f t="shared" ref="D114:AW114" si="479">D$4</f>
        <v>Ned (€/B)</v>
      </c>
      <c r="E114" s="294" t="str">
        <f t="shared" si="479"/>
        <v>Werkzeuge (€)</v>
      </c>
      <c r="F114" s="295" t="str">
        <f t="shared" si="479"/>
        <v>Werkzeuge (Backer)</v>
      </c>
      <c r="G114" s="407" t="str">
        <f t="shared" si="479"/>
        <v>Werkz (€/B)</v>
      </c>
      <c r="H114" s="298" t="str">
        <f t="shared" si="479"/>
        <v>DSK Fasar (€)</v>
      </c>
      <c r="I114" s="299" t="str">
        <f t="shared" si="479"/>
        <v>DSK Fasar (Backer)</v>
      </c>
      <c r="J114" s="300" t="str">
        <f t="shared" si="479"/>
        <v>DSK Fasar (€/B)</v>
      </c>
      <c r="K114" s="291" t="str">
        <f t="shared" si="479"/>
        <v>Mythen (€)</v>
      </c>
      <c r="L114" s="292" t="str">
        <f t="shared" si="479"/>
        <v>Mythen (Backer)</v>
      </c>
      <c r="M114" s="292" t="str">
        <f t="shared" si="479"/>
        <v>Mythen (€/B)</v>
      </c>
      <c r="N114" s="296" t="str">
        <f t="shared" si="479"/>
        <v>SOK (€)</v>
      </c>
      <c r="O114" s="297" t="str">
        <f t="shared" si="479"/>
        <v>SOK (Backer)</v>
      </c>
      <c r="P114" s="297" t="str">
        <f t="shared" si="479"/>
        <v>SOK (€/B)</v>
      </c>
      <c r="Q114" s="293" t="str">
        <f t="shared" si="479"/>
        <v>RE (€)</v>
      </c>
      <c r="R114" s="293" t="str">
        <f t="shared" si="479"/>
        <v>RE (Backer)</v>
      </c>
      <c r="S114" s="293" t="str">
        <f t="shared" si="479"/>
        <v>RE (€/B)</v>
      </c>
      <c r="T114" s="293" t="str">
        <f t="shared" si="479"/>
        <v>DGG (€)</v>
      </c>
      <c r="U114" s="293" t="str">
        <f t="shared" si="479"/>
        <v>DGG (Backer)</v>
      </c>
      <c r="V114" s="293" t="str">
        <f t="shared" si="479"/>
        <v>DGG (€/B)</v>
      </c>
      <c r="W114" s="298" t="str">
        <f t="shared" si="479"/>
        <v>DSK SV (€)</v>
      </c>
      <c r="X114" s="299" t="str">
        <f t="shared" si="479"/>
        <v>DSK SV (Backer)</v>
      </c>
      <c r="Y114" s="300" t="str">
        <f t="shared" si="479"/>
        <v>DSK SV (€/B)</v>
      </c>
      <c r="Z114" s="296" t="str">
        <f t="shared" si="479"/>
        <v>WW (€)</v>
      </c>
      <c r="AA114" s="297" t="str">
        <f t="shared" si="479"/>
        <v>WW (Backer)</v>
      </c>
      <c r="AB114" s="297" t="str">
        <f t="shared" si="479"/>
        <v>WW (€/B)</v>
      </c>
      <c r="AC114" s="298" t="str">
        <f t="shared" si="479"/>
        <v>DSK R (€)</v>
      </c>
      <c r="AD114" s="299" t="str">
        <f t="shared" si="479"/>
        <v>DSK R (Backer)</v>
      </c>
      <c r="AE114" s="300" t="str">
        <f t="shared" si="479"/>
        <v>DSK R (€/B)</v>
      </c>
      <c r="AF114" s="293" t="str">
        <f t="shared" si="479"/>
        <v>Ära (€)</v>
      </c>
      <c r="AG114" s="293" t="str">
        <f t="shared" si="479"/>
        <v>Ära (Backer)</v>
      </c>
      <c r="AH114" s="293" t="str">
        <f t="shared" si="479"/>
        <v>Ära (€/B)</v>
      </c>
      <c r="AI114" s="293" t="str">
        <f t="shared" si="479"/>
        <v>Mosaik (€)</v>
      </c>
      <c r="AJ114" s="293" t="str">
        <f t="shared" si="479"/>
        <v>Mosaik (Backer)</v>
      </c>
      <c r="AK114" s="293" t="str">
        <f t="shared" si="479"/>
        <v>Mosaik (€/B)</v>
      </c>
      <c r="AL114" s="298" t="str">
        <f t="shared" si="479"/>
        <v>DSK ES (€)</v>
      </c>
      <c r="AM114" s="299" t="str">
        <f t="shared" si="479"/>
        <v>DSK ES (Backer)</v>
      </c>
      <c r="AN114" s="300" t="str">
        <f t="shared" si="479"/>
        <v>DSK ES (€/B)</v>
      </c>
      <c r="AO114" s="296" t="str">
        <f t="shared" si="479"/>
        <v>ES (€)</v>
      </c>
      <c r="AP114" s="297" t="str">
        <f t="shared" si="479"/>
        <v>ES (Backer)</v>
      </c>
      <c r="AQ114" s="424" t="str">
        <f t="shared" si="479"/>
        <v>ES (€/B)</v>
      </c>
      <c r="AR114" s="296" t="str">
        <f t="shared" si="479"/>
        <v>WF (€)</v>
      </c>
      <c r="AS114" s="297" t="str">
        <f t="shared" si="479"/>
        <v>WF(Backer)</v>
      </c>
      <c r="AT114" s="424" t="str">
        <f t="shared" si="479"/>
        <v>WF (€/B)</v>
      </c>
      <c r="AU114" s="291" t="str">
        <f t="shared" si="479"/>
        <v>AKM (€)</v>
      </c>
      <c r="AV114" s="292" t="str">
        <f t="shared" si="479"/>
        <v>AKM(Backer)</v>
      </c>
      <c r="AW114" s="292" t="str">
        <f t="shared" si="479"/>
        <v>AKM (€/B)</v>
      </c>
      <c r="AX114" s="1059" t="s">
        <v>167</v>
      </c>
      <c r="AY114" s="1059"/>
      <c r="AZ114" s="1059"/>
      <c r="BA114" s="1059"/>
      <c r="BB114" s="1059"/>
      <c r="BC114" s="1059"/>
      <c r="BD114" s="1059"/>
      <c r="BE114" s="1059"/>
      <c r="BF114" s="1059"/>
      <c r="BV114" s="172"/>
      <c r="BW114" s="171"/>
      <c r="BX114" s="171"/>
      <c r="BY114" s="171"/>
      <c r="BZ114" s="171"/>
      <c r="CA114" s="171"/>
      <c r="CB114" s="171"/>
      <c r="CC114" s="171"/>
      <c r="CD114" s="171"/>
      <c r="CE114" s="171"/>
      <c r="CF114" s="171"/>
      <c r="CG114" s="171"/>
      <c r="CH114" s="171"/>
      <c r="CI114" s="171"/>
      <c r="CJ114" s="171"/>
      <c r="CK114" s="171"/>
      <c r="CL114" s="171"/>
      <c r="CM114" s="171"/>
      <c r="CN114" s="171"/>
      <c r="CO114" s="171"/>
      <c r="CP114" s="171"/>
      <c r="CQ114" s="171"/>
      <c r="CR114" s="171"/>
      <c r="CS114" s="171"/>
      <c r="CT114" s="171"/>
      <c r="CU114" s="171"/>
      <c r="CV114" s="171"/>
      <c r="CW114" s="171"/>
      <c r="CX114" s="171"/>
      <c r="CY114" s="171"/>
      <c r="CZ114" s="171"/>
      <c r="DA114" s="171"/>
      <c r="DB114" s="171"/>
      <c r="DC114" s="171"/>
      <c r="DD114" s="171"/>
      <c r="DE114" s="171"/>
      <c r="DF114" s="171"/>
      <c r="DG114" s="171"/>
      <c r="DH114" s="171"/>
      <c r="DI114" s="171"/>
      <c r="DJ114" s="171"/>
      <c r="DK114" s="171"/>
      <c r="DL114" s="171"/>
      <c r="DM114" s="171"/>
      <c r="DN114" s="171"/>
      <c r="DO114" s="171"/>
      <c r="DP114" s="171"/>
      <c r="DQ114" s="171"/>
      <c r="DR114" s="171"/>
      <c r="DS114" s="171"/>
      <c r="DT114" s="171"/>
      <c r="DU114" s="171"/>
      <c r="DV114" s="171"/>
      <c r="DW114" s="171"/>
    </row>
    <row r="115" spans="1:127" hidden="1" outlineLevel="1" x14ac:dyDescent="0.25">
      <c r="A115" s="366">
        <v>1</v>
      </c>
      <c r="B115" s="359">
        <f t="shared" ref="B115:B135" si="480">ROUND(B$111*B31,2)</f>
        <v>137169.72</v>
      </c>
      <c r="C115" s="362">
        <f t="shared" ref="C115:C135" si="481">ROUND(C$111*C31,)</f>
        <v>585</v>
      </c>
      <c r="D115" s="379">
        <f t="shared" ref="D115:D135" si="482">B115/C115</f>
        <v>234.47815384615384</v>
      </c>
      <c r="E115" s="359">
        <f t="shared" ref="E115:E135" si="483">ROUND(E$111*E31,2)</f>
        <v>169033.14</v>
      </c>
      <c r="F115" s="362">
        <f t="shared" ref="F115:F135" si="484">ROUND(F$111*F31,)</f>
        <v>747</v>
      </c>
      <c r="G115" s="379">
        <f t="shared" ref="G115:G135" si="485">E115/F115</f>
        <v>226.28265060240966</v>
      </c>
      <c r="H115" s="359">
        <f t="shared" ref="H115:H135" si="486">ROUND(H$111*H31,2)</f>
        <v>169584.19</v>
      </c>
      <c r="I115" s="362">
        <f t="shared" ref="I115:I135" si="487">ROUND(I$111*I31,)</f>
        <v>803</v>
      </c>
      <c r="J115" s="379">
        <f t="shared" ref="J115:J135" si="488">H115/I115</f>
        <v>211.18828144458283</v>
      </c>
      <c r="K115" s="359">
        <f t="shared" ref="K115:K135" si="489">ROUND(K$111*K31,2)</f>
        <v>125912.75</v>
      </c>
      <c r="L115" s="362">
        <f t="shared" ref="L115:L135" si="490">ROUND(L$111*L31,)</f>
        <v>628</v>
      </c>
      <c r="M115" s="379">
        <f t="shared" ref="M115:M135" si="491">K115/L115</f>
        <v>200.49800955414014</v>
      </c>
      <c r="N115" s="359">
        <f t="shared" ref="N115:N135" si="492">ROUND(N$111*N31,2)</f>
        <v>206019.57</v>
      </c>
      <c r="O115" s="362">
        <f t="shared" ref="O115:O135" si="493">ROUND(O$111*O31,)</f>
        <v>972</v>
      </c>
      <c r="P115" s="379">
        <f t="shared" ref="P115:P135" si="494">N115/O115</f>
        <v>211.95429012345679</v>
      </c>
      <c r="Q115" s="359">
        <f t="shared" ref="Q115:Q135" si="495">ROUND(Q$111*Q31,2)</f>
        <v>127181.46</v>
      </c>
      <c r="R115" s="362">
        <f t="shared" ref="R115:R135" si="496">ROUND(R$111*R31,)</f>
        <v>577</v>
      </c>
      <c r="S115" s="379">
        <f t="shared" ref="S115:S135" si="497">Q115/R115</f>
        <v>220.41847487001735</v>
      </c>
      <c r="T115" s="359">
        <f t="shared" ref="T115:T135" si="498">ROUND(T$111*T31,2)</f>
        <v>188281.29</v>
      </c>
      <c r="U115" s="362">
        <f t="shared" ref="U115:U135" si="499">ROUND(U$111*U31,)</f>
        <v>883</v>
      </c>
      <c r="V115" s="379">
        <f t="shared" ref="V115:V135" si="500">T115/U115</f>
        <v>213.22909399773499</v>
      </c>
      <c r="W115" s="359">
        <f t="shared" ref="W115:W135" si="501">ROUND(W$111*W31,2)</f>
        <v>135940.94</v>
      </c>
      <c r="X115" s="362">
        <f t="shared" ref="X115:X135" si="502">ROUND(X$111*X31,)</f>
        <v>586</v>
      </c>
      <c r="Y115" s="379">
        <f t="shared" ref="Y115:Y135" si="503">W115/X115</f>
        <v>231.98112627986347</v>
      </c>
      <c r="Z115" s="359">
        <f t="shared" ref="Z115:Z135" si="504">ROUND(Z$111*Z31,2)</f>
        <v>166699.45000000001</v>
      </c>
      <c r="AA115" s="362">
        <f t="shared" ref="AA115:AA135" si="505">ROUND(AA$111*AA31,)</f>
        <v>767</v>
      </c>
      <c r="AB115" s="379">
        <f t="shared" ref="AB115:AB135" si="506">Z115/AA115</f>
        <v>217.33956975228162</v>
      </c>
      <c r="AC115" s="359">
        <f t="shared" ref="AC115:AC135" si="507">ROUND(AC$111*AC31,2)</f>
        <v>140628.20000000001</v>
      </c>
      <c r="AD115" s="362">
        <f t="shared" ref="AD115:AD135" si="508">ROUND(AD$111*AD31,)</f>
        <v>710</v>
      </c>
      <c r="AE115" s="379">
        <f t="shared" ref="AE115:AE135" si="509">AC115/AD115</f>
        <v>198.06788732394367</v>
      </c>
      <c r="AF115" s="359">
        <f>ROUND(AF$111*AF31,2)</f>
        <v>93723.54</v>
      </c>
      <c r="AG115" s="362">
        <f t="shared" ref="AG115:AG135" si="510">ROUND(AG$111*AG31,)</f>
        <v>439</v>
      </c>
      <c r="AH115" s="379">
        <f t="shared" ref="AH115:AH135" si="511">AF115/AG115</f>
        <v>213.49325740318906</v>
      </c>
      <c r="AI115" s="359">
        <f>ROUND(AI$111*AI31,2)</f>
        <v>171832.23</v>
      </c>
      <c r="AJ115" s="362">
        <f t="shared" ref="AJ115:AJ135" si="512">ROUND(AJ$111*AJ31,)</f>
        <v>792</v>
      </c>
      <c r="AK115" s="379">
        <f t="shared" ref="AK115:AK135" si="513">AI115/AJ115</f>
        <v>216.95988636363637</v>
      </c>
      <c r="AL115" s="414"/>
      <c r="AM115" s="415"/>
      <c r="AN115" s="429"/>
      <c r="AO115" s="359">
        <f>ROUND(AO$111*AO31,2)</f>
        <v>163976.67000000001</v>
      </c>
      <c r="AP115" s="362">
        <f t="shared" ref="AP115:AP135" si="514">ROUND(AP$111*AP31,)</f>
        <v>732</v>
      </c>
      <c r="AQ115" s="379">
        <f t="shared" ref="AQ115:AQ135" si="515">AO115/AP115</f>
        <v>224.01184426229511</v>
      </c>
      <c r="AR115" s="359">
        <f>ROUND(AR$111*AR31,2)</f>
        <v>189295.1</v>
      </c>
      <c r="AS115" s="362">
        <f t="shared" ref="AS115:AS135" si="516">ROUND(AS$111*AS31,)</f>
        <v>864</v>
      </c>
      <c r="AT115" s="379">
        <f t="shared" ref="AT115:AT135" si="517">AR115/AS115</f>
        <v>219.09155092592593</v>
      </c>
      <c r="AU115" s="359">
        <f>AU6</f>
        <v>183428.34</v>
      </c>
      <c r="AV115" s="362">
        <f>AV6</f>
        <v>929</v>
      </c>
      <c r="AW115" s="379">
        <f t="shared" ref="AW115:AW135" si="518">AU115/AV115</f>
        <v>197.44708288482238</v>
      </c>
      <c r="AX115" s="359">
        <f t="shared" ref="AX115:AX135" si="519">AVERAGE(B115,E115,H115,K115,N115,Q115,T115,W115,Z115,AC115,AI115,AO115,AR115)</f>
        <v>160888.82384615386</v>
      </c>
      <c r="AY115" s="362">
        <f t="shared" ref="AY115:AY135" si="520">AVERAGE(C115,F115,I115,L115,O115,R115,U115,X115,AA115,AD115,AJ115,AP115,AS115)</f>
        <v>742</v>
      </c>
      <c r="AZ115" s="379">
        <f t="shared" ref="AZ115:AZ135" si="521">AX115/AY115</f>
        <v>216.83129898403485</v>
      </c>
      <c r="BA115" s="359">
        <f>MIN(B115,E115,H115,K115,N115,Q115,T115,W115,Z115,AC115,AI115,AO115,AR115)</f>
        <v>125912.75</v>
      </c>
      <c r="BB115" s="362">
        <f t="shared" ref="BB115:BB135" si="522">MIN(C115,F115,I115,L115,O115,R115,U115,X115,AA115,AD115,AJ115,AP115,AS115)</f>
        <v>577</v>
      </c>
      <c r="BC115" s="379">
        <f t="shared" ref="BC115:BC135" si="523">BA115/BB115</f>
        <v>218.21967071057193</v>
      </c>
      <c r="BD115" s="359">
        <f>MAX(B115,E115,H115,K115,N115,Q115,T115,W115,Z115,AC115,AI115,AO115,AR115)</f>
        <v>206019.57</v>
      </c>
      <c r="BE115" s="362">
        <f t="shared" ref="BE115:BE135" si="524">MAX(C115,F115,I115,L115,O115,R115,U115,X115,AA115,AD115,AJ115,AP115,AS115)</f>
        <v>972</v>
      </c>
      <c r="BF115" s="379">
        <f t="shared" ref="BF115:BF135" si="525">BD115/BE115</f>
        <v>211.95429012345679</v>
      </c>
    </row>
    <row r="116" spans="1:127" hidden="1" outlineLevel="1" x14ac:dyDescent="0.25">
      <c r="A116" s="409">
        <v>2</v>
      </c>
      <c r="B116" s="360">
        <f t="shared" si="480"/>
        <v>155677.54999999999</v>
      </c>
      <c r="C116" s="363">
        <f t="shared" si="481"/>
        <v>657</v>
      </c>
      <c r="D116" s="380">
        <f t="shared" si="482"/>
        <v>236.9521308980213</v>
      </c>
      <c r="E116" s="360">
        <f t="shared" si="483"/>
        <v>192712.64</v>
      </c>
      <c r="F116" s="363">
        <f t="shared" si="484"/>
        <v>860</v>
      </c>
      <c r="G116" s="380">
        <f t="shared" si="485"/>
        <v>224.08446511627909</v>
      </c>
      <c r="H116" s="360">
        <f t="shared" si="486"/>
        <v>198733.37</v>
      </c>
      <c r="I116" s="363">
        <f t="shared" si="487"/>
        <v>959</v>
      </c>
      <c r="J116" s="380">
        <f t="shared" si="488"/>
        <v>207.22979144942647</v>
      </c>
      <c r="K116" s="360">
        <f t="shared" si="489"/>
        <v>157500.07999999999</v>
      </c>
      <c r="L116" s="363">
        <f t="shared" si="490"/>
        <v>792</v>
      </c>
      <c r="M116" s="380">
        <f t="shared" si="491"/>
        <v>198.86373737373737</v>
      </c>
      <c r="N116" s="360">
        <f t="shared" si="492"/>
        <v>261735.66</v>
      </c>
      <c r="O116" s="363">
        <f t="shared" si="493"/>
        <v>1228</v>
      </c>
      <c r="P116" s="380">
        <f t="shared" si="494"/>
        <v>213.13978827361564</v>
      </c>
      <c r="Q116" s="360">
        <f t="shared" si="495"/>
        <v>147664.54</v>
      </c>
      <c r="R116" s="363">
        <f t="shared" si="496"/>
        <v>683</v>
      </c>
      <c r="S116" s="380">
        <f t="shared" si="497"/>
        <v>216.19991215226941</v>
      </c>
      <c r="T116" s="360">
        <f t="shared" si="498"/>
        <v>246713.84</v>
      </c>
      <c r="U116" s="363">
        <f t="shared" si="499"/>
        <v>1162</v>
      </c>
      <c r="V116" s="380">
        <f t="shared" si="500"/>
        <v>212.31827882960414</v>
      </c>
      <c r="W116" s="360">
        <f t="shared" si="501"/>
        <v>164889.10999999999</v>
      </c>
      <c r="X116" s="363">
        <f t="shared" si="502"/>
        <v>741</v>
      </c>
      <c r="Y116" s="380">
        <f t="shared" si="503"/>
        <v>222.5224156545209</v>
      </c>
      <c r="Z116" s="360">
        <f t="shared" si="504"/>
        <v>208227.22</v>
      </c>
      <c r="AA116" s="363">
        <f t="shared" si="505"/>
        <v>969</v>
      </c>
      <c r="AB116" s="380">
        <f t="shared" si="506"/>
        <v>214.88877192982457</v>
      </c>
      <c r="AC116" s="360">
        <f t="shared" si="507"/>
        <v>192389.87</v>
      </c>
      <c r="AD116" s="363">
        <f t="shared" si="508"/>
        <v>943</v>
      </c>
      <c r="AE116" s="380">
        <f t="shared" si="509"/>
        <v>204.0189501590668</v>
      </c>
      <c r="AF116" s="360">
        <f t="shared" ref="AF116:AF135" si="526">ROUND(AF$111*AF32,2)</f>
        <v>131659.37</v>
      </c>
      <c r="AG116" s="363">
        <f t="shared" si="510"/>
        <v>625</v>
      </c>
      <c r="AH116" s="380">
        <f t="shared" si="511"/>
        <v>210.65499199999999</v>
      </c>
      <c r="AI116" s="360">
        <f t="shared" ref="AI116:AI135" si="527">ROUND(AI$111*AI32,2)</f>
        <v>236381.85</v>
      </c>
      <c r="AJ116" s="363">
        <f t="shared" si="512"/>
        <v>1103</v>
      </c>
      <c r="AK116" s="380">
        <f t="shared" si="513"/>
        <v>214.30811423390753</v>
      </c>
      <c r="AL116" s="414"/>
      <c r="AM116" s="415"/>
      <c r="AN116" s="429"/>
      <c r="AO116" s="359">
        <f t="shared" ref="AO116:AO135" si="528">ROUND(AO$111*AO32,2)</f>
        <v>210603.63</v>
      </c>
      <c r="AP116" s="362">
        <f t="shared" si="514"/>
        <v>953</v>
      </c>
      <c r="AQ116" s="379">
        <f t="shared" si="515"/>
        <v>220.99016789087094</v>
      </c>
      <c r="AR116" s="359">
        <f t="shared" ref="AR116:AR135" si="529">ROUND(AR$111*AR32,2)</f>
        <v>229962.9</v>
      </c>
      <c r="AS116" s="362">
        <f t="shared" si="516"/>
        <v>1057</v>
      </c>
      <c r="AT116" s="379">
        <f t="shared" si="517"/>
        <v>217.56187322611163</v>
      </c>
      <c r="AU116" s="359">
        <f t="shared" ref="AU116:AV116" si="530">AU7</f>
        <v>211630.27</v>
      </c>
      <c r="AV116" s="362">
        <f t="shared" si="530"/>
        <v>1062</v>
      </c>
      <c r="AW116" s="379">
        <f t="shared" ref="AW116:AW120" si="531">AU116/AV116</f>
        <v>199.27520715630885</v>
      </c>
      <c r="AX116" s="360">
        <f t="shared" si="519"/>
        <v>200245.55846153846</v>
      </c>
      <c r="AY116" s="363">
        <f t="shared" si="520"/>
        <v>931.30769230769226</v>
      </c>
      <c r="AZ116" s="380">
        <f t="shared" si="521"/>
        <v>215.01546708515735</v>
      </c>
      <c r="BA116" s="360">
        <f t="shared" ref="BA116:BA135" si="532">MIN(B116,E116,H116,K116,N116,Q116,T116,W116,Z116,AC116,AI116,AO116,AR116)</f>
        <v>147664.54</v>
      </c>
      <c r="BB116" s="363">
        <f t="shared" si="522"/>
        <v>657</v>
      </c>
      <c r="BC116" s="380">
        <f t="shared" si="523"/>
        <v>224.7557686453577</v>
      </c>
      <c r="BD116" s="360">
        <f t="shared" ref="BD116:BD135" si="533">MAX(B116,E116,H116,K116,N116,Q116,T116,W116,Z116,AC116,AI116,AO116,AR116)</f>
        <v>261735.66</v>
      </c>
      <c r="BE116" s="363">
        <f t="shared" si="524"/>
        <v>1228</v>
      </c>
      <c r="BF116" s="380">
        <f t="shared" si="525"/>
        <v>213.13978827361564</v>
      </c>
    </row>
    <row r="117" spans="1:127" hidden="1" outlineLevel="1" x14ac:dyDescent="0.25">
      <c r="A117" s="366">
        <v>3</v>
      </c>
      <c r="B117" s="359">
        <f t="shared" si="480"/>
        <v>164128.20000000001</v>
      </c>
      <c r="C117" s="362">
        <f t="shared" si="481"/>
        <v>721</v>
      </c>
      <c r="D117" s="379">
        <f t="shared" si="482"/>
        <v>227.63966712898753</v>
      </c>
      <c r="E117" s="359">
        <f t="shared" si="483"/>
        <v>209753.32</v>
      </c>
      <c r="F117" s="362">
        <f t="shared" si="484"/>
        <v>935</v>
      </c>
      <c r="G117" s="379">
        <f t="shared" si="485"/>
        <v>224.33510160427809</v>
      </c>
      <c r="H117" s="359">
        <f t="shared" si="486"/>
        <v>210911.08</v>
      </c>
      <c r="I117" s="362">
        <f t="shared" si="487"/>
        <v>1021</v>
      </c>
      <c r="J117" s="379">
        <f t="shared" si="488"/>
        <v>206.57304603330067</v>
      </c>
      <c r="K117" s="359">
        <f t="shared" si="489"/>
        <v>177653.05</v>
      </c>
      <c r="L117" s="362">
        <f t="shared" si="490"/>
        <v>885</v>
      </c>
      <c r="M117" s="379">
        <f t="shared" si="491"/>
        <v>200.73790960451976</v>
      </c>
      <c r="N117" s="359">
        <f t="shared" si="492"/>
        <v>281287.26</v>
      </c>
      <c r="O117" s="362">
        <f t="shared" si="493"/>
        <v>1326</v>
      </c>
      <c r="P117" s="379">
        <f t="shared" si="494"/>
        <v>212.13217194570137</v>
      </c>
      <c r="Q117" s="359">
        <f t="shared" si="495"/>
        <v>176512.84</v>
      </c>
      <c r="R117" s="362">
        <f t="shared" si="496"/>
        <v>812</v>
      </c>
      <c r="S117" s="379">
        <f t="shared" si="497"/>
        <v>217.38034482758621</v>
      </c>
      <c r="T117" s="359">
        <f t="shared" si="498"/>
        <v>272053.24</v>
      </c>
      <c r="U117" s="362">
        <f t="shared" si="499"/>
        <v>1276</v>
      </c>
      <c r="V117" s="379">
        <f t="shared" si="500"/>
        <v>213.20786833855797</v>
      </c>
      <c r="W117" s="359">
        <f t="shared" si="501"/>
        <v>194264.56</v>
      </c>
      <c r="X117" s="362">
        <f t="shared" si="502"/>
        <v>857</v>
      </c>
      <c r="Y117" s="379">
        <f t="shared" si="503"/>
        <v>226.6797666277713</v>
      </c>
      <c r="Z117" s="359">
        <f t="shared" si="504"/>
        <v>246725.75</v>
      </c>
      <c r="AA117" s="362">
        <f t="shared" si="505"/>
        <v>1146</v>
      </c>
      <c r="AB117" s="379">
        <f t="shared" si="506"/>
        <v>215.29297556719024</v>
      </c>
      <c r="AC117" s="359">
        <f t="shared" si="507"/>
        <v>221417.47</v>
      </c>
      <c r="AD117" s="362">
        <f t="shared" si="508"/>
        <v>1070</v>
      </c>
      <c r="AE117" s="379">
        <f t="shared" si="509"/>
        <v>206.93221495327103</v>
      </c>
      <c r="AF117" s="359">
        <f t="shared" si="526"/>
        <v>155014.51</v>
      </c>
      <c r="AG117" s="362">
        <f t="shared" si="510"/>
        <v>735</v>
      </c>
      <c r="AH117" s="379">
        <f t="shared" si="511"/>
        <v>210.90409523809524</v>
      </c>
      <c r="AI117" s="359">
        <f t="shared" si="527"/>
        <v>260402.62</v>
      </c>
      <c r="AJ117" s="362">
        <f t="shared" si="512"/>
        <v>1224</v>
      </c>
      <c r="AK117" s="379">
        <f t="shared" si="513"/>
        <v>212.7472385620915</v>
      </c>
      <c r="AL117" s="414"/>
      <c r="AM117" s="415"/>
      <c r="AN117" s="429"/>
      <c r="AO117" s="359">
        <f t="shared" si="528"/>
        <v>234304.1</v>
      </c>
      <c r="AP117" s="362">
        <f t="shared" si="514"/>
        <v>1072</v>
      </c>
      <c r="AQ117" s="379">
        <f t="shared" si="515"/>
        <v>218.56725746268657</v>
      </c>
      <c r="AR117" s="359">
        <f t="shared" si="529"/>
        <v>256330.45</v>
      </c>
      <c r="AS117" s="362">
        <f t="shared" si="516"/>
        <v>1193</v>
      </c>
      <c r="AT117" s="379">
        <f t="shared" si="517"/>
        <v>214.86207041072927</v>
      </c>
      <c r="AU117" s="359">
        <f t="shared" ref="AU117:AV117" si="534">AU8</f>
        <v>226553.17</v>
      </c>
      <c r="AV117" s="362">
        <f t="shared" si="534"/>
        <v>1134</v>
      </c>
      <c r="AW117" s="379">
        <f t="shared" si="531"/>
        <v>199.7823368606702</v>
      </c>
      <c r="AX117" s="359">
        <f t="shared" si="519"/>
        <v>223518.76461538466</v>
      </c>
      <c r="AY117" s="362">
        <f t="shared" si="520"/>
        <v>1041.3846153846155</v>
      </c>
      <c r="AZ117" s="379">
        <f t="shared" si="521"/>
        <v>214.63613089082585</v>
      </c>
      <c r="BA117" s="359">
        <f t="shared" si="532"/>
        <v>164128.20000000001</v>
      </c>
      <c r="BB117" s="362">
        <f t="shared" si="522"/>
        <v>721</v>
      </c>
      <c r="BC117" s="379">
        <f t="shared" si="523"/>
        <v>227.63966712898753</v>
      </c>
      <c r="BD117" s="359">
        <f t="shared" si="533"/>
        <v>281287.26</v>
      </c>
      <c r="BE117" s="362">
        <f t="shared" si="524"/>
        <v>1326</v>
      </c>
      <c r="BF117" s="379">
        <f t="shared" si="525"/>
        <v>212.13217194570137</v>
      </c>
    </row>
    <row r="118" spans="1:127" hidden="1" outlineLevel="1" x14ac:dyDescent="0.25">
      <c r="A118" s="366">
        <v>4</v>
      </c>
      <c r="B118" s="360">
        <f t="shared" si="480"/>
        <v>175336.91</v>
      </c>
      <c r="C118" s="363">
        <f t="shared" si="481"/>
        <v>761</v>
      </c>
      <c r="D118" s="380">
        <f t="shared" si="482"/>
        <v>230.40329829172143</v>
      </c>
      <c r="E118" s="360">
        <f t="shared" si="483"/>
        <v>233343.32</v>
      </c>
      <c r="F118" s="363">
        <f t="shared" si="484"/>
        <v>1031</v>
      </c>
      <c r="G118" s="380">
        <f t="shared" si="485"/>
        <v>226.32717749757518</v>
      </c>
      <c r="H118" s="360">
        <f t="shared" si="486"/>
        <v>223414.9</v>
      </c>
      <c r="I118" s="363">
        <f t="shared" si="487"/>
        <v>1087</v>
      </c>
      <c r="J118" s="380">
        <f t="shared" si="488"/>
        <v>205.53348666053358</v>
      </c>
      <c r="K118" s="360">
        <f t="shared" si="489"/>
        <v>194685.82</v>
      </c>
      <c r="L118" s="363">
        <f t="shared" si="490"/>
        <v>973</v>
      </c>
      <c r="M118" s="380">
        <f t="shared" si="491"/>
        <v>200.08820143884893</v>
      </c>
      <c r="N118" s="360">
        <f t="shared" si="492"/>
        <v>292961.74</v>
      </c>
      <c r="O118" s="363">
        <f t="shared" si="493"/>
        <v>1386</v>
      </c>
      <c r="P118" s="380">
        <f t="shared" si="494"/>
        <v>211.37210678210678</v>
      </c>
      <c r="Q118" s="360">
        <f t="shared" si="495"/>
        <v>189829.44</v>
      </c>
      <c r="R118" s="363">
        <f t="shared" si="496"/>
        <v>880</v>
      </c>
      <c r="S118" s="380">
        <f t="shared" si="497"/>
        <v>215.71527272727272</v>
      </c>
      <c r="T118" s="360">
        <f t="shared" si="498"/>
        <v>288887.90000000002</v>
      </c>
      <c r="U118" s="363">
        <f t="shared" si="499"/>
        <v>1354</v>
      </c>
      <c r="V118" s="380">
        <f t="shared" si="500"/>
        <v>213.35886262924669</v>
      </c>
      <c r="W118" s="360">
        <f t="shared" si="501"/>
        <v>211589.72</v>
      </c>
      <c r="X118" s="363">
        <f t="shared" si="502"/>
        <v>939</v>
      </c>
      <c r="Y118" s="380">
        <f t="shared" si="503"/>
        <v>225.33516506922257</v>
      </c>
      <c r="Z118" s="360">
        <f t="shared" si="504"/>
        <v>269028.27</v>
      </c>
      <c r="AA118" s="363">
        <f t="shared" si="505"/>
        <v>1250</v>
      </c>
      <c r="AB118" s="380">
        <f t="shared" si="506"/>
        <v>215.22261600000002</v>
      </c>
      <c r="AC118" s="360">
        <f t="shared" si="507"/>
        <v>239540.79</v>
      </c>
      <c r="AD118" s="363">
        <f t="shared" si="508"/>
        <v>1165</v>
      </c>
      <c r="AE118" s="380">
        <f t="shared" si="509"/>
        <v>205.61441201716738</v>
      </c>
      <c r="AF118" s="360">
        <f t="shared" si="526"/>
        <v>165296.73000000001</v>
      </c>
      <c r="AG118" s="363">
        <f t="shared" si="510"/>
        <v>788</v>
      </c>
      <c r="AH118" s="380">
        <f t="shared" si="511"/>
        <v>209.76742385786804</v>
      </c>
      <c r="AI118" s="360">
        <f t="shared" si="527"/>
        <v>286316.45</v>
      </c>
      <c r="AJ118" s="363">
        <f t="shared" si="512"/>
        <v>1336</v>
      </c>
      <c r="AK118" s="380">
        <f t="shared" si="513"/>
        <v>214.30872005988024</v>
      </c>
      <c r="AL118" s="414"/>
      <c r="AM118" s="415"/>
      <c r="AN118" s="429"/>
      <c r="AO118" s="359">
        <f t="shared" si="528"/>
        <v>249056.34</v>
      </c>
      <c r="AP118" s="362">
        <f t="shared" si="514"/>
        <v>1149</v>
      </c>
      <c r="AQ118" s="379">
        <f t="shared" si="515"/>
        <v>216.75921671018276</v>
      </c>
      <c r="AR118" s="359">
        <f t="shared" si="529"/>
        <v>278495.74</v>
      </c>
      <c r="AS118" s="362">
        <f t="shared" si="516"/>
        <v>1301</v>
      </c>
      <c r="AT118" s="379">
        <f t="shared" si="517"/>
        <v>214.0628285933897</v>
      </c>
      <c r="AU118" s="359">
        <f t="shared" ref="AU118:AV118" si="535">AU9</f>
        <v>277418.56</v>
      </c>
      <c r="AV118" s="362">
        <f t="shared" si="535"/>
        <v>1388</v>
      </c>
      <c r="AW118" s="379">
        <f t="shared" si="531"/>
        <v>199.86927953890489</v>
      </c>
      <c r="AX118" s="360">
        <f t="shared" si="519"/>
        <v>240960.56461538462</v>
      </c>
      <c r="AY118" s="363">
        <f t="shared" si="520"/>
        <v>1124</v>
      </c>
      <c r="AZ118" s="380">
        <f t="shared" si="521"/>
        <v>214.37772652614291</v>
      </c>
      <c r="BA118" s="360">
        <f t="shared" si="532"/>
        <v>175336.91</v>
      </c>
      <c r="BB118" s="363">
        <f t="shared" si="522"/>
        <v>761</v>
      </c>
      <c r="BC118" s="380">
        <f t="shared" si="523"/>
        <v>230.40329829172143</v>
      </c>
      <c r="BD118" s="360">
        <f t="shared" si="533"/>
        <v>292961.74</v>
      </c>
      <c r="BE118" s="363">
        <f t="shared" si="524"/>
        <v>1386</v>
      </c>
      <c r="BF118" s="380">
        <f t="shared" si="525"/>
        <v>211.37210678210678</v>
      </c>
    </row>
    <row r="119" spans="1:127" hidden="1" outlineLevel="1" x14ac:dyDescent="0.25">
      <c r="A119" s="366">
        <v>5</v>
      </c>
      <c r="B119" s="359">
        <f t="shared" si="480"/>
        <v>203242.6</v>
      </c>
      <c r="C119" s="362">
        <f t="shared" si="481"/>
        <v>889</v>
      </c>
      <c r="D119" s="379">
        <f t="shared" si="482"/>
        <v>228.61934758155232</v>
      </c>
      <c r="E119" s="359">
        <f t="shared" si="483"/>
        <v>245609.19</v>
      </c>
      <c r="F119" s="362">
        <f t="shared" si="484"/>
        <v>1102</v>
      </c>
      <c r="G119" s="379">
        <f t="shared" si="485"/>
        <v>222.87585299455534</v>
      </c>
      <c r="H119" s="359">
        <f t="shared" si="486"/>
        <v>236487.07</v>
      </c>
      <c r="I119" s="362">
        <f t="shared" si="487"/>
        <v>1153</v>
      </c>
      <c r="J119" s="379">
        <f t="shared" si="488"/>
        <v>205.10587163920209</v>
      </c>
      <c r="K119" s="359">
        <f t="shared" si="489"/>
        <v>209432.99</v>
      </c>
      <c r="L119" s="362">
        <f t="shared" si="490"/>
        <v>1044</v>
      </c>
      <c r="M119" s="379">
        <f t="shared" si="491"/>
        <v>200.60631226053638</v>
      </c>
      <c r="N119" s="359">
        <f t="shared" si="492"/>
        <v>301387.57</v>
      </c>
      <c r="O119" s="362">
        <f t="shared" si="493"/>
        <v>1428</v>
      </c>
      <c r="P119" s="379">
        <f t="shared" si="494"/>
        <v>211.0557212885154</v>
      </c>
      <c r="Q119" s="359">
        <f t="shared" si="495"/>
        <v>202350.45</v>
      </c>
      <c r="R119" s="362">
        <f t="shared" si="496"/>
        <v>954</v>
      </c>
      <c r="S119" s="379">
        <f t="shared" si="497"/>
        <v>212.10738993710694</v>
      </c>
      <c r="T119" s="359">
        <f t="shared" si="498"/>
        <v>296380.64</v>
      </c>
      <c r="U119" s="362">
        <f t="shared" si="499"/>
        <v>1384</v>
      </c>
      <c r="V119" s="379">
        <f t="shared" si="500"/>
        <v>214.14786127167631</v>
      </c>
      <c r="W119" s="359">
        <f t="shared" si="501"/>
        <v>225633.99</v>
      </c>
      <c r="X119" s="362">
        <f t="shared" si="502"/>
        <v>1012</v>
      </c>
      <c r="Y119" s="379">
        <f t="shared" si="503"/>
        <v>222.95848814229248</v>
      </c>
      <c r="Z119" s="359">
        <f t="shared" si="504"/>
        <v>286366.67</v>
      </c>
      <c r="AA119" s="362">
        <f t="shared" si="505"/>
        <v>1328</v>
      </c>
      <c r="AB119" s="379">
        <f t="shared" si="506"/>
        <v>215.63755271084335</v>
      </c>
      <c r="AC119" s="359">
        <f t="shared" si="507"/>
        <v>252666.31</v>
      </c>
      <c r="AD119" s="362">
        <f t="shared" si="508"/>
        <v>1228</v>
      </c>
      <c r="AE119" s="379">
        <f t="shared" si="509"/>
        <v>205.75432410423451</v>
      </c>
      <c r="AF119" s="359">
        <f t="shared" si="526"/>
        <v>178828.85</v>
      </c>
      <c r="AG119" s="362">
        <f t="shared" si="510"/>
        <v>857</v>
      </c>
      <c r="AH119" s="379">
        <f t="shared" si="511"/>
        <v>208.66843640606768</v>
      </c>
      <c r="AI119" s="359">
        <f t="shared" si="527"/>
        <v>297635.14</v>
      </c>
      <c r="AJ119" s="362">
        <f t="shared" si="512"/>
        <v>1395</v>
      </c>
      <c r="AK119" s="379">
        <f t="shared" si="513"/>
        <v>213.35852329749105</v>
      </c>
      <c r="AL119" s="414"/>
      <c r="AM119" s="415"/>
      <c r="AN119" s="429"/>
      <c r="AO119" s="359">
        <f t="shared" si="528"/>
        <v>262843.40999999997</v>
      </c>
      <c r="AP119" s="362">
        <f t="shared" si="514"/>
        <v>1221</v>
      </c>
      <c r="AQ119" s="379">
        <f t="shared" si="515"/>
        <v>215.26896805896803</v>
      </c>
      <c r="AR119" s="359">
        <f t="shared" si="529"/>
        <v>288402.61</v>
      </c>
      <c r="AS119" s="362">
        <f t="shared" si="516"/>
        <v>1354</v>
      </c>
      <c r="AT119" s="379">
        <f t="shared" si="517"/>
        <v>213.00045051698669</v>
      </c>
      <c r="AU119" s="359">
        <f t="shared" ref="AU119:AV119" si="536">AU10</f>
        <v>300513.95</v>
      </c>
      <c r="AV119" s="362">
        <f t="shared" si="536"/>
        <v>1511</v>
      </c>
      <c r="AW119" s="379">
        <f t="shared" si="531"/>
        <v>198.88414956982132</v>
      </c>
      <c r="AX119" s="359">
        <f t="shared" si="519"/>
        <v>254495.28000000006</v>
      </c>
      <c r="AY119" s="362">
        <f t="shared" si="520"/>
        <v>1191.6923076923076</v>
      </c>
      <c r="AZ119" s="379">
        <f t="shared" si="521"/>
        <v>213.55787761425259</v>
      </c>
      <c r="BA119" s="359">
        <f t="shared" si="532"/>
        <v>202350.45</v>
      </c>
      <c r="BB119" s="362">
        <f t="shared" si="522"/>
        <v>889</v>
      </c>
      <c r="BC119" s="379">
        <f t="shared" si="523"/>
        <v>227.61580427446572</v>
      </c>
      <c r="BD119" s="359">
        <f t="shared" si="533"/>
        <v>301387.57</v>
      </c>
      <c r="BE119" s="362">
        <f t="shared" si="524"/>
        <v>1428</v>
      </c>
      <c r="BF119" s="379">
        <f t="shared" si="525"/>
        <v>211.0557212885154</v>
      </c>
    </row>
    <row r="120" spans="1:127" hidden="1" outlineLevel="1" x14ac:dyDescent="0.25">
      <c r="A120" s="366">
        <v>6</v>
      </c>
      <c r="B120" s="360">
        <f t="shared" si="480"/>
        <v>209603.8</v>
      </c>
      <c r="C120" s="363">
        <f t="shared" si="481"/>
        <v>922</v>
      </c>
      <c r="D120" s="380">
        <f t="shared" si="482"/>
        <v>227.33600867678959</v>
      </c>
      <c r="E120" s="360">
        <f t="shared" si="483"/>
        <v>253520.52</v>
      </c>
      <c r="F120" s="363">
        <f t="shared" si="484"/>
        <v>1144</v>
      </c>
      <c r="G120" s="380">
        <f t="shared" si="485"/>
        <v>221.60884615384614</v>
      </c>
      <c r="H120" s="360">
        <f t="shared" si="486"/>
        <v>250770.49</v>
      </c>
      <c r="I120" s="363">
        <f t="shared" si="487"/>
        <v>1210</v>
      </c>
      <c r="J120" s="380">
        <f t="shared" si="488"/>
        <v>207.24833884297519</v>
      </c>
      <c r="K120" s="360">
        <f t="shared" si="489"/>
        <v>240635.11</v>
      </c>
      <c r="L120" s="363">
        <f t="shared" si="490"/>
        <v>1202</v>
      </c>
      <c r="M120" s="380">
        <f t="shared" si="491"/>
        <v>200.19559900166388</v>
      </c>
      <c r="N120" s="360">
        <f t="shared" si="492"/>
        <v>311303.40999999997</v>
      </c>
      <c r="O120" s="363">
        <f t="shared" si="493"/>
        <v>1483</v>
      </c>
      <c r="P120" s="380">
        <f t="shared" si="494"/>
        <v>209.91463924477409</v>
      </c>
      <c r="Q120" s="360">
        <f t="shared" si="495"/>
        <v>231407.23</v>
      </c>
      <c r="R120" s="363">
        <f t="shared" si="496"/>
        <v>1103</v>
      </c>
      <c r="S120" s="380">
        <f t="shared" si="497"/>
        <v>209.79803263825931</v>
      </c>
      <c r="T120" s="360">
        <f t="shared" si="498"/>
        <v>303348.90999999997</v>
      </c>
      <c r="U120" s="363">
        <f t="shared" si="499"/>
        <v>1415</v>
      </c>
      <c r="V120" s="380">
        <f t="shared" si="500"/>
        <v>214.38085512367491</v>
      </c>
      <c r="W120" s="360">
        <f t="shared" si="501"/>
        <v>231737.98</v>
      </c>
      <c r="X120" s="363">
        <f t="shared" si="502"/>
        <v>1038</v>
      </c>
      <c r="Y120" s="380">
        <f t="shared" si="503"/>
        <v>223.25431599229287</v>
      </c>
      <c r="Z120" s="360">
        <f t="shared" si="504"/>
        <v>301802.78999999998</v>
      </c>
      <c r="AA120" s="363">
        <f t="shared" si="505"/>
        <v>1413</v>
      </c>
      <c r="AB120" s="380">
        <f t="shared" si="506"/>
        <v>213.59008492569001</v>
      </c>
      <c r="AC120" s="360">
        <f t="shared" si="507"/>
        <v>273229.63</v>
      </c>
      <c r="AD120" s="363">
        <f t="shared" si="508"/>
        <v>1303</v>
      </c>
      <c r="AE120" s="380">
        <f t="shared" si="509"/>
        <v>209.69273215656179</v>
      </c>
      <c r="AF120" s="360">
        <f t="shared" si="526"/>
        <v>202148.48000000001</v>
      </c>
      <c r="AG120" s="363">
        <f t="shared" si="510"/>
        <v>964</v>
      </c>
      <c r="AH120" s="380">
        <f t="shared" si="511"/>
        <v>209.69759336099585</v>
      </c>
      <c r="AI120" s="360">
        <f t="shared" si="527"/>
        <v>307921.25</v>
      </c>
      <c r="AJ120" s="363">
        <f t="shared" si="512"/>
        <v>1445</v>
      </c>
      <c r="AK120" s="380">
        <f t="shared" si="513"/>
        <v>213.09429065743944</v>
      </c>
      <c r="AL120" s="414"/>
      <c r="AM120" s="415"/>
      <c r="AN120" s="429"/>
      <c r="AO120" s="359">
        <f t="shared" si="528"/>
        <v>279761.71000000002</v>
      </c>
      <c r="AP120" s="362">
        <f t="shared" si="514"/>
        <v>1305</v>
      </c>
      <c r="AQ120" s="379">
        <f t="shared" si="515"/>
        <v>214.37678927203066</v>
      </c>
      <c r="AR120" s="359">
        <f t="shared" si="529"/>
        <v>298175.63</v>
      </c>
      <c r="AS120" s="362">
        <f t="shared" si="516"/>
        <v>1407</v>
      </c>
      <c r="AT120" s="379">
        <f t="shared" si="517"/>
        <v>211.92297796730634</v>
      </c>
      <c r="AU120" s="359">
        <f t="shared" ref="AU120:AV120" si="537">AU11</f>
        <v>317794.57</v>
      </c>
      <c r="AV120" s="362">
        <f t="shared" si="537"/>
        <v>1598</v>
      </c>
      <c r="AW120" s="379">
        <f t="shared" si="531"/>
        <v>198.87019399249061</v>
      </c>
      <c r="AX120" s="360">
        <f t="shared" si="519"/>
        <v>268709.1123076923</v>
      </c>
      <c r="AY120" s="363">
        <f t="shared" si="520"/>
        <v>1260.7692307692307</v>
      </c>
      <c r="AZ120" s="380">
        <f t="shared" si="521"/>
        <v>213.13108358755338</v>
      </c>
      <c r="BA120" s="360">
        <f t="shared" si="532"/>
        <v>209603.8</v>
      </c>
      <c r="BB120" s="363">
        <f t="shared" si="522"/>
        <v>922</v>
      </c>
      <c r="BC120" s="380">
        <f t="shared" si="523"/>
        <v>227.33600867678959</v>
      </c>
      <c r="BD120" s="360">
        <f t="shared" si="533"/>
        <v>311303.40999999997</v>
      </c>
      <c r="BE120" s="363">
        <f t="shared" si="524"/>
        <v>1483</v>
      </c>
      <c r="BF120" s="380">
        <f t="shared" si="525"/>
        <v>209.91463924477409</v>
      </c>
    </row>
    <row r="121" spans="1:127" hidden="1" outlineLevel="1" x14ac:dyDescent="0.25">
      <c r="A121" s="692">
        <v>7</v>
      </c>
      <c r="B121" s="359">
        <f t="shared" si="480"/>
        <v>224545.65</v>
      </c>
      <c r="C121" s="362">
        <f t="shared" si="481"/>
        <v>994</v>
      </c>
      <c r="D121" s="379">
        <f t="shared" si="482"/>
        <v>225.90105633802816</v>
      </c>
      <c r="E121" s="359">
        <f t="shared" si="483"/>
        <v>270934.78000000003</v>
      </c>
      <c r="F121" s="362">
        <f t="shared" si="484"/>
        <v>1231</v>
      </c>
      <c r="G121" s="379">
        <f t="shared" si="485"/>
        <v>220.09324126726241</v>
      </c>
      <c r="H121" s="359">
        <f t="shared" si="486"/>
        <v>260795.91</v>
      </c>
      <c r="I121" s="362">
        <f t="shared" si="487"/>
        <v>1268</v>
      </c>
      <c r="J121" s="379">
        <f t="shared" si="488"/>
        <v>205.67500788643534</v>
      </c>
      <c r="K121" s="359">
        <f t="shared" si="489"/>
        <v>258239.27</v>
      </c>
      <c r="L121" s="362">
        <f t="shared" si="490"/>
        <v>1289</v>
      </c>
      <c r="M121" s="379">
        <f t="shared" si="491"/>
        <v>200.34078355314196</v>
      </c>
      <c r="N121" s="359">
        <f t="shared" si="492"/>
        <v>338174.23</v>
      </c>
      <c r="O121" s="362">
        <f t="shared" si="493"/>
        <v>1624</v>
      </c>
      <c r="P121" s="379">
        <f t="shared" si="494"/>
        <v>208.23536330049259</v>
      </c>
      <c r="Q121" s="359">
        <f t="shared" si="495"/>
        <v>252153.97</v>
      </c>
      <c r="R121" s="362">
        <f t="shared" si="496"/>
        <v>1199</v>
      </c>
      <c r="S121" s="379">
        <f t="shared" si="497"/>
        <v>210.30356130108424</v>
      </c>
      <c r="T121" s="359">
        <f t="shared" si="498"/>
        <v>312003.84999999998</v>
      </c>
      <c r="U121" s="362">
        <f t="shared" si="499"/>
        <v>1457</v>
      </c>
      <c r="V121" s="379">
        <f t="shared" si="500"/>
        <v>214.14128345916265</v>
      </c>
      <c r="W121" s="359">
        <f t="shared" si="501"/>
        <v>254429.56</v>
      </c>
      <c r="X121" s="362">
        <f t="shared" si="502"/>
        <v>1129</v>
      </c>
      <c r="Y121" s="379">
        <f t="shared" si="503"/>
        <v>225.35833480956597</v>
      </c>
      <c r="Z121" s="359">
        <f t="shared" si="504"/>
        <v>317132.56</v>
      </c>
      <c r="AA121" s="362">
        <f t="shared" si="505"/>
        <v>1494</v>
      </c>
      <c r="AB121" s="379">
        <f t="shared" si="506"/>
        <v>212.27078982597055</v>
      </c>
      <c r="AC121" s="359">
        <f t="shared" si="507"/>
        <v>281475.15000000002</v>
      </c>
      <c r="AD121" s="362">
        <f t="shared" si="508"/>
        <v>1345</v>
      </c>
      <c r="AE121" s="379">
        <f t="shared" si="509"/>
        <v>209.27520446096656</v>
      </c>
      <c r="AF121" s="359">
        <f t="shared" si="526"/>
        <v>223560.32000000001</v>
      </c>
      <c r="AG121" s="362">
        <f t="shared" si="510"/>
        <v>1062</v>
      </c>
      <c r="AH121" s="379">
        <f t="shared" si="511"/>
        <v>210.50877589453862</v>
      </c>
      <c r="AI121" s="359">
        <f t="shared" si="527"/>
        <v>321503.67</v>
      </c>
      <c r="AJ121" s="362">
        <f t="shared" si="512"/>
        <v>1509</v>
      </c>
      <c r="AK121" s="379">
        <f t="shared" si="513"/>
        <v>213.05743538767393</v>
      </c>
      <c r="AL121" s="414"/>
      <c r="AM121" s="415"/>
      <c r="AN121" s="429"/>
      <c r="AO121" s="359">
        <f t="shared" si="528"/>
        <v>292836.03999999998</v>
      </c>
      <c r="AP121" s="362">
        <f t="shared" si="514"/>
        <v>1378</v>
      </c>
      <c r="AQ121" s="379">
        <f t="shared" si="515"/>
        <v>212.50801161103047</v>
      </c>
      <c r="AR121" s="359">
        <f t="shared" si="529"/>
        <v>311199.92</v>
      </c>
      <c r="AS121" s="362">
        <f t="shared" si="516"/>
        <v>1465</v>
      </c>
      <c r="AT121" s="379">
        <f t="shared" si="517"/>
        <v>212.42315358361773</v>
      </c>
      <c r="AU121" s="359">
        <f t="shared" ref="AU121:AV135" si="538">AU12</f>
        <v>329589.40000000002</v>
      </c>
      <c r="AV121" s="362">
        <f t="shared" si="538"/>
        <v>1658</v>
      </c>
      <c r="AW121" s="379">
        <f t="shared" si="518"/>
        <v>198.7873341375151</v>
      </c>
      <c r="AX121" s="359">
        <f t="shared" si="519"/>
        <v>284263.42769230768</v>
      </c>
      <c r="AY121" s="362">
        <f t="shared" si="520"/>
        <v>1337.0769230769231</v>
      </c>
      <c r="AZ121" s="379">
        <f t="shared" si="521"/>
        <v>212.60065354964905</v>
      </c>
      <c r="BA121" s="359">
        <f t="shared" si="532"/>
        <v>224545.65</v>
      </c>
      <c r="BB121" s="362">
        <f t="shared" si="522"/>
        <v>994</v>
      </c>
      <c r="BC121" s="379">
        <f t="shared" si="523"/>
        <v>225.90105633802816</v>
      </c>
      <c r="BD121" s="359">
        <f t="shared" si="533"/>
        <v>338174.23</v>
      </c>
      <c r="BE121" s="362">
        <f t="shared" si="524"/>
        <v>1624</v>
      </c>
      <c r="BF121" s="379">
        <f t="shared" si="525"/>
        <v>208.23536330049259</v>
      </c>
    </row>
    <row r="122" spans="1:127" hidden="1" outlineLevel="1" x14ac:dyDescent="0.25">
      <c r="A122" s="692">
        <v>8</v>
      </c>
      <c r="B122" s="360">
        <f t="shared" si="480"/>
        <v>247752.41</v>
      </c>
      <c r="C122" s="363">
        <f t="shared" si="481"/>
        <v>1090</v>
      </c>
      <c r="D122" s="380">
        <f t="shared" si="482"/>
        <v>227.29578899082568</v>
      </c>
      <c r="E122" s="360">
        <f t="shared" si="483"/>
        <v>283231.78000000003</v>
      </c>
      <c r="F122" s="363">
        <f t="shared" si="484"/>
        <v>1285</v>
      </c>
      <c r="G122" s="380">
        <f t="shared" si="485"/>
        <v>220.41383657587551</v>
      </c>
      <c r="H122" s="360">
        <f t="shared" si="486"/>
        <v>273905.34999999998</v>
      </c>
      <c r="I122" s="363">
        <f t="shared" si="487"/>
        <v>1338</v>
      </c>
      <c r="J122" s="380">
        <f t="shared" si="488"/>
        <v>204.71251868460388</v>
      </c>
      <c r="K122" s="360">
        <f t="shared" si="489"/>
        <v>280986</v>
      </c>
      <c r="L122" s="363">
        <f t="shared" si="490"/>
        <v>1382</v>
      </c>
      <c r="M122" s="380">
        <f t="shared" si="491"/>
        <v>203.31837916063677</v>
      </c>
      <c r="N122" s="360">
        <f t="shared" si="492"/>
        <v>353916.99</v>
      </c>
      <c r="O122" s="363">
        <f t="shared" si="493"/>
        <v>1687</v>
      </c>
      <c r="P122" s="380">
        <f t="shared" si="494"/>
        <v>209.7907468879668</v>
      </c>
      <c r="Q122" s="360">
        <f t="shared" si="495"/>
        <v>280309.38</v>
      </c>
      <c r="R122" s="363">
        <f t="shared" si="496"/>
        <v>1340</v>
      </c>
      <c r="S122" s="380">
        <f t="shared" si="497"/>
        <v>209.18610447761193</v>
      </c>
      <c r="T122" s="360">
        <f t="shared" si="498"/>
        <v>320220.51</v>
      </c>
      <c r="U122" s="363">
        <f t="shared" si="499"/>
        <v>1501</v>
      </c>
      <c r="V122" s="380">
        <f t="shared" si="500"/>
        <v>213.33811459027316</v>
      </c>
      <c r="W122" s="360">
        <f t="shared" si="501"/>
        <v>277131.31</v>
      </c>
      <c r="X122" s="363">
        <f t="shared" si="502"/>
        <v>1236</v>
      </c>
      <c r="Y122" s="380">
        <f t="shared" si="503"/>
        <v>224.2162702265372</v>
      </c>
      <c r="Z122" s="360">
        <f t="shared" si="504"/>
        <v>331548.07</v>
      </c>
      <c r="AA122" s="363">
        <f t="shared" si="505"/>
        <v>1559</v>
      </c>
      <c r="AB122" s="380">
        <f t="shared" si="506"/>
        <v>212.6671391917896</v>
      </c>
      <c r="AC122" s="360">
        <f t="shared" si="507"/>
        <v>297377.21999999997</v>
      </c>
      <c r="AD122" s="363">
        <f t="shared" si="508"/>
        <v>1419</v>
      </c>
      <c r="AE122" s="380">
        <f t="shared" si="509"/>
        <v>209.56816067653276</v>
      </c>
      <c r="AF122" s="360">
        <f t="shared" si="526"/>
        <v>243973.28</v>
      </c>
      <c r="AG122" s="363">
        <f t="shared" si="510"/>
        <v>1162</v>
      </c>
      <c r="AH122" s="380">
        <f t="shared" si="511"/>
        <v>209.95979345955249</v>
      </c>
      <c r="AI122" s="360">
        <f t="shared" si="527"/>
        <v>333173.17</v>
      </c>
      <c r="AJ122" s="363">
        <f t="shared" si="512"/>
        <v>1568</v>
      </c>
      <c r="AK122" s="380">
        <f t="shared" si="513"/>
        <v>212.48288903061223</v>
      </c>
      <c r="AL122" s="414"/>
      <c r="AM122" s="415"/>
      <c r="AN122" s="429"/>
      <c r="AO122" s="360">
        <f t="shared" si="528"/>
        <v>306498.75</v>
      </c>
      <c r="AP122" s="363">
        <f t="shared" si="514"/>
        <v>1443</v>
      </c>
      <c r="AQ122" s="380">
        <f t="shared" si="515"/>
        <v>212.40384615384616</v>
      </c>
      <c r="AR122" s="360">
        <f t="shared" si="529"/>
        <v>324304.53000000003</v>
      </c>
      <c r="AS122" s="363">
        <f t="shared" si="516"/>
        <v>1511</v>
      </c>
      <c r="AT122" s="380">
        <f t="shared" si="517"/>
        <v>214.62907346128392</v>
      </c>
      <c r="AU122" s="360">
        <f t="shared" si="538"/>
        <v>341743.05</v>
      </c>
      <c r="AV122" s="363">
        <f t="shared" si="538"/>
        <v>1720</v>
      </c>
      <c r="AW122" s="380">
        <f t="shared" si="518"/>
        <v>198.68781976744185</v>
      </c>
      <c r="AX122" s="360">
        <f t="shared" si="519"/>
        <v>300796.57461538457</v>
      </c>
      <c r="AY122" s="363">
        <f t="shared" si="520"/>
        <v>1412.2307692307693</v>
      </c>
      <c r="AZ122" s="380">
        <f t="shared" si="521"/>
        <v>212.99392505038398</v>
      </c>
      <c r="BA122" s="360">
        <f t="shared" si="532"/>
        <v>247752.41</v>
      </c>
      <c r="BB122" s="363">
        <f t="shared" si="522"/>
        <v>1090</v>
      </c>
      <c r="BC122" s="380">
        <f t="shared" si="523"/>
        <v>227.29578899082568</v>
      </c>
      <c r="BD122" s="360">
        <f t="shared" si="533"/>
        <v>353916.99</v>
      </c>
      <c r="BE122" s="363">
        <f t="shared" si="524"/>
        <v>1687</v>
      </c>
      <c r="BF122" s="380">
        <f t="shared" si="525"/>
        <v>209.7907468879668</v>
      </c>
    </row>
    <row r="123" spans="1:127" hidden="1" outlineLevel="1" x14ac:dyDescent="0.25">
      <c r="A123" s="692">
        <v>9</v>
      </c>
      <c r="B123" s="359">
        <f t="shared" si="480"/>
        <v>258793.97</v>
      </c>
      <c r="C123" s="362">
        <f t="shared" si="481"/>
        <v>1138</v>
      </c>
      <c r="D123" s="379">
        <f t="shared" si="482"/>
        <v>227.41122144112478</v>
      </c>
      <c r="E123" s="359">
        <f t="shared" si="483"/>
        <v>298073.78999999998</v>
      </c>
      <c r="F123" s="362">
        <f t="shared" si="484"/>
        <v>1373</v>
      </c>
      <c r="G123" s="379">
        <f t="shared" si="485"/>
        <v>217.09671522214128</v>
      </c>
      <c r="H123" s="359">
        <f t="shared" si="486"/>
        <v>294892.57</v>
      </c>
      <c r="I123" s="362">
        <f t="shared" si="487"/>
        <v>1441</v>
      </c>
      <c r="J123" s="379">
        <f t="shared" si="488"/>
        <v>204.64439278278974</v>
      </c>
      <c r="K123" s="359">
        <f t="shared" si="489"/>
        <v>295142.51</v>
      </c>
      <c r="L123" s="362">
        <f t="shared" si="490"/>
        <v>1459</v>
      </c>
      <c r="M123" s="379">
        <f t="shared" si="491"/>
        <v>202.29095956134339</v>
      </c>
      <c r="N123" s="359">
        <f t="shared" si="492"/>
        <v>364220.84</v>
      </c>
      <c r="O123" s="362">
        <f t="shared" si="493"/>
        <v>1730</v>
      </c>
      <c r="P123" s="379">
        <f t="shared" si="494"/>
        <v>210.53227745664742</v>
      </c>
      <c r="Q123" s="359">
        <f t="shared" si="495"/>
        <v>298922.28000000003</v>
      </c>
      <c r="R123" s="362">
        <f t="shared" si="496"/>
        <v>1440</v>
      </c>
      <c r="S123" s="379">
        <f t="shared" si="497"/>
        <v>207.58491666666669</v>
      </c>
      <c r="T123" s="359">
        <f t="shared" si="498"/>
        <v>328013.65000000002</v>
      </c>
      <c r="U123" s="362">
        <f t="shared" si="499"/>
        <v>1535</v>
      </c>
      <c r="V123" s="379">
        <f t="shared" si="500"/>
        <v>213.689674267101</v>
      </c>
      <c r="W123" s="359">
        <f t="shared" si="501"/>
        <v>307559.7</v>
      </c>
      <c r="X123" s="362">
        <f t="shared" si="502"/>
        <v>1396</v>
      </c>
      <c r="Y123" s="379">
        <f t="shared" si="503"/>
        <v>220.31497134670488</v>
      </c>
      <c r="Z123" s="359">
        <f t="shared" si="504"/>
        <v>346519.34</v>
      </c>
      <c r="AA123" s="362">
        <f t="shared" si="505"/>
        <v>1631</v>
      </c>
      <c r="AB123" s="379">
        <f t="shared" si="506"/>
        <v>212.45820968730843</v>
      </c>
      <c r="AC123" s="359">
        <f t="shared" si="507"/>
        <v>302593.78000000003</v>
      </c>
      <c r="AD123" s="362">
        <f t="shared" si="508"/>
        <v>1461</v>
      </c>
      <c r="AE123" s="379">
        <f t="shared" si="509"/>
        <v>207.1141546885695</v>
      </c>
      <c r="AF123" s="359">
        <f t="shared" si="526"/>
        <v>267823.13</v>
      </c>
      <c r="AG123" s="362">
        <f t="shared" si="510"/>
        <v>1279</v>
      </c>
      <c r="AH123" s="379">
        <f t="shared" si="511"/>
        <v>209.40041438623925</v>
      </c>
      <c r="AI123" s="359">
        <f t="shared" si="527"/>
        <v>341778.02</v>
      </c>
      <c r="AJ123" s="362">
        <f t="shared" si="512"/>
        <v>1610</v>
      </c>
      <c r="AK123" s="379">
        <f t="shared" si="513"/>
        <v>212.28448447204971</v>
      </c>
      <c r="AL123" s="414"/>
      <c r="AM123" s="415"/>
      <c r="AN123" s="429"/>
      <c r="AO123" s="359">
        <f t="shared" si="528"/>
        <v>321921.03999999998</v>
      </c>
      <c r="AP123" s="362">
        <f t="shared" si="514"/>
        <v>1517</v>
      </c>
      <c r="AQ123" s="379">
        <f t="shared" si="515"/>
        <v>212.20899143045483</v>
      </c>
      <c r="AR123" s="359">
        <f t="shared" si="529"/>
        <v>332530.19</v>
      </c>
      <c r="AS123" s="362">
        <f t="shared" si="516"/>
        <v>1551</v>
      </c>
      <c r="AT123" s="379">
        <f t="shared" si="517"/>
        <v>214.39728562217925</v>
      </c>
      <c r="AU123" s="359">
        <f t="shared" si="538"/>
        <v>350397.33</v>
      </c>
      <c r="AV123" s="362">
        <f t="shared" si="538"/>
        <v>1765</v>
      </c>
      <c r="AW123" s="379">
        <f t="shared" si="518"/>
        <v>198.52539943342776</v>
      </c>
      <c r="AX123" s="359">
        <f t="shared" si="519"/>
        <v>314689.36000000004</v>
      </c>
      <c r="AY123" s="362">
        <f t="shared" si="520"/>
        <v>1483.2307692307693</v>
      </c>
      <c r="AZ123" s="379">
        <f t="shared" si="521"/>
        <v>212.16480033191579</v>
      </c>
      <c r="BA123" s="359">
        <f t="shared" si="532"/>
        <v>258793.97</v>
      </c>
      <c r="BB123" s="362">
        <f t="shared" si="522"/>
        <v>1138</v>
      </c>
      <c r="BC123" s="379">
        <f t="shared" si="523"/>
        <v>227.41122144112478</v>
      </c>
      <c r="BD123" s="359">
        <f t="shared" si="533"/>
        <v>364220.84</v>
      </c>
      <c r="BE123" s="362">
        <f t="shared" si="524"/>
        <v>1730</v>
      </c>
      <c r="BF123" s="379">
        <f t="shared" si="525"/>
        <v>210.53227745664742</v>
      </c>
    </row>
    <row r="124" spans="1:127" hidden="1" outlineLevel="1" x14ac:dyDescent="0.25">
      <c r="A124" s="302">
        <v>10</v>
      </c>
      <c r="B124" s="360">
        <f t="shared" si="480"/>
        <v>293330.17</v>
      </c>
      <c r="C124" s="363">
        <f t="shared" si="481"/>
        <v>1290</v>
      </c>
      <c r="D124" s="380">
        <f t="shared" si="482"/>
        <v>227.38772868217052</v>
      </c>
      <c r="E124" s="360">
        <f t="shared" si="483"/>
        <v>316480.37</v>
      </c>
      <c r="F124" s="363">
        <f t="shared" si="484"/>
        <v>1461</v>
      </c>
      <c r="G124" s="380">
        <f t="shared" si="485"/>
        <v>216.61900752908966</v>
      </c>
      <c r="H124" s="360">
        <f t="shared" si="486"/>
        <v>310499.05</v>
      </c>
      <c r="I124" s="363">
        <f t="shared" si="487"/>
        <v>1519</v>
      </c>
      <c r="J124" s="380">
        <f t="shared" si="488"/>
        <v>204.41017116524029</v>
      </c>
      <c r="K124" s="360">
        <f t="shared" si="489"/>
        <v>313645.5</v>
      </c>
      <c r="L124" s="363">
        <f t="shared" si="490"/>
        <v>1541</v>
      </c>
      <c r="M124" s="380">
        <f t="shared" si="491"/>
        <v>203.53374432186891</v>
      </c>
      <c r="N124" s="360">
        <f t="shared" si="492"/>
        <v>374671.62</v>
      </c>
      <c r="O124" s="363">
        <f t="shared" si="493"/>
        <v>1774</v>
      </c>
      <c r="P124" s="380">
        <f t="shared" si="494"/>
        <v>211.20158962795941</v>
      </c>
      <c r="Q124" s="360">
        <f t="shared" si="495"/>
        <v>312530.14</v>
      </c>
      <c r="R124" s="363">
        <f t="shared" si="496"/>
        <v>1511</v>
      </c>
      <c r="S124" s="380">
        <f t="shared" si="497"/>
        <v>206.83662475181998</v>
      </c>
      <c r="T124" s="360">
        <f t="shared" si="498"/>
        <v>336631.66</v>
      </c>
      <c r="U124" s="363">
        <f t="shared" si="499"/>
        <v>1574</v>
      </c>
      <c r="V124" s="380">
        <f t="shared" si="500"/>
        <v>213.87017789072425</v>
      </c>
      <c r="W124" s="360">
        <f t="shared" si="501"/>
        <v>318465.5</v>
      </c>
      <c r="X124" s="363">
        <f t="shared" si="502"/>
        <v>1448</v>
      </c>
      <c r="Y124" s="380">
        <f t="shared" si="503"/>
        <v>219.93473756906079</v>
      </c>
      <c r="Z124" s="360">
        <f t="shared" si="504"/>
        <v>358528.26</v>
      </c>
      <c r="AA124" s="363">
        <f t="shared" si="505"/>
        <v>1683</v>
      </c>
      <c r="AB124" s="380">
        <f t="shared" si="506"/>
        <v>213.02926916221034</v>
      </c>
      <c r="AC124" s="360">
        <f t="shared" si="507"/>
        <v>311815.3</v>
      </c>
      <c r="AD124" s="363">
        <f t="shared" si="508"/>
        <v>1514</v>
      </c>
      <c r="AE124" s="380">
        <f t="shared" si="509"/>
        <v>205.95462351387053</v>
      </c>
      <c r="AF124" s="360">
        <f t="shared" si="526"/>
        <v>285618.2</v>
      </c>
      <c r="AG124" s="363">
        <f t="shared" si="510"/>
        <v>1377</v>
      </c>
      <c r="AH124" s="380">
        <f t="shared" si="511"/>
        <v>207.42062454611474</v>
      </c>
      <c r="AI124" s="360">
        <f t="shared" si="527"/>
        <v>355161.87</v>
      </c>
      <c r="AJ124" s="363">
        <f t="shared" si="512"/>
        <v>1660</v>
      </c>
      <c r="AK124" s="380">
        <f t="shared" si="513"/>
        <v>213.95293373493976</v>
      </c>
      <c r="AL124" s="414"/>
      <c r="AM124" s="415"/>
      <c r="AN124" s="429"/>
      <c r="AO124" s="360">
        <f t="shared" si="528"/>
        <v>335090.03000000003</v>
      </c>
      <c r="AP124" s="363">
        <f t="shared" si="514"/>
        <v>1585</v>
      </c>
      <c r="AQ124" s="380">
        <f t="shared" si="515"/>
        <v>211.41326813880127</v>
      </c>
      <c r="AR124" s="360">
        <f t="shared" si="529"/>
        <v>350914.79</v>
      </c>
      <c r="AS124" s="363">
        <f t="shared" si="516"/>
        <v>1640</v>
      </c>
      <c r="AT124" s="380">
        <f t="shared" si="517"/>
        <v>213.97243292682924</v>
      </c>
      <c r="AU124" s="360">
        <f t="shared" si="538"/>
        <v>355633</v>
      </c>
      <c r="AV124" s="363">
        <f t="shared" si="538"/>
        <v>1797</v>
      </c>
      <c r="AW124" s="380">
        <f t="shared" si="518"/>
        <v>197.90372843628271</v>
      </c>
      <c r="AX124" s="360">
        <f t="shared" si="519"/>
        <v>329828.02000000008</v>
      </c>
      <c r="AY124" s="363">
        <f t="shared" si="520"/>
        <v>1553.8461538461538</v>
      </c>
      <c r="AZ124" s="380">
        <f t="shared" si="521"/>
        <v>212.26555742574263</v>
      </c>
      <c r="BA124" s="360">
        <f t="shared" si="532"/>
        <v>293330.17</v>
      </c>
      <c r="BB124" s="363">
        <f t="shared" si="522"/>
        <v>1290</v>
      </c>
      <c r="BC124" s="380">
        <f t="shared" si="523"/>
        <v>227.38772868217052</v>
      </c>
      <c r="BD124" s="360">
        <f t="shared" si="533"/>
        <v>374671.62</v>
      </c>
      <c r="BE124" s="363">
        <f t="shared" si="524"/>
        <v>1774</v>
      </c>
      <c r="BF124" s="380">
        <f t="shared" si="525"/>
        <v>211.20158962795941</v>
      </c>
    </row>
    <row r="125" spans="1:127" hidden="1" outlineLevel="1" x14ac:dyDescent="0.25">
      <c r="A125" s="302">
        <v>11</v>
      </c>
      <c r="B125" s="359">
        <f t="shared" si="480"/>
        <v>322266.65000000002</v>
      </c>
      <c r="C125" s="362">
        <f t="shared" si="481"/>
        <v>1426</v>
      </c>
      <c r="D125" s="379">
        <f t="shared" si="482"/>
        <v>225.99344319775597</v>
      </c>
      <c r="E125" s="359">
        <f t="shared" si="483"/>
        <v>323232.05</v>
      </c>
      <c r="F125" s="362">
        <f t="shared" si="484"/>
        <v>1486</v>
      </c>
      <c r="G125" s="379">
        <f t="shared" si="485"/>
        <v>217.51820323014803</v>
      </c>
      <c r="H125" s="359">
        <f t="shared" si="486"/>
        <v>324558.86</v>
      </c>
      <c r="I125" s="362">
        <f t="shared" si="487"/>
        <v>1589</v>
      </c>
      <c r="J125" s="379">
        <f t="shared" si="488"/>
        <v>204.25353052234109</v>
      </c>
      <c r="K125" s="359">
        <f t="shared" si="489"/>
        <v>322832.78999999998</v>
      </c>
      <c r="L125" s="362">
        <f t="shared" si="490"/>
        <v>1590</v>
      </c>
      <c r="M125" s="379">
        <f t="shared" si="491"/>
        <v>203.03949056603773</v>
      </c>
      <c r="N125" s="359">
        <f t="shared" si="492"/>
        <v>382043.65</v>
      </c>
      <c r="O125" s="362">
        <f t="shared" si="493"/>
        <v>1810</v>
      </c>
      <c r="P125" s="379">
        <f t="shared" si="494"/>
        <v>211.07383977900554</v>
      </c>
      <c r="Q125" s="359">
        <f t="shared" si="495"/>
        <v>326199.32</v>
      </c>
      <c r="R125" s="362">
        <f t="shared" si="496"/>
        <v>1582</v>
      </c>
      <c r="S125" s="379">
        <f t="shared" si="497"/>
        <v>206.19426042983565</v>
      </c>
      <c r="T125" s="359">
        <f t="shared" si="498"/>
        <v>343907.72</v>
      </c>
      <c r="U125" s="362">
        <f t="shared" si="499"/>
        <v>1621</v>
      </c>
      <c r="V125" s="379">
        <f t="shared" si="500"/>
        <v>212.15775447254779</v>
      </c>
      <c r="W125" s="359">
        <f t="shared" si="501"/>
        <v>324055.74</v>
      </c>
      <c r="X125" s="362">
        <f t="shared" si="502"/>
        <v>1486</v>
      </c>
      <c r="Y125" s="379">
        <f t="shared" si="503"/>
        <v>218.07250336473754</v>
      </c>
      <c r="Z125" s="359">
        <f t="shared" si="504"/>
        <v>368640.04</v>
      </c>
      <c r="AA125" s="362">
        <f t="shared" si="505"/>
        <v>1731</v>
      </c>
      <c r="AB125" s="379">
        <f t="shared" si="506"/>
        <v>212.96362796071634</v>
      </c>
      <c r="AC125" s="359">
        <f t="shared" si="507"/>
        <v>328844.82</v>
      </c>
      <c r="AD125" s="362">
        <f t="shared" si="508"/>
        <v>1589</v>
      </c>
      <c r="AE125" s="379">
        <f t="shared" si="509"/>
        <v>206.95079924480805</v>
      </c>
      <c r="AF125" s="359">
        <f>ROUND(AF$111*AF41,2)</f>
        <v>301443.93</v>
      </c>
      <c r="AG125" s="362">
        <f t="shared" si="510"/>
        <v>1455</v>
      </c>
      <c r="AH125" s="379">
        <f t="shared" si="511"/>
        <v>207.17795876288659</v>
      </c>
      <c r="AI125" s="359">
        <f t="shared" si="527"/>
        <v>367374.14</v>
      </c>
      <c r="AJ125" s="362">
        <f t="shared" si="512"/>
        <v>1719</v>
      </c>
      <c r="AK125" s="379">
        <f t="shared" si="513"/>
        <v>213.71386852821408</v>
      </c>
      <c r="AL125" s="414"/>
      <c r="AM125" s="415"/>
      <c r="AN125" s="429"/>
      <c r="AO125" s="359">
        <f t="shared" si="528"/>
        <v>342978.44</v>
      </c>
      <c r="AP125" s="362">
        <f t="shared" si="514"/>
        <v>1621</v>
      </c>
      <c r="AQ125" s="379">
        <f t="shared" si="515"/>
        <v>211.58447871684146</v>
      </c>
      <c r="AR125" s="359">
        <f t="shared" si="529"/>
        <v>362500.91</v>
      </c>
      <c r="AS125" s="362">
        <f t="shared" si="516"/>
        <v>1695</v>
      </c>
      <c r="AT125" s="379">
        <f t="shared" si="517"/>
        <v>213.86484365781709</v>
      </c>
      <c r="AU125" s="359">
        <f t="shared" si="538"/>
        <v>375515</v>
      </c>
      <c r="AV125" s="362">
        <f t="shared" si="538"/>
        <v>1830</v>
      </c>
      <c r="AW125" s="379">
        <f t="shared" si="518"/>
        <v>205.19945355191257</v>
      </c>
      <c r="AX125" s="359">
        <f t="shared" si="519"/>
        <v>341495.01</v>
      </c>
      <c r="AY125" s="362">
        <f t="shared" si="520"/>
        <v>1611.1538461538462</v>
      </c>
      <c r="AZ125" s="379">
        <f t="shared" si="521"/>
        <v>211.95679780377179</v>
      </c>
      <c r="BA125" s="359">
        <f t="shared" si="532"/>
        <v>322266.65000000002</v>
      </c>
      <c r="BB125" s="362">
        <f t="shared" si="522"/>
        <v>1426</v>
      </c>
      <c r="BC125" s="379">
        <f t="shared" si="523"/>
        <v>225.99344319775597</v>
      </c>
      <c r="BD125" s="359">
        <f t="shared" si="533"/>
        <v>382043.65</v>
      </c>
      <c r="BE125" s="362">
        <f t="shared" si="524"/>
        <v>1810</v>
      </c>
      <c r="BF125" s="379">
        <f t="shared" si="525"/>
        <v>211.07383977900554</v>
      </c>
    </row>
    <row r="126" spans="1:127" hidden="1" outlineLevel="1" x14ac:dyDescent="0.25">
      <c r="A126" s="302">
        <v>12</v>
      </c>
      <c r="B126" s="360">
        <f t="shared" si="480"/>
        <v>343467.55</v>
      </c>
      <c r="C126" s="363">
        <f t="shared" si="481"/>
        <v>1547</v>
      </c>
      <c r="D126" s="380">
        <f t="shared" si="482"/>
        <v>222.02168713639301</v>
      </c>
      <c r="E126" s="360">
        <f t="shared" si="483"/>
        <v>335264.43</v>
      </c>
      <c r="F126" s="363">
        <f t="shared" si="484"/>
        <v>1548</v>
      </c>
      <c r="G126" s="380">
        <f t="shared" si="485"/>
        <v>216.57908914728682</v>
      </c>
      <c r="H126" s="360">
        <f t="shared" si="486"/>
        <v>332096.55</v>
      </c>
      <c r="I126" s="363">
        <f t="shared" si="487"/>
        <v>1626</v>
      </c>
      <c r="J126" s="380">
        <f t="shared" si="488"/>
        <v>204.24142066420663</v>
      </c>
      <c r="K126" s="360">
        <f t="shared" si="489"/>
        <v>348089.81</v>
      </c>
      <c r="L126" s="363">
        <f t="shared" si="490"/>
        <v>1699</v>
      </c>
      <c r="M126" s="380">
        <f t="shared" si="491"/>
        <v>204.87922895821072</v>
      </c>
      <c r="N126" s="360">
        <f t="shared" si="492"/>
        <v>389792.2</v>
      </c>
      <c r="O126" s="363">
        <f t="shared" si="493"/>
        <v>1850</v>
      </c>
      <c r="P126" s="380">
        <f t="shared" si="494"/>
        <v>210.6984864864865</v>
      </c>
      <c r="Q126" s="360">
        <f t="shared" si="495"/>
        <v>340103.03</v>
      </c>
      <c r="R126" s="363">
        <f t="shared" si="496"/>
        <v>1651</v>
      </c>
      <c r="S126" s="380">
        <f t="shared" si="497"/>
        <v>205.99820109024836</v>
      </c>
      <c r="T126" s="360">
        <f t="shared" si="498"/>
        <v>352247.48</v>
      </c>
      <c r="U126" s="363">
        <f t="shared" si="499"/>
        <v>1666</v>
      </c>
      <c r="V126" s="380">
        <f t="shared" si="500"/>
        <v>211.43306122448979</v>
      </c>
      <c r="W126" s="360">
        <f t="shared" si="501"/>
        <v>336197.59</v>
      </c>
      <c r="X126" s="363">
        <f t="shared" si="502"/>
        <v>1555</v>
      </c>
      <c r="Y126" s="380">
        <f t="shared" si="503"/>
        <v>216.20423794212221</v>
      </c>
      <c r="Z126" s="360">
        <f t="shared" si="504"/>
        <v>378566.57</v>
      </c>
      <c r="AA126" s="363">
        <f t="shared" si="505"/>
        <v>1783</v>
      </c>
      <c r="AB126" s="380">
        <f t="shared" si="506"/>
        <v>212.32000560852495</v>
      </c>
      <c r="AC126" s="360">
        <f t="shared" si="507"/>
        <v>346547.45</v>
      </c>
      <c r="AD126" s="363">
        <f t="shared" si="508"/>
        <v>1631</v>
      </c>
      <c r="AE126" s="380">
        <f t="shared" si="509"/>
        <v>212.47544451256897</v>
      </c>
      <c r="AF126" s="360">
        <f t="shared" si="526"/>
        <v>317338.3</v>
      </c>
      <c r="AG126" s="363">
        <f t="shared" si="510"/>
        <v>1523</v>
      </c>
      <c r="AH126" s="380">
        <f t="shared" si="511"/>
        <v>208.36395272488508</v>
      </c>
      <c r="AI126" s="360">
        <f t="shared" si="527"/>
        <v>377375.62</v>
      </c>
      <c r="AJ126" s="363">
        <f t="shared" si="512"/>
        <v>1769</v>
      </c>
      <c r="AK126" s="380">
        <f t="shared" si="513"/>
        <v>213.32708875070662</v>
      </c>
      <c r="AL126" s="414"/>
      <c r="AM126" s="415"/>
      <c r="AN126" s="429"/>
      <c r="AO126" s="360">
        <f t="shared" si="528"/>
        <v>351353.13</v>
      </c>
      <c r="AP126" s="363">
        <f t="shared" si="514"/>
        <v>1665</v>
      </c>
      <c r="AQ126" s="380">
        <f t="shared" si="515"/>
        <v>211.02290090090091</v>
      </c>
      <c r="AR126" s="360">
        <f t="shared" si="529"/>
        <v>375887.34</v>
      </c>
      <c r="AS126" s="363">
        <f t="shared" si="516"/>
        <v>1758</v>
      </c>
      <c r="AT126" s="380">
        <f t="shared" si="517"/>
        <v>213.81532423208193</v>
      </c>
      <c r="AU126" s="360">
        <f t="shared" si="538"/>
        <v>383107</v>
      </c>
      <c r="AV126" s="363">
        <f t="shared" si="538"/>
        <v>1863</v>
      </c>
      <c r="AW126" s="380">
        <f t="shared" si="518"/>
        <v>205.63982823403114</v>
      </c>
      <c r="AX126" s="360">
        <f t="shared" si="519"/>
        <v>354383.75</v>
      </c>
      <c r="AY126" s="363">
        <f t="shared" si="520"/>
        <v>1672.9230769230769</v>
      </c>
      <c r="AZ126" s="380">
        <f t="shared" si="521"/>
        <v>211.83505379805041</v>
      </c>
      <c r="BA126" s="360">
        <f t="shared" si="532"/>
        <v>332096.55</v>
      </c>
      <c r="BB126" s="363">
        <f t="shared" si="522"/>
        <v>1547</v>
      </c>
      <c r="BC126" s="380">
        <f t="shared" si="523"/>
        <v>214.67133160956689</v>
      </c>
      <c r="BD126" s="360">
        <f t="shared" si="533"/>
        <v>389792.2</v>
      </c>
      <c r="BE126" s="363">
        <f t="shared" si="524"/>
        <v>1850</v>
      </c>
      <c r="BF126" s="380">
        <f t="shared" si="525"/>
        <v>210.6984864864865</v>
      </c>
    </row>
    <row r="127" spans="1:127" hidden="1" outlineLevel="1" x14ac:dyDescent="0.25">
      <c r="A127" s="302">
        <v>13</v>
      </c>
      <c r="B127" s="359">
        <f t="shared" si="480"/>
        <v>350135.2</v>
      </c>
      <c r="C127" s="362">
        <f t="shared" si="481"/>
        <v>1579</v>
      </c>
      <c r="D127" s="379">
        <f t="shared" si="482"/>
        <v>221.74490183660546</v>
      </c>
      <c r="E127" s="359">
        <f t="shared" si="483"/>
        <v>346580.78</v>
      </c>
      <c r="F127" s="362">
        <f t="shared" si="484"/>
        <v>1611</v>
      </c>
      <c r="G127" s="379">
        <f t="shared" si="485"/>
        <v>215.13394165114838</v>
      </c>
      <c r="H127" s="359">
        <f t="shared" si="486"/>
        <v>345108.16</v>
      </c>
      <c r="I127" s="362">
        <f t="shared" si="487"/>
        <v>1688</v>
      </c>
      <c r="J127" s="379">
        <f t="shared" si="488"/>
        <v>204.44796208530803</v>
      </c>
      <c r="K127" s="359">
        <f t="shared" si="489"/>
        <v>356866.21</v>
      </c>
      <c r="L127" s="362">
        <f t="shared" si="490"/>
        <v>1743</v>
      </c>
      <c r="M127" s="379">
        <f t="shared" si="491"/>
        <v>204.74251864601263</v>
      </c>
      <c r="N127" s="359">
        <f t="shared" si="492"/>
        <v>395890.02</v>
      </c>
      <c r="O127" s="362">
        <f t="shared" si="493"/>
        <v>1875</v>
      </c>
      <c r="P127" s="379">
        <f t="shared" si="494"/>
        <v>211.141344</v>
      </c>
      <c r="Q127" s="359">
        <f t="shared" si="495"/>
        <v>352116.64</v>
      </c>
      <c r="R127" s="362">
        <f t="shared" si="496"/>
        <v>1710</v>
      </c>
      <c r="S127" s="379">
        <f t="shared" si="497"/>
        <v>205.91616374269006</v>
      </c>
      <c r="T127" s="359">
        <f t="shared" si="498"/>
        <v>368712.8</v>
      </c>
      <c r="U127" s="362">
        <f t="shared" si="499"/>
        <v>1738</v>
      </c>
      <c r="V127" s="379">
        <f t="shared" si="500"/>
        <v>212.14775604142693</v>
      </c>
      <c r="W127" s="359">
        <f t="shared" si="501"/>
        <v>347357.72</v>
      </c>
      <c r="X127" s="362">
        <f t="shared" si="502"/>
        <v>1616</v>
      </c>
      <c r="Y127" s="379">
        <f t="shared" si="503"/>
        <v>214.94908415841581</v>
      </c>
      <c r="Z127" s="359">
        <f t="shared" si="504"/>
        <v>385486.15</v>
      </c>
      <c r="AA127" s="362">
        <f t="shared" si="505"/>
        <v>1818</v>
      </c>
      <c r="AB127" s="379">
        <f t="shared" si="506"/>
        <v>212.03858635863588</v>
      </c>
      <c r="AC127" s="359">
        <f t="shared" si="507"/>
        <v>350165.38</v>
      </c>
      <c r="AD127" s="362">
        <f t="shared" si="508"/>
        <v>1641</v>
      </c>
      <c r="AE127" s="379">
        <f t="shared" si="509"/>
        <v>213.38536258379037</v>
      </c>
      <c r="AF127" s="359">
        <f t="shared" si="526"/>
        <v>331213.62</v>
      </c>
      <c r="AG127" s="362">
        <f t="shared" si="510"/>
        <v>1601</v>
      </c>
      <c r="AH127" s="379">
        <f t="shared" si="511"/>
        <v>206.87921299188008</v>
      </c>
      <c r="AI127" s="359">
        <f t="shared" si="527"/>
        <v>382935.68</v>
      </c>
      <c r="AJ127" s="362">
        <f t="shared" si="512"/>
        <v>1801</v>
      </c>
      <c r="AK127" s="379">
        <f t="shared" si="513"/>
        <v>212.62392004441978</v>
      </c>
      <c r="AL127" s="414"/>
      <c r="AM127" s="415"/>
      <c r="AN127" s="429"/>
      <c r="AO127" s="359">
        <f t="shared" si="528"/>
        <v>362705.01</v>
      </c>
      <c r="AP127" s="362">
        <f t="shared" si="514"/>
        <v>1717</v>
      </c>
      <c r="AQ127" s="379">
        <f t="shared" si="515"/>
        <v>211.24345369831101</v>
      </c>
      <c r="AR127" s="359">
        <f t="shared" si="529"/>
        <v>390383.83</v>
      </c>
      <c r="AS127" s="362">
        <f t="shared" si="516"/>
        <v>1830</v>
      </c>
      <c r="AT127" s="379">
        <f t="shared" si="517"/>
        <v>213.32449726775957</v>
      </c>
      <c r="AU127" s="359">
        <f t="shared" si="538"/>
        <v>390522</v>
      </c>
      <c r="AV127" s="362">
        <f t="shared" si="538"/>
        <v>1895</v>
      </c>
      <c r="AW127" s="379">
        <f t="shared" si="518"/>
        <v>206.0802110817942</v>
      </c>
      <c r="AX127" s="359">
        <f t="shared" si="519"/>
        <v>364187.9676923076</v>
      </c>
      <c r="AY127" s="362">
        <f t="shared" si="520"/>
        <v>1720.5384615384614</v>
      </c>
      <c r="AZ127" s="379">
        <f t="shared" si="521"/>
        <v>211.67092502347205</v>
      </c>
      <c r="BA127" s="359">
        <f t="shared" si="532"/>
        <v>345108.16</v>
      </c>
      <c r="BB127" s="362">
        <f t="shared" si="522"/>
        <v>1579</v>
      </c>
      <c r="BC127" s="379">
        <f t="shared" si="523"/>
        <v>218.561215959468</v>
      </c>
      <c r="BD127" s="359">
        <f t="shared" si="533"/>
        <v>395890.02</v>
      </c>
      <c r="BE127" s="362">
        <f t="shared" si="524"/>
        <v>1875</v>
      </c>
      <c r="BF127" s="379">
        <f t="shared" si="525"/>
        <v>211.141344</v>
      </c>
    </row>
    <row r="128" spans="1:127" hidden="1" outlineLevel="1" x14ac:dyDescent="0.25">
      <c r="A128" s="302">
        <v>14</v>
      </c>
      <c r="B128" s="360">
        <f t="shared" si="480"/>
        <v>357907.94</v>
      </c>
      <c r="C128" s="363">
        <f t="shared" si="481"/>
        <v>1643</v>
      </c>
      <c r="D128" s="380">
        <f t="shared" si="482"/>
        <v>217.83806451612904</v>
      </c>
      <c r="E128" s="360">
        <f t="shared" si="483"/>
        <v>362329.5</v>
      </c>
      <c r="F128" s="363">
        <f t="shared" si="484"/>
        <v>1682</v>
      </c>
      <c r="G128" s="380">
        <f t="shared" si="485"/>
        <v>215.41587395957194</v>
      </c>
      <c r="H128" s="360">
        <f t="shared" si="486"/>
        <v>351313.49</v>
      </c>
      <c r="I128" s="363">
        <f t="shared" si="487"/>
        <v>1717</v>
      </c>
      <c r="J128" s="380">
        <f t="shared" si="488"/>
        <v>204.60890506697729</v>
      </c>
      <c r="K128" s="360">
        <f t="shared" si="489"/>
        <v>370175.26</v>
      </c>
      <c r="L128" s="363">
        <f t="shared" si="490"/>
        <v>1803</v>
      </c>
      <c r="M128" s="380">
        <f t="shared" si="491"/>
        <v>205.31073765945646</v>
      </c>
      <c r="N128" s="360">
        <f t="shared" si="492"/>
        <v>405516.59</v>
      </c>
      <c r="O128" s="363">
        <f t="shared" si="493"/>
        <v>1917</v>
      </c>
      <c r="P128" s="380">
        <f t="shared" si="494"/>
        <v>211.53708398539385</v>
      </c>
      <c r="Q128" s="360">
        <f t="shared" si="495"/>
        <v>369116.89</v>
      </c>
      <c r="R128" s="363">
        <f t="shared" si="496"/>
        <v>1793</v>
      </c>
      <c r="S128" s="380">
        <f t="shared" si="497"/>
        <v>205.86552704963748</v>
      </c>
      <c r="T128" s="360">
        <f t="shared" si="498"/>
        <v>384067.63</v>
      </c>
      <c r="U128" s="363">
        <f t="shared" si="499"/>
        <v>1811</v>
      </c>
      <c r="V128" s="380">
        <f t="shared" si="500"/>
        <v>212.07489232468251</v>
      </c>
      <c r="W128" s="360">
        <f t="shared" si="501"/>
        <v>364448.89</v>
      </c>
      <c r="X128" s="363">
        <f t="shared" si="502"/>
        <v>1702</v>
      </c>
      <c r="Y128" s="380">
        <f t="shared" si="503"/>
        <v>214.12978260869565</v>
      </c>
      <c r="Z128" s="360">
        <f t="shared" si="504"/>
        <v>399052.57</v>
      </c>
      <c r="AA128" s="363">
        <f t="shared" si="505"/>
        <v>1893</v>
      </c>
      <c r="AB128" s="380">
        <f t="shared" si="506"/>
        <v>210.80431590068673</v>
      </c>
      <c r="AC128" s="360">
        <f t="shared" si="507"/>
        <v>360548.01</v>
      </c>
      <c r="AD128" s="363">
        <f t="shared" si="508"/>
        <v>1684</v>
      </c>
      <c r="AE128" s="380">
        <f t="shared" si="509"/>
        <v>214.10214370546319</v>
      </c>
      <c r="AF128" s="360">
        <f t="shared" si="526"/>
        <v>352317.75</v>
      </c>
      <c r="AG128" s="363">
        <f t="shared" si="510"/>
        <v>1699</v>
      </c>
      <c r="AH128" s="380">
        <f t="shared" si="511"/>
        <v>207.36771630370805</v>
      </c>
      <c r="AI128" s="360">
        <f t="shared" si="527"/>
        <v>390951.43</v>
      </c>
      <c r="AJ128" s="363">
        <f t="shared" si="512"/>
        <v>1840</v>
      </c>
      <c r="AK128" s="380">
        <f t="shared" si="513"/>
        <v>212.47360326086957</v>
      </c>
      <c r="AL128" s="414"/>
      <c r="AM128" s="415"/>
      <c r="AN128" s="429"/>
      <c r="AO128" s="360">
        <f t="shared" si="528"/>
        <v>378691.55</v>
      </c>
      <c r="AP128" s="363">
        <f t="shared" si="514"/>
        <v>1785</v>
      </c>
      <c r="AQ128" s="380">
        <f t="shared" si="515"/>
        <v>212.1521288515406</v>
      </c>
      <c r="AR128" s="360">
        <f t="shared" si="529"/>
        <v>408822.74</v>
      </c>
      <c r="AS128" s="363">
        <f t="shared" si="516"/>
        <v>1911</v>
      </c>
      <c r="AT128" s="380">
        <f t="shared" si="517"/>
        <v>213.93131344845631</v>
      </c>
      <c r="AU128" s="360">
        <f t="shared" si="538"/>
        <v>398145</v>
      </c>
      <c r="AV128" s="363">
        <f t="shared" si="538"/>
        <v>1928</v>
      </c>
      <c r="AW128" s="380">
        <f t="shared" si="518"/>
        <v>206.50674273858922</v>
      </c>
      <c r="AX128" s="360">
        <f t="shared" si="519"/>
        <v>377149.42230769235</v>
      </c>
      <c r="AY128" s="363">
        <f t="shared" si="520"/>
        <v>1783.1538461538462</v>
      </c>
      <c r="AZ128" s="380">
        <f t="shared" si="521"/>
        <v>211.50694491178123</v>
      </c>
      <c r="BA128" s="360">
        <f t="shared" si="532"/>
        <v>351313.49</v>
      </c>
      <c r="BB128" s="363">
        <f t="shared" si="522"/>
        <v>1643</v>
      </c>
      <c r="BC128" s="380">
        <f t="shared" si="523"/>
        <v>213.82440048691419</v>
      </c>
      <c r="BD128" s="360">
        <f t="shared" si="533"/>
        <v>408822.74</v>
      </c>
      <c r="BE128" s="363">
        <f t="shared" si="524"/>
        <v>1917</v>
      </c>
      <c r="BF128" s="380">
        <f t="shared" si="525"/>
        <v>213.26173187271777</v>
      </c>
    </row>
    <row r="129" spans="1:127" hidden="1" outlineLevel="1" x14ac:dyDescent="0.25">
      <c r="A129" s="302">
        <v>15</v>
      </c>
      <c r="B129" s="359">
        <f t="shared" si="480"/>
        <v>375180.68</v>
      </c>
      <c r="C129" s="362">
        <f t="shared" si="481"/>
        <v>1715</v>
      </c>
      <c r="D129" s="379">
        <f t="shared" si="482"/>
        <v>218.76424489795917</v>
      </c>
      <c r="E129" s="359">
        <f t="shared" si="483"/>
        <v>379284.57</v>
      </c>
      <c r="F129" s="362">
        <f t="shared" si="484"/>
        <v>1761</v>
      </c>
      <c r="G129" s="379">
        <f t="shared" si="485"/>
        <v>215.38022146507666</v>
      </c>
      <c r="H129" s="359">
        <f t="shared" si="486"/>
        <v>358790.62</v>
      </c>
      <c r="I129" s="362">
        <f t="shared" si="487"/>
        <v>1758</v>
      </c>
      <c r="J129" s="379">
        <f t="shared" si="488"/>
        <v>204.09022753128554</v>
      </c>
      <c r="K129" s="359">
        <f t="shared" si="489"/>
        <v>379779.87</v>
      </c>
      <c r="L129" s="362">
        <f t="shared" si="490"/>
        <v>1841</v>
      </c>
      <c r="M129" s="379">
        <f t="shared" si="491"/>
        <v>206.28998913633893</v>
      </c>
      <c r="N129" s="359">
        <f t="shared" si="492"/>
        <v>432249.65</v>
      </c>
      <c r="O129" s="362">
        <f t="shared" si="493"/>
        <v>2043</v>
      </c>
      <c r="P129" s="379">
        <f t="shared" si="494"/>
        <v>211.57594224180127</v>
      </c>
      <c r="Q129" s="359">
        <f t="shared" si="495"/>
        <v>381700.75</v>
      </c>
      <c r="R129" s="362">
        <f t="shared" si="496"/>
        <v>1854</v>
      </c>
      <c r="S129" s="379">
        <f t="shared" si="497"/>
        <v>205.87958468176916</v>
      </c>
      <c r="T129" s="359">
        <f t="shared" si="498"/>
        <v>406651.73</v>
      </c>
      <c r="U129" s="362">
        <f t="shared" si="499"/>
        <v>1922</v>
      </c>
      <c r="V129" s="379">
        <f t="shared" si="500"/>
        <v>211.57738293444328</v>
      </c>
      <c r="W129" s="359">
        <f t="shared" si="501"/>
        <v>382470.92</v>
      </c>
      <c r="X129" s="362">
        <f t="shared" si="502"/>
        <v>1788</v>
      </c>
      <c r="Y129" s="379">
        <f t="shared" si="503"/>
        <v>213.90991051454137</v>
      </c>
      <c r="Z129" s="359">
        <f t="shared" si="504"/>
        <v>416339.51</v>
      </c>
      <c r="AA129" s="362">
        <f t="shared" si="505"/>
        <v>1971</v>
      </c>
      <c r="AB129" s="379">
        <f t="shared" si="506"/>
        <v>211.23262810755961</v>
      </c>
      <c r="AC129" s="359">
        <f t="shared" si="507"/>
        <v>379007.88</v>
      </c>
      <c r="AD129" s="362">
        <f t="shared" si="508"/>
        <v>1737</v>
      </c>
      <c r="AE129" s="379">
        <f t="shared" si="509"/>
        <v>218.19682210708118</v>
      </c>
      <c r="AF129" s="359">
        <f t="shared" si="526"/>
        <v>378281.32</v>
      </c>
      <c r="AG129" s="362">
        <f t="shared" si="510"/>
        <v>1774</v>
      </c>
      <c r="AH129" s="379">
        <f t="shared" si="511"/>
        <v>213.23636978579481</v>
      </c>
      <c r="AI129" s="359">
        <f t="shared" si="527"/>
        <v>399543.03999999998</v>
      </c>
      <c r="AJ129" s="362">
        <f t="shared" si="512"/>
        <v>1883</v>
      </c>
      <c r="AK129" s="379">
        <f t="shared" si="513"/>
        <v>212.18430164630908</v>
      </c>
      <c r="AL129" s="414"/>
      <c r="AM129" s="415"/>
      <c r="AN129" s="429"/>
      <c r="AO129" s="359">
        <f t="shared" si="528"/>
        <v>398601.88</v>
      </c>
      <c r="AP129" s="362">
        <f t="shared" si="514"/>
        <v>1872</v>
      </c>
      <c r="AQ129" s="379">
        <f t="shared" si="515"/>
        <v>212.9283547008547</v>
      </c>
      <c r="AR129" s="359">
        <f t="shared" si="529"/>
        <v>426898.82</v>
      </c>
      <c r="AS129" s="362">
        <f t="shared" si="516"/>
        <v>2005</v>
      </c>
      <c r="AT129" s="379">
        <f t="shared" si="517"/>
        <v>212.91711720698254</v>
      </c>
      <c r="AU129" s="359">
        <f t="shared" si="538"/>
        <v>412178</v>
      </c>
      <c r="AV129" s="362">
        <f t="shared" si="538"/>
        <v>1974</v>
      </c>
      <c r="AW129" s="379">
        <f t="shared" si="518"/>
        <v>208.80344478216819</v>
      </c>
      <c r="AX129" s="359">
        <f t="shared" si="519"/>
        <v>393576.9169230769</v>
      </c>
      <c r="AY129" s="362">
        <f t="shared" si="520"/>
        <v>1857.6923076923076</v>
      </c>
      <c r="AZ129" s="379">
        <f t="shared" si="521"/>
        <v>211.86335072463768</v>
      </c>
      <c r="BA129" s="359">
        <f t="shared" si="532"/>
        <v>358790.62</v>
      </c>
      <c r="BB129" s="362">
        <f t="shared" si="522"/>
        <v>1715</v>
      </c>
      <c r="BC129" s="379">
        <f t="shared" si="523"/>
        <v>209.20735860058309</v>
      </c>
      <c r="BD129" s="359">
        <f t="shared" si="533"/>
        <v>432249.65</v>
      </c>
      <c r="BE129" s="362">
        <f t="shared" si="524"/>
        <v>2043</v>
      </c>
      <c r="BF129" s="379">
        <f t="shared" si="525"/>
        <v>211.57594224180127</v>
      </c>
    </row>
    <row r="130" spans="1:127" hidden="1" outlineLevel="1" x14ac:dyDescent="0.25">
      <c r="A130" s="302">
        <v>16</v>
      </c>
      <c r="B130" s="360">
        <f t="shared" si="480"/>
        <v>392602</v>
      </c>
      <c r="C130" s="363">
        <f t="shared" si="481"/>
        <v>1795</v>
      </c>
      <c r="D130" s="380">
        <f t="shared" si="482"/>
        <v>218.71977715877438</v>
      </c>
      <c r="E130" s="360">
        <f t="shared" si="483"/>
        <v>402578.82</v>
      </c>
      <c r="F130" s="363">
        <f t="shared" si="484"/>
        <v>1857</v>
      </c>
      <c r="G130" s="380">
        <f t="shared" si="485"/>
        <v>216.78988691437803</v>
      </c>
      <c r="H130" s="360">
        <f t="shared" si="486"/>
        <v>372920.31</v>
      </c>
      <c r="I130" s="363">
        <f t="shared" si="487"/>
        <v>1828</v>
      </c>
      <c r="J130" s="380">
        <f t="shared" si="488"/>
        <v>204.00454595185997</v>
      </c>
      <c r="K130" s="360">
        <f t="shared" si="489"/>
        <v>397037.34</v>
      </c>
      <c r="L130" s="363">
        <f t="shared" si="490"/>
        <v>1907</v>
      </c>
      <c r="M130" s="380">
        <f t="shared" si="491"/>
        <v>208.19996853696907</v>
      </c>
      <c r="N130" s="360">
        <f t="shared" si="492"/>
        <v>443708.32</v>
      </c>
      <c r="O130" s="363">
        <f t="shared" si="493"/>
        <v>2101</v>
      </c>
      <c r="P130" s="380">
        <f t="shared" si="494"/>
        <v>211.18910994764397</v>
      </c>
      <c r="Q130" s="360">
        <f t="shared" si="495"/>
        <v>394985.16</v>
      </c>
      <c r="R130" s="363">
        <f t="shared" si="496"/>
        <v>1918</v>
      </c>
      <c r="S130" s="380">
        <f t="shared" si="497"/>
        <v>205.93595411887381</v>
      </c>
      <c r="T130" s="360">
        <f t="shared" si="498"/>
        <v>428637.5</v>
      </c>
      <c r="U130" s="363">
        <f t="shared" si="499"/>
        <v>2031</v>
      </c>
      <c r="V130" s="380">
        <f t="shared" si="500"/>
        <v>211.04751354012802</v>
      </c>
      <c r="W130" s="360">
        <f t="shared" si="501"/>
        <v>400157.23</v>
      </c>
      <c r="X130" s="363">
        <f t="shared" si="502"/>
        <v>1887</v>
      </c>
      <c r="Y130" s="380">
        <f t="shared" si="503"/>
        <v>212.06000529941704</v>
      </c>
      <c r="Z130" s="360">
        <f t="shared" si="504"/>
        <v>430854.51</v>
      </c>
      <c r="AA130" s="363">
        <f t="shared" si="505"/>
        <v>2040</v>
      </c>
      <c r="AB130" s="380">
        <f t="shared" si="506"/>
        <v>211.2031911764706</v>
      </c>
      <c r="AC130" s="360">
        <f t="shared" si="507"/>
        <v>395498.92</v>
      </c>
      <c r="AD130" s="363">
        <f t="shared" si="508"/>
        <v>1822</v>
      </c>
      <c r="AE130" s="380">
        <f t="shared" si="509"/>
        <v>217.0685620197585</v>
      </c>
      <c r="AF130" s="360">
        <f t="shared" si="526"/>
        <v>395498.84</v>
      </c>
      <c r="AG130" s="363">
        <f t="shared" si="510"/>
        <v>1850</v>
      </c>
      <c r="AH130" s="380">
        <f t="shared" si="511"/>
        <v>213.78315675675677</v>
      </c>
      <c r="AI130" s="360">
        <f t="shared" si="527"/>
        <v>406148.92</v>
      </c>
      <c r="AJ130" s="363">
        <f t="shared" si="512"/>
        <v>1909</v>
      </c>
      <c r="AK130" s="380">
        <f t="shared" si="513"/>
        <v>212.75480356207439</v>
      </c>
      <c r="AL130" s="414"/>
      <c r="AM130" s="415"/>
      <c r="AN130" s="429"/>
      <c r="AO130" s="360">
        <f t="shared" si="528"/>
        <v>413794.01</v>
      </c>
      <c r="AP130" s="363">
        <f t="shared" si="514"/>
        <v>1938</v>
      </c>
      <c r="AQ130" s="380">
        <f t="shared" si="515"/>
        <v>213.51600103199175</v>
      </c>
      <c r="AR130" s="360">
        <f t="shared" si="529"/>
        <v>440188.73</v>
      </c>
      <c r="AS130" s="363">
        <f t="shared" si="516"/>
        <v>2084</v>
      </c>
      <c r="AT130" s="380">
        <f t="shared" si="517"/>
        <v>211.22299904030709</v>
      </c>
      <c r="AU130" s="360">
        <f t="shared" si="538"/>
        <v>427537</v>
      </c>
      <c r="AV130" s="363">
        <f t="shared" si="538"/>
        <v>2039</v>
      </c>
      <c r="AW130" s="380">
        <f t="shared" si="518"/>
        <v>209.679744973026</v>
      </c>
      <c r="AX130" s="360">
        <f t="shared" si="519"/>
        <v>409162.44384615379</v>
      </c>
      <c r="AY130" s="363">
        <f t="shared" si="520"/>
        <v>1932.0769230769231</v>
      </c>
      <c r="AZ130" s="380">
        <f t="shared" si="521"/>
        <v>211.77337142174619</v>
      </c>
      <c r="BA130" s="360">
        <f t="shared" si="532"/>
        <v>372920.31</v>
      </c>
      <c r="BB130" s="363">
        <f t="shared" si="522"/>
        <v>1795</v>
      </c>
      <c r="BC130" s="380">
        <f t="shared" si="523"/>
        <v>207.75504735376043</v>
      </c>
      <c r="BD130" s="360">
        <f t="shared" si="533"/>
        <v>443708.32</v>
      </c>
      <c r="BE130" s="363">
        <f t="shared" si="524"/>
        <v>2101</v>
      </c>
      <c r="BF130" s="380">
        <f t="shared" si="525"/>
        <v>211.18910994764397</v>
      </c>
    </row>
    <row r="131" spans="1:127" hidden="1" outlineLevel="1" x14ac:dyDescent="0.25">
      <c r="A131" s="302">
        <v>17</v>
      </c>
      <c r="B131" s="359">
        <f t="shared" si="480"/>
        <v>408964.68</v>
      </c>
      <c r="C131" s="362">
        <f t="shared" si="481"/>
        <v>1867</v>
      </c>
      <c r="D131" s="379">
        <f t="shared" si="482"/>
        <v>219.04910551687198</v>
      </c>
      <c r="E131" s="359">
        <f t="shared" si="483"/>
        <v>426297.24</v>
      </c>
      <c r="F131" s="362">
        <f t="shared" si="484"/>
        <v>1966</v>
      </c>
      <c r="G131" s="379">
        <f t="shared" si="485"/>
        <v>216.83481180061037</v>
      </c>
      <c r="H131" s="359">
        <f t="shared" si="486"/>
        <v>404524.59</v>
      </c>
      <c r="I131" s="362">
        <f t="shared" si="487"/>
        <v>2005</v>
      </c>
      <c r="J131" s="379">
        <f t="shared" si="488"/>
        <v>201.75790024937658</v>
      </c>
      <c r="K131" s="359">
        <f t="shared" si="489"/>
        <v>412548.51</v>
      </c>
      <c r="L131" s="362">
        <f t="shared" si="490"/>
        <v>1983</v>
      </c>
      <c r="M131" s="379">
        <f t="shared" si="491"/>
        <v>208.04261724659608</v>
      </c>
      <c r="N131" s="359">
        <f t="shared" si="492"/>
        <v>455180.77</v>
      </c>
      <c r="O131" s="362">
        <f t="shared" si="493"/>
        <v>2153</v>
      </c>
      <c r="P131" s="379">
        <f t="shared" si="494"/>
        <v>211.41698560148632</v>
      </c>
      <c r="Q131" s="359">
        <f t="shared" si="495"/>
        <v>412196.96</v>
      </c>
      <c r="R131" s="362">
        <f t="shared" si="496"/>
        <v>1962</v>
      </c>
      <c r="S131" s="379">
        <f t="shared" si="497"/>
        <v>210.09019367991846</v>
      </c>
      <c r="T131" s="359">
        <f t="shared" si="498"/>
        <v>445807.03</v>
      </c>
      <c r="U131" s="362">
        <f t="shared" si="499"/>
        <v>2109</v>
      </c>
      <c r="V131" s="379">
        <f t="shared" si="500"/>
        <v>211.38313418681841</v>
      </c>
      <c r="W131" s="359">
        <f t="shared" si="501"/>
        <v>426974.09</v>
      </c>
      <c r="X131" s="362">
        <f t="shared" si="502"/>
        <v>2029</v>
      </c>
      <c r="Y131" s="379">
        <f t="shared" si="503"/>
        <v>210.43572695909316</v>
      </c>
      <c r="Z131" s="359">
        <f t="shared" si="504"/>
        <v>442983.5</v>
      </c>
      <c r="AA131" s="362">
        <f t="shared" si="505"/>
        <v>2103</v>
      </c>
      <c r="AB131" s="379">
        <f t="shared" si="506"/>
        <v>210.64360437470282</v>
      </c>
      <c r="AC131" s="359">
        <f t="shared" si="507"/>
        <v>402936.72</v>
      </c>
      <c r="AD131" s="362">
        <f t="shared" si="508"/>
        <v>1853</v>
      </c>
      <c r="AE131" s="379">
        <f t="shared" si="509"/>
        <v>217.45100917431191</v>
      </c>
      <c r="AF131" s="359">
        <f t="shared" si="526"/>
        <v>412491.5</v>
      </c>
      <c r="AG131" s="362">
        <f t="shared" si="510"/>
        <v>1928</v>
      </c>
      <c r="AH131" s="379">
        <f t="shared" si="511"/>
        <v>213.94787344398341</v>
      </c>
      <c r="AI131" s="359">
        <f t="shared" si="527"/>
        <v>422213.51</v>
      </c>
      <c r="AJ131" s="362">
        <f t="shared" si="512"/>
        <v>1975</v>
      </c>
      <c r="AK131" s="379">
        <f t="shared" si="513"/>
        <v>213.77899240506329</v>
      </c>
      <c r="AL131" s="414"/>
      <c r="AM131" s="415"/>
      <c r="AN131" s="429"/>
      <c r="AO131" s="359">
        <f t="shared" si="528"/>
        <v>424913.87</v>
      </c>
      <c r="AP131" s="362">
        <f t="shared" si="514"/>
        <v>1986</v>
      </c>
      <c r="AQ131" s="379">
        <f t="shared" si="515"/>
        <v>213.95461732124875</v>
      </c>
      <c r="AR131" s="359">
        <f t="shared" si="529"/>
        <v>453634.94</v>
      </c>
      <c r="AS131" s="362">
        <f t="shared" si="516"/>
        <v>2152</v>
      </c>
      <c r="AT131" s="379">
        <f t="shared" si="517"/>
        <v>210.79690520446096</v>
      </c>
      <c r="AU131" s="359">
        <f t="shared" si="538"/>
        <v>439430</v>
      </c>
      <c r="AV131" s="362">
        <f t="shared" si="538"/>
        <v>2089</v>
      </c>
      <c r="AW131" s="379">
        <f t="shared" si="518"/>
        <v>210.35423647678314</v>
      </c>
      <c r="AX131" s="359">
        <f t="shared" si="519"/>
        <v>426090.49307692307</v>
      </c>
      <c r="AY131" s="362">
        <f t="shared" si="520"/>
        <v>2011</v>
      </c>
      <c r="AZ131" s="379">
        <f t="shared" si="521"/>
        <v>211.87990704968826</v>
      </c>
      <c r="BA131" s="359">
        <f t="shared" si="532"/>
        <v>402936.72</v>
      </c>
      <c r="BB131" s="362">
        <f t="shared" si="522"/>
        <v>1853</v>
      </c>
      <c r="BC131" s="379">
        <f t="shared" si="523"/>
        <v>217.45100917431191</v>
      </c>
      <c r="BD131" s="359">
        <f t="shared" si="533"/>
        <v>455180.77</v>
      </c>
      <c r="BE131" s="362">
        <f t="shared" si="524"/>
        <v>2153</v>
      </c>
      <c r="BF131" s="379">
        <f t="shared" si="525"/>
        <v>211.41698560148632</v>
      </c>
    </row>
    <row r="132" spans="1:127" hidden="1" outlineLevel="1" x14ac:dyDescent="0.25">
      <c r="A132" s="302">
        <v>18</v>
      </c>
      <c r="B132" s="360">
        <f t="shared" si="480"/>
        <v>433313.67</v>
      </c>
      <c r="C132" s="363">
        <f t="shared" si="481"/>
        <v>2003</v>
      </c>
      <c r="D132" s="380">
        <f t="shared" si="482"/>
        <v>216.3323364952571</v>
      </c>
      <c r="E132" s="360">
        <f t="shared" si="483"/>
        <v>449151.75</v>
      </c>
      <c r="F132" s="363">
        <f t="shared" si="484"/>
        <v>2091</v>
      </c>
      <c r="G132" s="380">
        <f t="shared" si="485"/>
        <v>214.80236728837878</v>
      </c>
      <c r="H132" s="360">
        <f t="shared" si="486"/>
        <v>428474.71</v>
      </c>
      <c r="I132" s="363">
        <f t="shared" si="487"/>
        <v>2116</v>
      </c>
      <c r="J132" s="380">
        <f t="shared" si="488"/>
        <v>202.49277410207941</v>
      </c>
      <c r="K132" s="360">
        <f t="shared" si="489"/>
        <v>428541.2</v>
      </c>
      <c r="L132" s="363">
        <f t="shared" si="490"/>
        <v>2060</v>
      </c>
      <c r="M132" s="380">
        <f t="shared" si="491"/>
        <v>208.02970873786407</v>
      </c>
      <c r="N132" s="360">
        <f t="shared" si="492"/>
        <v>466334.09</v>
      </c>
      <c r="O132" s="363">
        <f t="shared" si="493"/>
        <v>2208</v>
      </c>
      <c r="P132" s="380">
        <f t="shared" si="494"/>
        <v>211.20203351449277</v>
      </c>
      <c r="Q132" s="360">
        <f t="shared" si="495"/>
        <v>430497.13</v>
      </c>
      <c r="R132" s="363">
        <f t="shared" si="496"/>
        <v>2047</v>
      </c>
      <c r="S132" s="380">
        <f t="shared" si="497"/>
        <v>210.30636541279921</v>
      </c>
      <c r="T132" s="360">
        <f t="shared" si="498"/>
        <v>461745.42</v>
      </c>
      <c r="U132" s="363">
        <f t="shared" si="499"/>
        <v>2176</v>
      </c>
      <c r="V132" s="380">
        <f t="shared" si="500"/>
        <v>212.1991819852941</v>
      </c>
      <c r="W132" s="360">
        <f t="shared" si="501"/>
        <v>443002.15</v>
      </c>
      <c r="X132" s="363">
        <f t="shared" si="502"/>
        <v>2115</v>
      </c>
      <c r="Y132" s="380">
        <f t="shared" si="503"/>
        <v>209.45728132387708</v>
      </c>
      <c r="Z132" s="360">
        <f t="shared" si="504"/>
        <v>458575.71</v>
      </c>
      <c r="AA132" s="363">
        <f t="shared" si="505"/>
        <v>2173</v>
      </c>
      <c r="AB132" s="380">
        <f t="shared" si="506"/>
        <v>211.03346065347446</v>
      </c>
      <c r="AC132" s="360">
        <f t="shared" si="507"/>
        <v>425115.48</v>
      </c>
      <c r="AD132" s="363">
        <f t="shared" si="508"/>
        <v>1970</v>
      </c>
      <c r="AE132" s="380">
        <f t="shared" si="509"/>
        <v>215.79465989847714</v>
      </c>
      <c r="AF132" s="360">
        <f t="shared" si="526"/>
        <v>426612.99</v>
      </c>
      <c r="AG132" s="363">
        <f t="shared" si="510"/>
        <v>2004</v>
      </c>
      <c r="AH132" s="380">
        <f t="shared" si="511"/>
        <v>212.88073353293413</v>
      </c>
      <c r="AI132" s="360">
        <f t="shared" si="527"/>
        <v>439118.73</v>
      </c>
      <c r="AJ132" s="363">
        <f t="shared" si="512"/>
        <v>2036</v>
      </c>
      <c r="AK132" s="380">
        <f t="shared" si="513"/>
        <v>215.67717583497051</v>
      </c>
      <c r="AL132" s="414"/>
      <c r="AM132" s="415"/>
      <c r="AN132" s="429"/>
      <c r="AO132" s="360">
        <f t="shared" si="528"/>
        <v>440683.25</v>
      </c>
      <c r="AP132" s="363">
        <f t="shared" si="514"/>
        <v>2057</v>
      </c>
      <c r="AQ132" s="380">
        <f t="shared" si="515"/>
        <v>214.23590179873602</v>
      </c>
      <c r="AR132" s="360">
        <f t="shared" si="529"/>
        <v>468944.15</v>
      </c>
      <c r="AS132" s="363">
        <f t="shared" si="516"/>
        <v>2221</v>
      </c>
      <c r="AT132" s="380">
        <f t="shared" si="517"/>
        <v>211.14099504727602</v>
      </c>
      <c r="AU132" s="360">
        <f t="shared" si="538"/>
        <v>454034</v>
      </c>
      <c r="AV132" s="363">
        <f t="shared" si="538"/>
        <v>2148</v>
      </c>
      <c r="AW132" s="380">
        <f t="shared" si="518"/>
        <v>211.37523277467412</v>
      </c>
      <c r="AX132" s="360">
        <f t="shared" si="519"/>
        <v>444115.18769230763</v>
      </c>
      <c r="AY132" s="363">
        <f t="shared" si="520"/>
        <v>2097.9230769230771</v>
      </c>
      <c r="AZ132" s="380">
        <f t="shared" si="521"/>
        <v>211.69278920544124</v>
      </c>
      <c r="BA132" s="360">
        <f t="shared" si="532"/>
        <v>425115.48</v>
      </c>
      <c r="BB132" s="363">
        <f t="shared" si="522"/>
        <v>1970</v>
      </c>
      <c r="BC132" s="380">
        <f t="shared" si="523"/>
        <v>215.79465989847714</v>
      </c>
      <c r="BD132" s="360">
        <f t="shared" si="533"/>
        <v>468944.15</v>
      </c>
      <c r="BE132" s="363">
        <f t="shared" si="524"/>
        <v>2221</v>
      </c>
      <c r="BF132" s="380">
        <f t="shared" si="525"/>
        <v>211.14099504727602</v>
      </c>
    </row>
    <row r="133" spans="1:127" hidden="1" outlineLevel="1" x14ac:dyDescent="0.25">
      <c r="A133" s="302">
        <v>19</v>
      </c>
      <c r="B133" s="359">
        <f t="shared" si="480"/>
        <v>460383.59</v>
      </c>
      <c r="C133" s="362">
        <f t="shared" si="481"/>
        <v>2140</v>
      </c>
      <c r="D133" s="379">
        <f t="shared" si="482"/>
        <v>215.13251869158879</v>
      </c>
      <c r="E133" s="359">
        <f t="shared" si="483"/>
        <v>480758.15</v>
      </c>
      <c r="F133" s="362">
        <f t="shared" si="484"/>
        <v>2241</v>
      </c>
      <c r="G133" s="379">
        <f t="shared" si="485"/>
        <v>214.52840249888445</v>
      </c>
      <c r="H133" s="359">
        <f t="shared" si="486"/>
        <v>471315.66</v>
      </c>
      <c r="I133" s="362">
        <f t="shared" si="487"/>
        <v>2260</v>
      </c>
      <c r="J133" s="379">
        <f t="shared" si="488"/>
        <v>208.54675221238938</v>
      </c>
      <c r="K133" s="359">
        <f t="shared" si="489"/>
        <v>458613.37</v>
      </c>
      <c r="L133" s="362">
        <f t="shared" si="490"/>
        <v>2191</v>
      </c>
      <c r="M133" s="379">
        <f t="shared" si="491"/>
        <v>209.31691921497034</v>
      </c>
      <c r="N133" s="359">
        <f t="shared" si="492"/>
        <v>487150.71</v>
      </c>
      <c r="O133" s="362">
        <f t="shared" si="493"/>
        <v>2308</v>
      </c>
      <c r="P133" s="379">
        <f t="shared" si="494"/>
        <v>211.07049826689774</v>
      </c>
      <c r="Q133" s="359">
        <f t="shared" si="495"/>
        <v>459330.1</v>
      </c>
      <c r="R133" s="362">
        <f t="shared" si="496"/>
        <v>2182</v>
      </c>
      <c r="S133" s="379">
        <f t="shared" si="497"/>
        <v>210.50875343721356</v>
      </c>
      <c r="T133" s="359">
        <f t="shared" si="498"/>
        <v>486794.27</v>
      </c>
      <c r="U133" s="362">
        <f t="shared" si="499"/>
        <v>2304</v>
      </c>
      <c r="V133" s="379">
        <f t="shared" si="500"/>
        <v>211.28223524305557</v>
      </c>
      <c r="W133" s="359">
        <f t="shared" si="501"/>
        <v>465927.72</v>
      </c>
      <c r="X133" s="362">
        <f t="shared" si="502"/>
        <v>2236</v>
      </c>
      <c r="Y133" s="379">
        <f t="shared" si="503"/>
        <v>208.37554561717351</v>
      </c>
      <c r="Z133" s="359">
        <f t="shared" si="504"/>
        <v>480152.66</v>
      </c>
      <c r="AA133" s="362">
        <f t="shared" si="505"/>
        <v>2280</v>
      </c>
      <c r="AB133" s="379">
        <f t="shared" si="506"/>
        <v>210.59327192982454</v>
      </c>
      <c r="AC133" s="359">
        <f t="shared" si="507"/>
        <v>449431.36</v>
      </c>
      <c r="AD133" s="362">
        <f t="shared" si="508"/>
        <v>2097</v>
      </c>
      <c r="AE133" s="379">
        <f t="shared" si="509"/>
        <v>214.32110634239388</v>
      </c>
      <c r="AF133" s="359">
        <f t="shared" si="526"/>
        <v>467625.92</v>
      </c>
      <c r="AG133" s="362">
        <f t="shared" si="510"/>
        <v>2197</v>
      </c>
      <c r="AH133" s="379">
        <f t="shared" si="511"/>
        <v>212.84748293126989</v>
      </c>
      <c r="AI133" s="359">
        <f t="shared" si="527"/>
        <v>474828.86</v>
      </c>
      <c r="AJ133" s="362">
        <f t="shared" si="512"/>
        <v>2221</v>
      </c>
      <c r="AK133" s="379">
        <f t="shared" si="513"/>
        <v>213.79057181449798</v>
      </c>
      <c r="AL133" s="414"/>
      <c r="AM133" s="415"/>
      <c r="AN133" s="429"/>
      <c r="AO133" s="359">
        <f t="shared" si="528"/>
        <v>469304.23</v>
      </c>
      <c r="AP133" s="362">
        <f t="shared" si="514"/>
        <v>2203</v>
      </c>
      <c r="AQ133" s="379">
        <f t="shared" si="515"/>
        <v>213.02960962324102</v>
      </c>
      <c r="AR133" s="359">
        <f t="shared" si="529"/>
        <v>485073.14</v>
      </c>
      <c r="AS133" s="362">
        <f t="shared" si="516"/>
        <v>2296</v>
      </c>
      <c r="AT133" s="379">
        <f t="shared" si="517"/>
        <v>211.26878919860627</v>
      </c>
      <c r="AU133" s="359">
        <f t="shared" si="538"/>
        <v>470532</v>
      </c>
      <c r="AV133" s="362">
        <f t="shared" si="538"/>
        <v>2221</v>
      </c>
      <c r="AW133" s="379">
        <f t="shared" si="518"/>
        <v>211.85592075641603</v>
      </c>
      <c r="AX133" s="359">
        <f t="shared" si="519"/>
        <v>471466.44769230776</v>
      </c>
      <c r="AY133" s="362">
        <f t="shared" si="520"/>
        <v>2227.6153846153848</v>
      </c>
      <c r="AZ133" s="379">
        <f t="shared" si="521"/>
        <v>211.64625228771715</v>
      </c>
      <c r="BA133" s="359">
        <f t="shared" si="532"/>
        <v>449431.36</v>
      </c>
      <c r="BB133" s="362">
        <f t="shared" si="522"/>
        <v>2097</v>
      </c>
      <c r="BC133" s="379">
        <f t="shared" si="523"/>
        <v>214.32110634239388</v>
      </c>
      <c r="BD133" s="359">
        <f t="shared" si="533"/>
        <v>487150.71</v>
      </c>
      <c r="BE133" s="362">
        <f t="shared" si="524"/>
        <v>2308</v>
      </c>
      <c r="BF133" s="379">
        <f t="shared" si="525"/>
        <v>211.07049826689774</v>
      </c>
    </row>
    <row r="134" spans="1:127" hidden="1" outlineLevel="1" x14ac:dyDescent="0.25">
      <c r="A134" s="302">
        <v>20</v>
      </c>
      <c r="B134" s="361">
        <f t="shared" si="480"/>
        <v>507150</v>
      </c>
      <c r="C134" s="364">
        <f t="shared" si="481"/>
        <v>2404</v>
      </c>
      <c r="D134" s="381">
        <f t="shared" si="482"/>
        <v>210.96089850249584</v>
      </c>
      <c r="E134" s="361">
        <f t="shared" si="483"/>
        <v>507150</v>
      </c>
      <c r="F134" s="364">
        <f t="shared" si="484"/>
        <v>2404</v>
      </c>
      <c r="G134" s="381">
        <f t="shared" si="485"/>
        <v>210.96089850249584</v>
      </c>
      <c r="H134" s="361">
        <f t="shared" si="486"/>
        <v>507150</v>
      </c>
      <c r="I134" s="364">
        <f t="shared" si="487"/>
        <v>2404</v>
      </c>
      <c r="J134" s="381">
        <f t="shared" si="488"/>
        <v>210.96089850249584</v>
      </c>
      <c r="K134" s="361">
        <f t="shared" si="489"/>
        <v>507150</v>
      </c>
      <c r="L134" s="364">
        <f t="shared" si="490"/>
        <v>2404</v>
      </c>
      <c r="M134" s="381">
        <f t="shared" si="491"/>
        <v>210.96089850249584</v>
      </c>
      <c r="N134" s="361">
        <f t="shared" si="492"/>
        <v>507150</v>
      </c>
      <c r="O134" s="364">
        <f t="shared" si="493"/>
        <v>2404</v>
      </c>
      <c r="P134" s="381">
        <f t="shared" si="494"/>
        <v>210.96089850249584</v>
      </c>
      <c r="Q134" s="361">
        <f t="shared" si="495"/>
        <v>507150</v>
      </c>
      <c r="R134" s="364">
        <f t="shared" si="496"/>
        <v>2404</v>
      </c>
      <c r="S134" s="381">
        <f t="shared" si="497"/>
        <v>210.96089850249584</v>
      </c>
      <c r="T134" s="361">
        <f t="shared" si="498"/>
        <v>507150</v>
      </c>
      <c r="U134" s="364">
        <f t="shared" si="499"/>
        <v>2404</v>
      </c>
      <c r="V134" s="381">
        <f t="shared" si="500"/>
        <v>210.96089850249584</v>
      </c>
      <c r="W134" s="361">
        <f t="shared" si="501"/>
        <v>507150</v>
      </c>
      <c r="X134" s="364">
        <f t="shared" si="502"/>
        <v>2404</v>
      </c>
      <c r="Y134" s="381">
        <f t="shared" si="503"/>
        <v>210.96089850249584</v>
      </c>
      <c r="Z134" s="361">
        <f t="shared" si="504"/>
        <v>507150</v>
      </c>
      <c r="AA134" s="364">
        <f t="shared" si="505"/>
        <v>2404</v>
      </c>
      <c r="AB134" s="381">
        <f t="shared" si="506"/>
        <v>210.96089850249584</v>
      </c>
      <c r="AC134" s="361">
        <f t="shared" si="507"/>
        <v>507150</v>
      </c>
      <c r="AD134" s="364">
        <f t="shared" si="508"/>
        <v>2404</v>
      </c>
      <c r="AE134" s="381">
        <f t="shared" si="509"/>
        <v>210.96089850249584</v>
      </c>
      <c r="AF134" s="361">
        <f t="shared" si="526"/>
        <v>507150</v>
      </c>
      <c r="AG134" s="364">
        <f t="shared" si="510"/>
        <v>2404</v>
      </c>
      <c r="AH134" s="381">
        <f t="shared" si="511"/>
        <v>210.96089850249584</v>
      </c>
      <c r="AI134" s="361">
        <f t="shared" si="527"/>
        <v>507150</v>
      </c>
      <c r="AJ134" s="364">
        <f t="shared" si="512"/>
        <v>2404</v>
      </c>
      <c r="AK134" s="381">
        <f t="shared" si="513"/>
        <v>210.96089850249584</v>
      </c>
      <c r="AL134" s="414"/>
      <c r="AM134" s="415"/>
      <c r="AN134" s="429"/>
      <c r="AO134" s="361">
        <f t="shared" si="528"/>
        <v>507150</v>
      </c>
      <c r="AP134" s="364">
        <f t="shared" si="514"/>
        <v>2404</v>
      </c>
      <c r="AQ134" s="381">
        <f t="shared" si="515"/>
        <v>210.96089850249584</v>
      </c>
      <c r="AR134" s="361">
        <f t="shared" si="529"/>
        <v>507150</v>
      </c>
      <c r="AS134" s="364">
        <f t="shared" si="516"/>
        <v>2404</v>
      </c>
      <c r="AT134" s="381">
        <f t="shared" si="517"/>
        <v>210.96089850249584</v>
      </c>
      <c r="AU134" s="361">
        <f t="shared" si="538"/>
        <v>507150</v>
      </c>
      <c r="AV134" s="364">
        <f t="shared" si="538"/>
        <v>2404</v>
      </c>
      <c r="AW134" s="381">
        <f t="shared" si="518"/>
        <v>210.96089850249584</v>
      </c>
      <c r="AX134" s="361">
        <f t="shared" si="519"/>
        <v>507150</v>
      </c>
      <c r="AY134" s="364">
        <f t="shared" si="520"/>
        <v>2404</v>
      </c>
      <c r="AZ134" s="381">
        <f t="shared" si="521"/>
        <v>210.96089850249584</v>
      </c>
      <c r="BA134" s="361">
        <f t="shared" si="532"/>
        <v>507150</v>
      </c>
      <c r="BB134" s="364">
        <f t="shared" si="522"/>
        <v>2404</v>
      </c>
      <c r="BC134" s="381">
        <f t="shared" si="523"/>
        <v>210.96089850249584</v>
      </c>
      <c r="BD134" s="361">
        <f t="shared" si="533"/>
        <v>507150</v>
      </c>
      <c r="BE134" s="364">
        <f t="shared" si="524"/>
        <v>2404</v>
      </c>
      <c r="BF134" s="381">
        <f t="shared" si="525"/>
        <v>210.96089850249584</v>
      </c>
    </row>
    <row r="135" spans="1:127" hidden="1" outlineLevel="1" x14ac:dyDescent="0.25">
      <c r="A135" s="302">
        <v>21</v>
      </c>
      <c r="B135" s="359">
        <f t="shared" si="480"/>
        <v>578961.89</v>
      </c>
      <c r="C135" s="362">
        <f t="shared" si="481"/>
        <v>2781</v>
      </c>
      <c r="D135" s="379">
        <f t="shared" si="482"/>
        <v>208.18478604818412</v>
      </c>
      <c r="E135" s="359">
        <f t="shared" si="483"/>
        <v>664275.28</v>
      </c>
      <c r="F135" s="362">
        <f t="shared" si="484"/>
        <v>3155</v>
      </c>
      <c r="G135" s="379">
        <f t="shared" si="485"/>
        <v>210.54683993660856</v>
      </c>
      <c r="H135" s="359">
        <f t="shared" si="486"/>
        <v>576247.1</v>
      </c>
      <c r="I135" s="362">
        <f t="shared" si="487"/>
        <v>2709</v>
      </c>
      <c r="J135" s="379">
        <f t="shared" si="488"/>
        <v>212.7157991878922</v>
      </c>
      <c r="K135" s="359">
        <f t="shared" si="489"/>
        <v>577759.24</v>
      </c>
      <c r="L135" s="362">
        <f t="shared" si="490"/>
        <v>2715</v>
      </c>
      <c r="M135" s="379">
        <f t="shared" si="491"/>
        <v>212.80266666666665</v>
      </c>
      <c r="N135" s="359">
        <f t="shared" si="492"/>
        <v>548888.85</v>
      </c>
      <c r="O135" s="362">
        <f t="shared" si="493"/>
        <v>2589</v>
      </c>
      <c r="P135" s="379">
        <f t="shared" si="494"/>
        <v>212.00805330243335</v>
      </c>
      <c r="Q135" s="359">
        <f t="shared" si="495"/>
        <v>598621.75</v>
      </c>
      <c r="R135" s="362">
        <f t="shared" si="496"/>
        <v>2805</v>
      </c>
      <c r="S135" s="379">
        <f t="shared" si="497"/>
        <v>213.41238859180035</v>
      </c>
      <c r="T135" s="359">
        <f t="shared" si="498"/>
        <v>569847.23</v>
      </c>
      <c r="U135" s="362">
        <f t="shared" si="499"/>
        <v>2716</v>
      </c>
      <c r="V135" s="379">
        <f t="shared" si="500"/>
        <v>209.81120397643593</v>
      </c>
      <c r="W135" s="359">
        <f t="shared" si="501"/>
        <v>585540.49</v>
      </c>
      <c r="X135" s="362">
        <f t="shared" si="502"/>
        <v>2779</v>
      </c>
      <c r="Y135" s="379">
        <f t="shared" si="503"/>
        <v>210.70186757826556</v>
      </c>
      <c r="Z135" s="359">
        <f t="shared" si="504"/>
        <v>556508.18999999994</v>
      </c>
      <c r="AA135" s="362">
        <f t="shared" si="505"/>
        <v>2635</v>
      </c>
      <c r="AB135" s="379">
        <f t="shared" si="506"/>
        <v>211.19855407969638</v>
      </c>
      <c r="AC135" s="359">
        <f t="shared" si="507"/>
        <v>609966.59</v>
      </c>
      <c r="AD135" s="362">
        <f t="shared" si="508"/>
        <v>2849</v>
      </c>
      <c r="AE135" s="379">
        <f t="shared" si="509"/>
        <v>214.09848718848718</v>
      </c>
      <c r="AF135" s="359">
        <f t="shared" si="526"/>
        <v>589900.15</v>
      </c>
      <c r="AG135" s="362">
        <f t="shared" si="510"/>
        <v>2773</v>
      </c>
      <c r="AH135" s="379">
        <f t="shared" si="511"/>
        <v>212.72994951316264</v>
      </c>
      <c r="AI135" s="359">
        <f t="shared" si="527"/>
        <v>556316.79</v>
      </c>
      <c r="AJ135" s="362">
        <f t="shared" si="512"/>
        <v>2641</v>
      </c>
      <c r="AK135" s="379">
        <f t="shared" si="513"/>
        <v>210.64626656569482</v>
      </c>
      <c r="AL135" s="414"/>
      <c r="AM135" s="415"/>
      <c r="AN135" s="429"/>
      <c r="AO135" s="359">
        <f t="shared" si="528"/>
        <v>571025.64</v>
      </c>
      <c r="AP135" s="362">
        <f t="shared" si="514"/>
        <v>2713</v>
      </c>
      <c r="AQ135" s="379">
        <f t="shared" si="515"/>
        <v>210.47756726870622</v>
      </c>
      <c r="AR135" s="359">
        <f t="shared" si="529"/>
        <v>551764.37</v>
      </c>
      <c r="AS135" s="362">
        <f t="shared" si="516"/>
        <v>2649</v>
      </c>
      <c r="AT135" s="379">
        <f t="shared" si="517"/>
        <v>208.29157040392602</v>
      </c>
      <c r="AU135" s="359">
        <f t="shared" si="538"/>
        <v>560576.43999999994</v>
      </c>
      <c r="AV135" s="362">
        <f t="shared" si="538"/>
        <v>2679</v>
      </c>
      <c r="AW135" s="379">
        <f t="shared" si="518"/>
        <v>209.24839119074278</v>
      </c>
      <c r="AX135" s="359">
        <f t="shared" si="519"/>
        <v>580440.2623076922</v>
      </c>
      <c r="AY135" s="362">
        <f t="shared" si="520"/>
        <v>2748.9230769230771</v>
      </c>
      <c r="AZ135" s="379">
        <f t="shared" si="521"/>
        <v>211.15187513991486</v>
      </c>
      <c r="BA135" s="359">
        <f t="shared" si="532"/>
        <v>548888.85</v>
      </c>
      <c r="BB135" s="362">
        <f t="shared" si="522"/>
        <v>2589</v>
      </c>
      <c r="BC135" s="379">
        <f t="shared" si="523"/>
        <v>212.00805330243335</v>
      </c>
      <c r="BD135" s="359">
        <f t="shared" si="533"/>
        <v>664275.28</v>
      </c>
      <c r="BE135" s="362">
        <f t="shared" si="524"/>
        <v>3155</v>
      </c>
      <c r="BF135" s="379">
        <f t="shared" si="525"/>
        <v>210.54683993660856</v>
      </c>
    </row>
    <row r="136" spans="1:127" hidden="1" outlineLevel="1" x14ac:dyDescent="0.25">
      <c r="A136" s="365" t="s">
        <v>195</v>
      </c>
      <c r="AL136" s="1008" t="s">
        <v>406</v>
      </c>
      <c r="AM136" s="1008"/>
      <c r="AN136" s="1008"/>
      <c r="AO136" s="1009"/>
      <c r="AP136" s="1009"/>
      <c r="AQ136" s="386"/>
      <c r="AR136" s="1009"/>
      <c r="AS136" s="1009"/>
      <c r="AT136" s="386"/>
      <c r="BA136" s="659">
        <f>AX135-BA135</f>
        <v>31551.412307692226</v>
      </c>
      <c r="BB136" s="660">
        <f>AY135-BB135</f>
        <v>159.92307692307713</v>
      </c>
      <c r="BC136" s="661"/>
      <c r="BD136" s="659">
        <f>AX135-BD135</f>
        <v>-83835.017692307825</v>
      </c>
      <c r="BE136" s="660">
        <f>AY135-BE135</f>
        <v>-406.07692307692287</v>
      </c>
    </row>
    <row r="137" spans="1:127" hidden="1" outlineLevel="1" x14ac:dyDescent="0.25">
      <c r="A137" s="252" t="s">
        <v>12</v>
      </c>
      <c r="B137" s="291" t="str">
        <f>Tabelle3[[#Headers],[Ned (€)]]</f>
        <v>Ned (€)</v>
      </c>
      <c r="C137" s="292" t="str">
        <f>C$4</f>
        <v>Ned (Backer)</v>
      </c>
      <c r="D137" s="370" t="str">
        <f t="shared" ref="D137:AW137" si="539">D$4</f>
        <v>Ned (€/B)</v>
      </c>
      <c r="E137" s="294" t="str">
        <f t="shared" si="539"/>
        <v>Werkzeuge (€)</v>
      </c>
      <c r="F137" s="295" t="str">
        <f t="shared" si="539"/>
        <v>Werkzeuge (Backer)</v>
      </c>
      <c r="G137" s="407" t="str">
        <f t="shared" si="539"/>
        <v>Werkz (€/B)</v>
      </c>
      <c r="H137" s="298" t="str">
        <f t="shared" si="539"/>
        <v>DSK Fasar (€)</v>
      </c>
      <c r="I137" s="299" t="str">
        <f t="shared" si="539"/>
        <v>DSK Fasar (Backer)</v>
      </c>
      <c r="J137" s="300" t="str">
        <f t="shared" si="539"/>
        <v>DSK Fasar (€/B)</v>
      </c>
      <c r="K137" s="291" t="str">
        <f t="shared" si="539"/>
        <v>Mythen (€)</v>
      </c>
      <c r="L137" s="292" t="str">
        <f t="shared" si="539"/>
        <v>Mythen (Backer)</v>
      </c>
      <c r="M137" s="292" t="str">
        <f t="shared" si="539"/>
        <v>Mythen (€/B)</v>
      </c>
      <c r="N137" s="296" t="str">
        <f t="shared" si="539"/>
        <v>SOK (€)</v>
      </c>
      <c r="O137" s="297" t="str">
        <f t="shared" si="539"/>
        <v>SOK (Backer)</v>
      </c>
      <c r="P137" s="297" t="str">
        <f t="shared" si="539"/>
        <v>SOK (€/B)</v>
      </c>
      <c r="Q137" s="293" t="str">
        <f t="shared" si="539"/>
        <v>RE (€)</v>
      </c>
      <c r="R137" s="293" t="str">
        <f t="shared" si="539"/>
        <v>RE (Backer)</v>
      </c>
      <c r="S137" s="293" t="str">
        <f t="shared" si="539"/>
        <v>RE (€/B)</v>
      </c>
      <c r="T137" s="293" t="str">
        <f t="shared" si="539"/>
        <v>DGG (€)</v>
      </c>
      <c r="U137" s="293" t="str">
        <f t="shared" si="539"/>
        <v>DGG (Backer)</v>
      </c>
      <c r="V137" s="293" t="str">
        <f t="shared" si="539"/>
        <v>DGG (€/B)</v>
      </c>
      <c r="W137" s="298" t="str">
        <f t="shared" si="539"/>
        <v>DSK SV (€)</v>
      </c>
      <c r="X137" s="299" t="str">
        <f t="shared" si="539"/>
        <v>DSK SV (Backer)</v>
      </c>
      <c r="Y137" s="300" t="str">
        <f t="shared" si="539"/>
        <v>DSK SV (€/B)</v>
      </c>
      <c r="Z137" s="296" t="str">
        <f t="shared" si="539"/>
        <v>WW (€)</v>
      </c>
      <c r="AA137" s="297" t="str">
        <f t="shared" si="539"/>
        <v>WW (Backer)</v>
      </c>
      <c r="AB137" s="297" t="str">
        <f t="shared" si="539"/>
        <v>WW (€/B)</v>
      </c>
      <c r="AC137" s="298" t="str">
        <f t="shared" si="539"/>
        <v>DSK R (€)</v>
      </c>
      <c r="AD137" s="299" t="str">
        <f t="shared" si="539"/>
        <v>DSK R (Backer)</v>
      </c>
      <c r="AE137" s="300" t="str">
        <f t="shared" si="539"/>
        <v>DSK R (€/B)</v>
      </c>
      <c r="AF137" s="293" t="str">
        <f t="shared" si="539"/>
        <v>Ära (€)</v>
      </c>
      <c r="AG137" s="293" t="str">
        <f t="shared" si="539"/>
        <v>Ära (Backer)</v>
      </c>
      <c r="AH137" s="293" t="str">
        <f t="shared" si="539"/>
        <v>Ära (€/B)</v>
      </c>
      <c r="AI137" s="293" t="str">
        <f t="shared" si="539"/>
        <v>Mosaik (€)</v>
      </c>
      <c r="AJ137" s="293" t="str">
        <f t="shared" si="539"/>
        <v>Mosaik (Backer)</v>
      </c>
      <c r="AK137" s="293" t="str">
        <f t="shared" si="539"/>
        <v>Mosaik (€/B)</v>
      </c>
      <c r="AL137" s="298" t="str">
        <f t="shared" si="539"/>
        <v>DSK ES (€)</v>
      </c>
      <c r="AM137" s="299" t="str">
        <f t="shared" si="539"/>
        <v>DSK ES (Backer)</v>
      </c>
      <c r="AN137" s="300" t="str">
        <f t="shared" si="539"/>
        <v>DSK ES (€/B)</v>
      </c>
      <c r="AO137" s="296" t="str">
        <f t="shared" si="539"/>
        <v>ES (€)</v>
      </c>
      <c r="AP137" s="297" t="str">
        <f t="shared" si="539"/>
        <v>ES (Backer)</v>
      </c>
      <c r="AQ137" s="424" t="str">
        <f t="shared" si="539"/>
        <v>ES (€/B)</v>
      </c>
      <c r="AR137" s="296" t="str">
        <f t="shared" si="539"/>
        <v>WF (€)</v>
      </c>
      <c r="AS137" s="297" t="str">
        <f t="shared" si="539"/>
        <v>WF(Backer)</v>
      </c>
      <c r="AT137" s="424" t="str">
        <f t="shared" si="539"/>
        <v>WF (€/B)</v>
      </c>
      <c r="AU137" s="291" t="str">
        <f t="shared" si="539"/>
        <v>AKM (€)</v>
      </c>
      <c r="AV137" s="292" t="str">
        <f t="shared" si="539"/>
        <v>AKM(Backer)</v>
      </c>
      <c r="AW137" s="292" t="str">
        <f t="shared" si="539"/>
        <v>AKM (€/B)</v>
      </c>
      <c r="AX137" s="1059" t="s">
        <v>167</v>
      </c>
      <c r="AY137" s="1059"/>
      <c r="AZ137" s="1059"/>
      <c r="BA137" s="1059"/>
      <c r="BB137" s="1059"/>
      <c r="BC137" s="1059"/>
      <c r="BD137" s="1059"/>
      <c r="BE137" s="1059"/>
      <c r="BF137" s="1059"/>
      <c r="BV137" s="172"/>
      <c r="BW137" s="171"/>
      <c r="BX137" s="171"/>
      <c r="BY137" s="171"/>
      <c r="BZ137" s="171"/>
      <c r="CA137" s="171"/>
      <c r="CB137" s="171"/>
      <c r="CC137" s="171"/>
      <c r="CD137" s="171"/>
      <c r="CE137" s="171"/>
      <c r="CF137" s="171"/>
      <c r="CG137" s="171"/>
      <c r="CH137" s="171"/>
      <c r="CI137" s="171"/>
      <c r="CJ137" s="171"/>
      <c r="CK137" s="171"/>
      <c r="CL137" s="171"/>
      <c r="CM137" s="171"/>
      <c r="CN137" s="171"/>
      <c r="CO137" s="171"/>
      <c r="CP137" s="171"/>
      <c r="CQ137" s="171"/>
      <c r="CR137" s="171"/>
      <c r="CS137" s="171"/>
      <c r="CT137" s="171"/>
      <c r="CU137" s="171"/>
      <c r="CV137" s="171"/>
      <c r="CW137" s="171"/>
      <c r="CX137" s="171"/>
      <c r="CY137" s="171"/>
      <c r="CZ137" s="171"/>
      <c r="DA137" s="171"/>
      <c r="DB137" s="171"/>
      <c r="DC137" s="171"/>
      <c r="DD137" s="171"/>
      <c r="DE137" s="171"/>
      <c r="DF137" s="171"/>
      <c r="DG137" s="171"/>
      <c r="DH137" s="171"/>
      <c r="DI137" s="171"/>
      <c r="DJ137" s="171"/>
      <c r="DK137" s="171"/>
      <c r="DL137" s="171"/>
      <c r="DM137" s="171"/>
      <c r="DN137" s="171"/>
      <c r="DO137" s="171"/>
      <c r="DP137" s="171"/>
      <c r="DQ137" s="171"/>
      <c r="DR137" s="171"/>
      <c r="DS137" s="171"/>
      <c r="DT137" s="171"/>
      <c r="DU137" s="171"/>
      <c r="DV137" s="171"/>
      <c r="DW137" s="171"/>
    </row>
    <row r="138" spans="1:127" hidden="1" outlineLevel="1" x14ac:dyDescent="0.25">
      <c r="A138" s="366">
        <v>1</v>
      </c>
      <c r="B138" s="359">
        <f t="shared" ref="B138:B158" si="540">$AU115-B115</f>
        <v>46258.619999999995</v>
      </c>
      <c r="C138" s="362">
        <f t="shared" ref="C138:C158" si="541">$AV115-C115</f>
        <v>344</v>
      </c>
      <c r="D138" s="388">
        <f t="shared" ref="D138:D158" si="542">$AW115-D115</f>
        <v>-37.031070961331466</v>
      </c>
      <c r="E138" s="359">
        <f t="shared" ref="E138:E158" si="543">$AU115-E115</f>
        <v>14395.199999999983</v>
      </c>
      <c r="F138" s="362">
        <f t="shared" ref="F138:F158" si="544">$AV115-F115</f>
        <v>182</v>
      </c>
      <c r="G138" s="388">
        <f t="shared" ref="G138:G158" si="545">$AW115-G115</f>
        <v>-28.835567717587281</v>
      </c>
      <c r="H138" s="359">
        <f t="shared" ref="H138:H158" si="546">$AU115-H115</f>
        <v>13844.149999999994</v>
      </c>
      <c r="I138" s="362">
        <f t="shared" ref="I138:I158" si="547">$AV115-I115</f>
        <v>126</v>
      </c>
      <c r="J138" s="388">
        <f t="shared" ref="J138:J158" si="548">$AW115-J115</f>
        <v>-13.741198559760448</v>
      </c>
      <c r="K138" s="359">
        <f t="shared" ref="K138:K158" si="549">$AU115-K115</f>
        <v>57515.59</v>
      </c>
      <c r="L138" s="362">
        <f t="shared" ref="L138:L158" si="550">$AV115-L115</f>
        <v>301</v>
      </c>
      <c r="M138" s="388">
        <f t="shared" ref="M138:M158" si="551">$AW115-M115</f>
        <v>-3.0509266693177608</v>
      </c>
      <c r="N138" s="359">
        <f t="shared" ref="N138:N158" si="552">$AU115-N115</f>
        <v>-22591.23000000001</v>
      </c>
      <c r="O138" s="362">
        <f t="shared" ref="O138:O158" si="553">$AV115-O115</f>
        <v>-43</v>
      </c>
      <c r="P138" s="388">
        <f t="shared" ref="P138:P158" si="554">$AW115-P115</f>
        <v>-14.507207238634408</v>
      </c>
      <c r="Q138" s="359">
        <f t="shared" ref="Q138:Q158" si="555">$AU115-Q115</f>
        <v>56246.87999999999</v>
      </c>
      <c r="R138" s="362">
        <f t="shared" ref="R138:R158" si="556">$AV115-R115</f>
        <v>352</v>
      </c>
      <c r="S138" s="388">
        <f t="shared" ref="S138:S158" si="557">$AW115-S115</f>
        <v>-22.97139198519497</v>
      </c>
      <c r="T138" s="359">
        <f t="shared" ref="T138:T158" si="558">$AU115-T115</f>
        <v>-4852.9500000000116</v>
      </c>
      <c r="U138" s="362">
        <f t="shared" ref="U138:U158" si="559">$AV115-U115</f>
        <v>46</v>
      </c>
      <c r="V138" s="388">
        <f t="shared" ref="V138:V158" si="560">$AW115-V115</f>
        <v>-15.782011112912613</v>
      </c>
      <c r="W138" s="359">
        <f t="shared" ref="W138:W158" si="561">$AU115-W115</f>
        <v>47487.399999999994</v>
      </c>
      <c r="X138" s="362">
        <f t="shared" ref="X138:X158" si="562">$AV115-X115</f>
        <v>343</v>
      </c>
      <c r="Y138" s="388">
        <f t="shared" ref="Y138:Y158" si="563">$AW115-Y115</f>
        <v>-34.534043395041095</v>
      </c>
      <c r="Z138" s="359">
        <f t="shared" ref="Z138:Z158" si="564">$AU115-Z115</f>
        <v>16728.889999999985</v>
      </c>
      <c r="AA138" s="362">
        <f t="shared" ref="AA138:AA158" si="565">$AV115-AA115</f>
        <v>162</v>
      </c>
      <c r="AB138" s="388">
        <f t="shared" ref="AB138:AB158" si="566">$AW115-AB115</f>
        <v>-19.89248686745924</v>
      </c>
      <c r="AC138" s="359">
        <f t="shared" ref="AC138:AC158" si="567">$AU115-AC115</f>
        <v>42800.139999999985</v>
      </c>
      <c r="AD138" s="362">
        <f t="shared" ref="AD138:AD158" si="568">$AV115-AD115</f>
        <v>219</v>
      </c>
      <c r="AE138" s="388">
        <f t="shared" ref="AE138:AE158" si="569">$AW115-AE115</f>
        <v>-0.62080443912128658</v>
      </c>
      <c r="AF138" s="359">
        <f t="shared" ref="AF138:AF158" si="570">$AU115-AF115</f>
        <v>89704.8</v>
      </c>
      <c r="AG138" s="362">
        <f t="shared" ref="AG138:AG158" si="571">$AV115-AG115</f>
        <v>490</v>
      </c>
      <c r="AH138" s="388">
        <f t="shared" ref="AH138:AH158" si="572">$AW115-AH115</f>
        <v>-16.046174518366684</v>
      </c>
      <c r="AI138" s="359">
        <f t="shared" ref="AI138:AI158" si="573">$AU115-AI115</f>
        <v>11596.109999999986</v>
      </c>
      <c r="AJ138" s="362">
        <f t="shared" ref="AJ138:AJ158" si="574">$AV115-AJ115</f>
        <v>137</v>
      </c>
      <c r="AK138" s="388">
        <f t="shared" ref="AK138:AK158" si="575">$AW115-AK115</f>
        <v>-19.512803478813993</v>
      </c>
      <c r="AL138" s="414"/>
      <c r="AM138" s="415"/>
      <c r="AN138" s="429"/>
      <c r="AO138" s="359">
        <f t="shared" ref="AO138:AO158" si="576">$AU115-AO115</f>
        <v>19451.669999999984</v>
      </c>
      <c r="AP138" s="362">
        <f t="shared" ref="AP138:AP158" si="577">$AV115-AP115</f>
        <v>197</v>
      </c>
      <c r="AQ138" s="388">
        <f t="shared" ref="AQ138:AQ158" si="578">$AW115-AQ115</f>
        <v>-26.564761377472735</v>
      </c>
      <c r="AR138" s="359">
        <f t="shared" ref="AR138:AR158" si="579">$AU115-AR115</f>
        <v>-5866.7600000000093</v>
      </c>
      <c r="AS138" s="362">
        <f t="shared" ref="AS138:AS158" si="580">$AV115-AS115</f>
        <v>65</v>
      </c>
      <c r="AT138" s="388">
        <f t="shared" ref="AT138:AT158" si="581">$AW115-AT115</f>
        <v>-21.644468041103551</v>
      </c>
      <c r="AU138" s="359"/>
      <c r="AV138" s="362"/>
      <c r="AW138" s="362"/>
      <c r="AX138" s="359">
        <f t="shared" ref="AX138:AX158" si="582">AVERAGE(B138,E138,H138,K138,N138,Q138,T138,W138,Z138,AC138,AI138,AO138,AR138)</f>
        <v>22539.516153846147</v>
      </c>
      <c r="AY138" s="362">
        <f t="shared" ref="AY138:AY158" si="583">AVERAGE(C138,F138,I138,L138,O138,R138,U138,X138,AA138,AD138,AJ138,AP138,AS138)</f>
        <v>187</v>
      </c>
      <c r="AZ138" s="388">
        <f t="shared" ref="AZ138:AZ158" si="584">AVERAGE(D138,G138,J138,M138,P138,S138,V138,Y138,AB138,AE138,AK138,AQ138,AT138)</f>
        <v>-19.899133987980836</v>
      </c>
      <c r="BA138" s="359">
        <f t="shared" ref="BA138:BA158" si="585">MIN(B138,E138,H138,K138,N138,Q138,T138,W138,Z138,AC138,AI138,AO138,AR138)</f>
        <v>-22591.23000000001</v>
      </c>
      <c r="BB138" s="362">
        <f t="shared" ref="BB138:BB158" si="586">MIN(C138,F138,I138,L138,O138,R138,U138,X138,AA138,AD138,AJ138,AP138,AS138)</f>
        <v>-43</v>
      </c>
      <c r="BC138" s="388">
        <f t="shared" ref="BC138:BC158" si="587">MIN(D138,G138,J138,M138,P138,S138,V138,Y138,AB138,AE138,AK138,AQ138,AT138)</f>
        <v>-37.031070961331466</v>
      </c>
      <c r="BD138" s="359">
        <f t="shared" ref="BD138:BD158" si="588">MAX(B138,E138,H138,K138,N138,Q138,T138,W138,Z138,AC138,AI138,AO138,AR138)</f>
        <v>57515.59</v>
      </c>
      <c r="BE138" s="362">
        <f t="shared" ref="BE138:BE158" si="589">MAX(C138,F138,I138,L138,O138,R138,U138,X138,AA138,AD138,AJ138,AP138,AS138)</f>
        <v>352</v>
      </c>
      <c r="BF138" s="388">
        <f t="shared" ref="BF138:BF158" si="590">MAX(D138,G138,J138,M138,P138,S138,V138,Y138,AB138,AE138,AK138,AQ138,AT138)</f>
        <v>-0.62080443912128658</v>
      </c>
    </row>
    <row r="139" spans="1:127" hidden="1" outlineLevel="1" x14ac:dyDescent="0.25">
      <c r="A139" s="409">
        <v>2</v>
      </c>
      <c r="B139" s="359">
        <f t="shared" si="540"/>
        <v>55952.72</v>
      </c>
      <c r="C139" s="362">
        <f t="shared" si="541"/>
        <v>405</v>
      </c>
      <c r="D139" s="388">
        <f t="shared" si="542"/>
        <v>-37.676923741712443</v>
      </c>
      <c r="E139" s="359">
        <f t="shared" si="543"/>
        <v>18917.629999999976</v>
      </c>
      <c r="F139" s="362">
        <f t="shared" si="544"/>
        <v>202</v>
      </c>
      <c r="G139" s="388">
        <f t="shared" si="545"/>
        <v>-24.809257959970239</v>
      </c>
      <c r="H139" s="359">
        <f t="shared" si="546"/>
        <v>12896.899999999994</v>
      </c>
      <c r="I139" s="362">
        <f t="shared" si="547"/>
        <v>103</v>
      </c>
      <c r="J139" s="388">
        <f t="shared" si="548"/>
        <v>-7.9545842931176196</v>
      </c>
      <c r="K139" s="359">
        <f t="shared" si="549"/>
        <v>54130.19</v>
      </c>
      <c r="L139" s="362">
        <f t="shared" si="550"/>
        <v>270</v>
      </c>
      <c r="M139" s="388">
        <f t="shared" si="551"/>
        <v>0.41146978257148703</v>
      </c>
      <c r="N139" s="359">
        <f t="shared" si="552"/>
        <v>-50105.390000000014</v>
      </c>
      <c r="O139" s="362">
        <f t="shared" si="553"/>
        <v>-166</v>
      </c>
      <c r="P139" s="388">
        <f t="shared" si="554"/>
        <v>-13.864581117306784</v>
      </c>
      <c r="Q139" s="359">
        <f t="shared" si="555"/>
        <v>63965.729999999981</v>
      </c>
      <c r="R139" s="362">
        <f t="shared" si="556"/>
        <v>379</v>
      </c>
      <c r="S139" s="388">
        <f t="shared" si="557"/>
        <v>-16.924704995960553</v>
      </c>
      <c r="T139" s="359">
        <f t="shared" si="558"/>
        <v>-35083.570000000007</v>
      </c>
      <c r="U139" s="362">
        <f t="shared" si="559"/>
        <v>-100</v>
      </c>
      <c r="V139" s="388">
        <f t="shared" si="560"/>
        <v>-13.043071673295287</v>
      </c>
      <c r="W139" s="359">
        <f t="shared" si="561"/>
        <v>46741.16</v>
      </c>
      <c r="X139" s="362">
        <f t="shared" si="562"/>
        <v>321</v>
      </c>
      <c r="Y139" s="388">
        <f t="shared" si="563"/>
        <v>-23.247208498212046</v>
      </c>
      <c r="Z139" s="359">
        <f t="shared" si="564"/>
        <v>3403.0499999999884</v>
      </c>
      <c r="AA139" s="362">
        <f t="shared" si="565"/>
        <v>93</v>
      </c>
      <c r="AB139" s="388">
        <f t="shared" si="566"/>
        <v>-15.613564773515719</v>
      </c>
      <c r="AC139" s="359">
        <f t="shared" si="567"/>
        <v>19240.399999999994</v>
      </c>
      <c r="AD139" s="362">
        <f t="shared" si="568"/>
        <v>119</v>
      </c>
      <c r="AE139" s="388">
        <f t="shared" si="569"/>
        <v>-4.7437430027579524</v>
      </c>
      <c r="AF139" s="359">
        <f t="shared" si="570"/>
        <v>79970.899999999994</v>
      </c>
      <c r="AG139" s="362">
        <f t="shared" si="571"/>
        <v>437</v>
      </c>
      <c r="AH139" s="388">
        <f t="shared" si="572"/>
        <v>-11.379784843691141</v>
      </c>
      <c r="AI139" s="359">
        <f t="shared" si="573"/>
        <v>-24751.580000000016</v>
      </c>
      <c r="AJ139" s="362">
        <f t="shared" si="574"/>
        <v>-41</v>
      </c>
      <c r="AK139" s="388">
        <f t="shared" si="575"/>
        <v>-15.032907077598679</v>
      </c>
      <c r="AL139" s="414"/>
      <c r="AM139" s="415"/>
      <c r="AN139" s="429"/>
      <c r="AO139" s="359">
        <f t="shared" si="576"/>
        <v>1026.6399999999849</v>
      </c>
      <c r="AP139" s="362">
        <f t="shared" si="577"/>
        <v>109</v>
      </c>
      <c r="AQ139" s="388">
        <f t="shared" si="578"/>
        <v>-21.714960734562084</v>
      </c>
      <c r="AR139" s="359">
        <f t="shared" si="579"/>
        <v>-18332.630000000005</v>
      </c>
      <c r="AS139" s="362">
        <f t="shared" si="580"/>
        <v>5</v>
      </c>
      <c r="AT139" s="388">
        <f t="shared" si="581"/>
        <v>-18.286666069802777</v>
      </c>
      <c r="AU139" s="360"/>
      <c r="AV139" s="363"/>
      <c r="AW139" s="363"/>
      <c r="AX139" s="360">
        <f t="shared" si="582"/>
        <v>11384.71153846153</v>
      </c>
      <c r="AY139" s="363">
        <f t="shared" si="583"/>
        <v>130.69230769230768</v>
      </c>
      <c r="AZ139" s="389">
        <f t="shared" si="584"/>
        <v>-16.346208011941592</v>
      </c>
      <c r="BA139" s="360">
        <f t="shared" si="585"/>
        <v>-50105.390000000014</v>
      </c>
      <c r="BB139" s="363">
        <f t="shared" si="586"/>
        <v>-166</v>
      </c>
      <c r="BC139" s="389">
        <f t="shared" si="587"/>
        <v>-37.676923741712443</v>
      </c>
      <c r="BD139" s="360">
        <f t="shared" si="588"/>
        <v>63965.729999999981</v>
      </c>
      <c r="BE139" s="363">
        <f t="shared" si="589"/>
        <v>405</v>
      </c>
      <c r="BF139" s="389">
        <f t="shared" si="590"/>
        <v>0.41146978257148703</v>
      </c>
    </row>
    <row r="140" spans="1:127" hidden="1" outlineLevel="1" x14ac:dyDescent="0.25">
      <c r="A140" s="366">
        <v>3</v>
      </c>
      <c r="B140" s="359">
        <f t="shared" si="540"/>
        <v>62424.97</v>
      </c>
      <c r="C140" s="362">
        <f t="shared" si="541"/>
        <v>413</v>
      </c>
      <c r="D140" s="388">
        <f t="shared" si="542"/>
        <v>-27.857330268317327</v>
      </c>
      <c r="E140" s="359">
        <f t="shared" si="543"/>
        <v>16799.850000000006</v>
      </c>
      <c r="F140" s="362">
        <f t="shared" si="544"/>
        <v>199</v>
      </c>
      <c r="G140" s="388">
        <f t="shared" si="545"/>
        <v>-24.552764743607895</v>
      </c>
      <c r="H140" s="359">
        <f t="shared" si="546"/>
        <v>15642.090000000026</v>
      </c>
      <c r="I140" s="362">
        <f t="shared" si="547"/>
        <v>113</v>
      </c>
      <c r="J140" s="388">
        <f t="shared" si="548"/>
        <v>-6.7907091726304714</v>
      </c>
      <c r="K140" s="359">
        <f t="shared" si="549"/>
        <v>48900.120000000024</v>
      </c>
      <c r="L140" s="362">
        <f t="shared" si="550"/>
        <v>249</v>
      </c>
      <c r="M140" s="388">
        <f t="shared" si="551"/>
        <v>-0.95557274384955804</v>
      </c>
      <c r="N140" s="359">
        <f t="shared" si="552"/>
        <v>-54734.09</v>
      </c>
      <c r="O140" s="362">
        <f t="shared" si="553"/>
        <v>-192</v>
      </c>
      <c r="P140" s="388">
        <f t="shared" si="554"/>
        <v>-12.349835085031174</v>
      </c>
      <c r="Q140" s="359">
        <f t="shared" si="555"/>
        <v>50040.330000000016</v>
      </c>
      <c r="R140" s="362">
        <f t="shared" si="556"/>
        <v>322</v>
      </c>
      <c r="S140" s="388">
        <f t="shared" si="557"/>
        <v>-17.598007966916015</v>
      </c>
      <c r="T140" s="359">
        <f t="shared" si="558"/>
        <v>-45500.069999999978</v>
      </c>
      <c r="U140" s="362">
        <f t="shared" si="559"/>
        <v>-142</v>
      </c>
      <c r="V140" s="388">
        <f t="shared" si="560"/>
        <v>-13.425531477887773</v>
      </c>
      <c r="W140" s="359">
        <f t="shared" si="561"/>
        <v>32288.610000000015</v>
      </c>
      <c r="X140" s="362">
        <f t="shared" si="562"/>
        <v>277</v>
      </c>
      <c r="Y140" s="388">
        <f t="shared" si="563"/>
        <v>-26.897429767101102</v>
      </c>
      <c r="Z140" s="359">
        <f t="shared" si="564"/>
        <v>-20172.579999999987</v>
      </c>
      <c r="AA140" s="362">
        <f t="shared" si="565"/>
        <v>-12</v>
      </c>
      <c r="AB140" s="388">
        <f t="shared" si="566"/>
        <v>-15.510638706520041</v>
      </c>
      <c r="AC140" s="359">
        <f t="shared" si="567"/>
        <v>5135.7000000000116</v>
      </c>
      <c r="AD140" s="362">
        <f t="shared" si="568"/>
        <v>64</v>
      </c>
      <c r="AE140" s="388">
        <f t="shared" si="569"/>
        <v>-7.1498780926008294</v>
      </c>
      <c r="AF140" s="359">
        <f t="shared" si="570"/>
        <v>71538.66</v>
      </c>
      <c r="AG140" s="362">
        <f t="shared" si="571"/>
        <v>399</v>
      </c>
      <c r="AH140" s="388">
        <f t="shared" si="572"/>
        <v>-11.121758377425039</v>
      </c>
      <c r="AI140" s="359">
        <f t="shared" si="573"/>
        <v>-33849.449999999983</v>
      </c>
      <c r="AJ140" s="362">
        <f t="shared" si="574"/>
        <v>-90</v>
      </c>
      <c r="AK140" s="388">
        <f t="shared" si="575"/>
        <v>-12.964901701421297</v>
      </c>
      <c r="AL140" s="414"/>
      <c r="AM140" s="415"/>
      <c r="AN140" s="429"/>
      <c r="AO140" s="359">
        <f t="shared" si="576"/>
        <v>-7750.929999999993</v>
      </c>
      <c r="AP140" s="362">
        <f t="shared" si="577"/>
        <v>62</v>
      </c>
      <c r="AQ140" s="388">
        <f t="shared" si="578"/>
        <v>-18.784920602016371</v>
      </c>
      <c r="AR140" s="359">
        <f t="shared" si="579"/>
        <v>-29777.279999999999</v>
      </c>
      <c r="AS140" s="362">
        <f t="shared" si="580"/>
        <v>-59</v>
      </c>
      <c r="AT140" s="388">
        <f t="shared" si="581"/>
        <v>-15.079733550059075</v>
      </c>
      <c r="AU140" s="359"/>
      <c r="AV140" s="362"/>
      <c r="AW140" s="362"/>
      <c r="AX140" s="359">
        <f t="shared" si="582"/>
        <v>3034.4053846153975</v>
      </c>
      <c r="AY140" s="362">
        <f t="shared" si="583"/>
        <v>92.615384615384613</v>
      </c>
      <c r="AZ140" s="388">
        <f t="shared" si="584"/>
        <v>-15.378250298304533</v>
      </c>
      <c r="BA140" s="359">
        <f t="shared" si="585"/>
        <v>-54734.09</v>
      </c>
      <c r="BB140" s="362">
        <f t="shared" si="586"/>
        <v>-192</v>
      </c>
      <c r="BC140" s="388">
        <f t="shared" si="587"/>
        <v>-27.857330268317327</v>
      </c>
      <c r="BD140" s="359">
        <f t="shared" si="588"/>
        <v>62424.97</v>
      </c>
      <c r="BE140" s="362">
        <f t="shared" si="589"/>
        <v>413</v>
      </c>
      <c r="BF140" s="388">
        <f t="shared" si="590"/>
        <v>-0.95557274384955804</v>
      </c>
    </row>
    <row r="141" spans="1:127" hidden="1" outlineLevel="1" x14ac:dyDescent="0.25">
      <c r="A141" s="366">
        <v>4</v>
      </c>
      <c r="B141" s="359">
        <f t="shared" si="540"/>
        <v>102081.65</v>
      </c>
      <c r="C141" s="362">
        <f t="shared" si="541"/>
        <v>627</v>
      </c>
      <c r="D141" s="388">
        <f t="shared" si="542"/>
        <v>-30.534018752816536</v>
      </c>
      <c r="E141" s="359">
        <f t="shared" si="543"/>
        <v>44075.239999999991</v>
      </c>
      <c r="F141" s="362">
        <f t="shared" si="544"/>
        <v>357</v>
      </c>
      <c r="G141" s="388">
        <f t="shared" si="545"/>
        <v>-26.457897958670287</v>
      </c>
      <c r="H141" s="359">
        <f t="shared" si="546"/>
        <v>54003.66</v>
      </c>
      <c r="I141" s="362">
        <f t="shared" si="547"/>
        <v>301</v>
      </c>
      <c r="J141" s="388">
        <f t="shared" si="548"/>
        <v>-5.6642071216286922</v>
      </c>
      <c r="K141" s="359">
        <f t="shared" si="549"/>
        <v>82732.739999999991</v>
      </c>
      <c r="L141" s="362">
        <f t="shared" si="550"/>
        <v>415</v>
      </c>
      <c r="M141" s="388">
        <f t="shared" si="551"/>
        <v>-0.21892189994403566</v>
      </c>
      <c r="N141" s="359">
        <f t="shared" si="552"/>
        <v>-15543.179999999993</v>
      </c>
      <c r="O141" s="362">
        <f t="shared" si="553"/>
        <v>2</v>
      </c>
      <c r="P141" s="388">
        <f t="shared" si="554"/>
        <v>-11.502827243201892</v>
      </c>
      <c r="Q141" s="359">
        <f t="shared" si="555"/>
        <v>87589.119999999995</v>
      </c>
      <c r="R141" s="362">
        <f t="shared" si="556"/>
        <v>508</v>
      </c>
      <c r="S141" s="388">
        <f t="shared" si="557"/>
        <v>-15.845993188367828</v>
      </c>
      <c r="T141" s="359">
        <f t="shared" si="558"/>
        <v>-11469.340000000026</v>
      </c>
      <c r="U141" s="362">
        <f t="shared" si="559"/>
        <v>34</v>
      </c>
      <c r="V141" s="388">
        <f t="shared" si="560"/>
        <v>-13.489583090341796</v>
      </c>
      <c r="W141" s="359">
        <f t="shared" si="561"/>
        <v>65828.84</v>
      </c>
      <c r="X141" s="362">
        <f t="shared" si="562"/>
        <v>449</v>
      </c>
      <c r="Y141" s="388">
        <f t="shared" si="563"/>
        <v>-25.465885530317678</v>
      </c>
      <c r="Z141" s="359">
        <f t="shared" si="564"/>
        <v>8390.289999999979</v>
      </c>
      <c r="AA141" s="362">
        <f t="shared" si="565"/>
        <v>138</v>
      </c>
      <c r="AB141" s="388">
        <f t="shared" si="566"/>
        <v>-15.353336461095125</v>
      </c>
      <c r="AC141" s="359">
        <f t="shared" si="567"/>
        <v>37877.76999999999</v>
      </c>
      <c r="AD141" s="362">
        <f t="shared" si="568"/>
        <v>223</v>
      </c>
      <c r="AE141" s="388">
        <f t="shared" si="569"/>
        <v>-5.7451324782624908</v>
      </c>
      <c r="AF141" s="359">
        <f t="shared" si="570"/>
        <v>112121.82999999999</v>
      </c>
      <c r="AG141" s="362">
        <f t="shared" si="571"/>
        <v>600</v>
      </c>
      <c r="AH141" s="388">
        <f t="shared" si="572"/>
        <v>-9.8981443189631477</v>
      </c>
      <c r="AI141" s="359">
        <f t="shared" si="573"/>
        <v>-8897.890000000014</v>
      </c>
      <c r="AJ141" s="362">
        <f t="shared" si="574"/>
        <v>52</v>
      </c>
      <c r="AK141" s="388">
        <f t="shared" si="575"/>
        <v>-14.439440520975353</v>
      </c>
      <c r="AL141" s="414"/>
      <c r="AM141" s="415"/>
      <c r="AN141" s="429"/>
      <c r="AO141" s="359">
        <f t="shared" si="576"/>
        <v>28362.22</v>
      </c>
      <c r="AP141" s="362">
        <f t="shared" si="577"/>
        <v>239</v>
      </c>
      <c r="AQ141" s="388">
        <f t="shared" si="578"/>
        <v>-16.889937171277865</v>
      </c>
      <c r="AR141" s="359">
        <f t="shared" si="579"/>
        <v>-1077.179999999993</v>
      </c>
      <c r="AS141" s="362">
        <f t="shared" si="580"/>
        <v>87</v>
      </c>
      <c r="AT141" s="388">
        <f t="shared" si="581"/>
        <v>-14.193549054484805</v>
      </c>
      <c r="AU141" s="360"/>
      <c r="AV141" s="363"/>
      <c r="AW141" s="363"/>
      <c r="AX141" s="360">
        <f t="shared" si="582"/>
        <v>36457.995384615373</v>
      </c>
      <c r="AY141" s="363">
        <f t="shared" si="583"/>
        <v>264</v>
      </c>
      <c r="AZ141" s="389">
        <f t="shared" si="584"/>
        <v>-15.061594651644953</v>
      </c>
      <c r="BA141" s="360">
        <f t="shared" si="585"/>
        <v>-15543.179999999993</v>
      </c>
      <c r="BB141" s="363">
        <f t="shared" si="586"/>
        <v>2</v>
      </c>
      <c r="BC141" s="389">
        <f t="shared" si="587"/>
        <v>-30.534018752816536</v>
      </c>
      <c r="BD141" s="360">
        <f t="shared" si="588"/>
        <v>102081.65</v>
      </c>
      <c r="BE141" s="363">
        <f t="shared" si="589"/>
        <v>627</v>
      </c>
      <c r="BF141" s="389">
        <f t="shared" si="590"/>
        <v>-0.21892189994403566</v>
      </c>
    </row>
    <row r="142" spans="1:127" hidden="1" outlineLevel="1" x14ac:dyDescent="0.25">
      <c r="A142" s="366">
        <v>5</v>
      </c>
      <c r="B142" s="359">
        <f t="shared" si="540"/>
        <v>97271.35</v>
      </c>
      <c r="C142" s="362">
        <f t="shared" si="541"/>
        <v>622</v>
      </c>
      <c r="D142" s="388">
        <f t="shared" si="542"/>
        <v>-29.735198011731001</v>
      </c>
      <c r="E142" s="359">
        <f t="shared" si="543"/>
        <v>54904.760000000009</v>
      </c>
      <c r="F142" s="362">
        <f t="shared" si="544"/>
        <v>409</v>
      </c>
      <c r="G142" s="388">
        <f t="shared" si="545"/>
        <v>-23.991703424734027</v>
      </c>
      <c r="H142" s="359">
        <f t="shared" si="546"/>
        <v>64026.880000000005</v>
      </c>
      <c r="I142" s="362">
        <f t="shared" si="547"/>
        <v>358</v>
      </c>
      <c r="J142" s="388">
        <f t="shared" si="548"/>
        <v>-6.2217220693807747</v>
      </c>
      <c r="K142" s="359">
        <f t="shared" si="549"/>
        <v>91080.960000000021</v>
      </c>
      <c r="L142" s="362">
        <f t="shared" si="550"/>
        <v>467</v>
      </c>
      <c r="M142" s="388">
        <f t="shared" si="551"/>
        <v>-1.7221626907150664</v>
      </c>
      <c r="N142" s="359">
        <f t="shared" si="552"/>
        <v>-873.61999999999534</v>
      </c>
      <c r="O142" s="362">
        <f t="shared" si="553"/>
        <v>83</v>
      </c>
      <c r="P142" s="388">
        <f t="shared" si="554"/>
        <v>-12.171571718694082</v>
      </c>
      <c r="Q142" s="359">
        <f t="shared" si="555"/>
        <v>98163.5</v>
      </c>
      <c r="R142" s="362">
        <f t="shared" si="556"/>
        <v>557</v>
      </c>
      <c r="S142" s="388">
        <f t="shared" si="557"/>
        <v>-13.223240367285626</v>
      </c>
      <c r="T142" s="359">
        <f t="shared" si="558"/>
        <v>4133.3099999999977</v>
      </c>
      <c r="U142" s="362">
        <f t="shared" si="559"/>
        <v>127</v>
      </c>
      <c r="V142" s="388">
        <f t="shared" si="560"/>
        <v>-15.263711701854987</v>
      </c>
      <c r="W142" s="359">
        <f t="shared" si="561"/>
        <v>74879.960000000021</v>
      </c>
      <c r="X142" s="362">
        <f t="shared" si="562"/>
        <v>499</v>
      </c>
      <c r="Y142" s="388">
        <f t="shared" si="563"/>
        <v>-24.074338572471163</v>
      </c>
      <c r="Z142" s="359">
        <f t="shared" si="564"/>
        <v>14147.280000000028</v>
      </c>
      <c r="AA142" s="362">
        <f t="shared" si="565"/>
        <v>183</v>
      </c>
      <c r="AB142" s="388">
        <f t="shared" si="566"/>
        <v>-16.753403141022034</v>
      </c>
      <c r="AC142" s="359">
        <f t="shared" si="567"/>
        <v>47847.640000000014</v>
      </c>
      <c r="AD142" s="362">
        <f t="shared" si="568"/>
        <v>283</v>
      </c>
      <c r="AE142" s="388">
        <f t="shared" si="569"/>
        <v>-6.870174534413195</v>
      </c>
      <c r="AF142" s="359">
        <f t="shared" si="570"/>
        <v>121685.1</v>
      </c>
      <c r="AG142" s="362">
        <f t="shared" si="571"/>
        <v>654</v>
      </c>
      <c r="AH142" s="388">
        <f t="shared" si="572"/>
        <v>-9.7842868362463662</v>
      </c>
      <c r="AI142" s="359">
        <f t="shared" si="573"/>
        <v>2878.8099999999977</v>
      </c>
      <c r="AJ142" s="362">
        <f t="shared" si="574"/>
        <v>116</v>
      </c>
      <c r="AK142" s="388">
        <f t="shared" si="575"/>
        <v>-14.474373727669729</v>
      </c>
      <c r="AL142" s="414"/>
      <c r="AM142" s="415"/>
      <c r="AN142" s="429"/>
      <c r="AO142" s="359">
        <f t="shared" si="576"/>
        <v>37670.540000000037</v>
      </c>
      <c r="AP142" s="362">
        <f t="shared" si="577"/>
        <v>290</v>
      </c>
      <c r="AQ142" s="388">
        <f t="shared" si="578"/>
        <v>-16.38481848914671</v>
      </c>
      <c r="AR142" s="359">
        <f t="shared" si="579"/>
        <v>12111.340000000026</v>
      </c>
      <c r="AS142" s="362">
        <f t="shared" si="580"/>
        <v>157</v>
      </c>
      <c r="AT142" s="388">
        <f t="shared" si="581"/>
        <v>-14.116300947165371</v>
      </c>
      <c r="AU142" s="359"/>
      <c r="AV142" s="362"/>
      <c r="AW142" s="362"/>
      <c r="AX142" s="359">
        <f t="shared" si="582"/>
        <v>46018.670000000013</v>
      </c>
      <c r="AY142" s="362">
        <f t="shared" si="583"/>
        <v>319.30769230769232</v>
      </c>
      <c r="AZ142" s="388">
        <f t="shared" si="584"/>
        <v>-15.00020918432952</v>
      </c>
      <c r="BA142" s="359">
        <f t="shared" si="585"/>
        <v>-873.61999999999534</v>
      </c>
      <c r="BB142" s="362">
        <f t="shared" si="586"/>
        <v>83</v>
      </c>
      <c r="BC142" s="388">
        <f t="shared" si="587"/>
        <v>-29.735198011731001</v>
      </c>
      <c r="BD142" s="359">
        <f t="shared" si="588"/>
        <v>98163.5</v>
      </c>
      <c r="BE142" s="362">
        <f t="shared" si="589"/>
        <v>622</v>
      </c>
      <c r="BF142" s="388">
        <f t="shared" si="590"/>
        <v>-1.7221626907150664</v>
      </c>
    </row>
    <row r="143" spans="1:127" hidden="1" outlineLevel="1" x14ac:dyDescent="0.25">
      <c r="A143" s="366">
        <v>6</v>
      </c>
      <c r="B143" s="359">
        <f t="shared" si="540"/>
        <v>108190.77000000002</v>
      </c>
      <c r="C143" s="362">
        <f t="shared" si="541"/>
        <v>676</v>
      </c>
      <c r="D143" s="388">
        <f t="shared" si="542"/>
        <v>-28.465814684298977</v>
      </c>
      <c r="E143" s="359">
        <f t="shared" si="543"/>
        <v>64274.050000000017</v>
      </c>
      <c r="F143" s="362">
        <f t="shared" si="544"/>
        <v>454</v>
      </c>
      <c r="G143" s="388">
        <f t="shared" si="545"/>
        <v>-22.738652161355532</v>
      </c>
      <c r="H143" s="359">
        <f t="shared" si="546"/>
        <v>67024.080000000016</v>
      </c>
      <c r="I143" s="362">
        <f t="shared" si="547"/>
        <v>388</v>
      </c>
      <c r="J143" s="388">
        <f t="shared" si="548"/>
        <v>-8.3781448504845741</v>
      </c>
      <c r="K143" s="359">
        <f t="shared" si="549"/>
        <v>77159.460000000021</v>
      </c>
      <c r="L143" s="362">
        <f t="shared" si="550"/>
        <v>396</v>
      </c>
      <c r="M143" s="388">
        <f t="shared" si="551"/>
        <v>-1.3254050091732665</v>
      </c>
      <c r="N143" s="359">
        <f t="shared" si="552"/>
        <v>6491.1600000000326</v>
      </c>
      <c r="O143" s="362">
        <f t="shared" si="553"/>
        <v>115</v>
      </c>
      <c r="P143" s="388">
        <f t="shared" si="554"/>
        <v>-11.044445252283481</v>
      </c>
      <c r="Q143" s="359">
        <f t="shared" si="555"/>
        <v>86387.34</v>
      </c>
      <c r="R143" s="362">
        <f t="shared" si="556"/>
        <v>495</v>
      </c>
      <c r="S143" s="388">
        <f t="shared" si="557"/>
        <v>-10.927838645768702</v>
      </c>
      <c r="T143" s="359">
        <f t="shared" si="558"/>
        <v>14445.660000000033</v>
      </c>
      <c r="U143" s="362">
        <f t="shared" si="559"/>
        <v>183</v>
      </c>
      <c r="V143" s="388">
        <f t="shared" si="560"/>
        <v>-15.510661131184293</v>
      </c>
      <c r="W143" s="359">
        <f t="shared" si="561"/>
        <v>86056.59</v>
      </c>
      <c r="X143" s="362">
        <f t="shared" si="562"/>
        <v>560</v>
      </c>
      <c r="Y143" s="388">
        <f t="shared" si="563"/>
        <v>-24.384121999802261</v>
      </c>
      <c r="Z143" s="359">
        <f t="shared" si="564"/>
        <v>15991.780000000028</v>
      </c>
      <c r="AA143" s="362">
        <f t="shared" si="565"/>
        <v>185</v>
      </c>
      <c r="AB143" s="388">
        <f t="shared" si="566"/>
        <v>-14.719890933199395</v>
      </c>
      <c r="AC143" s="359">
        <f t="shared" si="567"/>
        <v>44564.94</v>
      </c>
      <c r="AD143" s="362">
        <f t="shared" si="568"/>
        <v>295</v>
      </c>
      <c r="AE143" s="388">
        <f t="shared" si="569"/>
        <v>-10.822538164071176</v>
      </c>
      <c r="AF143" s="359">
        <f t="shared" si="570"/>
        <v>115646.09</v>
      </c>
      <c r="AG143" s="362">
        <f t="shared" si="571"/>
        <v>634</v>
      </c>
      <c r="AH143" s="388">
        <f t="shared" si="572"/>
        <v>-10.82739936850524</v>
      </c>
      <c r="AI143" s="359">
        <f t="shared" si="573"/>
        <v>9873.320000000007</v>
      </c>
      <c r="AJ143" s="362">
        <f t="shared" si="574"/>
        <v>153</v>
      </c>
      <c r="AK143" s="388">
        <f t="shared" si="575"/>
        <v>-14.224096664948831</v>
      </c>
      <c r="AL143" s="414"/>
      <c r="AM143" s="415"/>
      <c r="AN143" s="429"/>
      <c r="AO143" s="359">
        <f t="shared" si="576"/>
        <v>38032.859999999986</v>
      </c>
      <c r="AP143" s="362">
        <f t="shared" si="577"/>
        <v>293</v>
      </c>
      <c r="AQ143" s="388">
        <f t="shared" si="578"/>
        <v>-15.506595279540051</v>
      </c>
      <c r="AR143" s="359">
        <f t="shared" si="579"/>
        <v>19618.940000000002</v>
      </c>
      <c r="AS143" s="362">
        <f t="shared" si="580"/>
        <v>191</v>
      </c>
      <c r="AT143" s="388">
        <f t="shared" si="581"/>
        <v>-13.052783974815725</v>
      </c>
      <c r="AU143" s="360"/>
      <c r="AV143" s="363"/>
      <c r="AW143" s="363"/>
      <c r="AX143" s="360">
        <f t="shared" si="582"/>
        <v>49085.457692307704</v>
      </c>
      <c r="AY143" s="363">
        <f t="shared" si="583"/>
        <v>337.23076923076923</v>
      </c>
      <c r="AZ143" s="389">
        <f t="shared" si="584"/>
        <v>-14.700076057763559</v>
      </c>
      <c r="BA143" s="360">
        <f t="shared" si="585"/>
        <v>6491.1600000000326</v>
      </c>
      <c r="BB143" s="363">
        <f t="shared" si="586"/>
        <v>115</v>
      </c>
      <c r="BC143" s="389">
        <f t="shared" si="587"/>
        <v>-28.465814684298977</v>
      </c>
      <c r="BD143" s="360">
        <f t="shared" si="588"/>
        <v>108190.77000000002</v>
      </c>
      <c r="BE143" s="363">
        <f t="shared" si="589"/>
        <v>676</v>
      </c>
      <c r="BF143" s="389">
        <f t="shared" si="590"/>
        <v>-1.3254050091732665</v>
      </c>
    </row>
    <row r="144" spans="1:127" hidden="1" outlineLevel="1" x14ac:dyDescent="0.25">
      <c r="A144" s="692">
        <v>7</v>
      </c>
      <c r="B144" s="359">
        <f t="shared" si="540"/>
        <v>105043.75000000003</v>
      </c>
      <c r="C144" s="362">
        <f t="shared" si="541"/>
        <v>664</v>
      </c>
      <c r="D144" s="388">
        <f t="shared" si="542"/>
        <v>-27.113722200513052</v>
      </c>
      <c r="E144" s="359">
        <f t="shared" si="543"/>
        <v>58654.619999999995</v>
      </c>
      <c r="F144" s="362">
        <f t="shared" si="544"/>
        <v>427</v>
      </c>
      <c r="G144" s="388">
        <f t="shared" si="545"/>
        <v>-21.305907129747311</v>
      </c>
      <c r="H144" s="359">
        <f t="shared" si="546"/>
        <v>68793.49000000002</v>
      </c>
      <c r="I144" s="362">
        <f t="shared" si="547"/>
        <v>390</v>
      </c>
      <c r="J144" s="388">
        <f t="shared" si="548"/>
        <v>-6.8876737489202355</v>
      </c>
      <c r="K144" s="359">
        <f t="shared" si="549"/>
        <v>71350.130000000034</v>
      </c>
      <c r="L144" s="362">
        <f t="shared" si="550"/>
        <v>369</v>
      </c>
      <c r="M144" s="388">
        <f t="shared" si="551"/>
        <v>-1.5534494156268579</v>
      </c>
      <c r="N144" s="359">
        <f t="shared" si="552"/>
        <v>-8584.8299999999581</v>
      </c>
      <c r="O144" s="362">
        <f t="shared" si="553"/>
        <v>34</v>
      </c>
      <c r="P144" s="388">
        <f t="shared" si="554"/>
        <v>-9.4480291629774911</v>
      </c>
      <c r="Q144" s="359">
        <f t="shared" si="555"/>
        <v>77435.430000000022</v>
      </c>
      <c r="R144" s="362">
        <f t="shared" si="556"/>
        <v>459</v>
      </c>
      <c r="S144" s="388">
        <f t="shared" si="557"/>
        <v>-11.516227163569141</v>
      </c>
      <c r="T144" s="359">
        <f t="shared" si="558"/>
        <v>17585.550000000047</v>
      </c>
      <c r="U144" s="362">
        <f t="shared" si="559"/>
        <v>201</v>
      </c>
      <c r="V144" s="388">
        <f t="shared" si="560"/>
        <v>-15.353949321647548</v>
      </c>
      <c r="W144" s="359">
        <f t="shared" si="561"/>
        <v>75159.840000000026</v>
      </c>
      <c r="X144" s="362">
        <f t="shared" si="562"/>
        <v>529</v>
      </c>
      <c r="Y144" s="388">
        <f t="shared" si="563"/>
        <v>-26.571000672050872</v>
      </c>
      <c r="Z144" s="359">
        <f t="shared" si="564"/>
        <v>12456.840000000026</v>
      </c>
      <c r="AA144" s="362">
        <f t="shared" si="565"/>
        <v>164</v>
      </c>
      <c r="AB144" s="388">
        <f t="shared" si="566"/>
        <v>-13.48345568845545</v>
      </c>
      <c r="AC144" s="359">
        <f t="shared" si="567"/>
        <v>48114.25</v>
      </c>
      <c r="AD144" s="362">
        <f t="shared" si="568"/>
        <v>313</v>
      </c>
      <c r="AE144" s="388">
        <f t="shared" si="569"/>
        <v>-10.48787032345146</v>
      </c>
      <c r="AF144" s="359">
        <f t="shared" si="570"/>
        <v>106029.08000000002</v>
      </c>
      <c r="AG144" s="362">
        <f t="shared" si="571"/>
        <v>596</v>
      </c>
      <c r="AH144" s="388">
        <f t="shared" si="572"/>
        <v>-11.721441757023513</v>
      </c>
      <c r="AI144" s="359">
        <f t="shared" si="573"/>
        <v>8085.7300000000396</v>
      </c>
      <c r="AJ144" s="362">
        <f t="shared" si="574"/>
        <v>149</v>
      </c>
      <c r="AK144" s="388">
        <f t="shared" si="575"/>
        <v>-14.270101250158831</v>
      </c>
      <c r="AL144" s="414"/>
      <c r="AM144" s="415"/>
      <c r="AN144" s="429"/>
      <c r="AO144" s="359">
        <f t="shared" si="576"/>
        <v>36753.360000000044</v>
      </c>
      <c r="AP144" s="362">
        <f t="shared" si="577"/>
        <v>280</v>
      </c>
      <c r="AQ144" s="388">
        <f t="shared" si="578"/>
        <v>-13.720677473515366</v>
      </c>
      <c r="AR144" s="359">
        <f t="shared" si="579"/>
        <v>18389.48000000004</v>
      </c>
      <c r="AS144" s="362">
        <f t="shared" si="580"/>
        <v>193</v>
      </c>
      <c r="AT144" s="388">
        <f t="shared" si="581"/>
        <v>-13.63581944610263</v>
      </c>
      <c r="AU144" s="359"/>
      <c r="AV144" s="362"/>
      <c r="AW144" s="362"/>
      <c r="AX144" s="359">
        <f t="shared" si="582"/>
        <v>45325.972307692333</v>
      </c>
      <c r="AY144" s="362">
        <f t="shared" si="583"/>
        <v>320.92307692307691</v>
      </c>
      <c r="AZ144" s="388">
        <f t="shared" si="584"/>
        <v>-14.257529461287403</v>
      </c>
      <c r="BA144" s="359">
        <f t="shared" si="585"/>
        <v>-8584.8299999999581</v>
      </c>
      <c r="BB144" s="362">
        <f t="shared" si="586"/>
        <v>34</v>
      </c>
      <c r="BC144" s="388">
        <f t="shared" si="587"/>
        <v>-27.113722200513052</v>
      </c>
      <c r="BD144" s="359">
        <f t="shared" si="588"/>
        <v>105043.75000000003</v>
      </c>
      <c r="BE144" s="362">
        <f t="shared" si="589"/>
        <v>664</v>
      </c>
      <c r="BF144" s="388">
        <f t="shared" si="590"/>
        <v>-1.5534494156268579</v>
      </c>
    </row>
    <row r="145" spans="1:58" hidden="1" outlineLevel="1" x14ac:dyDescent="0.25">
      <c r="A145" s="692">
        <v>8</v>
      </c>
      <c r="B145" s="360">
        <f t="shared" si="540"/>
        <v>93990.639999999985</v>
      </c>
      <c r="C145" s="363">
        <f t="shared" si="541"/>
        <v>630</v>
      </c>
      <c r="D145" s="389">
        <f t="shared" si="542"/>
        <v>-28.607969223383833</v>
      </c>
      <c r="E145" s="360">
        <f t="shared" si="543"/>
        <v>58511.26999999996</v>
      </c>
      <c r="F145" s="363">
        <f t="shared" si="544"/>
        <v>435</v>
      </c>
      <c r="G145" s="389">
        <f t="shared" si="545"/>
        <v>-21.726016808433656</v>
      </c>
      <c r="H145" s="360">
        <f t="shared" si="546"/>
        <v>67837.700000000012</v>
      </c>
      <c r="I145" s="363">
        <f t="shared" si="547"/>
        <v>382</v>
      </c>
      <c r="J145" s="389">
        <f t="shared" si="548"/>
        <v>-6.0246989171620271</v>
      </c>
      <c r="K145" s="360">
        <f t="shared" si="549"/>
        <v>60757.049999999988</v>
      </c>
      <c r="L145" s="363">
        <f t="shared" si="550"/>
        <v>338</v>
      </c>
      <c r="M145" s="389">
        <f t="shared" si="551"/>
        <v>-4.6305593931949147</v>
      </c>
      <c r="N145" s="360">
        <f t="shared" si="552"/>
        <v>-12173.940000000002</v>
      </c>
      <c r="O145" s="363">
        <f t="shared" si="553"/>
        <v>33</v>
      </c>
      <c r="P145" s="389">
        <f t="shared" si="554"/>
        <v>-11.102927120524953</v>
      </c>
      <c r="Q145" s="360">
        <f t="shared" si="555"/>
        <v>61433.669999999984</v>
      </c>
      <c r="R145" s="363">
        <f t="shared" si="556"/>
        <v>380</v>
      </c>
      <c r="S145" s="389">
        <f t="shared" si="557"/>
        <v>-10.498284710170083</v>
      </c>
      <c r="T145" s="360">
        <f t="shared" si="558"/>
        <v>21522.539999999979</v>
      </c>
      <c r="U145" s="363">
        <f t="shared" si="559"/>
        <v>219</v>
      </c>
      <c r="V145" s="389">
        <f t="shared" si="560"/>
        <v>-14.650294822831313</v>
      </c>
      <c r="W145" s="360">
        <f t="shared" si="561"/>
        <v>64611.739999999991</v>
      </c>
      <c r="X145" s="363">
        <f t="shared" si="562"/>
        <v>484</v>
      </c>
      <c r="Y145" s="389">
        <f t="shared" si="563"/>
        <v>-25.528450459095353</v>
      </c>
      <c r="Z145" s="360">
        <f t="shared" si="564"/>
        <v>10194.979999999981</v>
      </c>
      <c r="AA145" s="363">
        <f t="shared" si="565"/>
        <v>161</v>
      </c>
      <c r="AB145" s="389">
        <f t="shared" si="566"/>
        <v>-13.97931942434775</v>
      </c>
      <c r="AC145" s="360">
        <f t="shared" si="567"/>
        <v>44365.830000000016</v>
      </c>
      <c r="AD145" s="363">
        <f t="shared" si="568"/>
        <v>301</v>
      </c>
      <c r="AE145" s="389">
        <f t="shared" si="569"/>
        <v>-10.880340909090904</v>
      </c>
      <c r="AF145" s="360">
        <f t="shared" si="570"/>
        <v>97769.76999999999</v>
      </c>
      <c r="AG145" s="363">
        <f t="shared" si="571"/>
        <v>558</v>
      </c>
      <c r="AH145" s="389">
        <f t="shared" si="572"/>
        <v>-11.271973692110635</v>
      </c>
      <c r="AI145" s="360">
        <f t="shared" si="573"/>
        <v>8569.8800000000047</v>
      </c>
      <c r="AJ145" s="363">
        <f t="shared" si="574"/>
        <v>152</v>
      </c>
      <c r="AK145" s="389">
        <f t="shared" si="575"/>
        <v>-13.795069263170376</v>
      </c>
      <c r="AL145" s="414"/>
      <c r="AM145" s="415"/>
      <c r="AN145" s="429"/>
      <c r="AO145" s="360">
        <f t="shared" si="576"/>
        <v>35244.299999999988</v>
      </c>
      <c r="AP145" s="363">
        <f t="shared" si="577"/>
        <v>277</v>
      </c>
      <c r="AQ145" s="389">
        <f t="shared" si="578"/>
        <v>-13.716026386404309</v>
      </c>
      <c r="AR145" s="360">
        <f t="shared" si="579"/>
        <v>17438.51999999996</v>
      </c>
      <c r="AS145" s="363">
        <f t="shared" si="580"/>
        <v>209</v>
      </c>
      <c r="AT145" s="389">
        <f t="shared" si="581"/>
        <v>-15.941253693842071</v>
      </c>
      <c r="AU145" s="360"/>
      <c r="AV145" s="363"/>
      <c r="AW145" s="363"/>
      <c r="AX145" s="360">
        <f t="shared" si="582"/>
        <v>40946.475384615369</v>
      </c>
      <c r="AY145" s="363">
        <f t="shared" si="583"/>
        <v>307.76923076923077</v>
      </c>
      <c r="AZ145" s="389">
        <f t="shared" si="584"/>
        <v>-14.698554702434734</v>
      </c>
      <c r="BA145" s="360">
        <f t="shared" si="585"/>
        <v>-12173.940000000002</v>
      </c>
      <c r="BB145" s="363">
        <f t="shared" si="586"/>
        <v>33</v>
      </c>
      <c r="BC145" s="389">
        <f t="shared" si="587"/>
        <v>-28.607969223383833</v>
      </c>
      <c r="BD145" s="360">
        <f t="shared" si="588"/>
        <v>93990.639999999985</v>
      </c>
      <c r="BE145" s="363">
        <f t="shared" si="589"/>
        <v>630</v>
      </c>
      <c r="BF145" s="389">
        <f t="shared" si="590"/>
        <v>-4.6305593931949147</v>
      </c>
    </row>
    <row r="146" spans="1:58" hidden="1" outlineLevel="1" x14ac:dyDescent="0.25">
      <c r="A146" s="692">
        <v>9</v>
      </c>
      <c r="B146" s="359">
        <f t="shared" si="540"/>
        <v>91603.360000000015</v>
      </c>
      <c r="C146" s="362">
        <f t="shared" si="541"/>
        <v>627</v>
      </c>
      <c r="D146" s="388">
        <f t="shared" si="542"/>
        <v>-28.885822007697016</v>
      </c>
      <c r="E146" s="359">
        <f t="shared" si="543"/>
        <v>52323.540000000037</v>
      </c>
      <c r="F146" s="362">
        <f t="shared" si="544"/>
        <v>392</v>
      </c>
      <c r="G146" s="388">
        <f t="shared" si="545"/>
        <v>-18.57131578871352</v>
      </c>
      <c r="H146" s="359">
        <f t="shared" si="546"/>
        <v>55504.760000000009</v>
      </c>
      <c r="I146" s="362">
        <f t="shared" si="547"/>
        <v>324</v>
      </c>
      <c r="J146" s="388">
        <f t="shared" si="548"/>
        <v>-6.1189933493619719</v>
      </c>
      <c r="K146" s="359">
        <f t="shared" si="549"/>
        <v>55254.820000000007</v>
      </c>
      <c r="L146" s="362">
        <f t="shared" si="550"/>
        <v>306</v>
      </c>
      <c r="M146" s="388">
        <f t="shared" si="551"/>
        <v>-3.7655601279156201</v>
      </c>
      <c r="N146" s="359">
        <f t="shared" si="552"/>
        <v>-13823.510000000009</v>
      </c>
      <c r="O146" s="362">
        <f t="shared" si="553"/>
        <v>35</v>
      </c>
      <c r="P146" s="388">
        <f t="shared" si="554"/>
        <v>-12.006878023219656</v>
      </c>
      <c r="Q146" s="359">
        <f t="shared" si="555"/>
        <v>51475.049999999988</v>
      </c>
      <c r="R146" s="362">
        <f t="shared" si="556"/>
        <v>325</v>
      </c>
      <c r="S146" s="388">
        <f t="shared" si="557"/>
        <v>-9.0595172332389211</v>
      </c>
      <c r="T146" s="359">
        <f t="shared" si="558"/>
        <v>22383.679999999993</v>
      </c>
      <c r="U146" s="362">
        <f t="shared" si="559"/>
        <v>230</v>
      </c>
      <c r="V146" s="388">
        <f t="shared" si="560"/>
        <v>-15.164274833673232</v>
      </c>
      <c r="W146" s="359">
        <f t="shared" si="561"/>
        <v>42837.630000000005</v>
      </c>
      <c r="X146" s="362">
        <f t="shared" si="562"/>
        <v>369</v>
      </c>
      <c r="Y146" s="388">
        <f t="shared" si="563"/>
        <v>-21.789571913277115</v>
      </c>
      <c r="Z146" s="359">
        <f t="shared" si="564"/>
        <v>3877.9899999999907</v>
      </c>
      <c r="AA146" s="362">
        <f t="shared" si="565"/>
        <v>134</v>
      </c>
      <c r="AB146" s="388">
        <f t="shared" si="566"/>
        <v>-13.93281025388066</v>
      </c>
      <c r="AC146" s="359">
        <f t="shared" si="567"/>
        <v>47803.549999999988</v>
      </c>
      <c r="AD146" s="362">
        <f t="shared" si="568"/>
        <v>304</v>
      </c>
      <c r="AE146" s="388">
        <f t="shared" si="569"/>
        <v>-8.5887552551417343</v>
      </c>
      <c r="AF146" s="359">
        <f t="shared" si="570"/>
        <v>82574.200000000012</v>
      </c>
      <c r="AG146" s="362">
        <f t="shared" si="571"/>
        <v>486</v>
      </c>
      <c r="AH146" s="388">
        <f t="shared" si="572"/>
        <v>-10.875014952811483</v>
      </c>
      <c r="AI146" s="359">
        <f t="shared" si="573"/>
        <v>8619.3099999999977</v>
      </c>
      <c r="AJ146" s="362">
        <f t="shared" si="574"/>
        <v>155</v>
      </c>
      <c r="AK146" s="388">
        <f t="shared" si="575"/>
        <v>-13.759085038621947</v>
      </c>
      <c r="AL146" s="414"/>
      <c r="AM146" s="415"/>
      <c r="AN146" s="429"/>
      <c r="AO146" s="359">
        <f t="shared" si="576"/>
        <v>28476.290000000037</v>
      </c>
      <c r="AP146" s="362">
        <f t="shared" si="577"/>
        <v>248</v>
      </c>
      <c r="AQ146" s="388">
        <f t="shared" si="578"/>
        <v>-13.683591997027065</v>
      </c>
      <c r="AR146" s="359">
        <f t="shared" si="579"/>
        <v>17867.140000000014</v>
      </c>
      <c r="AS146" s="362">
        <f t="shared" si="580"/>
        <v>214</v>
      </c>
      <c r="AT146" s="388">
        <f t="shared" si="581"/>
        <v>-15.871886188751489</v>
      </c>
      <c r="AU146" s="359"/>
      <c r="AV146" s="362"/>
      <c r="AW146" s="362"/>
      <c r="AX146" s="359">
        <f t="shared" si="582"/>
        <v>35707.97</v>
      </c>
      <c r="AY146" s="362">
        <f t="shared" si="583"/>
        <v>281.76923076923077</v>
      </c>
      <c r="AZ146" s="388">
        <f t="shared" si="584"/>
        <v>-13.938312462347689</v>
      </c>
      <c r="BA146" s="359">
        <f t="shared" si="585"/>
        <v>-13823.510000000009</v>
      </c>
      <c r="BB146" s="362">
        <f t="shared" si="586"/>
        <v>35</v>
      </c>
      <c r="BC146" s="388">
        <f t="shared" si="587"/>
        <v>-28.885822007697016</v>
      </c>
      <c r="BD146" s="359">
        <f t="shared" si="588"/>
        <v>91603.360000000015</v>
      </c>
      <c r="BE146" s="362">
        <f t="shared" si="589"/>
        <v>627</v>
      </c>
      <c r="BF146" s="388">
        <f t="shared" si="590"/>
        <v>-3.7655601279156201</v>
      </c>
    </row>
    <row r="147" spans="1:58" hidden="1" outlineLevel="1" x14ac:dyDescent="0.25">
      <c r="A147" s="302">
        <v>10</v>
      </c>
      <c r="B147" s="360">
        <f t="shared" si="540"/>
        <v>62302.830000000016</v>
      </c>
      <c r="C147" s="363">
        <f t="shared" si="541"/>
        <v>507</v>
      </c>
      <c r="D147" s="389">
        <f t="shared" si="542"/>
        <v>-29.484000245887813</v>
      </c>
      <c r="E147" s="360">
        <f t="shared" si="543"/>
        <v>39152.630000000005</v>
      </c>
      <c r="F147" s="363">
        <f t="shared" si="544"/>
        <v>336</v>
      </c>
      <c r="G147" s="389">
        <f t="shared" si="545"/>
        <v>-18.715279092806952</v>
      </c>
      <c r="H147" s="360">
        <f t="shared" si="546"/>
        <v>45133.950000000012</v>
      </c>
      <c r="I147" s="363">
        <f t="shared" si="547"/>
        <v>278</v>
      </c>
      <c r="J147" s="389">
        <f t="shared" si="548"/>
        <v>-6.5064427289575804</v>
      </c>
      <c r="K147" s="360">
        <f t="shared" si="549"/>
        <v>41987.5</v>
      </c>
      <c r="L147" s="363">
        <f t="shared" si="550"/>
        <v>256</v>
      </c>
      <c r="M147" s="389">
        <f t="shared" si="551"/>
        <v>-5.6300158855862037</v>
      </c>
      <c r="N147" s="360">
        <f t="shared" si="552"/>
        <v>-19038.619999999995</v>
      </c>
      <c r="O147" s="363">
        <f t="shared" si="553"/>
        <v>23</v>
      </c>
      <c r="P147" s="389">
        <f t="shared" si="554"/>
        <v>-13.297861191676702</v>
      </c>
      <c r="Q147" s="360">
        <f t="shared" si="555"/>
        <v>43102.859999999986</v>
      </c>
      <c r="R147" s="363">
        <f t="shared" si="556"/>
        <v>286</v>
      </c>
      <c r="S147" s="389">
        <f t="shared" si="557"/>
        <v>-8.9328963155372776</v>
      </c>
      <c r="T147" s="360">
        <f t="shared" si="558"/>
        <v>19001.340000000026</v>
      </c>
      <c r="U147" s="363">
        <f t="shared" si="559"/>
        <v>223</v>
      </c>
      <c r="V147" s="389">
        <f t="shared" si="560"/>
        <v>-15.966449454441545</v>
      </c>
      <c r="W147" s="360">
        <f t="shared" si="561"/>
        <v>37167.5</v>
      </c>
      <c r="X147" s="363">
        <f t="shared" si="562"/>
        <v>349</v>
      </c>
      <c r="Y147" s="389">
        <f t="shared" si="563"/>
        <v>-22.031009132778081</v>
      </c>
      <c r="Z147" s="360">
        <f t="shared" si="564"/>
        <v>-2895.2600000000093</v>
      </c>
      <c r="AA147" s="363">
        <f t="shared" si="565"/>
        <v>114</v>
      </c>
      <c r="AB147" s="389">
        <f t="shared" si="566"/>
        <v>-15.125540725927635</v>
      </c>
      <c r="AC147" s="360">
        <f t="shared" si="567"/>
        <v>43817.700000000012</v>
      </c>
      <c r="AD147" s="363">
        <f t="shared" si="568"/>
        <v>283</v>
      </c>
      <c r="AE147" s="389">
        <f t="shared" si="569"/>
        <v>-8.0508950775878247</v>
      </c>
      <c r="AF147" s="360">
        <f t="shared" si="570"/>
        <v>70014.799999999988</v>
      </c>
      <c r="AG147" s="363">
        <f t="shared" si="571"/>
        <v>420</v>
      </c>
      <c r="AH147" s="389">
        <f t="shared" si="572"/>
        <v>-9.5168961098320324</v>
      </c>
      <c r="AI147" s="360">
        <f t="shared" si="573"/>
        <v>471.13000000000466</v>
      </c>
      <c r="AJ147" s="363">
        <f t="shared" si="574"/>
        <v>137</v>
      </c>
      <c r="AK147" s="389">
        <f t="shared" si="575"/>
        <v>-16.049205298657057</v>
      </c>
      <c r="AL147" s="414"/>
      <c r="AM147" s="415"/>
      <c r="AN147" s="429"/>
      <c r="AO147" s="360">
        <f t="shared" si="576"/>
        <v>20542.969999999972</v>
      </c>
      <c r="AP147" s="363">
        <f t="shared" si="577"/>
        <v>212</v>
      </c>
      <c r="AQ147" s="389">
        <f t="shared" si="578"/>
        <v>-13.509539702518566</v>
      </c>
      <c r="AR147" s="360">
        <f t="shared" si="579"/>
        <v>4718.210000000021</v>
      </c>
      <c r="AS147" s="363">
        <f t="shared" si="580"/>
        <v>157</v>
      </c>
      <c r="AT147" s="389">
        <f t="shared" si="581"/>
        <v>-16.068704490546537</v>
      </c>
      <c r="AU147" s="360"/>
      <c r="AV147" s="363"/>
      <c r="AW147" s="363"/>
      <c r="AX147" s="360">
        <f t="shared" si="582"/>
        <v>25804.980000000003</v>
      </c>
      <c r="AY147" s="363">
        <f t="shared" si="583"/>
        <v>243.15384615384616</v>
      </c>
      <c r="AZ147" s="389">
        <f t="shared" si="584"/>
        <v>-14.566756872531521</v>
      </c>
      <c r="BA147" s="360">
        <f t="shared" si="585"/>
        <v>-19038.619999999995</v>
      </c>
      <c r="BB147" s="363">
        <f t="shared" si="586"/>
        <v>23</v>
      </c>
      <c r="BC147" s="389">
        <f t="shared" si="587"/>
        <v>-29.484000245887813</v>
      </c>
      <c r="BD147" s="360">
        <f t="shared" si="588"/>
        <v>62302.830000000016</v>
      </c>
      <c r="BE147" s="363">
        <f t="shared" si="589"/>
        <v>507</v>
      </c>
      <c r="BF147" s="389">
        <f t="shared" si="590"/>
        <v>-5.6300158855862037</v>
      </c>
    </row>
    <row r="148" spans="1:58" hidden="1" outlineLevel="1" x14ac:dyDescent="0.25">
      <c r="A148" s="302">
        <v>11</v>
      </c>
      <c r="B148" s="359">
        <f t="shared" si="540"/>
        <v>53248.349999999977</v>
      </c>
      <c r="C148" s="362">
        <f t="shared" si="541"/>
        <v>404</v>
      </c>
      <c r="D148" s="388">
        <f t="shared" si="542"/>
        <v>-20.793989645843396</v>
      </c>
      <c r="E148" s="359">
        <f t="shared" si="543"/>
        <v>52282.950000000012</v>
      </c>
      <c r="F148" s="362">
        <f t="shared" si="544"/>
        <v>344</v>
      </c>
      <c r="G148" s="388">
        <f t="shared" si="545"/>
        <v>-12.318749678235463</v>
      </c>
      <c r="H148" s="359">
        <f t="shared" si="546"/>
        <v>50956.140000000014</v>
      </c>
      <c r="I148" s="362">
        <f t="shared" si="547"/>
        <v>241</v>
      </c>
      <c r="J148" s="388">
        <f t="shared" si="548"/>
        <v>0.94592302957147467</v>
      </c>
      <c r="K148" s="359">
        <f t="shared" si="549"/>
        <v>52682.210000000021</v>
      </c>
      <c r="L148" s="362">
        <f t="shared" si="550"/>
        <v>240</v>
      </c>
      <c r="M148" s="388">
        <f t="shared" si="551"/>
        <v>2.1599629858748415</v>
      </c>
      <c r="N148" s="359">
        <f t="shared" si="552"/>
        <v>-6528.6500000000233</v>
      </c>
      <c r="O148" s="362">
        <f t="shared" si="553"/>
        <v>20</v>
      </c>
      <c r="P148" s="388">
        <f t="shared" si="554"/>
        <v>-5.8743862270929696</v>
      </c>
      <c r="Q148" s="359">
        <f t="shared" si="555"/>
        <v>49315.679999999993</v>
      </c>
      <c r="R148" s="362">
        <f t="shared" si="556"/>
        <v>248</v>
      </c>
      <c r="S148" s="388">
        <f t="shared" si="557"/>
        <v>-0.99480687792308231</v>
      </c>
      <c r="T148" s="359">
        <f t="shared" si="558"/>
        <v>31607.280000000028</v>
      </c>
      <c r="U148" s="362">
        <f t="shared" si="559"/>
        <v>209</v>
      </c>
      <c r="V148" s="388">
        <f t="shared" si="560"/>
        <v>-6.9583009206352244</v>
      </c>
      <c r="W148" s="359">
        <f t="shared" si="561"/>
        <v>51459.260000000009</v>
      </c>
      <c r="X148" s="362">
        <f t="shared" si="562"/>
        <v>344</v>
      </c>
      <c r="Y148" s="388">
        <f t="shared" si="563"/>
        <v>-12.873049812824974</v>
      </c>
      <c r="Z148" s="359">
        <f t="shared" si="564"/>
        <v>6874.960000000021</v>
      </c>
      <c r="AA148" s="362">
        <f t="shared" si="565"/>
        <v>99</v>
      </c>
      <c r="AB148" s="388">
        <f t="shared" si="566"/>
        <v>-7.7641744088037683</v>
      </c>
      <c r="AC148" s="359">
        <f t="shared" si="567"/>
        <v>46670.179999999993</v>
      </c>
      <c r="AD148" s="362">
        <f t="shared" si="568"/>
        <v>241</v>
      </c>
      <c r="AE148" s="388">
        <f t="shared" si="569"/>
        <v>-1.7513456928954838</v>
      </c>
      <c r="AF148" s="359">
        <f t="shared" si="570"/>
        <v>74071.070000000007</v>
      </c>
      <c r="AG148" s="362">
        <f t="shared" si="571"/>
        <v>375</v>
      </c>
      <c r="AH148" s="388">
        <f t="shared" si="572"/>
        <v>-1.9785052109740207</v>
      </c>
      <c r="AI148" s="359">
        <f t="shared" si="573"/>
        <v>8140.859999999986</v>
      </c>
      <c r="AJ148" s="362">
        <f t="shared" si="574"/>
        <v>111</v>
      </c>
      <c r="AK148" s="388">
        <f t="shared" si="575"/>
        <v>-8.5144149763015093</v>
      </c>
      <c r="AL148" s="414"/>
      <c r="AM148" s="415"/>
      <c r="AN148" s="429"/>
      <c r="AO148" s="359">
        <f t="shared" si="576"/>
        <v>32536.559999999998</v>
      </c>
      <c r="AP148" s="362">
        <f t="shared" si="577"/>
        <v>209</v>
      </c>
      <c r="AQ148" s="388">
        <f t="shared" si="578"/>
        <v>-6.3850251649288907</v>
      </c>
      <c r="AR148" s="359">
        <f t="shared" si="579"/>
        <v>13014.090000000026</v>
      </c>
      <c r="AS148" s="362">
        <f t="shared" si="580"/>
        <v>135</v>
      </c>
      <c r="AT148" s="388">
        <f t="shared" si="581"/>
        <v>-8.6653901059045211</v>
      </c>
      <c r="AU148" s="359"/>
      <c r="AV148" s="362"/>
      <c r="AW148" s="362"/>
      <c r="AX148" s="359">
        <f t="shared" si="582"/>
        <v>34019.990000000005</v>
      </c>
      <c r="AY148" s="362">
        <f t="shared" si="583"/>
        <v>218.84615384615384</v>
      </c>
      <c r="AZ148" s="388">
        <f t="shared" si="584"/>
        <v>-6.906749807380228</v>
      </c>
      <c r="BA148" s="359">
        <f t="shared" si="585"/>
        <v>-6528.6500000000233</v>
      </c>
      <c r="BB148" s="362">
        <f t="shared" si="586"/>
        <v>20</v>
      </c>
      <c r="BC148" s="388">
        <f t="shared" si="587"/>
        <v>-20.793989645843396</v>
      </c>
      <c r="BD148" s="359">
        <f t="shared" si="588"/>
        <v>53248.349999999977</v>
      </c>
      <c r="BE148" s="362">
        <f t="shared" si="589"/>
        <v>404</v>
      </c>
      <c r="BF148" s="388">
        <f t="shared" si="590"/>
        <v>2.1599629858748415</v>
      </c>
    </row>
    <row r="149" spans="1:58" hidden="1" outlineLevel="1" x14ac:dyDescent="0.25">
      <c r="A149" s="302">
        <v>12</v>
      </c>
      <c r="B149" s="360">
        <f t="shared" si="540"/>
        <v>39639.450000000012</v>
      </c>
      <c r="C149" s="363">
        <f t="shared" si="541"/>
        <v>316</v>
      </c>
      <c r="D149" s="389">
        <f t="shared" si="542"/>
        <v>-16.38185890236187</v>
      </c>
      <c r="E149" s="360">
        <f t="shared" si="543"/>
        <v>47842.570000000007</v>
      </c>
      <c r="F149" s="363">
        <f t="shared" si="544"/>
        <v>315</v>
      </c>
      <c r="G149" s="389">
        <f t="shared" si="545"/>
        <v>-10.93926091325568</v>
      </c>
      <c r="H149" s="360">
        <f t="shared" si="546"/>
        <v>51010.450000000012</v>
      </c>
      <c r="I149" s="363">
        <f t="shared" si="547"/>
        <v>237</v>
      </c>
      <c r="J149" s="389">
        <f t="shared" si="548"/>
        <v>1.3984075698245135</v>
      </c>
      <c r="K149" s="360">
        <f t="shared" si="549"/>
        <v>35017.19</v>
      </c>
      <c r="L149" s="363">
        <f t="shared" si="550"/>
        <v>164</v>
      </c>
      <c r="M149" s="389">
        <f t="shared" si="551"/>
        <v>0.76059927582042519</v>
      </c>
      <c r="N149" s="360">
        <f t="shared" si="552"/>
        <v>-6685.2000000000116</v>
      </c>
      <c r="O149" s="363">
        <f t="shared" si="553"/>
        <v>13</v>
      </c>
      <c r="P149" s="389">
        <f t="shared" si="554"/>
        <v>-5.0586582524553592</v>
      </c>
      <c r="Q149" s="360">
        <f t="shared" si="555"/>
        <v>43003.969999999972</v>
      </c>
      <c r="R149" s="363">
        <f t="shared" si="556"/>
        <v>212</v>
      </c>
      <c r="S149" s="389">
        <f t="shared" si="557"/>
        <v>-0.35837285621721549</v>
      </c>
      <c r="T149" s="360">
        <f t="shared" si="558"/>
        <v>30859.520000000019</v>
      </c>
      <c r="U149" s="363">
        <f t="shared" si="559"/>
        <v>197</v>
      </c>
      <c r="V149" s="389">
        <f t="shared" si="560"/>
        <v>-5.7932329904586481</v>
      </c>
      <c r="W149" s="360">
        <f t="shared" si="561"/>
        <v>46909.409999999974</v>
      </c>
      <c r="X149" s="363">
        <f t="shared" si="562"/>
        <v>308</v>
      </c>
      <c r="Y149" s="389">
        <f t="shared" si="563"/>
        <v>-10.564409708091063</v>
      </c>
      <c r="Z149" s="360">
        <f t="shared" si="564"/>
        <v>4540.429999999993</v>
      </c>
      <c r="AA149" s="363">
        <f t="shared" si="565"/>
        <v>80</v>
      </c>
      <c r="AB149" s="389">
        <f t="shared" si="566"/>
        <v>-6.6801773744938089</v>
      </c>
      <c r="AC149" s="360">
        <f t="shared" si="567"/>
        <v>36559.549999999988</v>
      </c>
      <c r="AD149" s="363">
        <f t="shared" si="568"/>
        <v>232</v>
      </c>
      <c r="AE149" s="389">
        <f t="shared" si="569"/>
        <v>-6.8356162785378274</v>
      </c>
      <c r="AF149" s="360">
        <f t="shared" si="570"/>
        <v>65768.700000000012</v>
      </c>
      <c r="AG149" s="363">
        <f t="shared" si="571"/>
        <v>340</v>
      </c>
      <c r="AH149" s="389">
        <f t="shared" si="572"/>
        <v>-2.7241244908539386</v>
      </c>
      <c r="AI149" s="360">
        <f t="shared" si="573"/>
        <v>5731.3800000000047</v>
      </c>
      <c r="AJ149" s="363">
        <f t="shared" si="574"/>
        <v>94</v>
      </c>
      <c r="AK149" s="389">
        <f t="shared" si="575"/>
        <v>-7.6872605166754795</v>
      </c>
      <c r="AL149" s="414"/>
      <c r="AM149" s="415"/>
      <c r="AN149" s="429"/>
      <c r="AO149" s="360">
        <f t="shared" si="576"/>
        <v>31753.869999999995</v>
      </c>
      <c r="AP149" s="363">
        <f t="shared" si="577"/>
        <v>198</v>
      </c>
      <c r="AQ149" s="389">
        <f t="shared" si="578"/>
        <v>-5.383072666869765</v>
      </c>
      <c r="AR149" s="360">
        <f t="shared" si="579"/>
        <v>7219.6599999999744</v>
      </c>
      <c r="AS149" s="363">
        <f t="shared" si="580"/>
        <v>105</v>
      </c>
      <c r="AT149" s="389">
        <f t="shared" si="581"/>
        <v>-8.175495998050792</v>
      </c>
      <c r="AU149" s="360"/>
      <c r="AV149" s="363"/>
      <c r="AW149" s="363"/>
      <c r="AX149" s="360">
        <f t="shared" si="582"/>
        <v>28723.249999999996</v>
      </c>
      <c r="AY149" s="363">
        <f t="shared" si="583"/>
        <v>190.07692307692307</v>
      </c>
      <c r="AZ149" s="389">
        <f t="shared" si="584"/>
        <v>-6.2844930470632745</v>
      </c>
      <c r="BA149" s="360">
        <f t="shared" si="585"/>
        <v>-6685.2000000000116</v>
      </c>
      <c r="BB149" s="363">
        <f t="shared" si="586"/>
        <v>13</v>
      </c>
      <c r="BC149" s="389">
        <f t="shared" si="587"/>
        <v>-16.38185890236187</v>
      </c>
      <c r="BD149" s="360">
        <f t="shared" si="588"/>
        <v>51010.450000000012</v>
      </c>
      <c r="BE149" s="363">
        <f t="shared" si="589"/>
        <v>316</v>
      </c>
      <c r="BF149" s="389">
        <f t="shared" si="590"/>
        <v>1.3984075698245135</v>
      </c>
    </row>
    <row r="150" spans="1:58" hidden="1" outlineLevel="1" x14ac:dyDescent="0.25">
      <c r="A150" s="302">
        <v>13</v>
      </c>
      <c r="B150" s="359">
        <f t="shared" si="540"/>
        <v>40386.799999999988</v>
      </c>
      <c r="C150" s="362">
        <f t="shared" si="541"/>
        <v>316</v>
      </c>
      <c r="D150" s="388">
        <f t="shared" si="542"/>
        <v>-15.664690754811261</v>
      </c>
      <c r="E150" s="359">
        <f t="shared" si="543"/>
        <v>43941.219999999972</v>
      </c>
      <c r="F150" s="362">
        <f t="shared" si="544"/>
        <v>284</v>
      </c>
      <c r="G150" s="388">
        <f t="shared" si="545"/>
        <v>-9.0537305693541725</v>
      </c>
      <c r="H150" s="359">
        <f t="shared" si="546"/>
        <v>45413.840000000026</v>
      </c>
      <c r="I150" s="362">
        <f t="shared" si="547"/>
        <v>207</v>
      </c>
      <c r="J150" s="388">
        <f t="shared" si="548"/>
        <v>1.6322489964861688</v>
      </c>
      <c r="K150" s="359">
        <f t="shared" si="549"/>
        <v>33655.789999999979</v>
      </c>
      <c r="L150" s="362">
        <f t="shared" si="550"/>
        <v>152</v>
      </c>
      <c r="M150" s="388">
        <f t="shared" si="551"/>
        <v>1.3376924357815767</v>
      </c>
      <c r="N150" s="359">
        <f t="shared" si="552"/>
        <v>-5368.0200000000186</v>
      </c>
      <c r="O150" s="362">
        <f t="shared" si="553"/>
        <v>20</v>
      </c>
      <c r="P150" s="388">
        <f t="shared" si="554"/>
        <v>-5.0611329182058</v>
      </c>
      <c r="Q150" s="359">
        <f t="shared" si="555"/>
        <v>38405.359999999986</v>
      </c>
      <c r="R150" s="362">
        <f t="shared" si="556"/>
        <v>185</v>
      </c>
      <c r="S150" s="388">
        <f t="shared" si="557"/>
        <v>0.16404733910414393</v>
      </c>
      <c r="T150" s="359">
        <f t="shared" si="558"/>
        <v>21809.200000000012</v>
      </c>
      <c r="U150" s="362">
        <f t="shared" si="559"/>
        <v>157</v>
      </c>
      <c r="V150" s="388">
        <f t="shared" si="560"/>
        <v>-6.0675449596327269</v>
      </c>
      <c r="W150" s="359">
        <f t="shared" si="561"/>
        <v>43164.280000000028</v>
      </c>
      <c r="X150" s="362">
        <f t="shared" si="562"/>
        <v>279</v>
      </c>
      <c r="Y150" s="388">
        <f t="shared" si="563"/>
        <v>-8.8688730766216111</v>
      </c>
      <c r="Z150" s="359">
        <f t="shared" si="564"/>
        <v>5035.8499999999767</v>
      </c>
      <c r="AA150" s="362">
        <f t="shared" si="565"/>
        <v>77</v>
      </c>
      <c r="AB150" s="388">
        <f t="shared" si="566"/>
        <v>-5.9583752768416787</v>
      </c>
      <c r="AC150" s="359">
        <f t="shared" si="567"/>
        <v>40356.619999999995</v>
      </c>
      <c r="AD150" s="362">
        <f t="shared" si="568"/>
        <v>254</v>
      </c>
      <c r="AE150" s="388">
        <f t="shared" si="569"/>
        <v>-7.3051515019961641</v>
      </c>
      <c r="AF150" s="359">
        <f t="shared" si="570"/>
        <v>59308.380000000005</v>
      </c>
      <c r="AG150" s="362">
        <f t="shared" si="571"/>
        <v>294</v>
      </c>
      <c r="AH150" s="388">
        <f t="shared" si="572"/>
        <v>-0.7990019100858774</v>
      </c>
      <c r="AI150" s="359">
        <f t="shared" si="573"/>
        <v>7586.320000000007</v>
      </c>
      <c r="AJ150" s="362">
        <f t="shared" si="574"/>
        <v>94</v>
      </c>
      <c r="AK150" s="388">
        <f t="shared" si="575"/>
        <v>-6.5437089626255727</v>
      </c>
      <c r="AL150" s="414"/>
      <c r="AM150" s="415"/>
      <c r="AN150" s="429"/>
      <c r="AO150" s="359">
        <f t="shared" si="576"/>
        <v>27816.989999999991</v>
      </c>
      <c r="AP150" s="362">
        <f t="shared" si="577"/>
        <v>178</v>
      </c>
      <c r="AQ150" s="388">
        <f t="shared" si="578"/>
        <v>-5.1632426165168113</v>
      </c>
      <c r="AR150" s="359">
        <f t="shared" si="579"/>
        <v>138.1699999999837</v>
      </c>
      <c r="AS150" s="362">
        <f t="shared" si="580"/>
        <v>65</v>
      </c>
      <c r="AT150" s="388">
        <f t="shared" si="581"/>
        <v>-7.2442861859653647</v>
      </c>
      <c r="AU150" s="359"/>
      <c r="AV150" s="362"/>
      <c r="AW150" s="362"/>
      <c r="AX150" s="359">
        <f t="shared" si="582"/>
        <v>26334.032307692301</v>
      </c>
      <c r="AY150" s="362">
        <f t="shared" si="583"/>
        <v>174.46153846153845</v>
      </c>
      <c r="AZ150" s="388">
        <f t="shared" si="584"/>
        <v>-5.6766729270153284</v>
      </c>
      <c r="BA150" s="359">
        <f t="shared" si="585"/>
        <v>-5368.0200000000186</v>
      </c>
      <c r="BB150" s="362">
        <f t="shared" si="586"/>
        <v>20</v>
      </c>
      <c r="BC150" s="388">
        <f t="shared" si="587"/>
        <v>-15.664690754811261</v>
      </c>
      <c r="BD150" s="359">
        <f t="shared" si="588"/>
        <v>45413.840000000026</v>
      </c>
      <c r="BE150" s="362">
        <f t="shared" si="589"/>
        <v>316</v>
      </c>
      <c r="BF150" s="388">
        <f t="shared" si="590"/>
        <v>1.6322489964861688</v>
      </c>
    </row>
    <row r="151" spans="1:58" hidden="1" outlineLevel="1" x14ac:dyDescent="0.25">
      <c r="A151" s="302">
        <v>14</v>
      </c>
      <c r="B151" s="360">
        <f t="shared" si="540"/>
        <v>40237.06</v>
      </c>
      <c r="C151" s="363">
        <f t="shared" si="541"/>
        <v>285</v>
      </c>
      <c r="D151" s="389">
        <f t="shared" si="542"/>
        <v>-11.331321777539813</v>
      </c>
      <c r="E151" s="360">
        <f t="shared" si="543"/>
        <v>35815.5</v>
      </c>
      <c r="F151" s="363">
        <f t="shared" si="544"/>
        <v>246</v>
      </c>
      <c r="G151" s="389">
        <f t="shared" si="545"/>
        <v>-8.9091312209827151</v>
      </c>
      <c r="H151" s="360">
        <f t="shared" si="546"/>
        <v>46831.510000000009</v>
      </c>
      <c r="I151" s="363">
        <f t="shared" si="547"/>
        <v>211</v>
      </c>
      <c r="J151" s="389">
        <f t="shared" si="548"/>
        <v>1.8978376716119385</v>
      </c>
      <c r="K151" s="360">
        <f t="shared" si="549"/>
        <v>27969.739999999991</v>
      </c>
      <c r="L151" s="363">
        <f t="shared" si="550"/>
        <v>125</v>
      </c>
      <c r="M151" s="389">
        <f t="shared" si="551"/>
        <v>1.1960050791327603</v>
      </c>
      <c r="N151" s="360">
        <f t="shared" si="552"/>
        <v>-7371.5900000000256</v>
      </c>
      <c r="O151" s="363">
        <f t="shared" si="553"/>
        <v>11</v>
      </c>
      <c r="P151" s="389">
        <f t="shared" si="554"/>
        <v>-5.0303412468046247</v>
      </c>
      <c r="Q151" s="360">
        <f t="shared" si="555"/>
        <v>29028.109999999986</v>
      </c>
      <c r="R151" s="363">
        <f t="shared" si="556"/>
        <v>135</v>
      </c>
      <c r="S151" s="389">
        <f t="shared" si="557"/>
        <v>0.64121568895174619</v>
      </c>
      <c r="T151" s="360">
        <f t="shared" si="558"/>
        <v>14077.369999999995</v>
      </c>
      <c r="U151" s="363">
        <f t="shared" si="559"/>
        <v>117</v>
      </c>
      <c r="V151" s="389">
        <f t="shared" si="560"/>
        <v>-5.5681495860932841</v>
      </c>
      <c r="W151" s="360">
        <f t="shared" si="561"/>
        <v>33696.109999999986</v>
      </c>
      <c r="X151" s="363">
        <f t="shared" si="562"/>
        <v>226</v>
      </c>
      <c r="Y151" s="389">
        <f t="shared" si="563"/>
        <v>-7.6230398701064246</v>
      </c>
      <c r="Z151" s="360">
        <f t="shared" si="564"/>
        <v>-907.57000000000698</v>
      </c>
      <c r="AA151" s="363">
        <f t="shared" si="565"/>
        <v>35</v>
      </c>
      <c r="AB151" s="389">
        <f t="shared" si="566"/>
        <v>-4.2975731620975068</v>
      </c>
      <c r="AC151" s="360">
        <f t="shared" si="567"/>
        <v>37596.989999999991</v>
      </c>
      <c r="AD151" s="363">
        <f t="shared" si="568"/>
        <v>244</v>
      </c>
      <c r="AE151" s="389">
        <f t="shared" si="569"/>
        <v>-7.5954009668739673</v>
      </c>
      <c r="AF151" s="360">
        <f t="shared" si="570"/>
        <v>45827.25</v>
      </c>
      <c r="AG151" s="363">
        <f t="shared" si="571"/>
        <v>229</v>
      </c>
      <c r="AH151" s="389">
        <f t="shared" si="572"/>
        <v>-0.86097356511882595</v>
      </c>
      <c r="AI151" s="360">
        <f t="shared" si="573"/>
        <v>7193.570000000007</v>
      </c>
      <c r="AJ151" s="363">
        <f t="shared" si="574"/>
        <v>88</v>
      </c>
      <c r="AK151" s="389">
        <f t="shared" si="575"/>
        <v>-5.9668605222803421</v>
      </c>
      <c r="AL151" s="414"/>
      <c r="AM151" s="415"/>
      <c r="AN151" s="429"/>
      <c r="AO151" s="360">
        <f t="shared" si="576"/>
        <v>19453.450000000012</v>
      </c>
      <c r="AP151" s="363">
        <f t="shared" si="577"/>
        <v>143</v>
      </c>
      <c r="AQ151" s="389">
        <f t="shared" si="578"/>
        <v>-5.6453861129513712</v>
      </c>
      <c r="AR151" s="360">
        <f t="shared" si="579"/>
        <v>-10677.739999999991</v>
      </c>
      <c r="AS151" s="363">
        <f t="shared" si="580"/>
        <v>17</v>
      </c>
      <c r="AT151" s="389">
        <f t="shared" si="581"/>
        <v>-7.4245707098670835</v>
      </c>
      <c r="AU151" s="360"/>
      <c r="AV151" s="363"/>
      <c r="AW151" s="363"/>
      <c r="AX151" s="360">
        <f t="shared" si="582"/>
        <v>20995.577692307688</v>
      </c>
      <c r="AY151" s="363">
        <f t="shared" si="583"/>
        <v>144.84615384615384</v>
      </c>
      <c r="AZ151" s="389">
        <f t="shared" si="584"/>
        <v>-5.0505166719923604</v>
      </c>
      <c r="BA151" s="360">
        <f t="shared" si="585"/>
        <v>-10677.739999999991</v>
      </c>
      <c r="BB151" s="363">
        <f t="shared" si="586"/>
        <v>11</v>
      </c>
      <c r="BC151" s="389">
        <f t="shared" si="587"/>
        <v>-11.331321777539813</v>
      </c>
      <c r="BD151" s="360">
        <f t="shared" si="588"/>
        <v>46831.510000000009</v>
      </c>
      <c r="BE151" s="363">
        <f t="shared" si="589"/>
        <v>285</v>
      </c>
      <c r="BF151" s="389">
        <f t="shared" si="590"/>
        <v>1.8978376716119385</v>
      </c>
    </row>
    <row r="152" spans="1:58" hidden="1" outlineLevel="1" x14ac:dyDescent="0.25">
      <c r="A152" s="302">
        <v>15</v>
      </c>
      <c r="B152" s="359">
        <f t="shared" si="540"/>
        <v>36997.320000000007</v>
      </c>
      <c r="C152" s="362">
        <f t="shared" si="541"/>
        <v>259</v>
      </c>
      <c r="D152" s="388">
        <f t="shared" si="542"/>
        <v>-9.9608001157909882</v>
      </c>
      <c r="E152" s="359">
        <f t="shared" si="543"/>
        <v>32893.429999999993</v>
      </c>
      <c r="F152" s="362">
        <f t="shared" si="544"/>
        <v>213</v>
      </c>
      <c r="G152" s="388">
        <f t="shared" si="545"/>
        <v>-6.5767766829084735</v>
      </c>
      <c r="H152" s="359">
        <f t="shared" si="546"/>
        <v>53387.380000000005</v>
      </c>
      <c r="I152" s="362">
        <f t="shared" si="547"/>
        <v>216</v>
      </c>
      <c r="J152" s="388">
        <f t="shared" si="548"/>
        <v>4.71321725088265</v>
      </c>
      <c r="K152" s="359">
        <f t="shared" si="549"/>
        <v>32398.130000000005</v>
      </c>
      <c r="L152" s="362">
        <f t="shared" si="550"/>
        <v>133</v>
      </c>
      <c r="M152" s="388">
        <f t="shared" si="551"/>
        <v>2.5134556458292536</v>
      </c>
      <c r="N152" s="359">
        <f t="shared" si="552"/>
        <v>-20071.650000000023</v>
      </c>
      <c r="O152" s="362">
        <f t="shared" si="553"/>
        <v>-69</v>
      </c>
      <c r="P152" s="388">
        <f t="shared" si="554"/>
        <v>-2.7724974596330867</v>
      </c>
      <c r="Q152" s="359">
        <f t="shared" si="555"/>
        <v>30477.25</v>
      </c>
      <c r="R152" s="362">
        <f t="shared" si="556"/>
        <v>120</v>
      </c>
      <c r="S152" s="388">
        <f t="shared" si="557"/>
        <v>2.9238601003990254</v>
      </c>
      <c r="T152" s="359">
        <f t="shared" si="558"/>
        <v>5526.2700000000186</v>
      </c>
      <c r="U152" s="362">
        <f t="shared" si="559"/>
        <v>52</v>
      </c>
      <c r="V152" s="388">
        <f t="shared" si="560"/>
        <v>-2.7739381522750932</v>
      </c>
      <c r="W152" s="359">
        <f t="shared" si="561"/>
        <v>29707.080000000016</v>
      </c>
      <c r="X152" s="362">
        <f t="shared" si="562"/>
        <v>186</v>
      </c>
      <c r="Y152" s="388">
        <f t="shared" si="563"/>
        <v>-5.1064657323731808</v>
      </c>
      <c r="Z152" s="359">
        <f t="shared" si="564"/>
        <v>-4161.5100000000093</v>
      </c>
      <c r="AA152" s="362">
        <f t="shared" si="565"/>
        <v>3</v>
      </c>
      <c r="AB152" s="388">
        <f t="shared" si="566"/>
        <v>-2.4291833253914206</v>
      </c>
      <c r="AC152" s="359">
        <f t="shared" si="567"/>
        <v>33170.119999999995</v>
      </c>
      <c r="AD152" s="362">
        <f t="shared" si="568"/>
        <v>237</v>
      </c>
      <c r="AE152" s="388">
        <f t="shared" si="569"/>
        <v>-9.3933773249129899</v>
      </c>
      <c r="AF152" s="359">
        <f t="shared" si="570"/>
        <v>33896.679999999993</v>
      </c>
      <c r="AG152" s="362">
        <f t="shared" si="571"/>
        <v>200</v>
      </c>
      <c r="AH152" s="388">
        <f t="shared" si="572"/>
        <v>-4.4329250036266217</v>
      </c>
      <c r="AI152" s="359">
        <f t="shared" si="573"/>
        <v>12634.960000000021</v>
      </c>
      <c r="AJ152" s="362">
        <f t="shared" si="574"/>
        <v>91</v>
      </c>
      <c r="AK152" s="388">
        <f t="shared" si="575"/>
        <v>-3.3808568641408954</v>
      </c>
      <c r="AL152" s="414"/>
      <c r="AM152" s="415"/>
      <c r="AN152" s="429"/>
      <c r="AO152" s="359">
        <f t="shared" si="576"/>
        <v>13576.119999999995</v>
      </c>
      <c r="AP152" s="362">
        <f t="shared" si="577"/>
        <v>102</v>
      </c>
      <c r="AQ152" s="388">
        <f t="shared" si="578"/>
        <v>-4.1249099186865124</v>
      </c>
      <c r="AR152" s="359">
        <f t="shared" si="579"/>
        <v>-14720.820000000007</v>
      </c>
      <c r="AS152" s="362">
        <f t="shared" si="580"/>
        <v>-31</v>
      </c>
      <c r="AT152" s="388">
        <f t="shared" si="581"/>
        <v>-4.1136724248143537</v>
      </c>
      <c r="AU152" s="359"/>
      <c r="AV152" s="362"/>
      <c r="AW152" s="362"/>
      <c r="AX152" s="359">
        <f t="shared" si="582"/>
        <v>18601.083076923078</v>
      </c>
      <c r="AY152" s="362">
        <f t="shared" si="583"/>
        <v>116.30769230769231</v>
      </c>
      <c r="AZ152" s="388">
        <f t="shared" si="584"/>
        <v>-3.1139957695243128</v>
      </c>
      <c r="BA152" s="359">
        <f t="shared" si="585"/>
        <v>-20071.650000000023</v>
      </c>
      <c r="BB152" s="362">
        <f t="shared" si="586"/>
        <v>-69</v>
      </c>
      <c r="BC152" s="388">
        <f t="shared" si="587"/>
        <v>-9.9608001157909882</v>
      </c>
      <c r="BD152" s="359">
        <f t="shared" si="588"/>
        <v>53387.380000000005</v>
      </c>
      <c r="BE152" s="362">
        <f t="shared" si="589"/>
        <v>259</v>
      </c>
      <c r="BF152" s="388">
        <f t="shared" si="590"/>
        <v>4.71321725088265</v>
      </c>
    </row>
    <row r="153" spans="1:58" hidden="1" outlineLevel="1" x14ac:dyDescent="0.25">
      <c r="A153" s="302">
        <v>16</v>
      </c>
      <c r="B153" s="360">
        <f t="shared" si="540"/>
        <v>34935</v>
      </c>
      <c r="C153" s="363">
        <f t="shared" si="541"/>
        <v>244</v>
      </c>
      <c r="D153" s="389">
        <f t="shared" si="542"/>
        <v>-9.0400321857483732</v>
      </c>
      <c r="E153" s="360">
        <f t="shared" si="543"/>
        <v>24958.179999999993</v>
      </c>
      <c r="F153" s="363">
        <f t="shared" si="544"/>
        <v>182</v>
      </c>
      <c r="G153" s="389">
        <f t="shared" si="545"/>
        <v>-7.1101419413520262</v>
      </c>
      <c r="H153" s="360">
        <f t="shared" si="546"/>
        <v>54616.69</v>
      </c>
      <c r="I153" s="363">
        <f t="shared" si="547"/>
        <v>211</v>
      </c>
      <c r="J153" s="389">
        <f t="shared" si="548"/>
        <v>5.675199021166037</v>
      </c>
      <c r="K153" s="360">
        <f t="shared" si="549"/>
        <v>30499.659999999974</v>
      </c>
      <c r="L153" s="363">
        <f t="shared" si="550"/>
        <v>132</v>
      </c>
      <c r="M153" s="389">
        <f t="shared" si="551"/>
        <v>1.4797764360569374</v>
      </c>
      <c r="N153" s="360">
        <f t="shared" si="552"/>
        <v>-16171.320000000007</v>
      </c>
      <c r="O153" s="363">
        <f t="shared" si="553"/>
        <v>-62</v>
      </c>
      <c r="P153" s="389">
        <f t="shared" si="554"/>
        <v>-1.5093649746179665</v>
      </c>
      <c r="Q153" s="360">
        <f t="shared" si="555"/>
        <v>32551.840000000026</v>
      </c>
      <c r="R153" s="363">
        <f t="shared" si="556"/>
        <v>121</v>
      </c>
      <c r="S153" s="389">
        <f t="shared" si="557"/>
        <v>3.7437908541521949</v>
      </c>
      <c r="T153" s="360">
        <f t="shared" si="558"/>
        <v>-1100.5</v>
      </c>
      <c r="U153" s="363">
        <f t="shared" si="559"/>
        <v>8</v>
      </c>
      <c r="V153" s="389">
        <f t="shared" si="560"/>
        <v>-1.3677685671020186</v>
      </c>
      <c r="W153" s="360">
        <f t="shared" si="561"/>
        <v>27379.770000000019</v>
      </c>
      <c r="X153" s="363">
        <f t="shared" si="562"/>
        <v>152</v>
      </c>
      <c r="Y153" s="389">
        <f t="shared" si="563"/>
        <v>-2.3802603263910385</v>
      </c>
      <c r="Z153" s="360">
        <f t="shared" si="564"/>
        <v>-3317.5100000000093</v>
      </c>
      <c r="AA153" s="363">
        <f t="shared" si="565"/>
        <v>-1</v>
      </c>
      <c r="AB153" s="389">
        <f t="shared" si="566"/>
        <v>-1.5234462034445926</v>
      </c>
      <c r="AC153" s="360">
        <f t="shared" si="567"/>
        <v>32038.080000000016</v>
      </c>
      <c r="AD153" s="363">
        <f t="shared" si="568"/>
        <v>217</v>
      </c>
      <c r="AE153" s="389">
        <f t="shared" si="569"/>
        <v>-7.3888170467324983</v>
      </c>
      <c r="AF153" s="360">
        <f t="shared" si="570"/>
        <v>32038.159999999974</v>
      </c>
      <c r="AG153" s="363">
        <f t="shared" si="571"/>
        <v>189</v>
      </c>
      <c r="AH153" s="389">
        <f t="shared" si="572"/>
        <v>-4.1034117837307633</v>
      </c>
      <c r="AI153" s="360">
        <f t="shared" si="573"/>
        <v>21388.080000000016</v>
      </c>
      <c r="AJ153" s="363">
        <f t="shared" si="574"/>
        <v>130</v>
      </c>
      <c r="AK153" s="389">
        <f t="shared" si="575"/>
        <v>-3.0750585890483819</v>
      </c>
      <c r="AL153" s="414"/>
      <c r="AM153" s="415"/>
      <c r="AN153" s="429"/>
      <c r="AO153" s="360">
        <f t="shared" si="576"/>
        <v>13742.989999999991</v>
      </c>
      <c r="AP153" s="363">
        <f t="shared" si="577"/>
        <v>101</v>
      </c>
      <c r="AQ153" s="389">
        <f t="shared" si="578"/>
        <v>-3.8362560589657448</v>
      </c>
      <c r="AR153" s="360">
        <f t="shared" si="579"/>
        <v>-12651.729999999981</v>
      </c>
      <c r="AS153" s="363">
        <f t="shared" si="580"/>
        <v>-45</v>
      </c>
      <c r="AT153" s="389">
        <f t="shared" si="581"/>
        <v>-1.5432540672810831</v>
      </c>
      <c r="AU153" s="360"/>
      <c r="AV153" s="363"/>
      <c r="AW153" s="363"/>
      <c r="AX153" s="360">
        <f t="shared" si="582"/>
        <v>18374.556153846155</v>
      </c>
      <c r="AY153" s="363">
        <f t="shared" si="583"/>
        <v>106.92307692307692</v>
      </c>
      <c r="AZ153" s="389">
        <f t="shared" si="584"/>
        <v>-2.1442795114852733</v>
      </c>
      <c r="BA153" s="360">
        <f t="shared" si="585"/>
        <v>-16171.320000000007</v>
      </c>
      <c r="BB153" s="363">
        <f t="shared" si="586"/>
        <v>-62</v>
      </c>
      <c r="BC153" s="389">
        <f t="shared" si="587"/>
        <v>-9.0400321857483732</v>
      </c>
      <c r="BD153" s="360">
        <f t="shared" si="588"/>
        <v>54616.69</v>
      </c>
      <c r="BE153" s="363">
        <f t="shared" si="589"/>
        <v>244</v>
      </c>
      <c r="BF153" s="389">
        <f t="shared" si="590"/>
        <v>5.675199021166037</v>
      </c>
    </row>
    <row r="154" spans="1:58" hidden="1" outlineLevel="1" x14ac:dyDescent="0.25">
      <c r="A154" s="302">
        <v>17</v>
      </c>
      <c r="B154" s="359">
        <f t="shared" si="540"/>
        <v>30465.320000000007</v>
      </c>
      <c r="C154" s="362">
        <f t="shared" si="541"/>
        <v>222</v>
      </c>
      <c r="D154" s="388">
        <f t="shared" si="542"/>
        <v>-8.6948690400888324</v>
      </c>
      <c r="E154" s="359">
        <f t="shared" si="543"/>
        <v>13132.760000000009</v>
      </c>
      <c r="F154" s="362">
        <f t="shared" si="544"/>
        <v>123</v>
      </c>
      <c r="G154" s="388">
        <f t="shared" si="545"/>
        <v>-6.4805753238272246</v>
      </c>
      <c r="H154" s="359">
        <f t="shared" si="546"/>
        <v>34905.409999999974</v>
      </c>
      <c r="I154" s="362">
        <f t="shared" si="547"/>
        <v>84</v>
      </c>
      <c r="J154" s="388">
        <f t="shared" si="548"/>
        <v>8.5963362274065673</v>
      </c>
      <c r="K154" s="359">
        <f t="shared" si="549"/>
        <v>26881.489999999991</v>
      </c>
      <c r="L154" s="362">
        <f t="shared" si="550"/>
        <v>106</v>
      </c>
      <c r="M154" s="388">
        <f t="shared" si="551"/>
        <v>2.3116192301870626</v>
      </c>
      <c r="N154" s="359">
        <f t="shared" si="552"/>
        <v>-15750.770000000019</v>
      </c>
      <c r="O154" s="362">
        <f t="shared" si="553"/>
        <v>-64</v>
      </c>
      <c r="P154" s="388">
        <f t="shared" si="554"/>
        <v>-1.0627491247031742</v>
      </c>
      <c r="Q154" s="359">
        <f t="shared" si="555"/>
        <v>27233.039999999979</v>
      </c>
      <c r="R154" s="362">
        <f t="shared" si="556"/>
        <v>127</v>
      </c>
      <c r="S154" s="388">
        <f t="shared" si="557"/>
        <v>0.26404279686468612</v>
      </c>
      <c r="T154" s="359">
        <f t="shared" si="558"/>
        <v>-6377.0300000000279</v>
      </c>
      <c r="U154" s="362">
        <f t="shared" si="559"/>
        <v>-20</v>
      </c>
      <c r="V154" s="388">
        <f t="shared" si="560"/>
        <v>-1.0288977100352668</v>
      </c>
      <c r="W154" s="359">
        <f t="shared" si="561"/>
        <v>12455.909999999974</v>
      </c>
      <c r="X154" s="362">
        <f t="shared" si="562"/>
        <v>60</v>
      </c>
      <c r="Y154" s="388">
        <f t="shared" si="563"/>
        <v>-8.1490482310016432E-2</v>
      </c>
      <c r="Z154" s="359">
        <f t="shared" si="564"/>
        <v>-3553.5</v>
      </c>
      <c r="AA154" s="362">
        <f t="shared" si="565"/>
        <v>-14</v>
      </c>
      <c r="AB154" s="388">
        <f t="shared" si="566"/>
        <v>-0.28936789791967499</v>
      </c>
      <c r="AC154" s="359">
        <f t="shared" si="567"/>
        <v>36493.280000000028</v>
      </c>
      <c r="AD154" s="362">
        <f t="shared" si="568"/>
        <v>236</v>
      </c>
      <c r="AE154" s="388">
        <f t="shared" si="569"/>
        <v>-7.0967726975287633</v>
      </c>
      <c r="AF154" s="359">
        <f t="shared" si="570"/>
        <v>26938.5</v>
      </c>
      <c r="AG154" s="362">
        <f t="shared" si="571"/>
        <v>161</v>
      </c>
      <c r="AH154" s="388">
        <f t="shared" si="572"/>
        <v>-3.5936369672002684</v>
      </c>
      <c r="AI154" s="359">
        <f t="shared" si="573"/>
        <v>17216.489999999991</v>
      </c>
      <c r="AJ154" s="362">
        <f t="shared" si="574"/>
        <v>114</v>
      </c>
      <c r="AK154" s="388">
        <f t="shared" si="575"/>
        <v>-3.424755928280149</v>
      </c>
      <c r="AL154" s="414"/>
      <c r="AM154" s="415"/>
      <c r="AN154" s="429"/>
      <c r="AO154" s="359">
        <f t="shared" si="576"/>
        <v>14516.130000000005</v>
      </c>
      <c r="AP154" s="362">
        <f t="shared" si="577"/>
        <v>103</v>
      </c>
      <c r="AQ154" s="388">
        <f t="shared" si="578"/>
        <v>-3.6003808444656045</v>
      </c>
      <c r="AR154" s="359">
        <f t="shared" si="579"/>
        <v>-14204.940000000002</v>
      </c>
      <c r="AS154" s="362">
        <f t="shared" si="580"/>
        <v>-63</v>
      </c>
      <c r="AT154" s="388">
        <f t="shared" si="581"/>
        <v>-0.44266872767781251</v>
      </c>
      <c r="AU154" s="359"/>
      <c r="AV154" s="362"/>
      <c r="AW154" s="362"/>
      <c r="AX154" s="359">
        <f t="shared" si="582"/>
        <v>13339.506923076917</v>
      </c>
      <c r="AY154" s="362">
        <f t="shared" si="583"/>
        <v>78</v>
      </c>
      <c r="AZ154" s="388">
        <f t="shared" si="584"/>
        <v>-1.6177330401829386</v>
      </c>
      <c r="BA154" s="359">
        <f t="shared" si="585"/>
        <v>-15750.770000000019</v>
      </c>
      <c r="BB154" s="362">
        <f t="shared" si="586"/>
        <v>-64</v>
      </c>
      <c r="BC154" s="388">
        <f t="shared" si="587"/>
        <v>-8.6948690400888324</v>
      </c>
      <c r="BD154" s="359">
        <f t="shared" si="588"/>
        <v>36493.280000000028</v>
      </c>
      <c r="BE154" s="362">
        <f t="shared" si="589"/>
        <v>236</v>
      </c>
      <c r="BF154" s="388">
        <f t="shared" si="590"/>
        <v>8.5963362274065673</v>
      </c>
    </row>
    <row r="155" spans="1:58" hidden="1" outlineLevel="1" x14ac:dyDescent="0.25">
      <c r="A155" s="302">
        <v>18</v>
      </c>
      <c r="B155" s="360">
        <f t="shared" si="540"/>
        <v>20720.330000000016</v>
      </c>
      <c r="C155" s="363">
        <f t="shared" si="541"/>
        <v>145</v>
      </c>
      <c r="D155" s="389">
        <f t="shared" si="542"/>
        <v>-4.9571037205829782</v>
      </c>
      <c r="E155" s="360">
        <f t="shared" si="543"/>
        <v>4882.25</v>
      </c>
      <c r="F155" s="363">
        <f t="shared" si="544"/>
        <v>57</v>
      </c>
      <c r="G155" s="389">
        <f t="shared" si="545"/>
        <v>-3.427134513704658</v>
      </c>
      <c r="H155" s="360">
        <f t="shared" si="546"/>
        <v>25559.289999999979</v>
      </c>
      <c r="I155" s="363">
        <f t="shared" si="547"/>
        <v>32</v>
      </c>
      <c r="J155" s="389">
        <f t="shared" si="548"/>
        <v>8.8824586725947086</v>
      </c>
      <c r="K155" s="360">
        <f t="shared" si="549"/>
        <v>25492.799999999988</v>
      </c>
      <c r="L155" s="363">
        <f t="shared" si="550"/>
        <v>88</v>
      </c>
      <c r="M155" s="389">
        <f t="shared" si="551"/>
        <v>3.3455240368100476</v>
      </c>
      <c r="N155" s="360">
        <f t="shared" si="552"/>
        <v>-12300.090000000026</v>
      </c>
      <c r="O155" s="363">
        <f t="shared" si="553"/>
        <v>-60</v>
      </c>
      <c r="P155" s="389">
        <f t="shared" si="554"/>
        <v>0.17319926018134879</v>
      </c>
      <c r="Q155" s="360">
        <f t="shared" si="555"/>
        <v>23536.869999999995</v>
      </c>
      <c r="R155" s="363">
        <f t="shared" si="556"/>
        <v>101</v>
      </c>
      <c r="S155" s="389">
        <f t="shared" si="557"/>
        <v>1.0688673618749078</v>
      </c>
      <c r="T155" s="360">
        <f t="shared" si="558"/>
        <v>-7711.4199999999837</v>
      </c>
      <c r="U155" s="363">
        <f t="shared" si="559"/>
        <v>-28</v>
      </c>
      <c r="V155" s="389">
        <f t="shared" si="560"/>
        <v>-0.82394921061998616</v>
      </c>
      <c r="W155" s="360">
        <f t="shared" si="561"/>
        <v>11031.849999999977</v>
      </c>
      <c r="X155" s="363">
        <f t="shared" si="562"/>
        <v>33</v>
      </c>
      <c r="Y155" s="389">
        <f t="shared" si="563"/>
        <v>1.9179514507970339</v>
      </c>
      <c r="Z155" s="360">
        <f t="shared" si="564"/>
        <v>-4541.710000000021</v>
      </c>
      <c r="AA155" s="363">
        <f t="shared" si="565"/>
        <v>-25</v>
      </c>
      <c r="AB155" s="389">
        <f t="shared" si="566"/>
        <v>0.34177212119965361</v>
      </c>
      <c r="AC155" s="360">
        <f t="shared" si="567"/>
        <v>28918.520000000019</v>
      </c>
      <c r="AD155" s="363">
        <f t="shared" si="568"/>
        <v>178</v>
      </c>
      <c r="AE155" s="389">
        <f t="shared" si="569"/>
        <v>-4.4194271238030183</v>
      </c>
      <c r="AF155" s="360">
        <f t="shared" si="570"/>
        <v>27421.010000000009</v>
      </c>
      <c r="AG155" s="363">
        <f t="shared" si="571"/>
        <v>144</v>
      </c>
      <c r="AH155" s="389">
        <f t="shared" si="572"/>
        <v>-1.5055007582600126</v>
      </c>
      <c r="AI155" s="360">
        <f t="shared" si="573"/>
        <v>14915.270000000019</v>
      </c>
      <c r="AJ155" s="363">
        <f t="shared" si="574"/>
        <v>112</v>
      </c>
      <c r="AK155" s="389">
        <f t="shared" si="575"/>
        <v>-4.3019430602963951</v>
      </c>
      <c r="AL155" s="414"/>
      <c r="AM155" s="415"/>
      <c r="AN155" s="429"/>
      <c r="AO155" s="360">
        <f t="shared" si="576"/>
        <v>13350.75</v>
      </c>
      <c r="AP155" s="363">
        <f t="shared" si="577"/>
        <v>91</v>
      </c>
      <c r="AQ155" s="389">
        <f t="shared" si="578"/>
        <v>-2.8606690240619059</v>
      </c>
      <c r="AR155" s="360">
        <f t="shared" si="579"/>
        <v>-14910.150000000023</v>
      </c>
      <c r="AS155" s="363">
        <f t="shared" si="580"/>
        <v>-73</v>
      </c>
      <c r="AT155" s="389">
        <f t="shared" si="581"/>
        <v>0.23423772739809579</v>
      </c>
      <c r="AU155" s="360"/>
      <c r="AV155" s="363"/>
      <c r="AW155" s="363"/>
      <c r="AX155" s="360">
        <f t="shared" si="582"/>
        <v>9918.8123076923039</v>
      </c>
      <c r="AY155" s="363">
        <f t="shared" si="583"/>
        <v>50.07692307692308</v>
      </c>
      <c r="AZ155" s="389">
        <f t="shared" si="584"/>
        <v>-0.3712473863240881</v>
      </c>
      <c r="BA155" s="360">
        <f t="shared" si="585"/>
        <v>-14910.150000000023</v>
      </c>
      <c r="BB155" s="363">
        <f t="shared" si="586"/>
        <v>-73</v>
      </c>
      <c r="BC155" s="389">
        <f t="shared" si="587"/>
        <v>-4.9571037205829782</v>
      </c>
      <c r="BD155" s="360">
        <f t="shared" si="588"/>
        <v>28918.520000000019</v>
      </c>
      <c r="BE155" s="363">
        <f t="shared" si="589"/>
        <v>178</v>
      </c>
      <c r="BF155" s="389">
        <f t="shared" si="590"/>
        <v>8.8824586725947086</v>
      </c>
    </row>
    <row r="156" spans="1:58" hidden="1" outlineLevel="1" x14ac:dyDescent="0.25">
      <c r="A156" s="302">
        <v>19</v>
      </c>
      <c r="B156" s="359">
        <f t="shared" si="540"/>
        <v>10148.409999999974</v>
      </c>
      <c r="C156" s="362">
        <f t="shared" si="541"/>
        <v>81</v>
      </c>
      <c r="D156" s="388">
        <f t="shared" si="542"/>
        <v>-3.2765979351727594</v>
      </c>
      <c r="E156" s="359">
        <f t="shared" si="543"/>
        <v>-10226.150000000023</v>
      </c>
      <c r="F156" s="362">
        <f t="shared" si="544"/>
        <v>-20</v>
      </c>
      <c r="G156" s="388">
        <f t="shared" si="545"/>
        <v>-2.6724817424684204</v>
      </c>
      <c r="H156" s="359">
        <f t="shared" si="546"/>
        <v>-783.65999999997439</v>
      </c>
      <c r="I156" s="362">
        <f t="shared" si="547"/>
        <v>-39</v>
      </c>
      <c r="J156" s="388">
        <f t="shared" si="548"/>
        <v>3.3091685440266474</v>
      </c>
      <c r="K156" s="359">
        <f t="shared" si="549"/>
        <v>11918.630000000005</v>
      </c>
      <c r="L156" s="362">
        <f t="shared" si="550"/>
        <v>30</v>
      </c>
      <c r="M156" s="388">
        <f t="shared" si="551"/>
        <v>2.5390015414456855</v>
      </c>
      <c r="N156" s="359">
        <f t="shared" si="552"/>
        <v>-16618.710000000021</v>
      </c>
      <c r="O156" s="362">
        <f t="shared" si="553"/>
        <v>-87</v>
      </c>
      <c r="P156" s="388">
        <f t="shared" si="554"/>
        <v>0.78542248951828242</v>
      </c>
      <c r="Q156" s="359">
        <f t="shared" si="555"/>
        <v>11201.900000000023</v>
      </c>
      <c r="R156" s="362">
        <f t="shared" si="556"/>
        <v>39</v>
      </c>
      <c r="S156" s="388">
        <f t="shared" si="557"/>
        <v>1.3471673192024696</v>
      </c>
      <c r="T156" s="359">
        <f t="shared" si="558"/>
        <v>-16262.270000000019</v>
      </c>
      <c r="U156" s="362">
        <f t="shared" si="559"/>
        <v>-83</v>
      </c>
      <c r="V156" s="388">
        <f t="shared" si="560"/>
        <v>0.57368551336045925</v>
      </c>
      <c r="W156" s="359">
        <f t="shared" si="561"/>
        <v>4604.2800000000279</v>
      </c>
      <c r="X156" s="362">
        <f t="shared" si="562"/>
        <v>-15</v>
      </c>
      <c r="Y156" s="388">
        <f t="shared" si="563"/>
        <v>3.4803751392425113</v>
      </c>
      <c r="Z156" s="359">
        <f t="shared" si="564"/>
        <v>-9620.6599999999744</v>
      </c>
      <c r="AA156" s="362">
        <f t="shared" si="565"/>
        <v>-59</v>
      </c>
      <c r="AB156" s="388">
        <f t="shared" si="566"/>
        <v>1.2626488265914872</v>
      </c>
      <c r="AC156" s="359">
        <f t="shared" si="567"/>
        <v>21100.640000000014</v>
      </c>
      <c r="AD156" s="362">
        <f t="shared" si="568"/>
        <v>124</v>
      </c>
      <c r="AE156" s="388">
        <f t="shared" si="569"/>
        <v>-2.4651855859778493</v>
      </c>
      <c r="AF156" s="359">
        <f t="shared" si="570"/>
        <v>2906.0800000000163</v>
      </c>
      <c r="AG156" s="362">
        <f t="shared" si="571"/>
        <v>24</v>
      </c>
      <c r="AH156" s="388">
        <f t="shared" si="572"/>
        <v>-0.99156217485386833</v>
      </c>
      <c r="AI156" s="359">
        <f t="shared" si="573"/>
        <v>-4296.859999999986</v>
      </c>
      <c r="AJ156" s="362">
        <f t="shared" si="574"/>
        <v>0</v>
      </c>
      <c r="AK156" s="388">
        <f t="shared" si="575"/>
        <v>-1.934651058081954</v>
      </c>
      <c r="AL156" s="414"/>
      <c r="AM156" s="415"/>
      <c r="AN156" s="429"/>
      <c r="AO156" s="359">
        <f t="shared" si="576"/>
        <v>1227.7700000000186</v>
      </c>
      <c r="AP156" s="362">
        <f t="shared" si="577"/>
        <v>18</v>
      </c>
      <c r="AQ156" s="388">
        <f t="shared" si="578"/>
        <v>-1.173688866824989</v>
      </c>
      <c r="AR156" s="359">
        <f t="shared" si="579"/>
        <v>-14541.140000000014</v>
      </c>
      <c r="AS156" s="362">
        <f t="shared" si="580"/>
        <v>-75</v>
      </c>
      <c r="AT156" s="388">
        <f t="shared" si="581"/>
        <v>0.58713155780975512</v>
      </c>
      <c r="AU156" s="359"/>
      <c r="AV156" s="362"/>
      <c r="AW156" s="362"/>
      <c r="AX156" s="359">
        <f t="shared" si="582"/>
        <v>-934.44769230768838</v>
      </c>
      <c r="AY156" s="362">
        <f t="shared" si="583"/>
        <v>-6.615384615384615</v>
      </c>
      <c r="AZ156" s="388">
        <f t="shared" si="584"/>
        <v>0.18169198020548658</v>
      </c>
      <c r="BA156" s="359">
        <f t="shared" si="585"/>
        <v>-16618.710000000021</v>
      </c>
      <c r="BB156" s="362">
        <f t="shared" si="586"/>
        <v>-87</v>
      </c>
      <c r="BC156" s="388">
        <f t="shared" si="587"/>
        <v>-3.2765979351727594</v>
      </c>
      <c r="BD156" s="359">
        <f t="shared" si="588"/>
        <v>21100.640000000014</v>
      </c>
      <c r="BE156" s="362">
        <f t="shared" si="589"/>
        <v>124</v>
      </c>
      <c r="BF156" s="388">
        <f t="shared" si="590"/>
        <v>3.4803751392425113</v>
      </c>
    </row>
    <row r="157" spans="1:58" hidden="1" outlineLevel="1" x14ac:dyDescent="0.25">
      <c r="A157" s="302">
        <v>20</v>
      </c>
      <c r="B157" s="361">
        <f t="shared" si="540"/>
        <v>0</v>
      </c>
      <c r="C157" s="364">
        <f t="shared" si="541"/>
        <v>0</v>
      </c>
      <c r="D157" s="390">
        <f t="shared" si="542"/>
        <v>0</v>
      </c>
      <c r="E157" s="361">
        <f t="shared" si="543"/>
        <v>0</v>
      </c>
      <c r="F157" s="364">
        <f t="shared" si="544"/>
        <v>0</v>
      </c>
      <c r="G157" s="390">
        <f t="shared" si="545"/>
        <v>0</v>
      </c>
      <c r="H157" s="361">
        <f t="shared" si="546"/>
        <v>0</v>
      </c>
      <c r="I157" s="364">
        <f t="shared" si="547"/>
        <v>0</v>
      </c>
      <c r="J157" s="390">
        <f t="shared" si="548"/>
        <v>0</v>
      </c>
      <c r="K157" s="361">
        <f t="shared" si="549"/>
        <v>0</v>
      </c>
      <c r="L157" s="364">
        <f t="shared" si="550"/>
        <v>0</v>
      </c>
      <c r="M157" s="390">
        <f t="shared" si="551"/>
        <v>0</v>
      </c>
      <c r="N157" s="361">
        <f t="shared" si="552"/>
        <v>0</v>
      </c>
      <c r="O157" s="364">
        <f t="shared" si="553"/>
        <v>0</v>
      </c>
      <c r="P157" s="390">
        <f t="shared" si="554"/>
        <v>0</v>
      </c>
      <c r="Q157" s="361">
        <f t="shared" si="555"/>
        <v>0</v>
      </c>
      <c r="R157" s="364">
        <f t="shared" si="556"/>
        <v>0</v>
      </c>
      <c r="S157" s="390">
        <f t="shared" si="557"/>
        <v>0</v>
      </c>
      <c r="T157" s="361">
        <f t="shared" si="558"/>
        <v>0</v>
      </c>
      <c r="U157" s="364">
        <f t="shared" si="559"/>
        <v>0</v>
      </c>
      <c r="V157" s="390">
        <f t="shared" si="560"/>
        <v>0</v>
      </c>
      <c r="W157" s="361">
        <f t="shared" si="561"/>
        <v>0</v>
      </c>
      <c r="X157" s="364">
        <f t="shared" si="562"/>
        <v>0</v>
      </c>
      <c r="Y157" s="390">
        <f t="shared" si="563"/>
        <v>0</v>
      </c>
      <c r="Z157" s="361">
        <f t="shared" si="564"/>
        <v>0</v>
      </c>
      <c r="AA157" s="364">
        <f t="shared" si="565"/>
        <v>0</v>
      </c>
      <c r="AB157" s="390">
        <f t="shared" si="566"/>
        <v>0</v>
      </c>
      <c r="AC157" s="361">
        <f t="shared" si="567"/>
        <v>0</v>
      </c>
      <c r="AD157" s="364">
        <f t="shared" si="568"/>
        <v>0</v>
      </c>
      <c r="AE157" s="390">
        <f t="shared" si="569"/>
        <v>0</v>
      </c>
      <c r="AF157" s="361">
        <f t="shared" si="570"/>
        <v>0</v>
      </c>
      <c r="AG157" s="364">
        <f t="shared" si="571"/>
        <v>0</v>
      </c>
      <c r="AH157" s="390">
        <f t="shared" si="572"/>
        <v>0</v>
      </c>
      <c r="AI157" s="361">
        <f t="shared" si="573"/>
        <v>0</v>
      </c>
      <c r="AJ157" s="364">
        <f t="shared" si="574"/>
        <v>0</v>
      </c>
      <c r="AK157" s="390">
        <f t="shared" si="575"/>
        <v>0</v>
      </c>
      <c r="AL157" s="414"/>
      <c r="AM157" s="415"/>
      <c r="AN157" s="429"/>
      <c r="AO157" s="361">
        <f t="shared" si="576"/>
        <v>0</v>
      </c>
      <c r="AP157" s="364">
        <f t="shared" si="577"/>
        <v>0</v>
      </c>
      <c r="AQ157" s="390">
        <f t="shared" si="578"/>
        <v>0</v>
      </c>
      <c r="AR157" s="361">
        <f t="shared" si="579"/>
        <v>0</v>
      </c>
      <c r="AS157" s="364">
        <f t="shared" si="580"/>
        <v>0</v>
      </c>
      <c r="AT157" s="390">
        <f t="shared" si="581"/>
        <v>0</v>
      </c>
      <c r="AU157" s="361"/>
      <c r="AV157" s="364"/>
      <c r="AW157" s="364"/>
      <c r="AX157" s="361">
        <f t="shared" si="582"/>
        <v>0</v>
      </c>
      <c r="AY157" s="364">
        <f t="shared" si="583"/>
        <v>0</v>
      </c>
      <c r="AZ157" s="390">
        <f t="shared" si="584"/>
        <v>0</v>
      </c>
      <c r="BA157" s="361">
        <f t="shared" si="585"/>
        <v>0</v>
      </c>
      <c r="BB157" s="364">
        <f t="shared" si="586"/>
        <v>0</v>
      </c>
      <c r="BC157" s="390">
        <f t="shared" si="587"/>
        <v>0</v>
      </c>
      <c r="BD157" s="361">
        <f t="shared" si="588"/>
        <v>0</v>
      </c>
      <c r="BE157" s="364">
        <f t="shared" si="589"/>
        <v>0</v>
      </c>
      <c r="BF157" s="390">
        <f t="shared" si="590"/>
        <v>0</v>
      </c>
    </row>
    <row r="158" spans="1:58" hidden="1" outlineLevel="1" x14ac:dyDescent="0.25">
      <c r="A158" s="302">
        <v>21</v>
      </c>
      <c r="B158" s="359">
        <f t="shared" si="540"/>
        <v>-18385.45000000007</v>
      </c>
      <c r="C158" s="362">
        <f t="shared" si="541"/>
        <v>-102</v>
      </c>
      <c r="D158" s="388">
        <f t="shared" si="542"/>
        <v>1.0636051425586572</v>
      </c>
      <c r="E158" s="359">
        <f t="shared" si="543"/>
        <v>-103698.84000000008</v>
      </c>
      <c r="F158" s="362">
        <f t="shared" si="544"/>
        <v>-476</v>
      </c>
      <c r="G158" s="388">
        <f t="shared" si="545"/>
        <v>-1.2984487458657838</v>
      </c>
      <c r="H158" s="359">
        <f t="shared" si="546"/>
        <v>-15670.660000000033</v>
      </c>
      <c r="I158" s="362">
        <f t="shared" si="547"/>
        <v>-30</v>
      </c>
      <c r="J158" s="388">
        <f t="shared" si="548"/>
        <v>-3.4674079971494223</v>
      </c>
      <c r="K158" s="359">
        <f t="shared" si="549"/>
        <v>-17182.800000000047</v>
      </c>
      <c r="L158" s="362">
        <f t="shared" si="550"/>
        <v>-36</v>
      </c>
      <c r="M158" s="388">
        <f t="shared" si="551"/>
        <v>-3.5542754759238733</v>
      </c>
      <c r="N158" s="359">
        <f t="shared" si="552"/>
        <v>11687.589999999967</v>
      </c>
      <c r="O158" s="362">
        <f t="shared" si="553"/>
        <v>90</v>
      </c>
      <c r="P158" s="388">
        <f t="shared" si="554"/>
        <v>-2.7596621116905737</v>
      </c>
      <c r="Q158" s="359">
        <f t="shared" si="555"/>
        <v>-38045.310000000056</v>
      </c>
      <c r="R158" s="362">
        <f t="shared" si="556"/>
        <v>-126</v>
      </c>
      <c r="S158" s="388">
        <f t="shared" si="557"/>
        <v>-4.1639974010575713</v>
      </c>
      <c r="T158" s="359">
        <f t="shared" si="558"/>
        <v>-9270.7900000000373</v>
      </c>
      <c r="U158" s="362">
        <f t="shared" si="559"/>
        <v>-37</v>
      </c>
      <c r="V158" s="388">
        <f t="shared" si="560"/>
        <v>-0.56281278569315418</v>
      </c>
      <c r="W158" s="359">
        <f t="shared" si="561"/>
        <v>-24964.050000000047</v>
      </c>
      <c r="X158" s="362">
        <f t="shared" si="562"/>
        <v>-100</v>
      </c>
      <c r="Y158" s="388">
        <f t="shared" si="563"/>
        <v>-1.4534763875227839</v>
      </c>
      <c r="Z158" s="359">
        <f t="shared" si="564"/>
        <v>4068.25</v>
      </c>
      <c r="AA158" s="362">
        <f t="shared" si="565"/>
        <v>44</v>
      </c>
      <c r="AB158" s="388">
        <f t="shared" si="566"/>
        <v>-1.9501628889535993</v>
      </c>
      <c r="AC158" s="359">
        <f t="shared" si="567"/>
        <v>-49390.150000000023</v>
      </c>
      <c r="AD158" s="362">
        <f t="shared" si="568"/>
        <v>-170</v>
      </c>
      <c r="AE158" s="388">
        <f t="shared" si="569"/>
        <v>-4.850095997744404</v>
      </c>
      <c r="AF158" s="359">
        <f t="shared" si="570"/>
        <v>-29323.710000000079</v>
      </c>
      <c r="AG158" s="362">
        <f t="shared" si="571"/>
        <v>-94</v>
      </c>
      <c r="AH158" s="388">
        <f t="shared" si="572"/>
        <v>-3.4815583224198576</v>
      </c>
      <c r="AI158" s="359">
        <f t="shared" si="573"/>
        <v>4259.6499999999069</v>
      </c>
      <c r="AJ158" s="362">
        <f t="shared" si="574"/>
        <v>38</v>
      </c>
      <c r="AK158" s="388">
        <f t="shared" si="575"/>
        <v>-1.3978753749520365</v>
      </c>
      <c r="AL158" s="414"/>
      <c r="AM158" s="415"/>
      <c r="AN158" s="429"/>
      <c r="AO158" s="359">
        <f t="shared" si="576"/>
        <v>-10449.20000000007</v>
      </c>
      <c r="AP158" s="362">
        <f t="shared" si="577"/>
        <v>-34</v>
      </c>
      <c r="AQ158" s="388">
        <f t="shared" si="578"/>
        <v>-1.2291760779634444</v>
      </c>
      <c r="AR158" s="359">
        <f t="shared" si="579"/>
        <v>8812.0699999999488</v>
      </c>
      <c r="AS158" s="362">
        <f t="shared" si="580"/>
        <v>30</v>
      </c>
      <c r="AT158" s="388">
        <f t="shared" si="581"/>
        <v>0.9568207868167633</v>
      </c>
      <c r="AU158" s="359"/>
      <c r="AV158" s="362"/>
      <c r="AW158" s="362"/>
      <c r="AX158" s="359">
        <f t="shared" si="582"/>
        <v>-19863.822307692357</v>
      </c>
      <c r="AY158" s="362">
        <f t="shared" si="583"/>
        <v>-69.92307692307692</v>
      </c>
      <c r="AZ158" s="388">
        <f t="shared" si="584"/>
        <v>-1.8974588703954789</v>
      </c>
      <c r="BA158" s="359">
        <f t="shared" si="585"/>
        <v>-103698.84000000008</v>
      </c>
      <c r="BB158" s="362">
        <f t="shared" si="586"/>
        <v>-476</v>
      </c>
      <c r="BC158" s="388">
        <f t="shared" si="587"/>
        <v>-4.850095997744404</v>
      </c>
      <c r="BD158" s="359">
        <f t="shared" si="588"/>
        <v>11687.589999999967</v>
      </c>
      <c r="BE158" s="362">
        <f t="shared" si="589"/>
        <v>90</v>
      </c>
      <c r="BF158" s="388">
        <f t="shared" si="590"/>
        <v>1.0636051425586572</v>
      </c>
    </row>
    <row r="159" spans="1:58" hidden="1" outlineLevel="1" x14ac:dyDescent="0.25">
      <c r="A159" s="302"/>
      <c r="B159" s="359"/>
      <c r="C159" s="362"/>
      <c r="D159" s="388"/>
      <c r="E159" s="359"/>
      <c r="F159" s="362"/>
      <c r="G159" s="388"/>
      <c r="H159" s="359"/>
      <c r="I159" s="362"/>
      <c r="J159" s="388"/>
      <c r="K159" s="359"/>
      <c r="L159" s="362"/>
      <c r="M159" s="388"/>
      <c r="N159" s="362"/>
      <c r="O159" s="362"/>
      <c r="P159" s="388"/>
      <c r="Q159" s="362"/>
      <c r="R159" s="362"/>
      <c r="S159" s="388"/>
      <c r="T159" s="359"/>
      <c r="U159" s="362"/>
      <c r="V159" s="388"/>
      <c r="W159" s="359"/>
      <c r="X159" s="362"/>
      <c r="Y159" s="388"/>
      <c r="Z159" s="359"/>
      <c r="AA159" s="362"/>
      <c r="AB159" s="388"/>
      <c r="AC159" s="359"/>
      <c r="AD159" s="362"/>
      <c r="AE159" s="388"/>
      <c r="AF159" s="359"/>
      <c r="AG159" s="362"/>
      <c r="AH159" s="388"/>
      <c r="AI159" s="359"/>
      <c r="AJ159" s="362"/>
      <c r="AK159" s="388"/>
      <c r="AL159" s="359"/>
      <c r="AM159" s="362"/>
      <c r="AN159" s="388"/>
      <c r="AO159" s="359"/>
      <c r="AP159" s="362"/>
      <c r="AQ159" s="388"/>
      <c r="AR159" s="359"/>
      <c r="AS159" s="362"/>
      <c r="AT159" s="388"/>
      <c r="AU159" s="359"/>
      <c r="AV159" s="362"/>
      <c r="AW159" s="362"/>
      <c r="AX159" s="359"/>
      <c r="AY159" s="362"/>
      <c r="AZ159" s="388"/>
      <c r="BA159" s="359"/>
      <c r="BB159" s="362"/>
      <c r="BC159" s="388"/>
      <c r="BD159" s="359"/>
      <c r="BE159" s="362"/>
      <c r="BF159" s="388"/>
    </row>
    <row r="160" spans="1:58" hidden="1" outlineLevel="1" x14ac:dyDescent="0.25">
      <c r="A160" s="302" t="s">
        <v>198</v>
      </c>
      <c r="B160" s="359">
        <f>AVERAGE(B138:B158)</f>
        <v>53024.440476190473</v>
      </c>
      <c r="C160" s="362">
        <f t="shared" ref="C160:AG160" si="591">AVERAGE(C138:C158)</f>
        <v>365.95238095238096</v>
      </c>
      <c r="D160" s="388">
        <f t="shared" ref="D160" si="592">AVERAGE(D138:D158)</f>
        <v>-19.258549001574814</v>
      </c>
      <c r="E160" s="359">
        <f t="shared" si="591"/>
        <v>26849.174285714274</v>
      </c>
      <c r="F160" s="362">
        <f t="shared" si="591"/>
        <v>221.95238095238096</v>
      </c>
      <c r="G160" s="388">
        <f t="shared" si="591"/>
        <v>-14.309085434170541</v>
      </c>
      <c r="H160" s="359">
        <f t="shared" si="591"/>
        <v>38615.907142857148</v>
      </c>
      <c r="I160" s="362">
        <f t="shared" si="591"/>
        <v>196.8095238095238</v>
      </c>
      <c r="J160" s="388">
        <f t="shared" ref="J160" si="593">AVERAGE(J138:J158)</f>
        <v>-1.9383326583325291</v>
      </c>
      <c r="K160" s="359">
        <f t="shared" si="591"/>
        <v>42866.733333333337</v>
      </c>
      <c r="L160" s="362">
        <f t="shared" si="591"/>
        <v>214.33333333333334</v>
      </c>
      <c r="M160" s="388">
        <f t="shared" ref="M160" si="594">AVERAGE(M138:M158)</f>
        <v>-0.39770204103509904</v>
      </c>
      <c r="N160" s="359">
        <f t="shared" si="591"/>
        <v>-13626.460000000006</v>
      </c>
      <c r="O160" s="362">
        <f t="shared" si="591"/>
        <v>-12.571428571428571</v>
      </c>
      <c r="P160" s="388">
        <f t="shared" ref="P160" si="595">AVERAGE(P138:P158)</f>
        <v>-7.117444462812121</v>
      </c>
      <c r="Q160" s="359">
        <f t="shared" si="591"/>
        <v>43930.886666666673</v>
      </c>
      <c r="R160" s="362">
        <f t="shared" si="591"/>
        <v>248.8095238095238</v>
      </c>
      <c r="S160" s="388">
        <f t="shared" ref="S160" si="596">AVERAGE(S138:S158)</f>
        <v>-6.3267756307932288</v>
      </c>
      <c r="T160" s="359">
        <f t="shared" si="591"/>
        <v>3110.6561904761934</v>
      </c>
      <c r="U160" s="362">
        <f t="shared" si="591"/>
        <v>75.857142857142861</v>
      </c>
      <c r="V160" s="388">
        <f t="shared" ref="V160" si="597">AVERAGE(V138:V158)</f>
        <v>-8.4771641899645402</v>
      </c>
      <c r="W160" s="359">
        <f t="shared" si="591"/>
        <v>38500.150952380944</v>
      </c>
      <c r="X160" s="362">
        <f t="shared" si="591"/>
        <v>269.1904761904762</v>
      </c>
      <c r="Y160" s="388">
        <f t="shared" ref="Y160" si="598">AVERAGE(Y138:Y158)</f>
        <v>-14.194085654588012</v>
      </c>
      <c r="Z160" s="359">
        <f t="shared" si="591"/>
        <v>2692.3947619047608</v>
      </c>
      <c r="AA160" s="362">
        <f t="shared" si="591"/>
        <v>74.333333333333329</v>
      </c>
      <c r="AB160" s="388">
        <f t="shared" ref="AB160" si="599">AVERAGE(AB138:AB158)</f>
        <v>-8.7453565031227605</v>
      </c>
      <c r="AC160" s="359">
        <f t="shared" si="591"/>
        <v>30718.178571428572</v>
      </c>
      <c r="AD160" s="362">
        <f t="shared" si="591"/>
        <v>199.85714285714286</v>
      </c>
      <c r="AE160" s="388">
        <f t="shared" ref="AE160" si="600">AVERAGE(AE138:AE158)</f>
        <v>-6.3362534520715155</v>
      </c>
      <c r="AF160" s="359">
        <f t="shared" si="591"/>
        <v>61233.683333333312</v>
      </c>
      <c r="AG160" s="362">
        <f t="shared" si="591"/>
        <v>339.8095238095238</v>
      </c>
      <c r="AH160" s="388">
        <f t="shared" ref="AH160:AJ160" si="601">AVERAGE(AH138:AH158)</f>
        <v>-6.5197178553380635</v>
      </c>
      <c r="AI160" s="359">
        <f t="shared" si="601"/>
        <v>3684.0519047619046</v>
      </c>
      <c r="AJ160" s="362">
        <f t="shared" si="601"/>
        <v>85.333333333333329</v>
      </c>
      <c r="AK160" s="388">
        <f t="shared" ref="AK160" si="602">AVERAGE(AK138:AK158)</f>
        <v>-9.273779517843753</v>
      </c>
      <c r="AL160" s="414"/>
      <c r="AM160" s="415"/>
      <c r="AN160" s="429"/>
      <c r="AO160" s="359">
        <f t="shared" ref="AO160:AQ160" si="603">AVERAGE(AO138:AO158)</f>
        <v>18825.492857142857</v>
      </c>
      <c r="AP160" s="362">
        <f t="shared" si="603"/>
        <v>157.9047619047619</v>
      </c>
      <c r="AQ160" s="388">
        <f t="shared" si="603"/>
        <v>-9.9941731697960083</v>
      </c>
      <c r="AR160" s="359">
        <f t="shared" ref="AR160:AT160" si="604">AVERAGE(AR138:AR158)</f>
        <v>-830.13095238095377</v>
      </c>
      <c r="AS160" s="362">
        <f t="shared" si="604"/>
        <v>61.142857142857146</v>
      </c>
      <c r="AT160" s="388">
        <f t="shared" si="604"/>
        <v>-9.2248720763909731</v>
      </c>
      <c r="AU160" s="359"/>
      <c r="AV160" s="362"/>
      <c r="AW160" s="362"/>
      <c r="AX160" s="359">
        <f t="shared" ref="AX160" si="605">AVERAGE(B160,E160,H160,K160,N160,Q160,T160,W160,Z160,AC160,AF160,AI160,AO160,AR160)</f>
        <v>24971.082823129251</v>
      </c>
      <c r="AY160" s="362">
        <f t="shared" ref="AY160" si="606">AVERAGE(C160,F160,I160,L160,O160,R160,U160,X160,AA160,AD160,AG160,AJ160,AP160,AS160)</f>
        <v>178.47959183673473</v>
      </c>
      <c r="AZ160" s="388">
        <f t="shared" ref="AZ160" si="607">AVERAGE(D160,G160,J160,M160,P160,S160,V160,Y160,AB160,AE160,AH160,AK160,AQ160,AT160)</f>
        <v>-8.7223779748452834</v>
      </c>
      <c r="BA160" s="359">
        <f t="shared" ref="BA160" si="608">MIN(B160,E160,H160,K160,N160,Q160,T160,W160,Z160,AC160,AF160,AI160,AO160,AR160)</f>
        <v>-13626.460000000006</v>
      </c>
      <c r="BB160" s="362">
        <f t="shared" ref="BB160" si="609">MIN(C160,F160,I160,L160,O160,R160,U160,X160,AA160,AD160,AG160,AJ160,AP160,AS160)</f>
        <v>-12.571428571428571</v>
      </c>
      <c r="BC160" s="388">
        <f t="shared" ref="BC160" si="610">BA160/BB160</f>
        <v>1083.922954545455</v>
      </c>
      <c r="BD160" s="359">
        <f t="shared" ref="BD160" si="611">MAX(B160,E160,H160,K160,N160,Q160,T160,W160,Z160,AC160,AF160,AI160,AO160,AR160)</f>
        <v>61233.683333333312</v>
      </c>
      <c r="BE160" s="362">
        <f t="shared" ref="BE160" si="612">MAX(C160,F160,I160,L160,O160,R160,U160,X160,AA160,AD160,AG160,AJ160,AP160,AS160)</f>
        <v>365.95238095238096</v>
      </c>
      <c r="BF160" s="388">
        <f t="shared" ref="BF160" si="613">BD160/BE160</f>
        <v>167.32691607026669</v>
      </c>
    </row>
    <row r="161" spans="1:127" hidden="1" outlineLevel="1" x14ac:dyDescent="0.25">
      <c r="A161" s="366" t="s">
        <v>407</v>
      </c>
      <c r="B161" s="359">
        <f t="shared" ref="B161:AK161" si="614">_xlfn.STDEV.P(B138:B140)</f>
        <v>6643.4300644822815</v>
      </c>
      <c r="C161" s="362">
        <f t="shared" si="614"/>
        <v>30.814859330452176</v>
      </c>
      <c r="D161" s="388">
        <f t="shared" si="614"/>
        <v>4.4845297052983941</v>
      </c>
      <c r="E161" s="359">
        <f t="shared" si="614"/>
        <v>1847.5120464439665</v>
      </c>
      <c r="F161" s="362">
        <f t="shared" si="614"/>
        <v>8.8065632090819381</v>
      </c>
      <c r="G161" s="388">
        <f t="shared" si="614"/>
        <v>1.961273972256264</v>
      </c>
      <c r="H161" s="359">
        <f t="shared" si="614"/>
        <v>1138.5145752348776</v>
      </c>
      <c r="I161" s="362">
        <f t="shared" si="614"/>
        <v>9.41629792788369</v>
      </c>
      <c r="J161" s="388">
        <f t="shared" si="614"/>
        <v>3.0395323596385633</v>
      </c>
      <c r="K161" s="359">
        <f t="shared" si="614"/>
        <v>3544.0229602623322</v>
      </c>
      <c r="L161" s="362">
        <f t="shared" si="614"/>
        <v>21.359359124801056</v>
      </c>
      <c r="M161" s="388">
        <f t="shared" si="614"/>
        <v>1.4239031853821886</v>
      </c>
      <c r="N161" s="359">
        <f t="shared" si="614"/>
        <v>14187.699340450592</v>
      </c>
      <c r="O161" s="362">
        <f t="shared" si="614"/>
        <v>64.983758654673778</v>
      </c>
      <c r="P161" s="388">
        <f t="shared" si="614"/>
        <v>0.90441377472739792</v>
      </c>
      <c r="Q161" s="359">
        <f t="shared" si="614"/>
        <v>5696.1846235001758</v>
      </c>
      <c r="R161" s="362">
        <f t="shared" si="614"/>
        <v>23.280893453645632</v>
      </c>
      <c r="S161" s="388">
        <f t="shared" si="614"/>
        <v>2.7057349842381173</v>
      </c>
      <c r="T161" s="359">
        <f t="shared" si="614"/>
        <v>17238.787731704204</v>
      </c>
      <c r="U161" s="362">
        <f t="shared" si="614"/>
        <v>80.570190241525154</v>
      </c>
      <c r="V161" s="388">
        <f t="shared" si="614"/>
        <v>1.2111088136408534</v>
      </c>
      <c r="W161" s="359">
        <f t="shared" si="614"/>
        <v>6995.5247051573415</v>
      </c>
      <c r="X161" s="362">
        <f t="shared" si="614"/>
        <v>27.438820836342238</v>
      </c>
      <c r="Y161" s="388">
        <f t="shared" si="614"/>
        <v>4.7026543923212705</v>
      </c>
      <c r="Z161" s="359">
        <f t="shared" si="614"/>
        <v>15257.445649632462</v>
      </c>
      <c r="AA161" s="362">
        <f t="shared" si="614"/>
        <v>71.540198490079689</v>
      </c>
      <c r="AB161" s="388">
        <f t="shared" si="614"/>
        <v>2.0417955433292265</v>
      </c>
      <c r="AC161" s="359">
        <f t="shared" si="614"/>
        <v>15537.102373462896</v>
      </c>
      <c r="AD161" s="362">
        <f t="shared" si="614"/>
        <v>64.161255183067198</v>
      </c>
      <c r="AE161" s="388">
        <f t="shared" si="614"/>
        <v>2.6960240528653441</v>
      </c>
      <c r="AF161" s="359">
        <f t="shared" si="614"/>
        <v>7422.638967129923</v>
      </c>
      <c r="AG161" s="362">
        <f t="shared" si="614"/>
        <v>37.318449414018623</v>
      </c>
      <c r="AH161" s="388">
        <f t="shared" si="614"/>
        <v>2.263027583235905</v>
      </c>
      <c r="AI161" s="359">
        <f t="shared" si="614"/>
        <v>19633.375015763893</v>
      </c>
      <c r="AJ161" s="362">
        <f t="shared" si="614"/>
        <v>97.532900431939709</v>
      </c>
      <c r="AK161" s="388">
        <f t="shared" si="614"/>
        <v>2.732949885459603</v>
      </c>
      <c r="AL161" s="414"/>
      <c r="AM161" s="415"/>
      <c r="AN161" s="429"/>
      <c r="AO161" s="359">
        <f t="shared" ref="AO161:AT161" si="615">_xlfn.STDEV.P(AO138:AO140)</f>
        <v>11335.827727293074</v>
      </c>
      <c r="AP161" s="362">
        <f t="shared" si="615"/>
        <v>55.954346470036526</v>
      </c>
      <c r="AQ161" s="388">
        <f t="shared" si="615"/>
        <v>3.208177467136117</v>
      </c>
      <c r="AR161" s="359">
        <f t="shared" si="615"/>
        <v>9764.3961817627041</v>
      </c>
      <c r="AS161" s="362">
        <f t="shared" si="615"/>
        <v>50.631566789460067</v>
      </c>
      <c r="AT161" s="388">
        <f t="shared" si="615"/>
        <v>2.6802775395795115</v>
      </c>
      <c r="AU161" s="359"/>
      <c r="AV161" s="362"/>
      <c r="AW161" s="362"/>
      <c r="AX161" s="359">
        <f t="shared" ref="AX161" si="616">AVERAGE(B161,E161,H161,K161,N161,Q161,T161,W161,Z161,AC161,AF161,AI161,AO161,AR161)</f>
        <v>9731.6044258771963</v>
      </c>
      <c r="AY161" s="362">
        <f t="shared" ref="AY161" si="617">AVERAGE(C161,F161,I161,L161,O161,R161,U161,X161,AA161,AD161,AG161,AJ161,AP161,AS161)</f>
        <v>45.986389968357678</v>
      </c>
      <c r="AZ161" s="388">
        <f t="shared" ref="AZ161" si="618">AVERAGE(D161,G161,J161,M161,P161,S161,V161,Y161,AB161,AE161,AH161,AK161,AQ161,AT161)</f>
        <v>2.5753859470791971</v>
      </c>
      <c r="BA161" s="359">
        <f t="shared" ref="BA161" si="619">MIN(B161,E161,H161,K161,N161,Q161,T161,W161,Z161,AC161,AF161,AI161,AO161,AR161)</f>
        <v>1138.5145752348776</v>
      </c>
      <c r="BB161" s="362">
        <f t="shared" ref="BB161" si="620">MIN(C161,F161,I161,L161,O161,R161,U161,X161,AA161,AD161,AG161,AJ161,AP161,AS161)</f>
        <v>8.8065632090819381</v>
      </c>
      <c r="BC161" s="388">
        <f t="shared" ref="BC161" si="621">BA161/BB161</f>
        <v>129.28023659226821</v>
      </c>
      <c r="BD161" s="359">
        <f t="shared" ref="BD161" si="622">MAX(B161,E161,H161,K161,N161,Q161,T161,W161,Z161,AC161,AF161,AI161,AO161,AR161)</f>
        <v>19633.375015763893</v>
      </c>
      <c r="BE161" s="362">
        <f t="shared" ref="BE161" si="623">MAX(C161,F161,I161,L161,O161,R161,U161,X161,AA161,AD161,AG161,AJ161,AP161,AS161)</f>
        <v>97.532900431939709</v>
      </c>
      <c r="BF161" s="388">
        <f t="shared" ref="BF161" si="624">BD161/BE161</f>
        <v>201.30002213421747</v>
      </c>
    </row>
    <row r="162" spans="1:127" hidden="1" outlineLevel="1" x14ac:dyDescent="0.25">
      <c r="A162" s="302"/>
      <c r="B162" s="359"/>
      <c r="C162" s="362"/>
      <c r="D162" s="388"/>
      <c r="E162" s="359"/>
      <c r="F162" s="362"/>
      <c r="G162" s="388"/>
      <c r="H162" s="359"/>
      <c r="I162" s="362"/>
      <c r="J162" s="388"/>
      <c r="K162" s="359"/>
      <c r="L162" s="362"/>
      <c r="M162" s="388"/>
      <c r="N162" s="1036" t="s">
        <v>197</v>
      </c>
      <c r="O162" s="1036"/>
      <c r="P162" s="1037"/>
      <c r="Q162" s="359"/>
      <c r="R162" s="362"/>
      <c r="S162" s="388"/>
      <c r="T162" s="359"/>
      <c r="U162" s="362"/>
      <c r="V162" s="388"/>
      <c r="W162" s="359"/>
      <c r="X162" s="362"/>
      <c r="Y162" s="388"/>
      <c r="Z162" s="359"/>
      <c r="AA162" s="362"/>
      <c r="AB162" s="388"/>
      <c r="AC162" s="359"/>
      <c r="AD162" s="362"/>
      <c r="AE162" s="388"/>
      <c r="AF162" s="1038" t="s">
        <v>199</v>
      </c>
      <c r="AG162" s="1038"/>
      <c r="AH162" s="1039"/>
      <c r="AI162" s="1038" t="s">
        <v>199</v>
      </c>
      <c r="AJ162" s="1038"/>
      <c r="AK162" s="1039"/>
      <c r="AL162" s="1048"/>
      <c r="AM162" s="1048"/>
      <c r="AN162" s="1049"/>
      <c r="AO162" s="1048"/>
      <c r="AP162" s="1048"/>
      <c r="AQ162" s="1049"/>
      <c r="AR162" s="1048"/>
      <c r="AS162" s="1048"/>
      <c r="AT162" s="1049"/>
      <c r="AU162" s="359"/>
      <c r="AV162" s="362"/>
      <c r="AW162" s="362"/>
      <c r="AX162" s="359"/>
      <c r="AY162" s="362"/>
      <c r="AZ162" s="388"/>
      <c r="BA162" s="359"/>
      <c r="BB162" s="362"/>
      <c r="BC162" s="388"/>
      <c r="BD162" s="359"/>
      <c r="BE162" s="362"/>
      <c r="BF162" s="388"/>
    </row>
    <row r="163" spans="1:127" hidden="1" outlineLevel="1" x14ac:dyDescent="0.25">
      <c r="A163" s="302" t="s">
        <v>196</v>
      </c>
      <c r="B163" s="359">
        <f t="shared" ref="B163:AH163" si="625">_xlfn.STDEV.P(B138:B158)</f>
        <v>35117.098162176488</v>
      </c>
      <c r="C163" s="362">
        <f t="shared" si="625"/>
        <v>220.77708563605535</v>
      </c>
      <c r="D163" s="388">
        <f t="shared" si="625"/>
        <v>12.011405024697488</v>
      </c>
      <c r="E163" s="359">
        <f t="shared" si="625"/>
        <v>35808.37659573149</v>
      </c>
      <c r="F163" s="362">
        <f t="shared" si="625"/>
        <v>207.0827937002783</v>
      </c>
      <c r="G163" s="388">
        <f t="shared" ref="G163" si="626">_xlfn.STDEV.P(G138:G158)</f>
        <v>9.1365449038798481</v>
      </c>
      <c r="H163" s="359">
        <f t="shared" si="625"/>
        <v>24546.719642034834</v>
      </c>
      <c r="I163" s="362">
        <f t="shared" si="625"/>
        <v>134.29378564057981</v>
      </c>
      <c r="J163" s="388">
        <f t="shared" si="625"/>
        <v>6.0281735442615423</v>
      </c>
      <c r="K163" s="359">
        <f t="shared" si="625"/>
        <v>26221.846050927397</v>
      </c>
      <c r="L163" s="362">
        <f t="shared" si="625"/>
        <v>137.49608941047961</v>
      </c>
      <c r="M163" s="388">
        <f t="shared" si="625"/>
        <v>2.5275422617834855</v>
      </c>
      <c r="N163" s="359">
        <f t="shared" si="625"/>
        <v>15156.974307021643</v>
      </c>
      <c r="O163" s="362">
        <f t="shared" si="625"/>
        <v>75.632930235806825</v>
      </c>
      <c r="P163" s="388">
        <f t="shared" si="625"/>
        <v>5.153551842595701</v>
      </c>
      <c r="Q163" s="359">
        <f t="shared" si="625"/>
        <v>30655.98406170369</v>
      </c>
      <c r="R163" s="362">
        <f t="shared" si="625"/>
        <v>177.10707523917063</v>
      </c>
      <c r="S163" s="388">
        <f t="shared" si="625"/>
        <v>7.8004691164784292</v>
      </c>
      <c r="T163" s="359">
        <f t="shared" si="625"/>
        <v>19785.467162965251</v>
      </c>
      <c r="U163" s="362">
        <f t="shared" si="625"/>
        <v>116.75015477272731</v>
      </c>
      <c r="V163" s="388">
        <f t="shared" si="625"/>
        <v>6.3353344969943377</v>
      </c>
      <c r="W163" s="359">
        <f t="shared" si="625"/>
        <v>26852.101886915942</v>
      </c>
      <c r="X163" s="362">
        <f t="shared" si="625"/>
        <v>186.02063865209996</v>
      </c>
      <c r="Y163" s="388">
        <f t="shared" si="625"/>
        <v>11.60844226212123</v>
      </c>
      <c r="Z163" s="359">
        <f t="shared" si="625"/>
        <v>8782.2938493130659</v>
      </c>
      <c r="AA163" s="362">
        <f t="shared" si="625"/>
        <v>75.319214859052579</v>
      </c>
      <c r="AB163" s="388">
        <f t="shared" si="625"/>
        <v>6.8308578122360997</v>
      </c>
      <c r="AC163" s="359">
        <f t="shared" si="625"/>
        <v>22197.784762160241</v>
      </c>
      <c r="AD163" s="362">
        <f t="shared" si="625"/>
        <v>114.68519467460052</v>
      </c>
      <c r="AE163" s="388">
        <f t="shared" si="625"/>
        <v>3.073446163214963</v>
      </c>
      <c r="AF163" s="359">
        <f t="shared" si="625"/>
        <v>40263.712751355204</v>
      </c>
      <c r="AG163" s="362">
        <f t="shared" si="625"/>
        <v>213.93470722843477</v>
      </c>
      <c r="AH163" s="388">
        <f t="shared" si="625"/>
        <v>4.7796472203929055</v>
      </c>
      <c r="AI163" s="359">
        <f t="shared" ref="AI163:AK163" si="627">_xlfn.STDEV.P(AI138:AI158)</f>
        <v>12700.116516787824</v>
      </c>
      <c r="AJ163" s="362">
        <f t="shared" si="627"/>
        <v>66.619983655223322</v>
      </c>
      <c r="AK163" s="388">
        <f t="shared" si="627"/>
        <v>5.7601021749623396</v>
      </c>
      <c r="AL163" s="414"/>
      <c r="AM163" s="415"/>
      <c r="AN163" s="429"/>
      <c r="AO163" s="359">
        <f t="shared" ref="AO163:AQ163" si="628">_xlfn.STDEV.P(AO138:AO158)</f>
        <v>14776.065239540725</v>
      </c>
      <c r="AP163" s="362">
        <f t="shared" si="628"/>
        <v>96.501124968475906</v>
      </c>
      <c r="AQ163" s="388">
        <f t="shared" si="628"/>
        <v>7.4223252258336121</v>
      </c>
      <c r="AR163" s="359">
        <f t="shared" ref="AR163:AT163" si="629">_xlfn.STDEV.P(AR138:AR158)</f>
        <v>14116.387395244516</v>
      </c>
      <c r="AS163" s="362">
        <f t="shared" si="629"/>
        <v>98.045317857312781</v>
      </c>
      <c r="AT163" s="388">
        <f t="shared" si="629"/>
        <v>7.0198620523482411</v>
      </c>
      <c r="AU163" s="359"/>
      <c r="AV163" s="362"/>
      <c r="AW163" s="362"/>
      <c r="AX163" s="359">
        <f>AVERAGE(B163,E163,H163,K163,N163,Q163,T163,W163,Z163,AC163,AF163,AI163,AO163)</f>
        <v>24066.503152971833</v>
      </c>
      <c r="AY163" s="362">
        <f>AVERAGE(C163,F163,I163,L163,O163,R163,U163,X163,AA163,AD163,AG163,AJ163,AP163)</f>
        <v>140.17082912869114</v>
      </c>
      <c r="AZ163" s="388">
        <f>AVERAGE(D163,G163,J163,M163,P163,S163,V163,Y163,AB163,AE163,AH163,AK163,AQ163)</f>
        <v>6.8052186191886141</v>
      </c>
      <c r="BA163" s="359">
        <f>MIN(B163,E163,H163,K163,N163,Q163,T163,W163,Z163,AC163,AF163,AI163,AO163)</f>
        <v>8782.2938493130659</v>
      </c>
      <c r="BB163" s="362">
        <f>MIN(C163,F163,I163,L163,O163,R163,U163,X163,AA163,AD163,AG163,AJ163,AP163)</f>
        <v>66.619983655223322</v>
      </c>
      <c r="BC163" s="388">
        <f>MIN(D163,G163,J163,M163,P163,S163,V163,Y163,AB163,AE163,AH163,AK163,AQ163)</f>
        <v>2.5275422617834855</v>
      </c>
      <c r="BD163" s="359">
        <f>MAX(B163,E163,H163,K163,N163,Q163,T163,W163,Z163,AC163,AF163,AI163,AO163)</f>
        <v>40263.712751355204</v>
      </c>
      <c r="BE163" s="362">
        <f>MAX(C163,F163,I163,L163,O163,R163,U163,X163,AA163,AD163,AG163,AJ163,AP163)</f>
        <v>220.77708563605535</v>
      </c>
      <c r="BF163" s="388">
        <f>MAX(D163,G163,J163,M163,P163,S163,V163,Y163,AB163,AE163,AH163,AK163,AQ163)</f>
        <v>12.011405024697488</v>
      </c>
    </row>
    <row r="164" spans="1:127" hidden="1" outlineLevel="1" x14ac:dyDescent="0.25">
      <c r="B164" s="1053" t="s">
        <v>199</v>
      </c>
      <c r="C164" s="1053"/>
      <c r="D164" s="382"/>
      <c r="G164" s="12"/>
      <c r="Z164" s="1052" t="s">
        <v>197</v>
      </c>
      <c r="AA164" s="1052"/>
      <c r="AB164" s="385"/>
    </row>
    <row r="165" spans="1:127" hidden="1" outlineLevel="1" x14ac:dyDescent="0.25"/>
    <row r="166" spans="1:127" hidden="1" outlineLevel="1" x14ac:dyDescent="0.25"/>
    <row r="167" spans="1:127" hidden="1" outlineLevel="1" x14ac:dyDescent="0.25">
      <c r="A167" s="357" t="s">
        <v>156</v>
      </c>
      <c r="AL167" s="1008" t="s">
        <v>406</v>
      </c>
      <c r="AM167" s="1008"/>
      <c r="AN167" s="1008"/>
      <c r="AO167" s="1009"/>
      <c r="AP167" s="1009"/>
      <c r="AQ167" s="386"/>
      <c r="AR167" s="1009"/>
      <c r="AS167" s="1009"/>
      <c r="AT167" s="386"/>
      <c r="AU167" s="1009" t="s">
        <v>166</v>
      </c>
      <c r="AV167" s="1009"/>
      <c r="AW167" s="386"/>
      <c r="AX167" s="357" t="s">
        <v>255</v>
      </c>
    </row>
    <row r="168" spans="1:127" hidden="1" outlineLevel="1" x14ac:dyDescent="0.25">
      <c r="A168" s="252" t="s">
        <v>12</v>
      </c>
      <c r="B168" s="291" t="str">
        <f>Tabelle3[[#Headers],[Ned (€)]]</f>
        <v>Ned (€)</v>
      </c>
      <c r="C168" s="292" t="str">
        <f>C$4</f>
        <v>Ned (Backer)</v>
      </c>
      <c r="D168" s="370" t="str">
        <f t="shared" ref="D168:AW168" si="630">D$4</f>
        <v>Ned (€/B)</v>
      </c>
      <c r="E168" s="294" t="str">
        <f t="shared" si="630"/>
        <v>Werkzeuge (€)</v>
      </c>
      <c r="F168" s="295" t="str">
        <f t="shared" si="630"/>
        <v>Werkzeuge (Backer)</v>
      </c>
      <c r="G168" s="407" t="str">
        <f t="shared" si="630"/>
        <v>Werkz (€/B)</v>
      </c>
      <c r="H168" s="298" t="str">
        <f t="shared" si="630"/>
        <v>DSK Fasar (€)</v>
      </c>
      <c r="I168" s="299" t="str">
        <f t="shared" si="630"/>
        <v>DSK Fasar (Backer)</v>
      </c>
      <c r="J168" s="300" t="str">
        <f t="shared" si="630"/>
        <v>DSK Fasar (€/B)</v>
      </c>
      <c r="K168" s="291" t="str">
        <f t="shared" si="630"/>
        <v>Mythen (€)</v>
      </c>
      <c r="L168" s="292" t="str">
        <f t="shared" si="630"/>
        <v>Mythen (Backer)</v>
      </c>
      <c r="M168" s="292" t="str">
        <f t="shared" si="630"/>
        <v>Mythen (€/B)</v>
      </c>
      <c r="N168" s="296" t="str">
        <f t="shared" si="630"/>
        <v>SOK (€)</v>
      </c>
      <c r="O168" s="297" t="str">
        <f t="shared" si="630"/>
        <v>SOK (Backer)</v>
      </c>
      <c r="P168" s="297" t="str">
        <f t="shared" si="630"/>
        <v>SOK (€/B)</v>
      </c>
      <c r="Q168" s="293" t="str">
        <f t="shared" si="630"/>
        <v>RE (€)</v>
      </c>
      <c r="R168" s="293" t="str">
        <f t="shared" si="630"/>
        <v>RE (Backer)</v>
      </c>
      <c r="S168" s="293" t="str">
        <f t="shared" si="630"/>
        <v>RE (€/B)</v>
      </c>
      <c r="T168" s="293" t="str">
        <f t="shared" si="630"/>
        <v>DGG (€)</v>
      </c>
      <c r="U168" s="293" t="str">
        <f t="shared" si="630"/>
        <v>DGG (Backer)</v>
      </c>
      <c r="V168" s="293" t="str">
        <f t="shared" si="630"/>
        <v>DGG (€/B)</v>
      </c>
      <c r="W168" s="298" t="str">
        <f t="shared" si="630"/>
        <v>DSK SV (€)</v>
      </c>
      <c r="X168" s="299" t="str">
        <f t="shared" si="630"/>
        <v>DSK SV (Backer)</v>
      </c>
      <c r="Y168" s="300" t="str">
        <f t="shared" si="630"/>
        <v>DSK SV (€/B)</v>
      </c>
      <c r="Z168" s="296" t="str">
        <f t="shared" si="630"/>
        <v>WW (€)</v>
      </c>
      <c r="AA168" s="297" t="str">
        <f t="shared" si="630"/>
        <v>WW (Backer)</v>
      </c>
      <c r="AB168" s="297" t="str">
        <f t="shared" si="630"/>
        <v>WW (€/B)</v>
      </c>
      <c r="AC168" s="298" t="str">
        <f t="shared" si="630"/>
        <v>DSK R (€)</v>
      </c>
      <c r="AD168" s="299" t="str">
        <f t="shared" si="630"/>
        <v>DSK R (Backer)</v>
      </c>
      <c r="AE168" s="300" t="str">
        <f t="shared" si="630"/>
        <v>DSK R (€/B)</v>
      </c>
      <c r="AF168" s="293" t="str">
        <f t="shared" si="630"/>
        <v>Ära (€)</v>
      </c>
      <c r="AG168" s="293" t="str">
        <f t="shared" si="630"/>
        <v>Ära (Backer)</v>
      </c>
      <c r="AH168" s="293" t="str">
        <f t="shared" si="630"/>
        <v>Ära (€/B)</v>
      </c>
      <c r="AI168" s="293" t="str">
        <f t="shared" si="630"/>
        <v>Mosaik (€)</v>
      </c>
      <c r="AJ168" s="293" t="str">
        <f t="shared" si="630"/>
        <v>Mosaik (Backer)</v>
      </c>
      <c r="AK168" s="293" t="str">
        <f t="shared" si="630"/>
        <v>Mosaik (€/B)</v>
      </c>
      <c r="AL168" s="298" t="str">
        <f t="shared" si="630"/>
        <v>DSK ES (€)</v>
      </c>
      <c r="AM168" s="299" t="str">
        <f t="shared" si="630"/>
        <v>DSK ES (Backer)</v>
      </c>
      <c r="AN168" s="300" t="str">
        <f t="shared" si="630"/>
        <v>DSK ES (€/B)</v>
      </c>
      <c r="AO168" s="296" t="str">
        <f t="shared" si="630"/>
        <v>ES (€)</v>
      </c>
      <c r="AP168" s="297" t="str">
        <f t="shared" si="630"/>
        <v>ES (Backer)</v>
      </c>
      <c r="AQ168" s="424" t="str">
        <f t="shared" si="630"/>
        <v>ES (€/B)</v>
      </c>
      <c r="AR168" s="296" t="str">
        <f t="shared" si="630"/>
        <v>WF (€)</v>
      </c>
      <c r="AS168" s="297" t="str">
        <f t="shared" si="630"/>
        <v>WF(Backer)</v>
      </c>
      <c r="AT168" s="424" t="str">
        <f t="shared" si="630"/>
        <v>WF (€/B)</v>
      </c>
      <c r="AU168" s="291" t="str">
        <f t="shared" si="630"/>
        <v>AKM (€)</v>
      </c>
      <c r="AV168" s="292" t="str">
        <f t="shared" si="630"/>
        <v>AKM(Backer)</v>
      </c>
      <c r="AW168" s="292" t="str">
        <f t="shared" si="630"/>
        <v>AKM (€/B)</v>
      </c>
      <c r="AX168" s="1007" t="s">
        <v>167</v>
      </c>
      <c r="AY168" s="1007"/>
      <c r="AZ168" s="1007"/>
      <c r="BA168" s="1007"/>
      <c r="BV168" s="172"/>
      <c r="BW168" s="171"/>
      <c r="BX168" s="171"/>
      <c r="BY168" s="171"/>
      <c r="BZ168" s="171"/>
      <c r="CA168" s="171"/>
      <c r="CB168" s="171"/>
      <c r="CC168" s="171"/>
      <c r="CD168" s="171"/>
      <c r="CE168" s="171"/>
      <c r="CF168" s="171"/>
      <c r="CG168" s="171"/>
      <c r="CH168" s="171"/>
      <c r="CI168" s="171"/>
      <c r="CJ168" s="171"/>
      <c r="CK168" s="171"/>
      <c r="CL168" s="171"/>
      <c r="CM168" s="171"/>
      <c r="CN168" s="171"/>
      <c r="CO168" s="171"/>
      <c r="CP168" s="171"/>
      <c r="CQ168" s="171"/>
      <c r="CR168" s="171"/>
      <c r="CS168" s="171"/>
      <c r="CT168" s="171"/>
      <c r="CU168" s="171"/>
      <c r="CV168" s="171"/>
      <c r="CW168" s="171"/>
      <c r="CX168" s="171"/>
      <c r="CY168" s="171"/>
      <c r="CZ168" s="171"/>
      <c r="DA168" s="171"/>
      <c r="DB168" s="171"/>
      <c r="DC168" s="171"/>
      <c r="DD168" s="171"/>
      <c r="DE168" s="171"/>
      <c r="DF168" s="171"/>
      <c r="DG168" s="171"/>
      <c r="DH168" s="171"/>
      <c r="DI168" s="171"/>
      <c r="DJ168" s="171"/>
      <c r="DK168" s="171"/>
      <c r="DL168" s="171"/>
      <c r="DM168" s="171"/>
      <c r="DN168" s="171"/>
      <c r="DO168" s="171"/>
      <c r="DP168" s="171"/>
      <c r="DQ168" s="171"/>
      <c r="DR168" s="171"/>
      <c r="DS168" s="171"/>
      <c r="DT168" s="171"/>
      <c r="DU168" s="171"/>
      <c r="DV168" s="171"/>
      <c r="DW168" s="171"/>
    </row>
    <row r="169" spans="1:127" hidden="1" outlineLevel="1" x14ac:dyDescent="0.25">
      <c r="A169" s="302" t="s">
        <v>163</v>
      </c>
      <c r="B169" s="288">
        <f>SUM(B55:B56)</f>
        <v>0.2688908493062796</v>
      </c>
      <c r="C169" s="288">
        <f>SUM(C55:C56)</f>
        <v>0.23631123919308358</v>
      </c>
      <c r="D169" s="371"/>
      <c r="E169" s="288">
        <f t="shared" ref="E169:AV169" si="631">SUM(E55:E56)</f>
        <v>0.29010960685643317</v>
      </c>
      <c r="F169" s="288">
        <f t="shared" si="631"/>
        <v>0.2724867724867725</v>
      </c>
      <c r="G169" s="371"/>
      <c r="H169" s="288">
        <f t="shared" si="631"/>
        <v>0.34487525668181157</v>
      </c>
      <c r="I169" s="288">
        <f t="shared" si="631"/>
        <v>0.35410334346504557</v>
      </c>
      <c r="J169" s="288"/>
      <c r="K169" s="288">
        <f t="shared" si="631"/>
        <v>0.27260503828160593</v>
      </c>
      <c r="L169" s="288">
        <f t="shared" si="631"/>
        <v>0.29175050301810868</v>
      </c>
      <c r="M169" s="288"/>
      <c r="N169" s="288">
        <f t="shared" si="631"/>
        <v>0.47684637167105159</v>
      </c>
      <c r="O169" s="288">
        <f t="shared" si="631"/>
        <v>0.47415865384615385</v>
      </c>
      <c r="P169" s="288"/>
      <c r="Q169" s="288">
        <f t="shared" si="631"/>
        <v>0.24667419534092858</v>
      </c>
      <c r="R169" s="288">
        <f t="shared" si="631"/>
        <v>0.24366706875753921</v>
      </c>
      <c r="S169" s="288"/>
      <c r="T169" s="288">
        <f t="shared" si="631"/>
        <v>0.4329473274856328</v>
      </c>
      <c r="U169" s="288">
        <f t="shared" si="631"/>
        <v>0.4276923076923077</v>
      </c>
      <c r="V169" s="288"/>
      <c r="W169" s="288">
        <f t="shared" si="631"/>
        <v>0.28160155673121195</v>
      </c>
      <c r="X169" s="288">
        <f t="shared" si="631"/>
        <v>0.26666666666666666</v>
      </c>
      <c r="Y169" s="288"/>
      <c r="Z169" s="288">
        <f t="shared" si="631"/>
        <v>0.37416739870852406</v>
      </c>
      <c r="AA169" s="288">
        <f t="shared" si="631"/>
        <v>0.36785714285714288</v>
      </c>
      <c r="AB169" s="288"/>
      <c r="AC169" s="288">
        <f t="shared" si="631"/>
        <v>0.3154105054071949</v>
      </c>
      <c r="AD169" s="288">
        <f t="shared" si="631"/>
        <v>0.33085501858736061</v>
      </c>
      <c r="AE169" s="288"/>
      <c r="AF169" s="288">
        <f t="shared" si="631"/>
        <v>0.22318924319574351</v>
      </c>
      <c r="AG169" s="288">
        <f t="shared" si="631"/>
        <v>0.22535211267605634</v>
      </c>
      <c r="AH169" s="288"/>
      <c r="AI169" s="288">
        <f t="shared" ref="AI169:AJ169" si="632">SUM(AI55:AI56)</f>
        <v>0.42490511261556035</v>
      </c>
      <c r="AJ169" s="288">
        <f t="shared" si="632"/>
        <v>0.41745894554883317</v>
      </c>
      <c r="AK169" s="288"/>
      <c r="AL169" s="426"/>
      <c r="AM169" s="426"/>
      <c r="AN169" s="288"/>
      <c r="AO169" s="288">
        <f t="shared" ref="AO169:AP169" si="633">SUM(AO55:AO56)</f>
        <v>0.36881641090983558</v>
      </c>
      <c r="AP169" s="288">
        <f t="shared" si="633"/>
        <v>0.35149863760217986</v>
      </c>
      <c r="AQ169" s="368"/>
      <c r="AR169" s="288">
        <f t="shared" ref="AR169:AS169" si="634">SUM(AR55:AR56)</f>
        <v>0.41677736628474421</v>
      </c>
      <c r="AS169" s="288">
        <f t="shared" si="634"/>
        <v>0.39909443725743854</v>
      </c>
      <c r="AT169" s="368"/>
      <c r="AU169" s="288">
        <f t="shared" si="631"/>
        <v>0.37752259085308687</v>
      </c>
      <c r="AV169" s="288">
        <f t="shared" si="631"/>
        <v>0.3964165733482643</v>
      </c>
      <c r="AW169" s="368"/>
      <c r="AX169" s="343">
        <f>AVERAGE(B169,E169,H169,K169,N169,Q169,T169,W169,Z169,AC169,AI169,AO169,AR169)</f>
        <v>0.3472789997139088</v>
      </c>
      <c r="AY169" s="343">
        <f t="shared" ref="AY169" si="635">AVERAGE(C169,F169,I169,L169,O169,R169,U169,X169,AA169,AD169,AJ169,AP169,AS169)</f>
        <v>0.34104621053681794</v>
      </c>
      <c r="AZ169" s="343"/>
      <c r="BA169" t="s">
        <v>174</v>
      </c>
    </row>
    <row r="170" spans="1:127" hidden="1" outlineLevel="1" x14ac:dyDescent="0.25">
      <c r="A170" s="303" t="s">
        <v>164</v>
      </c>
      <c r="B170" s="287">
        <f>SUM(B57:B73)</f>
        <v>0.52629721709840405</v>
      </c>
      <c r="C170" s="287">
        <f>SUM(C57:C73)</f>
        <v>0.53314121037463968</v>
      </c>
      <c r="D170" s="372"/>
      <c r="E170" s="287">
        <f t="shared" ref="E170:AV170" si="636">SUM(E57:E73)</f>
        <v>0.43362370460629995</v>
      </c>
      <c r="F170" s="287">
        <f t="shared" si="636"/>
        <v>0.43783068783068785</v>
      </c>
      <c r="G170" s="372"/>
      <c r="H170" s="287">
        <f t="shared" si="636"/>
        <v>0.47303021973579967</v>
      </c>
      <c r="I170" s="287">
        <f t="shared" si="636"/>
        <v>0.48024316109422494</v>
      </c>
      <c r="J170" s="287"/>
      <c r="K170" s="287">
        <f t="shared" si="636"/>
        <v>0.52117433965618787</v>
      </c>
      <c r="L170" s="287">
        <f t="shared" si="636"/>
        <v>0.51509054325955728</v>
      </c>
      <c r="M170" s="287"/>
      <c r="N170" s="287">
        <f t="shared" si="636"/>
        <v>0.41067522179046922</v>
      </c>
      <c r="O170" s="287">
        <f t="shared" si="636"/>
        <v>0.41706730769230771</v>
      </c>
      <c r="P170" s="287"/>
      <c r="Q170" s="287">
        <f t="shared" si="636"/>
        <v>0.52063855449454177</v>
      </c>
      <c r="R170" s="287">
        <f t="shared" si="636"/>
        <v>0.53437876960193009</v>
      </c>
      <c r="S170" s="287"/>
      <c r="T170" s="287">
        <f t="shared" si="636"/>
        <v>0.4213066586008728</v>
      </c>
      <c r="U170" s="287">
        <f t="shared" si="636"/>
        <v>0.42051282051282046</v>
      </c>
      <c r="V170" s="287"/>
      <c r="W170" s="287">
        <f t="shared" si="636"/>
        <v>0.51412090728240933</v>
      </c>
      <c r="X170" s="287">
        <f t="shared" si="636"/>
        <v>0.53798449612403099</v>
      </c>
      <c r="Y170" s="287"/>
      <c r="Z170" s="287">
        <f t="shared" si="636"/>
        <v>0.48862792238815173</v>
      </c>
      <c r="AA170" s="287">
        <f t="shared" si="636"/>
        <v>0.49761904761904763</v>
      </c>
      <c r="AB170" s="287"/>
      <c r="AC170" s="287">
        <f t="shared" si="636"/>
        <v>0.42140256014124916</v>
      </c>
      <c r="AD170" s="287">
        <f t="shared" si="636"/>
        <v>0.40520446096654278</v>
      </c>
      <c r="AE170" s="287"/>
      <c r="AF170" s="287">
        <f t="shared" si="636"/>
        <v>0.56953121551727592</v>
      </c>
      <c r="AG170" s="287">
        <f t="shared" si="636"/>
        <v>0.56690140845070425</v>
      </c>
      <c r="AH170" s="287"/>
      <c r="AI170" s="287">
        <f t="shared" ref="AI170:AJ170" si="637">SUM(AI57:AI73)</f>
        <v>0.42861732126072311</v>
      </c>
      <c r="AJ170" s="287">
        <f t="shared" si="637"/>
        <v>0.42350907519446851</v>
      </c>
      <c r="AK170" s="287"/>
      <c r="AL170" s="426"/>
      <c r="AM170" s="426"/>
      <c r="AN170" s="287"/>
      <c r="AO170" s="287">
        <f t="shared" ref="AO170:AP170" si="638">SUM(AO57:AO73)</f>
        <v>0.45304551615639904</v>
      </c>
      <c r="AP170" s="287">
        <f t="shared" si="638"/>
        <v>0.46049046321525883</v>
      </c>
      <c r="AQ170" s="383"/>
      <c r="AR170" s="287">
        <f t="shared" ref="AR170:AS170" si="639">SUM(AR57:AR73)</f>
        <v>0.46235359200670406</v>
      </c>
      <c r="AS170" s="287">
        <f t="shared" si="639"/>
        <v>0.46765847347994827</v>
      </c>
      <c r="AT170" s="383"/>
      <c r="AU170" s="287">
        <f t="shared" si="636"/>
        <v>0.46184911017666036</v>
      </c>
      <c r="AV170" s="287">
        <f t="shared" si="636"/>
        <v>0.43262411347517726</v>
      </c>
      <c r="AW170" s="383"/>
      <c r="AX170" s="343">
        <f t="shared" ref="AX170:AX171" si="640">AVERAGE(B170,E170,H170,K170,N170,Q170,T170,W170,Z170,AC170,AI170,AO170,AR170)</f>
        <v>0.46730105655524706</v>
      </c>
      <c r="AY170" s="343">
        <f t="shared" ref="AY170:AY171" si="641">AVERAGE(C170,F170,I170,L170,O170,R170,U170,X170,AA170,AD170,AJ170,AP170,AS170)</f>
        <v>0.47159465515118953</v>
      </c>
      <c r="AZ170" s="343"/>
      <c r="BA170" t="s">
        <v>178</v>
      </c>
    </row>
    <row r="171" spans="1:127" hidden="1" outlineLevel="1" x14ac:dyDescent="0.25">
      <c r="A171" s="302" t="s">
        <v>165</v>
      </c>
      <c r="B171" s="288">
        <f>SUM(B74:B75)</f>
        <v>0.20481193359531635</v>
      </c>
      <c r="C171" s="288">
        <f>SUM(C74:C75)</f>
        <v>0.2305475504322767</v>
      </c>
      <c r="D171" s="371"/>
      <c r="E171" s="288">
        <f t="shared" ref="E171:AV171" si="642">SUM(E74:E75)</f>
        <v>0.27626668853726688</v>
      </c>
      <c r="F171" s="288">
        <f t="shared" si="642"/>
        <v>0.28968253968253965</v>
      </c>
      <c r="G171" s="371"/>
      <c r="H171" s="288">
        <f t="shared" si="642"/>
        <v>0.18209452358238876</v>
      </c>
      <c r="I171" s="288">
        <f t="shared" si="642"/>
        <v>0.16565349544072949</v>
      </c>
      <c r="J171" s="288"/>
      <c r="K171" s="288">
        <f t="shared" si="642"/>
        <v>0.20622062206220626</v>
      </c>
      <c r="L171" s="288">
        <f t="shared" si="642"/>
        <v>0.19315895372233405</v>
      </c>
      <c r="M171" s="288"/>
      <c r="N171" s="288">
        <f t="shared" si="642"/>
        <v>0.11247840653847918</v>
      </c>
      <c r="O171" s="288">
        <f t="shared" si="642"/>
        <v>0.10877403846153844</v>
      </c>
      <c r="P171" s="288"/>
      <c r="Q171" s="288">
        <f t="shared" si="642"/>
        <v>0.23268725016452974</v>
      </c>
      <c r="R171" s="288">
        <f t="shared" si="642"/>
        <v>0.22195416164053072</v>
      </c>
      <c r="S171" s="288"/>
      <c r="T171" s="288">
        <f t="shared" si="642"/>
        <v>0.1457460139134944</v>
      </c>
      <c r="U171" s="288">
        <f t="shared" si="642"/>
        <v>0.15179487179487183</v>
      </c>
      <c r="V171" s="288"/>
      <c r="W171" s="288">
        <f t="shared" si="642"/>
        <v>0.20427753598637866</v>
      </c>
      <c r="X171" s="288">
        <f t="shared" si="642"/>
        <v>0.1953488372093023</v>
      </c>
      <c r="Y171" s="288"/>
      <c r="Z171" s="288">
        <f t="shared" si="642"/>
        <v>0.13720467890332422</v>
      </c>
      <c r="AA171" s="288">
        <f t="shared" si="642"/>
        <v>0.13452380952380949</v>
      </c>
      <c r="AB171" s="288"/>
      <c r="AC171" s="288">
        <f t="shared" si="642"/>
        <v>0.26318693445155594</v>
      </c>
      <c r="AD171" s="288">
        <f t="shared" si="642"/>
        <v>0.26394052044609662</v>
      </c>
      <c r="AE171" s="288"/>
      <c r="AF171" s="288">
        <f t="shared" si="642"/>
        <v>0.20727954128698056</v>
      </c>
      <c r="AG171" s="288">
        <f t="shared" si="642"/>
        <v>0.20774647887323938</v>
      </c>
      <c r="AH171" s="288"/>
      <c r="AI171" s="288">
        <f t="shared" ref="AI171:AJ171" si="643">SUM(AI74:AI75)</f>
        <v>0.14647756612371654</v>
      </c>
      <c r="AJ171" s="288">
        <f t="shared" si="643"/>
        <v>0.15903197925669832</v>
      </c>
      <c r="AK171" s="288"/>
      <c r="AL171" s="288">
        <f t="shared" ref="AL171:AM171" si="644">SUM(AL74:AL75)</f>
        <v>0.11825570440864164</v>
      </c>
      <c r="AM171" s="288">
        <f t="shared" si="644"/>
        <v>0.13411764705882356</v>
      </c>
      <c r="AN171" s="288"/>
      <c r="AO171" s="288">
        <f t="shared" ref="AO171:AP171" si="645">SUM(AO74:AO75)</f>
        <v>0.17813807293376538</v>
      </c>
      <c r="AP171" s="288">
        <f t="shared" si="645"/>
        <v>0.18801089918256131</v>
      </c>
      <c r="AQ171" s="368"/>
      <c r="AR171" s="288">
        <f t="shared" ref="AR171:AS171" si="646">SUM(AR74:AR75)</f>
        <v>0.12086904170855173</v>
      </c>
      <c r="AS171" s="288">
        <f t="shared" si="646"/>
        <v>0.13324708926261319</v>
      </c>
      <c r="AT171" s="368"/>
      <c r="AU171" s="288">
        <f t="shared" si="642"/>
        <v>0.16062829897025277</v>
      </c>
      <c r="AV171" s="288">
        <f t="shared" si="642"/>
        <v>0.17095931317655844</v>
      </c>
      <c r="AW171" s="368"/>
      <c r="AX171" s="343">
        <f t="shared" si="640"/>
        <v>0.18541994373084417</v>
      </c>
      <c r="AY171" s="343">
        <f t="shared" si="641"/>
        <v>0.18735913431199247</v>
      </c>
      <c r="AZ171" s="343"/>
      <c r="BA171" t="s">
        <v>177</v>
      </c>
    </row>
    <row r="172" spans="1:127" hidden="1" outlineLevel="1" x14ac:dyDescent="0.25">
      <c r="AL172" s="1008" t="s">
        <v>406</v>
      </c>
      <c r="AM172" s="1008"/>
      <c r="AN172" s="1008"/>
      <c r="AO172" s="1009"/>
      <c r="AP172" s="1009"/>
      <c r="AQ172" s="386"/>
      <c r="AR172" s="1009"/>
      <c r="AS172" s="1009"/>
      <c r="AT172" s="386"/>
      <c r="AU172" s="1009" t="s">
        <v>166</v>
      </c>
      <c r="AV172" s="1009"/>
      <c r="AW172" s="386"/>
    </row>
    <row r="173" spans="1:127" hidden="1" outlineLevel="1" x14ac:dyDescent="0.25">
      <c r="A173" s="252" t="s">
        <v>12</v>
      </c>
      <c r="B173" s="291" t="str">
        <f>Tabelle3[[#Headers],[Ned (€)]]</f>
        <v>Ned (€)</v>
      </c>
      <c r="C173" s="292" t="str">
        <f>C$4</f>
        <v>Ned (Backer)</v>
      </c>
      <c r="D173" s="370" t="str">
        <f t="shared" ref="D173:AW173" si="647">D$4</f>
        <v>Ned (€/B)</v>
      </c>
      <c r="E173" s="294" t="str">
        <f t="shared" si="647"/>
        <v>Werkzeuge (€)</v>
      </c>
      <c r="F173" s="295" t="str">
        <f t="shared" si="647"/>
        <v>Werkzeuge (Backer)</v>
      </c>
      <c r="G173" s="407" t="str">
        <f t="shared" si="647"/>
        <v>Werkz (€/B)</v>
      </c>
      <c r="H173" s="298" t="str">
        <f t="shared" si="647"/>
        <v>DSK Fasar (€)</v>
      </c>
      <c r="I173" s="299" t="str">
        <f t="shared" si="647"/>
        <v>DSK Fasar (Backer)</v>
      </c>
      <c r="J173" s="300" t="str">
        <f t="shared" si="647"/>
        <v>DSK Fasar (€/B)</v>
      </c>
      <c r="K173" s="291" t="str">
        <f t="shared" si="647"/>
        <v>Mythen (€)</v>
      </c>
      <c r="L173" s="292" t="str">
        <f t="shared" si="647"/>
        <v>Mythen (Backer)</v>
      </c>
      <c r="M173" s="292" t="str">
        <f t="shared" si="647"/>
        <v>Mythen (€/B)</v>
      </c>
      <c r="N173" s="296" t="str">
        <f t="shared" si="647"/>
        <v>SOK (€)</v>
      </c>
      <c r="O173" s="297" t="str">
        <f t="shared" si="647"/>
        <v>SOK (Backer)</v>
      </c>
      <c r="P173" s="297" t="str">
        <f t="shared" si="647"/>
        <v>SOK (€/B)</v>
      </c>
      <c r="Q173" s="293" t="str">
        <f t="shared" si="647"/>
        <v>RE (€)</v>
      </c>
      <c r="R173" s="293" t="str">
        <f t="shared" si="647"/>
        <v>RE (Backer)</v>
      </c>
      <c r="S173" s="293" t="str">
        <f t="shared" si="647"/>
        <v>RE (€/B)</v>
      </c>
      <c r="T173" s="293" t="str">
        <f t="shared" si="647"/>
        <v>DGG (€)</v>
      </c>
      <c r="U173" s="293" t="str">
        <f t="shared" si="647"/>
        <v>DGG (Backer)</v>
      </c>
      <c r="V173" s="293" t="str">
        <f t="shared" si="647"/>
        <v>DGG (€/B)</v>
      </c>
      <c r="W173" s="298" t="str">
        <f t="shared" si="647"/>
        <v>DSK SV (€)</v>
      </c>
      <c r="X173" s="299" t="str">
        <f t="shared" si="647"/>
        <v>DSK SV (Backer)</v>
      </c>
      <c r="Y173" s="300" t="str">
        <f t="shared" si="647"/>
        <v>DSK SV (€/B)</v>
      </c>
      <c r="Z173" s="296" t="str">
        <f t="shared" si="647"/>
        <v>WW (€)</v>
      </c>
      <c r="AA173" s="297" t="str">
        <f t="shared" si="647"/>
        <v>WW (Backer)</v>
      </c>
      <c r="AB173" s="297" t="str">
        <f t="shared" si="647"/>
        <v>WW (€/B)</v>
      </c>
      <c r="AC173" s="298" t="str">
        <f t="shared" si="647"/>
        <v>DSK R (€)</v>
      </c>
      <c r="AD173" s="299" t="str">
        <f t="shared" si="647"/>
        <v>DSK R (Backer)</v>
      </c>
      <c r="AE173" s="300" t="str">
        <f t="shared" si="647"/>
        <v>DSK R (€/B)</v>
      </c>
      <c r="AF173" s="293" t="str">
        <f t="shared" si="647"/>
        <v>Ära (€)</v>
      </c>
      <c r="AG173" s="293" t="str">
        <f t="shared" si="647"/>
        <v>Ära (Backer)</v>
      </c>
      <c r="AH173" s="293" t="str">
        <f t="shared" si="647"/>
        <v>Ära (€/B)</v>
      </c>
      <c r="AI173" s="293" t="str">
        <f t="shared" si="647"/>
        <v>Mosaik (€)</v>
      </c>
      <c r="AJ173" s="293" t="str">
        <f t="shared" si="647"/>
        <v>Mosaik (Backer)</v>
      </c>
      <c r="AK173" s="293" t="str">
        <f t="shared" si="647"/>
        <v>Mosaik (€/B)</v>
      </c>
      <c r="AL173" s="298" t="str">
        <f t="shared" si="647"/>
        <v>DSK ES (€)</v>
      </c>
      <c r="AM173" s="299" t="str">
        <f t="shared" si="647"/>
        <v>DSK ES (Backer)</v>
      </c>
      <c r="AN173" s="300" t="str">
        <f t="shared" si="647"/>
        <v>DSK ES (€/B)</v>
      </c>
      <c r="AO173" s="296" t="str">
        <f t="shared" si="647"/>
        <v>ES (€)</v>
      </c>
      <c r="AP173" s="297" t="str">
        <f t="shared" si="647"/>
        <v>ES (Backer)</v>
      </c>
      <c r="AQ173" s="424" t="str">
        <f t="shared" si="647"/>
        <v>ES (€/B)</v>
      </c>
      <c r="AR173" s="296" t="str">
        <f t="shared" si="647"/>
        <v>WF (€)</v>
      </c>
      <c r="AS173" s="297" t="str">
        <f t="shared" si="647"/>
        <v>WF(Backer)</v>
      </c>
      <c r="AT173" s="424" t="str">
        <f t="shared" si="647"/>
        <v>WF (€/B)</v>
      </c>
      <c r="AU173" s="291" t="str">
        <f t="shared" si="647"/>
        <v>AKM (€)</v>
      </c>
      <c r="AV173" s="292" t="str">
        <f t="shared" si="647"/>
        <v>AKM(Backer)</v>
      </c>
      <c r="AW173" s="292" t="str">
        <f t="shared" si="647"/>
        <v>AKM (€/B)</v>
      </c>
      <c r="AX173" s="1007" t="s">
        <v>167</v>
      </c>
      <c r="AY173" s="1007"/>
      <c r="AZ173" s="1007"/>
      <c r="BA173" s="1007"/>
      <c r="BV173" s="172"/>
      <c r="BW173" s="171"/>
      <c r="BX173" s="171"/>
      <c r="BY173" s="171"/>
      <c r="BZ173" s="171"/>
      <c r="CA173" s="171"/>
      <c r="CB173" s="171"/>
      <c r="CC173" s="171"/>
      <c r="CD173" s="171"/>
      <c r="CE173" s="171"/>
      <c r="CF173" s="171"/>
      <c r="CG173" s="171"/>
      <c r="CH173" s="171"/>
      <c r="CI173" s="171"/>
      <c r="CJ173" s="171"/>
      <c r="CK173" s="171"/>
      <c r="CL173" s="171"/>
      <c r="CM173" s="171"/>
      <c r="CN173" s="171"/>
      <c r="CO173" s="171"/>
      <c r="CP173" s="171"/>
      <c r="CQ173" s="171"/>
      <c r="CR173" s="171"/>
      <c r="CS173" s="171"/>
      <c r="CT173" s="171"/>
      <c r="CU173" s="171"/>
      <c r="CV173" s="171"/>
      <c r="CW173" s="171"/>
      <c r="CX173" s="171"/>
      <c r="CY173" s="171"/>
      <c r="CZ173" s="171"/>
      <c r="DA173" s="171"/>
      <c r="DB173" s="171"/>
      <c r="DC173" s="171"/>
      <c r="DD173" s="171"/>
      <c r="DE173" s="171"/>
      <c r="DF173" s="171"/>
      <c r="DG173" s="171"/>
      <c r="DH173" s="171"/>
      <c r="DI173" s="171"/>
      <c r="DJ173" s="171"/>
      <c r="DK173" s="171"/>
      <c r="DL173" s="171"/>
      <c r="DM173" s="171"/>
      <c r="DN173" s="171"/>
      <c r="DO173" s="171"/>
      <c r="DP173" s="171"/>
      <c r="DQ173" s="171"/>
      <c r="DR173" s="171"/>
      <c r="DS173" s="171"/>
      <c r="DT173" s="171"/>
      <c r="DU173" s="171"/>
      <c r="DV173" s="171"/>
      <c r="DW173" s="171"/>
    </row>
    <row r="174" spans="1:127" hidden="1" outlineLevel="1" x14ac:dyDescent="0.25">
      <c r="A174" s="302" t="s">
        <v>163</v>
      </c>
      <c r="B174" s="288">
        <f t="shared" ref="B174:AV174" si="648">SUM(B55:B56)</f>
        <v>0.2688908493062796</v>
      </c>
      <c r="C174" s="288">
        <f t="shared" si="648"/>
        <v>0.23631123919308358</v>
      </c>
      <c r="D174" s="371"/>
      <c r="E174" s="288">
        <f t="shared" si="648"/>
        <v>0.29010960685643317</v>
      </c>
      <c r="F174" s="288">
        <f t="shared" si="648"/>
        <v>0.2724867724867725</v>
      </c>
      <c r="G174" s="371"/>
      <c r="H174" s="288">
        <f t="shared" si="648"/>
        <v>0.34487525668181157</v>
      </c>
      <c r="I174" s="288">
        <f t="shared" si="648"/>
        <v>0.35410334346504557</v>
      </c>
      <c r="J174" s="288"/>
      <c r="K174" s="288">
        <f t="shared" si="648"/>
        <v>0.27260503828160593</v>
      </c>
      <c r="L174" s="288">
        <f t="shared" si="648"/>
        <v>0.29175050301810868</v>
      </c>
      <c r="M174" s="288"/>
      <c r="N174" s="288">
        <f t="shared" si="648"/>
        <v>0.47684637167105159</v>
      </c>
      <c r="O174" s="288">
        <f t="shared" si="648"/>
        <v>0.47415865384615385</v>
      </c>
      <c r="P174" s="288"/>
      <c r="Q174" s="288">
        <f t="shared" si="648"/>
        <v>0.24667419534092858</v>
      </c>
      <c r="R174" s="288">
        <f t="shared" si="648"/>
        <v>0.24366706875753921</v>
      </c>
      <c r="S174" s="288"/>
      <c r="T174" s="288">
        <f t="shared" si="648"/>
        <v>0.4329473274856328</v>
      </c>
      <c r="U174" s="288">
        <f t="shared" si="648"/>
        <v>0.4276923076923077</v>
      </c>
      <c r="V174" s="288"/>
      <c r="W174" s="288">
        <f t="shared" si="648"/>
        <v>0.28160155673121195</v>
      </c>
      <c r="X174" s="288">
        <f t="shared" si="648"/>
        <v>0.26666666666666666</v>
      </c>
      <c r="Y174" s="288"/>
      <c r="Z174" s="288">
        <f t="shared" si="648"/>
        <v>0.37416739870852406</v>
      </c>
      <c r="AA174" s="288">
        <f t="shared" si="648"/>
        <v>0.36785714285714288</v>
      </c>
      <c r="AB174" s="288"/>
      <c r="AC174" s="288">
        <f t="shared" si="648"/>
        <v>0.3154105054071949</v>
      </c>
      <c r="AD174" s="288">
        <f t="shared" si="648"/>
        <v>0.33085501858736061</v>
      </c>
      <c r="AE174" s="288"/>
      <c r="AF174" s="288">
        <f t="shared" si="648"/>
        <v>0.22318924319574351</v>
      </c>
      <c r="AG174" s="288">
        <f t="shared" si="648"/>
        <v>0.22535211267605634</v>
      </c>
      <c r="AH174" s="288"/>
      <c r="AI174" s="288">
        <f t="shared" ref="AI174:AJ174" si="649">SUM(AI55:AI56)</f>
        <v>0.42490511261556035</v>
      </c>
      <c r="AJ174" s="288">
        <f t="shared" si="649"/>
        <v>0.41745894554883317</v>
      </c>
      <c r="AK174" s="288"/>
      <c r="AL174" s="426"/>
      <c r="AM174" s="426"/>
      <c r="AN174" s="288"/>
      <c r="AO174" s="288">
        <f t="shared" ref="AO174:AP174" si="650">SUM(AO55:AO56)</f>
        <v>0.36881641090983558</v>
      </c>
      <c r="AP174" s="288">
        <f t="shared" si="650"/>
        <v>0.35149863760217986</v>
      </c>
      <c r="AQ174" s="368"/>
      <c r="AR174" s="288">
        <f t="shared" ref="AR174:AS174" si="651">SUM(AR55:AR56)</f>
        <v>0.41677736628474421</v>
      </c>
      <c r="AS174" s="288">
        <f t="shared" si="651"/>
        <v>0.39909443725743854</v>
      </c>
      <c r="AT174" s="368"/>
      <c r="AU174" s="288">
        <f t="shared" si="648"/>
        <v>0.37752259085308687</v>
      </c>
      <c r="AV174" s="288">
        <f t="shared" si="648"/>
        <v>0.3964165733482643</v>
      </c>
      <c r="AW174" s="368"/>
      <c r="AX174" s="343">
        <f t="shared" ref="AX174:AX176" si="652">AVERAGE(B174,E174,H174,K174,N174,Q174,T174,W174,Z174,AC174,AI174,AO174,AR174)</f>
        <v>0.3472789997139088</v>
      </c>
      <c r="AY174" s="343">
        <f t="shared" ref="AY174:AY176" si="653">AVERAGE(C174,F174,I174,L174,O174,R174,U174,X174,AA174,AD174,AJ174,AP174,AS174)</f>
        <v>0.34104621053681794</v>
      </c>
      <c r="AZ174" s="343"/>
      <c r="BA174" s="367" t="s">
        <v>174</v>
      </c>
      <c r="BB174" s="367"/>
      <c r="BC174" s="367"/>
    </row>
    <row r="175" spans="1:127" hidden="1" outlineLevel="1" x14ac:dyDescent="0.25">
      <c r="A175" s="303" t="s">
        <v>173</v>
      </c>
      <c r="B175" s="287">
        <f t="shared" ref="B175:AV175" si="654">SUM(B57:B69)</f>
        <v>0.37913224797497791</v>
      </c>
      <c r="C175" s="287">
        <f t="shared" si="654"/>
        <v>0.3804034582132565</v>
      </c>
      <c r="D175" s="372"/>
      <c r="E175" s="287">
        <f t="shared" si="654"/>
        <v>0.28086537278633406</v>
      </c>
      <c r="F175" s="287">
        <f t="shared" si="654"/>
        <v>0.28571428571428575</v>
      </c>
      <c r="G175" s="372"/>
      <c r="H175" s="287">
        <f t="shared" si="654"/>
        <v>0.2777580157485407</v>
      </c>
      <c r="I175" s="287">
        <f t="shared" si="654"/>
        <v>0.29483282674772038</v>
      </c>
      <c r="J175" s="287"/>
      <c r="K175" s="287">
        <f t="shared" si="654"/>
        <v>0.38472736162505144</v>
      </c>
      <c r="L175" s="287">
        <f t="shared" si="654"/>
        <v>0.38631790744466799</v>
      </c>
      <c r="M175" s="287"/>
      <c r="N175" s="287">
        <f t="shared" si="654"/>
        <v>0.31065305320043335</v>
      </c>
      <c r="O175" s="287">
        <f t="shared" si="654"/>
        <v>0.31490384615384615</v>
      </c>
      <c r="P175" s="287"/>
      <c r="Q175" s="287">
        <f t="shared" si="654"/>
        <v>0.39095842071973103</v>
      </c>
      <c r="R175" s="287">
        <f t="shared" si="654"/>
        <v>0.41737032569360677</v>
      </c>
      <c r="S175" s="287"/>
      <c r="T175" s="287">
        <f t="shared" si="654"/>
        <v>0.28066802056777429</v>
      </c>
      <c r="U175" s="287">
        <f t="shared" si="654"/>
        <v>0.28000000000000003</v>
      </c>
      <c r="V175" s="287"/>
      <c r="W175" s="287">
        <f t="shared" si="654"/>
        <v>0.37159139280533043</v>
      </c>
      <c r="X175" s="287">
        <f t="shared" si="654"/>
        <v>0.37674418604651166</v>
      </c>
      <c r="Y175" s="287"/>
      <c r="Z175" s="287">
        <f t="shared" si="654"/>
        <v>0.37396088584770443</v>
      </c>
      <c r="AA175" s="287">
        <f t="shared" si="654"/>
        <v>0.38035714285714284</v>
      </c>
      <c r="AB175" s="287"/>
      <c r="AC175" s="287">
        <f t="shared" si="654"/>
        <v>0.30594791436768926</v>
      </c>
      <c r="AD175" s="287">
        <f t="shared" si="654"/>
        <v>0.27881040892193304</v>
      </c>
      <c r="AE175" s="287"/>
      <c r="AF175" s="287">
        <f t="shared" si="654"/>
        <v>0.41807406337398034</v>
      </c>
      <c r="AG175" s="287">
        <f t="shared" si="654"/>
        <v>0.414612676056338</v>
      </c>
      <c r="AH175" s="287"/>
      <c r="AI175" s="287">
        <f t="shared" ref="AI175:AJ175" si="655">SUM(AI57:AI69)</f>
        <v>0.29328827917712702</v>
      </c>
      <c r="AJ175" s="287">
        <f t="shared" si="655"/>
        <v>0.2955920484010372</v>
      </c>
      <c r="AK175" s="287"/>
      <c r="AL175" s="426"/>
      <c r="AM175" s="426"/>
      <c r="AN175" s="287"/>
      <c r="AO175" s="287">
        <f t="shared" ref="AO175:AP175" si="656">SUM(AO57:AO69)</f>
        <v>0.32922908899427589</v>
      </c>
      <c r="AP175" s="287">
        <f t="shared" si="656"/>
        <v>0.33855585831062668</v>
      </c>
      <c r="AQ175" s="383"/>
      <c r="AR175" s="287">
        <f t="shared" ref="AR175:AS175" si="657">SUM(AR57:AR69)</f>
        <v>0.35692033428594655</v>
      </c>
      <c r="AS175" s="287">
        <f t="shared" si="657"/>
        <v>0.35769728331177231</v>
      </c>
      <c r="AT175" s="383"/>
      <c r="AU175" s="287">
        <f t="shared" si="654"/>
        <v>0.35775269114056957</v>
      </c>
      <c r="AV175" s="287">
        <f t="shared" si="654"/>
        <v>0.34042553191489355</v>
      </c>
      <c r="AW175" s="383"/>
      <c r="AX175" s="343">
        <f t="shared" si="652"/>
        <v>0.33351541446930127</v>
      </c>
      <c r="AY175" s="343">
        <f t="shared" si="653"/>
        <v>0.33748458290895439</v>
      </c>
      <c r="AZ175" s="343"/>
      <c r="BA175" s="367" t="s">
        <v>176</v>
      </c>
      <c r="BB175" s="367"/>
      <c r="BC175" s="367"/>
    </row>
    <row r="176" spans="1:127" hidden="1" outlineLevel="1" x14ac:dyDescent="0.25">
      <c r="A176" s="302" t="s">
        <v>172</v>
      </c>
      <c r="B176" s="288">
        <f t="shared" ref="B176:AV176" si="658">SUM(B70:B75)</f>
        <v>0.35197690271874249</v>
      </c>
      <c r="C176" s="288">
        <f t="shared" si="658"/>
        <v>0.38328530259365989</v>
      </c>
      <c r="D176" s="371"/>
      <c r="E176" s="288">
        <f t="shared" si="658"/>
        <v>0.42902502035723278</v>
      </c>
      <c r="F176" s="288">
        <f t="shared" si="658"/>
        <v>0.44179894179894175</v>
      </c>
      <c r="G176" s="371"/>
      <c r="H176" s="288">
        <f t="shared" si="658"/>
        <v>0.37736672756964773</v>
      </c>
      <c r="I176" s="288">
        <f t="shared" si="658"/>
        <v>0.35106382978723405</v>
      </c>
      <c r="J176" s="288"/>
      <c r="K176" s="288">
        <f t="shared" si="658"/>
        <v>0.34266760009334263</v>
      </c>
      <c r="L176" s="288">
        <f t="shared" si="658"/>
        <v>0.32193158953722334</v>
      </c>
      <c r="M176" s="288"/>
      <c r="N176" s="288">
        <f t="shared" si="658"/>
        <v>0.21250057512851506</v>
      </c>
      <c r="O176" s="288">
        <f t="shared" si="658"/>
        <v>0.2109375</v>
      </c>
      <c r="P176" s="288"/>
      <c r="Q176" s="288">
        <f t="shared" si="658"/>
        <v>0.36236738393934043</v>
      </c>
      <c r="R176" s="288">
        <f t="shared" si="658"/>
        <v>0.33896260554885405</v>
      </c>
      <c r="S176" s="288"/>
      <c r="T176" s="288">
        <f t="shared" si="658"/>
        <v>0.28638465194659291</v>
      </c>
      <c r="U176" s="288">
        <f t="shared" si="658"/>
        <v>0.29230769230769227</v>
      </c>
      <c r="V176" s="288"/>
      <c r="W176" s="288">
        <f t="shared" si="658"/>
        <v>0.34680705046345761</v>
      </c>
      <c r="X176" s="288">
        <f t="shared" si="658"/>
        <v>0.35658914728682167</v>
      </c>
      <c r="Y176" s="288"/>
      <c r="Z176" s="288">
        <f t="shared" si="658"/>
        <v>0.25187171544377152</v>
      </c>
      <c r="AA176" s="288">
        <f t="shared" si="658"/>
        <v>0.25178571428571428</v>
      </c>
      <c r="AB176" s="288"/>
      <c r="AC176" s="288">
        <f t="shared" si="658"/>
        <v>0.37864158022511585</v>
      </c>
      <c r="AD176" s="288">
        <f t="shared" si="658"/>
        <v>0.39033457249070636</v>
      </c>
      <c r="AE176" s="288"/>
      <c r="AF176" s="288">
        <f t="shared" si="658"/>
        <v>0.35873669343027614</v>
      </c>
      <c r="AG176" s="288">
        <f t="shared" si="658"/>
        <v>0.36003521126760563</v>
      </c>
      <c r="AH176" s="288"/>
      <c r="AI176" s="288">
        <f t="shared" ref="AI176:AJ176" si="659">SUM(AI70:AI75)</f>
        <v>0.28180660820731263</v>
      </c>
      <c r="AJ176" s="288">
        <f t="shared" si="659"/>
        <v>0.28694900605012963</v>
      </c>
      <c r="AK176" s="288"/>
      <c r="AL176" s="288">
        <f t="shared" ref="AL176:AM176" si="660">SUM(AL70:AL75)</f>
        <v>0.26627492934357389</v>
      </c>
      <c r="AM176" s="288">
        <f t="shared" si="660"/>
        <v>0.2752941176470588</v>
      </c>
      <c r="AN176" s="288"/>
      <c r="AO176" s="288">
        <f t="shared" ref="AO176:AP176" si="661">SUM(AO70:AO75)</f>
        <v>0.30195450009588853</v>
      </c>
      <c r="AP176" s="288">
        <f t="shared" si="661"/>
        <v>0.30994550408719346</v>
      </c>
      <c r="AQ176" s="368"/>
      <c r="AR176" s="288">
        <f t="shared" ref="AR176:AS176" si="662">SUM(AR70:AR75)</f>
        <v>0.22630229942930924</v>
      </c>
      <c r="AS176" s="288">
        <f t="shared" si="662"/>
        <v>0.24320827943078915</v>
      </c>
      <c r="AT176" s="368"/>
      <c r="AU176" s="288">
        <f t="shared" si="658"/>
        <v>0.26472471800634356</v>
      </c>
      <c r="AV176" s="288">
        <f t="shared" si="658"/>
        <v>0.26315789473684215</v>
      </c>
      <c r="AW176" s="368"/>
      <c r="AX176" s="343">
        <f t="shared" si="652"/>
        <v>0.31920558581678993</v>
      </c>
      <c r="AY176" s="343">
        <f t="shared" si="653"/>
        <v>0.32146920655422762</v>
      </c>
      <c r="AZ176" s="343"/>
      <c r="BA176" s="367" t="s">
        <v>175</v>
      </c>
      <c r="BB176" s="367"/>
      <c r="BC176" s="367"/>
    </row>
    <row r="177" spans="1:127" hidden="1" outlineLevel="1" x14ac:dyDescent="0.25">
      <c r="AL177" s="1008" t="s">
        <v>406</v>
      </c>
      <c r="AM177" s="1008"/>
      <c r="AN177" s="1008"/>
      <c r="AO177" s="1009"/>
      <c r="AP177" s="1009"/>
      <c r="AQ177" s="386"/>
      <c r="AR177" s="1009"/>
      <c r="AS177" s="1009"/>
      <c r="AT177" s="386"/>
      <c r="AU177" s="1009" t="s">
        <v>166</v>
      </c>
      <c r="AV177" s="1009"/>
      <c r="AW177" s="386"/>
    </row>
    <row r="178" spans="1:127" hidden="1" outlineLevel="1" x14ac:dyDescent="0.25">
      <c r="A178" s="252" t="s">
        <v>12</v>
      </c>
      <c r="B178" s="291" t="str">
        <f>Tabelle3[[#Headers],[Ned (€)]]</f>
        <v>Ned (€)</v>
      </c>
      <c r="C178" s="292" t="str">
        <f>C$4</f>
        <v>Ned (Backer)</v>
      </c>
      <c r="D178" s="370" t="str">
        <f t="shared" ref="D178:AW178" si="663">D$4</f>
        <v>Ned (€/B)</v>
      </c>
      <c r="E178" s="294" t="str">
        <f t="shared" si="663"/>
        <v>Werkzeuge (€)</v>
      </c>
      <c r="F178" s="295" t="str">
        <f t="shared" si="663"/>
        <v>Werkzeuge (Backer)</v>
      </c>
      <c r="G178" s="407" t="str">
        <f t="shared" si="663"/>
        <v>Werkz (€/B)</v>
      </c>
      <c r="H178" s="298" t="str">
        <f t="shared" si="663"/>
        <v>DSK Fasar (€)</v>
      </c>
      <c r="I178" s="299" t="str">
        <f t="shared" si="663"/>
        <v>DSK Fasar (Backer)</v>
      </c>
      <c r="J178" s="300" t="str">
        <f t="shared" si="663"/>
        <v>DSK Fasar (€/B)</v>
      </c>
      <c r="K178" s="291" t="str">
        <f t="shared" si="663"/>
        <v>Mythen (€)</v>
      </c>
      <c r="L178" s="292" t="str">
        <f t="shared" si="663"/>
        <v>Mythen (Backer)</v>
      </c>
      <c r="M178" s="292" t="str">
        <f t="shared" si="663"/>
        <v>Mythen (€/B)</v>
      </c>
      <c r="N178" s="296" t="str">
        <f t="shared" si="663"/>
        <v>SOK (€)</v>
      </c>
      <c r="O178" s="297" t="str">
        <f t="shared" si="663"/>
        <v>SOK (Backer)</v>
      </c>
      <c r="P178" s="297" t="str">
        <f t="shared" si="663"/>
        <v>SOK (€/B)</v>
      </c>
      <c r="Q178" s="293" t="str">
        <f t="shared" si="663"/>
        <v>RE (€)</v>
      </c>
      <c r="R178" s="293" t="str">
        <f t="shared" si="663"/>
        <v>RE (Backer)</v>
      </c>
      <c r="S178" s="293" t="str">
        <f t="shared" si="663"/>
        <v>RE (€/B)</v>
      </c>
      <c r="T178" s="293" t="str">
        <f t="shared" si="663"/>
        <v>DGG (€)</v>
      </c>
      <c r="U178" s="293" t="str">
        <f t="shared" si="663"/>
        <v>DGG (Backer)</v>
      </c>
      <c r="V178" s="293" t="str">
        <f t="shared" si="663"/>
        <v>DGG (€/B)</v>
      </c>
      <c r="W178" s="298" t="str">
        <f t="shared" si="663"/>
        <v>DSK SV (€)</v>
      </c>
      <c r="X178" s="299" t="str">
        <f t="shared" si="663"/>
        <v>DSK SV (Backer)</v>
      </c>
      <c r="Y178" s="300" t="str">
        <f t="shared" si="663"/>
        <v>DSK SV (€/B)</v>
      </c>
      <c r="Z178" s="296" t="str">
        <f t="shared" si="663"/>
        <v>WW (€)</v>
      </c>
      <c r="AA178" s="297" t="str">
        <f t="shared" si="663"/>
        <v>WW (Backer)</v>
      </c>
      <c r="AB178" s="297" t="str">
        <f t="shared" si="663"/>
        <v>WW (€/B)</v>
      </c>
      <c r="AC178" s="298" t="str">
        <f t="shared" si="663"/>
        <v>DSK R (€)</v>
      </c>
      <c r="AD178" s="299" t="str">
        <f t="shared" si="663"/>
        <v>DSK R (Backer)</v>
      </c>
      <c r="AE178" s="300" t="str">
        <f t="shared" si="663"/>
        <v>DSK R (€/B)</v>
      </c>
      <c r="AF178" s="293" t="str">
        <f t="shared" si="663"/>
        <v>Ära (€)</v>
      </c>
      <c r="AG178" s="293" t="str">
        <f t="shared" si="663"/>
        <v>Ära (Backer)</v>
      </c>
      <c r="AH178" s="293" t="str">
        <f t="shared" si="663"/>
        <v>Ära (€/B)</v>
      </c>
      <c r="AI178" s="293" t="str">
        <f t="shared" si="663"/>
        <v>Mosaik (€)</v>
      </c>
      <c r="AJ178" s="293" t="str">
        <f t="shared" si="663"/>
        <v>Mosaik (Backer)</v>
      </c>
      <c r="AK178" s="293" t="str">
        <f t="shared" si="663"/>
        <v>Mosaik (€/B)</v>
      </c>
      <c r="AL178" s="298" t="str">
        <f t="shared" si="663"/>
        <v>DSK ES (€)</v>
      </c>
      <c r="AM178" s="299" t="str">
        <f t="shared" si="663"/>
        <v>DSK ES (Backer)</v>
      </c>
      <c r="AN178" s="300" t="str">
        <f t="shared" si="663"/>
        <v>DSK ES (€/B)</v>
      </c>
      <c r="AO178" s="296" t="str">
        <f t="shared" si="663"/>
        <v>ES (€)</v>
      </c>
      <c r="AP178" s="297" t="str">
        <f t="shared" si="663"/>
        <v>ES (Backer)</v>
      </c>
      <c r="AQ178" s="424" t="str">
        <f t="shared" si="663"/>
        <v>ES (€/B)</v>
      </c>
      <c r="AR178" s="296" t="str">
        <f t="shared" si="663"/>
        <v>WF (€)</v>
      </c>
      <c r="AS178" s="297" t="str">
        <f t="shared" si="663"/>
        <v>WF(Backer)</v>
      </c>
      <c r="AT178" s="424" t="str">
        <f t="shared" si="663"/>
        <v>WF (€/B)</v>
      </c>
      <c r="AU178" s="291" t="str">
        <f t="shared" si="663"/>
        <v>AKM (€)</v>
      </c>
      <c r="AV178" s="292" t="str">
        <f t="shared" si="663"/>
        <v>AKM(Backer)</v>
      </c>
      <c r="AW178" s="292" t="str">
        <f t="shared" si="663"/>
        <v>AKM (€/B)</v>
      </c>
      <c r="AX178" s="1007" t="s">
        <v>167</v>
      </c>
      <c r="AY178" s="1007"/>
      <c r="AZ178" s="1007"/>
      <c r="BA178" s="1007"/>
      <c r="BV178" s="172"/>
      <c r="BW178" s="171"/>
      <c r="BX178" s="171"/>
      <c r="BY178" s="171"/>
      <c r="BZ178" s="171"/>
      <c r="CA178" s="171"/>
      <c r="CB178" s="171"/>
      <c r="CC178" s="171"/>
      <c r="CD178" s="171"/>
      <c r="CE178" s="171"/>
      <c r="CF178" s="171"/>
      <c r="CG178" s="171"/>
      <c r="CH178" s="171"/>
      <c r="CI178" s="171"/>
      <c r="CJ178" s="171"/>
      <c r="CK178" s="171"/>
      <c r="CL178" s="171"/>
      <c r="CM178" s="171"/>
      <c r="CN178" s="171"/>
      <c r="CO178" s="171"/>
      <c r="CP178" s="171"/>
      <c r="CQ178" s="171"/>
      <c r="CR178" s="171"/>
      <c r="CS178" s="171"/>
      <c r="CT178" s="171"/>
      <c r="CU178" s="171"/>
      <c r="CV178" s="171"/>
      <c r="CW178" s="171"/>
      <c r="CX178" s="171"/>
      <c r="CY178" s="171"/>
      <c r="CZ178" s="171"/>
      <c r="DA178" s="171"/>
      <c r="DB178" s="171"/>
      <c r="DC178" s="171"/>
      <c r="DD178" s="171"/>
      <c r="DE178" s="171"/>
      <c r="DF178" s="171"/>
      <c r="DG178" s="171"/>
      <c r="DH178" s="171"/>
      <c r="DI178" s="171"/>
      <c r="DJ178" s="171"/>
      <c r="DK178" s="171"/>
      <c r="DL178" s="171"/>
      <c r="DM178" s="171"/>
      <c r="DN178" s="171"/>
      <c r="DO178" s="171"/>
      <c r="DP178" s="171"/>
      <c r="DQ178" s="171"/>
      <c r="DR178" s="171"/>
      <c r="DS178" s="171"/>
      <c r="DT178" s="171"/>
      <c r="DU178" s="171"/>
      <c r="DV178" s="171"/>
      <c r="DW178" s="171"/>
    </row>
    <row r="179" spans="1:127" hidden="1" outlineLevel="1" x14ac:dyDescent="0.25">
      <c r="A179" s="302" t="s">
        <v>160</v>
      </c>
      <c r="B179" s="288">
        <f>SUM(B55:B57)</f>
        <v>0.2834870478787393</v>
      </c>
      <c r="C179" s="288">
        <f>SUM(C55:C57)</f>
        <v>0.25936599423631124</v>
      </c>
      <c r="D179" s="371"/>
      <c r="E179" s="288">
        <f t="shared" ref="E179:AV179" si="664">SUM(E55:E57)</f>
        <v>0.31576264931078318</v>
      </c>
      <c r="F179" s="288">
        <f t="shared" si="664"/>
        <v>0.29629629629629628</v>
      </c>
      <c r="G179" s="371"/>
      <c r="H179" s="288">
        <f t="shared" si="664"/>
        <v>0.36600805212864002</v>
      </c>
      <c r="I179" s="288">
        <f t="shared" si="664"/>
        <v>0.37689969604863222</v>
      </c>
      <c r="J179" s="288"/>
      <c r="K179" s="288">
        <f t="shared" si="664"/>
        <v>0.30748630418597417</v>
      </c>
      <c r="L179" s="288">
        <f t="shared" si="664"/>
        <v>0.32595573440643866</v>
      </c>
      <c r="M179" s="288"/>
      <c r="N179" s="288">
        <f t="shared" si="664"/>
        <v>0.51246669483053575</v>
      </c>
      <c r="O179" s="288">
        <f t="shared" si="664"/>
        <v>0.51201923076923073</v>
      </c>
      <c r="P179" s="288"/>
      <c r="Q179" s="288">
        <f t="shared" si="664"/>
        <v>0.29486539293789871</v>
      </c>
      <c r="R179" s="288">
        <f t="shared" si="664"/>
        <v>0.28950542822677927</v>
      </c>
      <c r="S179" s="288"/>
      <c r="T179" s="288">
        <f t="shared" si="664"/>
        <v>0.47741433694853735</v>
      </c>
      <c r="U179" s="288">
        <f t="shared" si="664"/>
        <v>0.46974358974358976</v>
      </c>
      <c r="V179" s="288"/>
      <c r="W179" s="288">
        <f t="shared" si="664"/>
        <v>0.33176965242848333</v>
      </c>
      <c r="X179" s="288">
        <f t="shared" si="664"/>
        <v>0.30852713178294572</v>
      </c>
      <c r="Y179" s="288"/>
      <c r="Z179" s="288">
        <f t="shared" si="664"/>
        <v>0.44334612480157815</v>
      </c>
      <c r="AA179" s="288">
        <f t="shared" si="664"/>
        <v>0.43511904761904763</v>
      </c>
      <c r="AB179" s="288"/>
      <c r="AC179" s="288">
        <f t="shared" si="664"/>
        <v>0.3629993378945045</v>
      </c>
      <c r="AD179" s="288">
        <f t="shared" si="664"/>
        <v>0.37546468401486988</v>
      </c>
      <c r="AE179" s="288"/>
      <c r="AF179" s="288">
        <f t="shared" si="664"/>
        <v>0.26278092761787825</v>
      </c>
      <c r="AG179" s="288">
        <f t="shared" si="664"/>
        <v>0.26496478873239437</v>
      </c>
      <c r="AH179" s="288"/>
      <c r="AI179" s="288">
        <f t="shared" ref="AI179:AJ179" si="665">SUM(AI55:AI57)</f>
        <v>0.46808333432484206</v>
      </c>
      <c r="AJ179" s="288">
        <f t="shared" si="665"/>
        <v>0.46326707000864303</v>
      </c>
      <c r="AK179" s="288"/>
      <c r="AL179" s="426"/>
      <c r="AM179" s="426"/>
      <c r="AN179" s="288"/>
      <c r="AO179" s="288">
        <f t="shared" ref="AO179:AP179" si="666">SUM(AO55:AO57)</f>
        <v>0.4103215027515123</v>
      </c>
      <c r="AP179" s="288">
        <f t="shared" si="666"/>
        <v>0.39509536784741145</v>
      </c>
      <c r="AQ179" s="368"/>
      <c r="AR179" s="288">
        <f t="shared" ref="AR179:AS179" si="667">SUM(AR55:AR57)</f>
        <v>0.46456506979689871</v>
      </c>
      <c r="AS179" s="288">
        <f t="shared" si="667"/>
        <v>0.45019404915912031</v>
      </c>
      <c r="AT179" s="368"/>
      <c r="AU179" s="288">
        <f t="shared" si="664"/>
        <v>0.40414322442805489</v>
      </c>
      <c r="AV179" s="288">
        <f t="shared" si="664"/>
        <v>0.42329227323628221</v>
      </c>
      <c r="AW179" s="368"/>
      <c r="AX179" s="343">
        <f t="shared" ref="AX179:AX181" si="668">AVERAGE(B179,E179,H179,K179,N179,Q179,T179,W179,Z179,AC179,AI179,AO179,AR179)</f>
        <v>0.38758273078607136</v>
      </c>
      <c r="AY179" s="343">
        <f t="shared" ref="AY179:AY181" si="669">AVERAGE(C179,F179,I179,L179,O179,R179,U179,X179,AA179,AD179,AJ179,AP179,AS179)</f>
        <v>0.38134256308917813</v>
      </c>
      <c r="AZ179" s="343"/>
      <c r="BA179" t="s">
        <v>179</v>
      </c>
    </row>
    <row r="180" spans="1:127" hidden="1" outlineLevel="1" x14ac:dyDescent="0.25">
      <c r="A180" s="303" t="s">
        <v>162</v>
      </c>
      <c r="B180" s="287">
        <f>SUM(B58:B72)</f>
        <v>0.46494506375812011</v>
      </c>
      <c r="C180" s="287">
        <f>SUM(C58:C72)</f>
        <v>0.4610951008645533</v>
      </c>
      <c r="D180" s="372"/>
      <c r="E180" s="287">
        <f t="shared" ref="E180:AV180" si="670">SUM(E58:E72)</f>
        <v>0.36039039021446856</v>
      </c>
      <c r="F180" s="287">
        <f t="shared" si="670"/>
        <v>0.3664021164021164</v>
      </c>
      <c r="G180" s="372"/>
      <c r="H180" s="287">
        <f t="shared" si="670"/>
        <v>0.37755267029928702</v>
      </c>
      <c r="I180" s="287">
        <f t="shared" si="670"/>
        <v>0.40425531914893614</v>
      </c>
      <c r="J180" s="287"/>
      <c r="K180" s="287">
        <f t="shared" si="670"/>
        <v>0.43424342434243418</v>
      </c>
      <c r="L180" s="287">
        <f t="shared" si="670"/>
        <v>0.43259557344064381</v>
      </c>
      <c r="M180" s="287"/>
      <c r="N180" s="287">
        <f t="shared" si="670"/>
        <v>0.33712987865834021</v>
      </c>
      <c r="O180" s="287">
        <f t="shared" si="670"/>
        <v>0.3407451923076924</v>
      </c>
      <c r="P180" s="287"/>
      <c r="Q180" s="287">
        <f t="shared" si="670"/>
        <v>0.42428176703618625</v>
      </c>
      <c r="R180" s="287">
        <f t="shared" si="670"/>
        <v>0.44028950542822676</v>
      </c>
      <c r="S180" s="287"/>
      <c r="T180" s="287">
        <f t="shared" si="670"/>
        <v>0.33288251307090694</v>
      </c>
      <c r="U180" s="287">
        <f t="shared" si="670"/>
        <v>0.33128205128205124</v>
      </c>
      <c r="V180" s="287"/>
      <c r="W180" s="287">
        <f t="shared" si="670"/>
        <v>0.42479997915092127</v>
      </c>
      <c r="X180" s="287">
        <f t="shared" si="670"/>
        <v>0.45271317829457364</v>
      </c>
      <c r="Y180" s="287"/>
      <c r="Z180" s="287">
        <f t="shared" si="670"/>
        <v>0.38067717724659794</v>
      </c>
      <c r="AA180" s="287">
        <f t="shared" si="670"/>
        <v>0.38988095238095233</v>
      </c>
      <c r="AB180" s="287"/>
      <c r="AC180" s="287">
        <f t="shared" si="670"/>
        <v>0.33394945928051206</v>
      </c>
      <c r="AD180" s="287">
        <f t="shared" si="670"/>
        <v>0.31598513011152418</v>
      </c>
      <c r="AE180" s="287"/>
      <c r="AF180" s="287">
        <f t="shared" si="670"/>
        <v>0.46041433438060503</v>
      </c>
      <c r="AG180" s="287">
        <f t="shared" si="670"/>
        <v>0.45774647887323938</v>
      </c>
      <c r="AH180" s="287"/>
      <c r="AI180" s="287">
        <f t="shared" ref="AI180:AJ180" si="671">SUM(AI58:AI72)</f>
        <v>0.32124882506216756</v>
      </c>
      <c r="AJ180" s="287">
        <f t="shared" si="671"/>
        <v>0.30769230769230765</v>
      </c>
      <c r="AK180" s="287"/>
      <c r="AL180" s="426"/>
      <c r="AM180" s="426"/>
      <c r="AN180" s="287"/>
      <c r="AO180" s="287">
        <f t="shared" ref="AO180:AP180" si="672">SUM(AO58:AO72)</f>
        <v>0.36141836963552615</v>
      </c>
      <c r="AP180" s="287">
        <f t="shared" si="672"/>
        <v>0.36307901907356949</v>
      </c>
      <c r="AQ180" s="383"/>
      <c r="AR180" s="287">
        <f t="shared" ref="AR180:AS180" si="673">SUM(AR58:AR72)</f>
        <v>0.38533423039204506</v>
      </c>
      <c r="AS180" s="287">
        <f t="shared" si="673"/>
        <v>0.38809831824062091</v>
      </c>
      <c r="AT180" s="383"/>
      <c r="AU180" s="287">
        <f t="shared" si="670"/>
        <v>0.40579805672889141</v>
      </c>
      <c r="AV180" s="287">
        <f t="shared" si="670"/>
        <v>0.37849944008958564</v>
      </c>
      <c r="AW180" s="383"/>
      <c r="AX180" s="343">
        <f t="shared" si="668"/>
        <v>0.37991182678057789</v>
      </c>
      <c r="AY180" s="343">
        <f t="shared" si="669"/>
        <v>0.38416259728213603</v>
      </c>
      <c r="AZ180" s="343"/>
      <c r="BA180" t="s">
        <v>181</v>
      </c>
    </row>
    <row r="181" spans="1:127" hidden="1" outlineLevel="1" x14ac:dyDescent="0.25">
      <c r="A181" s="302" t="s">
        <v>161</v>
      </c>
      <c r="B181" s="288">
        <f>SUM(B73:B75)</f>
        <v>0.25156788836314059</v>
      </c>
      <c r="C181" s="288">
        <f>SUM(C73:C75)</f>
        <v>0.27953890489913547</v>
      </c>
      <c r="D181" s="371"/>
      <c r="E181" s="288">
        <f t="shared" ref="E181:AV181" si="674">SUM(E73:E75)</f>
        <v>0.32384696047474826</v>
      </c>
      <c r="F181" s="288">
        <f t="shared" si="674"/>
        <v>0.33730158730158732</v>
      </c>
      <c r="G181" s="371"/>
      <c r="H181" s="288">
        <f t="shared" si="674"/>
        <v>0.25643927757207297</v>
      </c>
      <c r="I181" s="288">
        <f t="shared" si="674"/>
        <v>0.21884498480243164</v>
      </c>
      <c r="J181" s="288"/>
      <c r="K181" s="288">
        <f t="shared" si="674"/>
        <v>0.25827027147159165</v>
      </c>
      <c r="L181" s="288">
        <f t="shared" si="674"/>
        <v>0.24144869215291753</v>
      </c>
      <c r="M181" s="288"/>
      <c r="N181" s="288">
        <f t="shared" si="674"/>
        <v>0.15040342651112404</v>
      </c>
      <c r="O181" s="288">
        <f t="shared" si="674"/>
        <v>0.14723557692307687</v>
      </c>
      <c r="P181" s="288"/>
      <c r="Q181" s="288">
        <f t="shared" si="674"/>
        <v>0.28085284002591504</v>
      </c>
      <c r="R181" s="288">
        <f t="shared" si="674"/>
        <v>0.27020506634499397</v>
      </c>
      <c r="S181" s="288"/>
      <c r="T181" s="288">
        <f t="shared" si="674"/>
        <v>0.18970314998055571</v>
      </c>
      <c r="U181" s="288">
        <f t="shared" si="674"/>
        <v>0.198974358974359</v>
      </c>
      <c r="V181" s="288"/>
      <c r="W181" s="288">
        <f t="shared" si="674"/>
        <v>0.2434303684205954</v>
      </c>
      <c r="X181" s="288">
        <f t="shared" si="674"/>
        <v>0.23875968992248064</v>
      </c>
      <c r="Y181" s="288"/>
      <c r="Z181" s="288">
        <f t="shared" si="674"/>
        <v>0.17597669795182391</v>
      </c>
      <c r="AA181" s="288">
        <f t="shared" si="674"/>
        <v>0.17500000000000004</v>
      </c>
      <c r="AB181" s="288"/>
      <c r="AC181" s="288">
        <f t="shared" si="674"/>
        <v>0.30305120282498343</v>
      </c>
      <c r="AD181" s="288">
        <f t="shared" si="674"/>
        <v>0.30855018587360594</v>
      </c>
      <c r="AE181" s="288"/>
      <c r="AF181" s="288">
        <f t="shared" si="674"/>
        <v>0.27680473800151673</v>
      </c>
      <c r="AG181" s="288">
        <f t="shared" si="674"/>
        <v>0.27728873239436624</v>
      </c>
      <c r="AH181" s="288"/>
      <c r="AI181" s="288">
        <f t="shared" ref="AI181:AJ181" si="675">SUM(AI73:AI75)</f>
        <v>0.21066784061299038</v>
      </c>
      <c r="AJ181" s="288">
        <f t="shared" si="675"/>
        <v>0.22904062229904931</v>
      </c>
      <c r="AK181" s="288"/>
      <c r="AL181" s="288">
        <f t="shared" ref="AL181:AM181" si="676">SUM(AL73:AL75)</f>
        <v>0.16975106583422483</v>
      </c>
      <c r="AM181" s="288">
        <f t="shared" si="676"/>
        <v>0.18352941176470583</v>
      </c>
      <c r="AN181" s="288"/>
      <c r="AO181" s="288">
        <f t="shared" ref="AO181:AP181" si="677">SUM(AO73:AO75)</f>
        <v>0.22826012761296155</v>
      </c>
      <c r="AP181" s="288">
        <f t="shared" si="677"/>
        <v>0.24182561307901906</v>
      </c>
      <c r="AQ181" s="368"/>
      <c r="AR181" s="288">
        <f t="shared" ref="AR181:AS181" si="678">SUM(AR73:AR75)</f>
        <v>0.15010069981105623</v>
      </c>
      <c r="AS181" s="288">
        <f t="shared" si="678"/>
        <v>0.16170763260025878</v>
      </c>
      <c r="AT181" s="368"/>
      <c r="AU181" s="288">
        <f t="shared" si="674"/>
        <v>0.1900587188430537</v>
      </c>
      <c r="AV181" s="288">
        <f t="shared" si="674"/>
        <v>0.19820828667413215</v>
      </c>
      <c r="AW181" s="368"/>
      <c r="AX181" s="343">
        <f t="shared" si="668"/>
        <v>0.2325054424333507</v>
      </c>
      <c r="AY181" s="343">
        <f t="shared" si="669"/>
        <v>0.23449483962868575</v>
      </c>
      <c r="AZ181" s="343"/>
      <c r="BA181" t="s">
        <v>180</v>
      </c>
    </row>
    <row r="182" spans="1:127" hidden="1" outlineLevel="1" x14ac:dyDescent="0.25">
      <c r="AL182" s="1008" t="s">
        <v>406</v>
      </c>
      <c r="AM182" s="1008"/>
      <c r="AN182" s="1008"/>
      <c r="AO182" s="1009"/>
      <c r="AP182" s="1009"/>
      <c r="AQ182" s="386"/>
      <c r="AR182" s="1009"/>
      <c r="AS182" s="1009"/>
      <c r="AT182" s="386"/>
      <c r="AU182" s="1009" t="s">
        <v>166</v>
      </c>
      <c r="AV182" s="1009"/>
      <c r="AW182" s="386"/>
    </row>
    <row r="183" spans="1:127" hidden="1" outlineLevel="1" x14ac:dyDescent="0.25">
      <c r="A183" s="252" t="s">
        <v>12</v>
      </c>
      <c r="B183" s="291" t="str">
        <f>Tabelle3[[#Headers],[Ned (€)]]</f>
        <v>Ned (€)</v>
      </c>
      <c r="C183" s="292" t="str">
        <f>C$4</f>
        <v>Ned (Backer)</v>
      </c>
      <c r="D183" s="370" t="str">
        <f t="shared" ref="D183:AW183" si="679">D$4</f>
        <v>Ned (€/B)</v>
      </c>
      <c r="E183" s="294" t="str">
        <f t="shared" si="679"/>
        <v>Werkzeuge (€)</v>
      </c>
      <c r="F183" s="295" t="str">
        <f t="shared" si="679"/>
        <v>Werkzeuge (Backer)</v>
      </c>
      <c r="G183" s="407" t="str">
        <f t="shared" si="679"/>
        <v>Werkz (€/B)</v>
      </c>
      <c r="H183" s="298" t="str">
        <f t="shared" si="679"/>
        <v>DSK Fasar (€)</v>
      </c>
      <c r="I183" s="299" t="str">
        <f t="shared" si="679"/>
        <v>DSK Fasar (Backer)</v>
      </c>
      <c r="J183" s="300" t="str">
        <f t="shared" si="679"/>
        <v>DSK Fasar (€/B)</v>
      </c>
      <c r="K183" s="291" t="str">
        <f t="shared" si="679"/>
        <v>Mythen (€)</v>
      </c>
      <c r="L183" s="292" t="str">
        <f t="shared" si="679"/>
        <v>Mythen (Backer)</v>
      </c>
      <c r="M183" s="292" t="str">
        <f t="shared" si="679"/>
        <v>Mythen (€/B)</v>
      </c>
      <c r="N183" s="296" t="str">
        <f t="shared" si="679"/>
        <v>SOK (€)</v>
      </c>
      <c r="O183" s="297" t="str">
        <f t="shared" si="679"/>
        <v>SOK (Backer)</v>
      </c>
      <c r="P183" s="297" t="str">
        <f t="shared" si="679"/>
        <v>SOK (€/B)</v>
      </c>
      <c r="Q183" s="293" t="str">
        <f t="shared" si="679"/>
        <v>RE (€)</v>
      </c>
      <c r="R183" s="293" t="str">
        <f t="shared" si="679"/>
        <v>RE (Backer)</v>
      </c>
      <c r="S183" s="293" t="str">
        <f t="shared" si="679"/>
        <v>RE (€/B)</v>
      </c>
      <c r="T183" s="293" t="str">
        <f t="shared" si="679"/>
        <v>DGG (€)</v>
      </c>
      <c r="U183" s="293" t="str">
        <f t="shared" si="679"/>
        <v>DGG (Backer)</v>
      </c>
      <c r="V183" s="293" t="str">
        <f t="shared" si="679"/>
        <v>DGG (€/B)</v>
      </c>
      <c r="W183" s="298" t="str">
        <f t="shared" si="679"/>
        <v>DSK SV (€)</v>
      </c>
      <c r="X183" s="299" t="str">
        <f t="shared" si="679"/>
        <v>DSK SV (Backer)</v>
      </c>
      <c r="Y183" s="300" t="str">
        <f t="shared" si="679"/>
        <v>DSK SV (€/B)</v>
      </c>
      <c r="Z183" s="296" t="str">
        <f t="shared" si="679"/>
        <v>WW (€)</v>
      </c>
      <c r="AA183" s="297" t="str">
        <f t="shared" si="679"/>
        <v>WW (Backer)</v>
      </c>
      <c r="AB183" s="297" t="str">
        <f t="shared" si="679"/>
        <v>WW (€/B)</v>
      </c>
      <c r="AC183" s="298" t="str">
        <f t="shared" si="679"/>
        <v>DSK R (€)</v>
      </c>
      <c r="AD183" s="299" t="str">
        <f t="shared" si="679"/>
        <v>DSK R (Backer)</v>
      </c>
      <c r="AE183" s="300" t="str">
        <f t="shared" si="679"/>
        <v>DSK R (€/B)</v>
      </c>
      <c r="AF183" s="293" t="str">
        <f t="shared" si="679"/>
        <v>Ära (€)</v>
      </c>
      <c r="AG183" s="293" t="str">
        <f t="shared" si="679"/>
        <v>Ära (Backer)</v>
      </c>
      <c r="AH183" s="293" t="str">
        <f t="shared" si="679"/>
        <v>Ära (€/B)</v>
      </c>
      <c r="AI183" s="293" t="str">
        <f t="shared" si="679"/>
        <v>Mosaik (€)</v>
      </c>
      <c r="AJ183" s="293" t="str">
        <f t="shared" si="679"/>
        <v>Mosaik (Backer)</v>
      </c>
      <c r="AK183" s="293" t="str">
        <f t="shared" si="679"/>
        <v>Mosaik (€/B)</v>
      </c>
      <c r="AL183" s="298" t="str">
        <f t="shared" si="679"/>
        <v>DSK ES (€)</v>
      </c>
      <c r="AM183" s="299" t="str">
        <f t="shared" si="679"/>
        <v>DSK ES (Backer)</v>
      </c>
      <c r="AN183" s="300" t="str">
        <f t="shared" si="679"/>
        <v>DSK ES (€/B)</v>
      </c>
      <c r="AO183" s="296" t="str">
        <f t="shared" si="679"/>
        <v>ES (€)</v>
      </c>
      <c r="AP183" s="297" t="str">
        <f t="shared" si="679"/>
        <v>ES (Backer)</v>
      </c>
      <c r="AQ183" s="424" t="str">
        <f t="shared" si="679"/>
        <v>ES (€/B)</v>
      </c>
      <c r="AR183" s="296" t="str">
        <f t="shared" si="679"/>
        <v>WF (€)</v>
      </c>
      <c r="AS183" s="297" t="str">
        <f t="shared" si="679"/>
        <v>WF(Backer)</v>
      </c>
      <c r="AT183" s="424" t="str">
        <f t="shared" si="679"/>
        <v>WF (€/B)</v>
      </c>
      <c r="AU183" s="291" t="str">
        <f t="shared" si="679"/>
        <v>AKM (€)</v>
      </c>
      <c r="AV183" s="292" t="str">
        <f t="shared" si="679"/>
        <v>AKM(Backer)</v>
      </c>
      <c r="AW183" s="292" t="str">
        <f t="shared" si="679"/>
        <v>AKM (€/B)</v>
      </c>
      <c r="AX183" s="1007" t="s">
        <v>167</v>
      </c>
      <c r="AY183" s="1007"/>
      <c r="AZ183" s="1007"/>
      <c r="BA183" s="1007"/>
      <c r="BV183" s="172"/>
      <c r="BW183" s="171"/>
      <c r="BX183" s="171"/>
      <c r="BY183" s="171"/>
      <c r="BZ183" s="171"/>
      <c r="CA183" s="171"/>
      <c r="CB183" s="171"/>
      <c r="CC183" s="171"/>
      <c r="CD183" s="171"/>
      <c r="CE183" s="171"/>
      <c r="CF183" s="171"/>
      <c r="CG183" s="171"/>
      <c r="CH183" s="171"/>
      <c r="CI183" s="171"/>
      <c r="CJ183" s="171"/>
      <c r="CK183" s="171"/>
      <c r="CL183" s="171"/>
      <c r="CM183" s="171"/>
      <c r="CN183" s="171"/>
      <c r="CO183" s="171"/>
      <c r="CP183" s="171"/>
      <c r="CQ183" s="171"/>
      <c r="CR183" s="171"/>
      <c r="CS183" s="171"/>
      <c r="CT183" s="171"/>
      <c r="CU183" s="171"/>
      <c r="CV183" s="171"/>
      <c r="CW183" s="171"/>
      <c r="CX183" s="171"/>
      <c r="CY183" s="171"/>
      <c r="CZ183" s="171"/>
      <c r="DA183" s="171"/>
      <c r="DB183" s="171"/>
      <c r="DC183" s="171"/>
      <c r="DD183" s="171"/>
      <c r="DE183" s="171"/>
      <c r="DF183" s="171"/>
      <c r="DG183" s="171"/>
      <c r="DH183" s="171"/>
      <c r="DI183" s="171"/>
      <c r="DJ183" s="171"/>
      <c r="DK183" s="171"/>
      <c r="DL183" s="171"/>
      <c r="DM183" s="171"/>
      <c r="DN183" s="171"/>
      <c r="DO183" s="171"/>
      <c r="DP183" s="171"/>
      <c r="DQ183" s="171"/>
      <c r="DR183" s="171"/>
      <c r="DS183" s="171"/>
      <c r="DT183" s="171"/>
      <c r="DU183" s="171"/>
      <c r="DV183" s="171"/>
      <c r="DW183" s="171"/>
    </row>
    <row r="184" spans="1:127" hidden="1" outlineLevel="1" x14ac:dyDescent="0.25">
      <c r="A184" s="302" t="s">
        <v>160</v>
      </c>
      <c r="B184" s="288">
        <f>SUM(B55:B57)</f>
        <v>0.2834870478787393</v>
      </c>
      <c r="C184" s="288">
        <f>SUM(C55:C57)</f>
        <v>0.25936599423631124</v>
      </c>
      <c r="D184" s="371"/>
      <c r="E184" s="288">
        <f>SUM(E55:E57)</f>
        <v>0.31576264931078318</v>
      </c>
      <c r="F184" s="288">
        <f>SUM(F55:F57)</f>
        <v>0.29629629629629628</v>
      </c>
      <c r="G184" s="371"/>
      <c r="H184" s="288">
        <f>SUM(H55:H57)</f>
        <v>0.36600805212864002</v>
      </c>
      <c r="I184" s="288">
        <f>SUM(I55:I57)</f>
        <v>0.37689969604863222</v>
      </c>
      <c r="J184" s="288"/>
      <c r="K184" s="288">
        <f>SUM(K55:K57)</f>
        <v>0.30748630418597417</v>
      </c>
      <c r="L184" s="288">
        <f>SUM(L55:L57)</f>
        <v>0.32595573440643866</v>
      </c>
      <c r="M184" s="288"/>
      <c r="N184" s="288">
        <f>SUM(N55:N57)</f>
        <v>0.51246669483053575</v>
      </c>
      <c r="O184" s="288">
        <f>SUM(O55:O57)</f>
        <v>0.51201923076923073</v>
      </c>
      <c r="P184" s="288"/>
      <c r="Q184" s="288">
        <f>SUM(Q55:Q57)</f>
        <v>0.29486539293789871</v>
      </c>
      <c r="R184" s="288">
        <f>SUM(R55:R57)</f>
        <v>0.28950542822677927</v>
      </c>
      <c r="S184" s="288"/>
      <c r="T184" s="288">
        <f>SUM(T55:T57)</f>
        <v>0.47741433694853735</v>
      </c>
      <c r="U184" s="288">
        <f>SUM(U55:U57)</f>
        <v>0.46974358974358976</v>
      </c>
      <c r="V184" s="288"/>
      <c r="W184" s="288">
        <f>SUM(W55:W57)</f>
        <v>0.33176965242848333</v>
      </c>
      <c r="X184" s="288">
        <f>SUM(X55:X57)</f>
        <v>0.30852713178294572</v>
      </c>
      <c r="Y184" s="288"/>
      <c r="Z184" s="288">
        <f>SUM(Z55:Z57)</f>
        <v>0.44334612480157815</v>
      </c>
      <c r="AA184" s="288">
        <f>SUM(AA55:AA57)</f>
        <v>0.43511904761904763</v>
      </c>
      <c r="AB184" s="288"/>
      <c r="AC184" s="288">
        <f>SUM(AC55:AC57)</f>
        <v>0.3629993378945045</v>
      </c>
      <c r="AD184" s="288">
        <f>SUM(AD55:AD57)</f>
        <v>0.37546468401486988</v>
      </c>
      <c r="AE184" s="288"/>
      <c r="AF184" s="288">
        <f>SUM(AF55:AF57)</f>
        <v>0.26278092761787825</v>
      </c>
      <c r="AG184" s="288">
        <f>SUM(AG55:AG57)</f>
        <v>0.26496478873239437</v>
      </c>
      <c r="AH184" s="288"/>
      <c r="AI184" s="288">
        <f t="shared" ref="AI184:AJ184" si="680">SUM(AI55:AI57)</f>
        <v>0.46808333432484206</v>
      </c>
      <c r="AJ184" s="288">
        <f t="shared" si="680"/>
        <v>0.46326707000864303</v>
      </c>
      <c r="AK184" s="288"/>
      <c r="AL184" s="426"/>
      <c r="AM184" s="426"/>
      <c r="AN184" s="288"/>
      <c r="AO184" s="288">
        <f>SUM(AO55:AO57)</f>
        <v>0.4103215027515123</v>
      </c>
      <c r="AP184" s="288">
        <f>SUM(AP55:AP57)</f>
        <v>0.39509536784741145</v>
      </c>
      <c r="AQ184" s="368"/>
      <c r="AR184" s="288">
        <f>SUM(AR55:AR57)</f>
        <v>0.46456506979689871</v>
      </c>
      <c r="AS184" s="288">
        <f>SUM(AS55:AS57)</f>
        <v>0.45019404915912031</v>
      </c>
      <c r="AT184" s="368"/>
      <c r="AU184" s="288">
        <f>SUM(AU55:AU57)</f>
        <v>0.40414322442805489</v>
      </c>
      <c r="AV184" s="288">
        <f>SUM(AV55:AV57)</f>
        <v>0.42329227323628221</v>
      </c>
      <c r="AW184" s="368"/>
      <c r="AX184" s="343">
        <f t="shared" ref="AX184:AX186" si="681">AVERAGE(B184,E184,H184,K184,N184,Q184,T184,W184,Z184,AC184,AI184,AO184,AR184)</f>
        <v>0.38758273078607136</v>
      </c>
      <c r="AY184" s="343">
        <f t="shared" ref="AY184:AY186" si="682">AVERAGE(C184,F184,I184,L184,O184,R184,U184,X184,AA184,AD184,AJ184,AP184,AS184)</f>
        <v>0.38134256308917813</v>
      </c>
      <c r="AZ184" s="343"/>
      <c r="BA184" t="s">
        <v>179</v>
      </c>
    </row>
    <row r="185" spans="1:127" hidden="1" outlineLevel="1" x14ac:dyDescent="0.25">
      <c r="A185" s="303" t="s">
        <v>171</v>
      </c>
      <c r="B185" s="287">
        <f>SUM(B58:B69)</f>
        <v>0.36453604940251821</v>
      </c>
      <c r="C185" s="287">
        <f>SUM(C58:C69)</f>
        <v>0.35734870317002887</v>
      </c>
      <c r="D185" s="372"/>
      <c r="E185" s="287">
        <f>SUM(E58:E69)</f>
        <v>0.25521233033198404</v>
      </c>
      <c r="F185" s="287">
        <f>SUM(F58:F69)</f>
        <v>0.26190476190476197</v>
      </c>
      <c r="G185" s="372"/>
      <c r="H185" s="287">
        <f>SUM(H58:H69)</f>
        <v>0.25662522030171225</v>
      </c>
      <c r="I185" s="287">
        <f>SUM(I58:I69)</f>
        <v>0.27203647416413373</v>
      </c>
      <c r="J185" s="287"/>
      <c r="K185" s="287">
        <f>SUM(K58:K69)</f>
        <v>0.3498460957206832</v>
      </c>
      <c r="L185" s="287">
        <f>SUM(L58:L69)</f>
        <v>0.352112676056338</v>
      </c>
      <c r="M185" s="287"/>
      <c r="N185" s="287">
        <f>SUM(N58:N69)</f>
        <v>0.27503273004094919</v>
      </c>
      <c r="O185" s="287">
        <f>SUM(O58:O69)</f>
        <v>0.27704326923076927</v>
      </c>
      <c r="P185" s="287"/>
      <c r="Q185" s="287">
        <f>SUM(Q58:Q69)</f>
        <v>0.34276722312276087</v>
      </c>
      <c r="R185" s="287">
        <f>SUM(R58:R69)</f>
        <v>0.37153196622436668</v>
      </c>
      <c r="S185" s="287"/>
      <c r="T185" s="287">
        <f>SUM(T58:T69)</f>
        <v>0.23620101110486974</v>
      </c>
      <c r="U185" s="287">
        <f>SUM(U58:U69)</f>
        <v>0.23794871794871797</v>
      </c>
      <c r="V185" s="287"/>
      <c r="W185" s="287">
        <f>SUM(W58:W69)</f>
        <v>0.32142329710805906</v>
      </c>
      <c r="X185" s="287">
        <f>SUM(X58:X69)</f>
        <v>0.33488372093023261</v>
      </c>
      <c r="Y185" s="287"/>
      <c r="Z185" s="287">
        <f>SUM(Z58:Z69)</f>
        <v>0.30478215975465034</v>
      </c>
      <c r="AA185" s="287">
        <f>SUM(AA58:AA69)</f>
        <v>0.31309523809523809</v>
      </c>
      <c r="AB185" s="287"/>
      <c r="AC185" s="287">
        <f>SUM(AC58:AC69)</f>
        <v>0.25835908188037965</v>
      </c>
      <c r="AD185" s="287">
        <f>SUM(AD58:AD69)</f>
        <v>0.23420074349442377</v>
      </c>
      <c r="AE185" s="287"/>
      <c r="AF185" s="287">
        <f>SUM(AF58:AF69)</f>
        <v>0.37848237895184561</v>
      </c>
      <c r="AG185" s="287">
        <f>SUM(AG58:AG69)</f>
        <v>0.375</v>
      </c>
      <c r="AH185" s="287"/>
      <c r="AI185" s="287">
        <f t="shared" ref="AI185:AJ185" si="683">SUM(AI58:AI69)</f>
        <v>0.25011005746784531</v>
      </c>
      <c r="AJ185" s="287">
        <f t="shared" si="683"/>
        <v>0.24978392394122734</v>
      </c>
      <c r="AK185" s="287"/>
      <c r="AL185" s="426"/>
      <c r="AM185" s="426"/>
      <c r="AN185" s="287"/>
      <c r="AO185" s="287">
        <f>SUM(AO58:AO69)</f>
        <v>0.28772399715259916</v>
      </c>
      <c r="AP185" s="287">
        <f>SUM(AP58:AP69)</f>
        <v>0.29495912806539509</v>
      </c>
      <c r="AQ185" s="383"/>
      <c r="AR185" s="287">
        <f>SUM(AR58:AR69)</f>
        <v>0.30913263077379205</v>
      </c>
      <c r="AS185" s="287">
        <f>SUM(AS58:AS69)</f>
        <v>0.30659767141009053</v>
      </c>
      <c r="AT185" s="383"/>
      <c r="AU185" s="287">
        <f>SUM(AU58:AU69)</f>
        <v>0.33113205756560155</v>
      </c>
      <c r="AV185" s="287">
        <f>SUM(AV58:AV69)</f>
        <v>0.31354983202687564</v>
      </c>
      <c r="AW185" s="383"/>
      <c r="AX185" s="343">
        <f t="shared" si="681"/>
        <v>0.29321168339713871</v>
      </c>
      <c r="AY185" s="343">
        <f t="shared" si="682"/>
        <v>0.29718823035659414</v>
      </c>
      <c r="AZ185" s="343"/>
      <c r="BA185" t="s">
        <v>182</v>
      </c>
    </row>
    <row r="186" spans="1:127" hidden="1" outlineLevel="1" x14ac:dyDescent="0.25">
      <c r="A186" s="302" t="s">
        <v>172</v>
      </c>
      <c r="B186" s="288">
        <f>SUM(B70:B75)</f>
        <v>0.35197690271874249</v>
      </c>
      <c r="C186" s="288">
        <f>SUM(C70:C75)</f>
        <v>0.38328530259365989</v>
      </c>
      <c r="D186" s="371"/>
      <c r="E186" s="288">
        <f>SUM(E70:E75)</f>
        <v>0.42902502035723278</v>
      </c>
      <c r="F186" s="288">
        <f>SUM(F70:F75)</f>
        <v>0.44179894179894175</v>
      </c>
      <c r="G186" s="371"/>
      <c r="H186" s="288">
        <f>SUM(H70:H75)</f>
        <v>0.37736672756964773</v>
      </c>
      <c r="I186" s="288">
        <f>SUM(I70:I75)</f>
        <v>0.35106382978723405</v>
      </c>
      <c r="J186" s="288"/>
      <c r="K186" s="288">
        <f>SUM(K70:K75)</f>
        <v>0.34266760009334263</v>
      </c>
      <c r="L186" s="288">
        <f>SUM(L70:L75)</f>
        <v>0.32193158953722334</v>
      </c>
      <c r="M186" s="288"/>
      <c r="N186" s="288">
        <f>SUM(N70:N75)</f>
        <v>0.21250057512851506</v>
      </c>
      <c r="O186" s="288">
        <f>SUM(O70:O75)</f>
        <v>0.2109375</v>
      </c>
      <c r="P186" s="288"/>
      <c r="Q186" s="288">
        <f>SUM(Q70:Q75)</f>
        <v>0.36236738393934043</v>
      </c>
      <c r="R186" s="288">
        <f>SUM(R70:R75)</f>
        <v>0.33896260554885405</v>
      </c>
      <c r="S186" s="288"/>
      <c r="T186" s="288">
        <f>SUM(T70:T75)</f>
        <v>0.28638465194659291</v>
      </c>
      <c r="U186" s="288">
        <f>SUM(U70:U75)</f>
        <v>0.29230769230769227</v>
      </c>
      <c r="V186" s="288"/>
      <c r="W186" s="288">
        <f>SUM(W70:W75)</f>
        <v>0.34680705046345761</v>
      </c>
      <c r="X186" s="288">
        <f>SUM(X70:X75)</f>
        <v>0.35658914728682167</v>
      </c>
      <c r="Y186" s="288"/>
      <c r="Z186" s="288">
        <f>SUM(Z70:Z75)</f>
        <v>0.25187171544377152</v>
      </c>
      <c r="AA186" s="288">
        <f>SUM(AA70:AA75)</f>
        <v>0.25178571428571428</v>
      </c>
      <c r="AB186" s="288"/>
      <c r="AC186" s="288">
        <f>SUM(AC70:AC75)</f>
        <v>0.37864158022511585</v>
      </c>
      <c r="AD186" s="288">
        <f>SUM(AD70:AD75)</f>
        <v>0.39033457249070636</v>
      </c>
      <c r="AE186" s="288"/>
      <c r="AF186" s="288">
        <f>SUM(AF70:AF75)</f>
        <v>0.35873669343027614</v>
      </c>
      <c r="AG186" s="288">
        <f>SUM(AG70:AG75)</f>
        <v>0.36003521126760563</v>
      </c>
      <c r="AH186" s="288"/>
      <c r="AI186" s="288">
        <f t="shared" ref="AI186:AJ186" si="684">SUM(AI70:AI75)</f>
        <v>0.28180660820731263</v>
      </c>
      <c r="AJ186" s="288">
        <f t="shared" si="684"/>
        <v>0.28694900605012963</v>
      </c>
      <c r="AK186" s="288"/>
      <c r="AL186" s="288">
        <f t="shared" ref="AL186:AM186" si="685">SUM(AL70:AL75)</f>
        <v>0.26627492934357389</v>
      </c>
      <c r="AM186" s="288">
        <f t="shared" si="685"/>
        <v>0.2752941176470588</v>
      </c>
      <c r="AN186" s="288"/>
      <c r="AO186" s="288">
        <f>SUM(AO70:AO75)</f>
        <v>0.30195450009588853</v>
      </c>
      <c r="AP186" s="288">
        <f>SUM(AP70:AP75)</f>
        <v>0.30994550408719346</v>
      </c>
      <c r="AQ186" s="368"/>
      <c r="AR186" s="288">
        <f>SUM(AR70:AR75)</f>
        <v>0.22630229942930924</v>
      </c>
      <c r="AS186" s="288">
        <f>SUM(AS70:AS75)</f>
        <v>0.24320827943078915</v>
      </c>
      <c r="AT186" s="368"/>
      <c r="AU186" s="288">
        <f>SUM(AU70:AU75)</f>
        <v>0.26472471800634356</v>
      </c>
      <c r="AV186" s="288">
        <f>SUM(AV70:AV75)</f>
        <v>0.26315789473684215</v>
      </c>
      <c r="AW186" s="368"/>
      <c r="AX186" s="343">
        <f t="shared" si="681"/>
        <v>0.31920558581678993</v>
      </c>
      <c r="AY186" s="343">
        <f t="shared" si="682"/>
        <v>0.32146920655422762</v>
      </c>
      <c r="AZ186" s="343"/>
      <c r="BA186" t="s">
        <v>175</v>
      </c>
    </row>
    <row r="187" spans="1:127" hidden="1" outlineLevel="1" x14ac:dyDescent="0.25">
      <c r="AL187" s="1008" t="s">
        <v>406</v>
      </c>
      <c r="AM187" s="1008"/>
      <c r="AN187" s="1008"/>
      <c r="AO187" s="1009"/>
      <c r="AP187" s="1009"/>
      <c r="AQ187" s="386"/>
      <c r="AR187" s="1009"/>
      <c r="AS187" s="1009"/>
      <c r="AT187" s="386"/>
      <c r="AU187" s="1009" t="s">
        <v>166</v>
      </c>
      <c r="AV187" s="1009"/>
      <c r="AW187" s="386"/>
    </row>
    <row r="188" spans="1:127" hidden="1" outlineLevel="1" x14ac:dyDescent="0.25">
      <c r="A188" s="301" t="s">
        <v>12</v>
      </c>
      <c r="B188" s="291" t="str">
        <f>Tabelle3[[#Headers],[Ned (€)]]</f>
        <v>Ned (€)</v>
      </c>
      <c r="C188" s="292" t="str">
        <f>C$4</f>
        <v>Ned (Backer)</v>
      </c>
      <c r="D188" s="370" t="str">
        <f t="shared" ref="D188:AW188" si="686">D$4</f>
        <v>Ned (€/B)</v>
      </c>
      <c r="E188" s="294" t="str">
        <f t="shared" si="686"/>
        <v>Werkzeuge (€)</v>
      </c>
      <c r="F188" s="295" t="str">
        <f t="shared" si="686"/>
        <v>Werkzeuge (Backer)</v>
      </c>
      <c r="G188" s="407" t="str">
        <f t="shared" si="686"/>
        <v>Werkz (€/B)</v>
      </c>
      <c r="H188" s="298" t="str">
        <f t="shared" si="686"/>
        <v>DSK Fasar (€)</v>
      </c>
      <c r="I188" s="299" t="str">
        <f t="shared" si="686"/>
        <v>DSK Fasar (Backer)</v>
      </c>
      <c r="J188" s="300" t="str">
        <f t="shared" si="686"/>
        <v>DSK Fasar (€/B)</v>
      </c>
      <c r="K188" s="291" t="str">
        <f t="shared" si="686"/>
        <v>Mythen (€)</v>
      </c>
      <c r="L188" s="292" t="str">
        <f t="shared" si="686"/>
        <v>Mythen (Backer)</v>
      </c>
      <c r="M188" s="292" t="str">
        <f t="shared" si="686"/>
        <v>Mythen (€/B)</v>
      </c>
      <c r="N188" s="296" t="str">
        <f t="shared" si="686"/>
        <v>SOK (€)</v>
      </c>
      <c r="O188" s="297" t="str">
        <f t="shared" si="686"/>
        <v>SOK (Backer)</v>
      </c>
      <c r="P188" s="297" t="str">
        <f t="shared" si="686"/>
        <v>SOK (€/B)</v>
      </c>
      <c r="Q188" s="293" t="str">
        <f t="shared" si="686"/>
        <v>RE (€)</v>
      </c>
      <c r="R188" s="293" t="str">
        <f t="shared" si="686"/>
        <v>RE (Backer)</v>
      </c>
      <c r="S188" s="293" t="str">
        <f t="shared" si="686"/>
        <v>RE (€/B)</v>
      </c>
      <c r="T188" s="293" t="str">
        <f t="shared" si="686"/>
        <v>DGG (€)</v>
      </c>
      <c r="U188" s="293" t="str">
        <f t="shared" si="686"/>
        <v>DGG (Backer)</v>
      </c>
      <c r="V188" s="293" t="str">
        <f t="shared" si="686"/>
        <v>DGG (€/B)</v>
      </c>
      <c r="W188" s="298" t="str">
        <f t="shared" si="686"/>
        <v>DSK SV (€)</v>
      </c>
      <c r="X188" s="299" t="str">
        <f t="shared" si="686"/>
        <v>DSK SV (Backer)</v>
      </c>
      <c r="Y188" s="300" t="str">
        <f t="shared" si="686"/>
        <v>DSK SV (€/B)</v>
      </c>
      <c r="Z188" s="296" t="str">
        <f t="shared" si="686"/>
        <v>WW (€)</v>
      </c>
      <c r="AA188" s="297" t="str">
        <f t="shared" si="686"/>
        <v>WW (Backer)</v>
      </c>
      <c r="AB188" s="297" t="str">
        <f t="shared" si="686"/>
        <v>WW (€/B)</v>
      </c>
      <c r="AC188" s="298" t="str">
        <f t="shared" si="686"/>
        <v>DSK R (€)</v>
      </c>
      <c r="AD188" s="299" t="str">
        <f t="shared" si="686"/>
        <v>DSK R (Backer)</v>
      </c>
      <c r="AE188" s="300" t="str">
        <f t="shared" si="686"/>
        <v>DSK R (€/B)</v>
      </c>
      <c r="AF188" s="293" t="str">
        <f t="shared" si="686"/>
        <v>Ära (€)</v>
      </c>
      <c r="AG188" s="293" t="str">
        <f t="shared" si="686"/>
        <v>Ära (Backer)</v>
      </c>
      <c r="AH188" s="293" t="str">
        <f t="shared" si="686"/>
        <v>Ära (€/B)</v>
      </c>
      <c r="AI188" s="293" t="str">
        <f t="shared" si="686"/>
        <v>Mosaik (€)</v>
      </c>
      <c r="AJ188" s="293" t="str">
        <f t="shared" si="686"/>
        <v>Mosaik (Backer)</v>
      </c>
      <c r="AK188" s="293" t="str">
        <f t="shared" si="686"/>
        <v>Mosaik (€/B)</v>
      </c>
      <c r="AL188" s="298" t="str">
        <f t="shared" si="686"/>
        <v>DSK ES (€)</v>
      </c>
      <c r="AM188" s="299" t="str">
        <f t="shared" si="686"/>
        <v>DSK ES (Backer)</v>
      </c>
      <c r="AN188" s="300" t="str">
        <f t="shared" si="686"/>
        <v>DSK ES (€/B)</v>
      </c>
      <c r="AO188" s="296" t="str">
        <f t="shared" si="686"/>
        <v>ES (€)</v>
      </c>
      <c r="AP188" s="297" t="str">
        <f t="shared" si="686"/>
        <v>ES (Backer)</v>
      </c>
      <c r="AQ188" s="424" t="str">
        <f t="shared" si="686"/>
        <v>ES (€/B)</v>
      </c>
      <c r="AR188" s="296" t="str">
        <f t="shared" si="686"/>
        <v>WF (€)</v>
      </c>
      <c r="AS188" s="297" t="str">
        <f t="shared" si="686"/>
        <v>WF(Backer)</v>
      </c>
      <c r="AT188" s="424" t="str">
        <f t="shared" si="686"/>
        <v>WF (€/B)</v>
      </c>
      <c r="AU188" s="291" t="str">
        <f t="shared" si="686"/>
        <v>AKM (€)</v>
      </c>
      <c r="AV188" s="292" t="str">
        <f t="shared" si="686"/>
        <v>AKM(Backer)</v>
      </c>
      <c r="AW188" s="292" t="str">
        <f t="shared" si="686"/>
        <v>AKM (€/B)</v>
      </c>
      <c r="AX188" s="1007" t="s">
        <v>167</v>
      </c>
      <c r="AY188" s="1007"/>
      <c r="AZ188" s="1007"/>
      <c r="BA188" s="1007"/>
    </row>
    <row r="189" spans="1:127" hidden="1" outlineLevel="1" x14ac:dyDescent="0.25">
      <c r="A189" s="302" t="s">
        <v>168</v>
      </c>
      <c r="B189" s="288">
        <f>SUM(B55:B58)</f>
        <v>0.30284706071056222</v>
      </c>
      <c r="C189" s="288">
        <f>SUM(C55:C58)</f>
        <v>0.2737752161383285</v>
      </c>
      <c r="D189" s="371"/>
      <c r="E189" s="288">
        <f t="shared" ref="E189:AV189" si="687">SUM(E55:E58)</f>
        <v>0.35127503646727321</v>
      </c>
      <c r="F189" s="288">
        <f t="shared" si="687"/>
        <v>0.32671957671957674</v>
      </c>
      <c r="G189" s="371"/>
      <c r="H189" s="288">
        <f t="shared" si="687"/>
        <v>0.38770676023089234</v>
      </c>
      <c r="I189" s="288">
        <f t="shared" si="687"/>
        <v>0.40121580547112462</v>
      </c>
      <c r="J189" s="288"/>
      <c r="K189" s="288">
        <f t="shared" si="687"/>
        <v>0.33696703003633699</v>
      </c>
      <c r="L189" s="288">
        <f t="shared" si="687"/>
        <v>0.35814889336016098</v>
      </c>
      <c r="M189" s="288"/>
      <c r="N189" s="288">
        <f t="shared" si="687"/>
        <v>0.53373599300643726</v>
      </c>
      <c r="O189" s="288">
        <f t="shared" si="687"/>
        <v>0.53545673076923073</v>
      </c>
      <c r="P189" s="288"/>
      <c r="Q189" s="288">
        <f t="shared" si="687"/>
        <v>0.31711083284038444</v>
      </c>
      <c r="R189" s="288">
        <f t="shared" si="687"/>
        <v>0.31363088057901084</v>
      </c>
      <c r="S189" s="288"/>
      <c r="T189" s="288">
        <f t="shared" si="687"/>
        <v>0.50695674718057293</v>
      </c>
      <c r="U189" s="288">
        <f t="shared" si="687"/>
        <v>0.49846153846153846</v>
      </c>
      <c r="V189" s="288"/>
      <c r="W189" s="288">
        <f t="shared" si="687"/>
        <v>0.36135796999470088</v>
      </c>
      <c r="X189" s="288">
        <f t="shared" si="687"/>
        <v>0.33798449612403103</v>
      </c>
      <c r="Y189" s="288"/>
      <c r="Z189" s="288">
        <f t="shared" si="687"/>
        <v>0.48342194892659546</v>
      </c>
      <c r="AA189" s="288">
        <f t="shared" si="687"/>
        <v>0.47440476190476188</v>
      </c>
      <c r="AB189" s="288"/>
      <c r="AC189" s="288">
        <f t="shared" si="687"/>
        <v>0.39271132200397263</v>
      </c>
      <c r="AD189" s="288">
        <f t="shared" si="687"/>
        <v>0.40892193308550184</v>
      </c>
      <c r="AE189" s="288"/>
      <c r="AF189" s="288">
        <f t="shared" si="687"/>
        <v>0.28021138035222032</v>
      </c>
      <c r="AG189" s="288">
        <f t="shared" si="687"/>
        <v>0.28433098591549294</v>
      </c>
      <c r="AH189" s="288"/>
      <c r="AI189" s="288">
        <f t="shared" ref="AI189:AJ189" si="688">SUM(AI55:AI58)</f>
        <v>0.51466441395885631</v>
      </c>
      <c r="AJ189" s="288">
        <f t="shared" si="688"/>
        <v>0.5056179775280899</v>
      </c>
      <c r="AK189" s="288"/>
      <c r="AL189" s="426"/>
      <c r="AM189" s="426"/>
      <c r="AN189" s="288"/>
      <c r="AO189" s="288">
        <f t="shared" ref="AO189:AP189" si="689">SUM(AO55:AO58)</f>
        <v>0.43615613897656097</v>
      </c>
      <c r="AP189" s="288">
        <f t="shared" si="689"/>
        <v>0.42370572207084467</v>
      </c>
      <c r="AQ189" s="368"/>
      <c r="AR189" s="288">
        <f t="shared" ref="AR189:AS189" si="690">SUM(AR55:AR58)</f>
        <v>0.50473672145508308</v>
      </c>
      <c r="AS189" s="288">
        <f t="shared" si="690"/>
        <v>0.4909443725743855</v>
      </c>
      <c r="AT189" s="368"/>
      <c r="AU189" s="288">
        <f t="shared" si="687"/>
        <v>0.49488087654914648</v>
      </c>
      <c r="AV189" s="288">
        <f t="shared" si="687"/>
        <v>0.51810377006345654</v>
      </c>
      <c r="AW189" s="368"/>
      <c r="AX189" s="343">
        <f t="shared" ref="AX189:AX191" si="691">AVERAGE(B189,E189,H189,K189,N189,Q189,T189,W189,Z189,AC189,AI189,AO189,AR189)</f>
        <v>0.41766522890678676</v>
      </c>
      <c r="AY189" s="343">
        <f t="shared" ref="AY189:AY191" si="692">AVERAGE(C189,F189,I189,L189,O189,R189,U189,X189,AA189,AD189,AJ189,AP189,AS189)</f>
        <v>0.41146060806050655</v>
      </c>
      <c r="AZ189" s="343"/>
      <c r="BA189" t="s">
        <v>183</v>
      </c>
    </row>
    <row r="190" spans="1:127" hidden="1" outlineLevel="1" x14ac:dyDescent="0.25">
      <c r="A190" s="303" t="s">
        <v>169</v>
      </c>
      <c r="B190" s="287">
        <f>SUM(B59:B70)</f>
        <v>0.3752666613200738</v>
      </c>
      <c r="C190" s="287">
        <f>SUM(C59:C70)</f>
        <v>0.37175792507204614</v>
      </c>
      <c r="D190" s="372"/>
      <c r="E190" s="287">
        <f t="shared" ref="E190:AV190" si="693">SUM(E59:E70)</f>
        <v>0.25476710739831632</v>
      </c>
      <c r="F190" s="287">
        <f t="shared" si="693"/>
        <v>0.26190476190476186</v>
      </c>
      <c r="G190" s="372"/>
      <c r="H190" s="287">
        <f t="shared" si="693"/>
        <v>0.25944669911232565</v>
      </c>
      <c r="I190" s="287">
        <f t="shared" si="693"/>
        <v>0.27355623100303955</v>
      </c>
      <c r="J190" s="287"/>
      <c r="K190" s="287">
        <f t="shared" si="693"/>
        <v>0.35023502350235025</v>
      </c>
      <c r="L190" s="287">
        <f t="shared" si="693"/>
        <v>0.34406438631790748</v>
      </c>
      <c r="M190" s="287"/>
      <c r="N190" s="287">
        <f t="shared" si="693"/>
        <v>0.27463955127427564</v>
      </c>
      <c r="O190" s="287">
        <f t="shared" si="693"/>
        <v>0.27584134615384615</v>
      </c>
      <c r="P190" s="287"/>
      <c r="Q190" s="287">
        <f t="shared" si="693"/>
        <v>0.34271344687803296</v>
      </c>
      <c r="R190" s="287">
        <f t="shared" si="693"/>
        <v>0.3703256936067551</v>
      </c>
      <c r="S190" s="287"/>
      <c r="T190" s="287">
        <f t="shared" si="693"/>
        <v>0.24524046147863288</v>
      </c>
      <c r="U190" s="287">
        <f t="shared" si="693"/>
        <v>0.2492307692307692</v>
      </c>
      <c r="V190" s="287"/>
      <c r="W190" s="287">
        <f t="shared" si="693"/>
        <v>0.322040082353861</v>
      </c>
      <c r="X190" s="287">
        <f t="shared" si="693"/>
        <v>0.3410852713178294</v>
      </c>
      <c r="Y190" s="287"/>
      <c r="Z190" s="287">
        <f t="shared" si="693"/>
        <v>0.29078860172299542</v>
      </c>
      <c r="AA190" s="287">
        <f t="shared" si="693"/>
        <v>0.30000000000000004</v>
      </c>
      <c r="AB190" s="287"/>
      <c r="AC190" s="287">
        <f t="shared" si="693"/>
        <v>0.25568307216949904</v>
      </c>
      <c r="AD190" s="287">
        <f t="shared" si="693"/>
        <v>0.23048327137546465</v>
      </c>
      <c r="AE190" s="287"/>
      <c r="AF190" s="287">
        <f t="shared" si="693"/>
        <v>0.39023910697017489</v>
      </c>
      <c r="AG190" s="287">
        <f t="shared" si="693"/>
        <v>0.38292253521126768</v>
      </c>
      <c r="AH190" s="287"/>
      <c r="AI190" s="287">
        <f t="shared" ref="AI190:AJ190" si="694">SUM(AI59:AI70)</f>
        <v>0.2154032862564994</v>
      </c>
      <c r="AJ190" s="287">
        <f t="shared" si="694"/>
        <v>0.21694036300777875</v>
      </c>
      <c r="AK190" s="287"/>
      <c r="AL190" s="426"/>
      <c r="AM190" s="426"/>
      <c r="AN190" s="287"/>
      <c r="AO190" s="287">
        <f t="shared" ref="AO190:AP190" si="695">SUM(AO59:AO70)</f>
        <v>0.28849435558054798</v>
      </c>
      <c r="AP190" s="287">
        <f t="shared" si="695"/>
        <v>0.29087193460490468</v>
      </c>
      <c r="AQ190" s="383"/>
      <c r="AR190" s="287">
        <f t="shared" ref="AR190:AS190" si="696">SUM(AR59:AR70)</f>
        <v>0.29304718096083526</v>
      </c>
      <c r="AS190" s="287">
        <f t="shared" si="696"/>
        <v>0.29560155239327301</v>
      </c>
      <c r="AT190" s="383"/>
      <c r="AU190" s="287">
        <f t="shared" si="693"/>
        <v>0.26779298823189934</v>
      </c>
      <c r="AV190" s="287">
        <f t="shared" si="693"/>
        <v>0.24300111982082861</v>
      </c>
      <c r="AW190" s="383"/>
      <c r="AX190" s="343">
        <f t="shared" si="691"/>
        <v>0.28982811769294198</v>
      </c>
      <c r="AY190" s="343">
        <f t="shared" si="692"/>
        <v>0.29397411584525968</v>
      </c>
      <c r="AZ190" s="343"/>
      <c r="BA190" t="s">
        <v>176</v>
      </c>
    </row>
    <row r="191" spans="1:127" hidden="1" outlineLevel="1" x14ac:dyDescent="0.25">
      <c r="A191" s="302" t="s">
        <v>170</v>
      </c>
      <c r="B191" s="288">
        <f>SUM(B71:B75)</f>
        <v>0.32188627796936398</v>
      </c>
      <c r="C191" s="288">
        <f>SUM(C71:C75)</f>
        <v>0.35446685878962536</v>
      </c>
      <c r="D191" s="371"/>
      <c r="E191" s="288">
        <f t="shared" ref="E191:AV191" si="697">SUM(E71:E75)</f>
        <v>0.39395785613441048</v>
      </c>
      <c r="F191" s="288">
        <f t="shared" si="697"/>
        <v>0.41137566137566139</v>
      </c>
      <c r="G191" s="371"/>
      <c r="H191" s="288">
        <f t="shared" si="697"/>
        <v>0.352846540656782</v>
      </c>
      <c r="I191" s="288">
        <f t="shared" si="697"/>
        <v>0.32522796352583583</v>
      </c>
      <c r="J191" s="288"/>
      <c r="K191" s="288">
        <f t="shared" si="697"/>
        <v>0.31279794646131276</v>
      </c>
      <c r="L191" s="288">
        <f t="shared" si="697"/>
        <v>0.29778672032193154</v>
      </c>
      <c r="M191" s="288"/>
      <c r="N191" s="288">
        <f t="shared" si="697"/>
        <v>0.1916244557192871</v>
      </c>
      <c r="O191" s="288">
        <f t="shared" si="697"/>
        <v>0.18870192307692313</v>
      </c>
      <c r="P191" s="288"/>
      <c r="Q191" s="288">
        <f t="shared" si="697"/>
        <v>0.34017572028158261</v>
      </c>
      <c r="R191" s="288">
        <f t="shared" si="697"/>
        <v>0.31604342581423406</v>
      </c>
      <c r="S191" s="288"/>
      <c r="T191" s="288">
        <f t="shared" si="697"/>
        <v>0.24780279134079419</v>
      </c>
      <c r="U191" s="288">
        <f t="shared" si="697"/>
        <v>0.25230769230769234</v>
      </c>
      <c r="V191" s="288"/>
      <c r="W191" s="288">
        <f t="shared" si="697"/>
        <v>0.31660194765143812</v>
      </c>
      <c r="X191" s="288">
        <f t="shared" si="697"/>
        <v>0.32093023255813957</v>
      </c>
      <c r="Y191" s="288"/>
      <c r="Z191" s="288">
        <f t="shared" si="697"/>
        <v>0.22578944935040912</v>
      </c>
      <c r="AA191" s="288">
        <f t="shared" si="697"/>
        <v>0.22559523809523807</v>
      </c>
      <c r="AB191" s="288"/>
      <c r="AC191" s="288">
        <f t="shared" si="697"/>
        <v>0.35160560582652833</v>
      </c>
      <c r="AD191" s="288">
        <f t="shared" si="697"/>
        <v>0.36059479553903351</v>
      </c>
      <c r="AE191" s="288"/>
      <c r="AF191" s="288">
        <f t="shared" si="697"/>
        <v>0.32954951267760479</v>
      </c>
      <c r="AG191" s="288">
        <f t="shared" si="697"/>
        <v>0.33274647887323938</v>
      </c>
      <c r="AH191" s="288"/>
      <c r="AI191" s="288">
        <f t="shared" ref="AI191:AJ191" si="698">SUM(AI71:AI75)</f>
        <v>0.26993229978464428</v>
      </c>
      <c r="AJ191" s="288">
        <f t="shared" si="698"/>
        <v>0.27744165946413135</v>
      </c>
      <c r="AK191" s="288"/>
      <c r="AL191" s="288">
        <f t="shared" ref="AL191:AM191" si="699">SUM(AL71:AL75)</f>
        <v>0.2338927299726955</v>
      </c>
      <c r="AM191" s="288">
        <f t="shared" si="699"/>
        <v>0.24941176470588233</v>
      </c>
      <c r="AN191" s="288"/>
      <c r="AO191" s="288">
        <f t="shared" ref="AO191:AP191" si="700">SUM(AO71:AO75)</f>
        <v>0.27534950544289105</v>
      </c>
      <c r="AP191" s="288">
        <f t="shared" si="700"/>
        <v>0.28542234332425065</v>
      </c>
      <c r="AQ191" s="368"/>
      <c r="AR191" s="288">
        <f t="shared" ref="AR191:AS191" si="701">SUM(AR71:AR75)</f>
        <v>0.20221609758408166</v>
      </c>
      <c r="AS191" s="288">
        <f t="shared" si="701"/>
        <v>0.21345407503234148</v>
      </c>
      <c r="AT191" s="368"/>
      <c r="AU191" s="288">
        <f t="shared" si="697"/>
        <v>0.23732613521895418</v>
      </c>
      <c r="AV191" s="288">
        <f t="shared" si="697"/>
        <v>0.23889511011571485</v>
      </c>
      <c r="AW191" s="368"/>
      <c r="AX191" s="343">
        <f t="shared" si="691"/>
        <v>0.29250665340027121</v>
      </c>
      <c r="AY191" s="343">
        <f t="shared" si="692"/>
        <v>0.29456527609423377</v>
      </c>
      <c r="AZ191" s="343"/>
      <c r="BA191" t="s">
        <v>184</v>
      </c>
    </row>
    <row r="192" spans="1:127" hidden="1" outlineLevel="1" x14ac:dyDescent="0.25">
      <c r="AL192" s="1008" t="s">
        <v>406</v>
      </c>
      <c r="AM192" s="1008"/>
      <c r="AN192" s="1008"/>
      <c r="AO192" s="1009"/>
      <c r="AP192" s="1009"/>
      <c r="AQ192" s="386"/>
      <c r="AR192" s="1009"/>
      <c r="AS192" s="1009"/>
      <c r="AT192" s="386"/>
      <c r="AU192" s="1009" t="s">
        <v>166</v>
      </c>
      <c r="AV192" s="1009"/>
      <c r="AW192" s="386"/>
    </row>
    <row r="193" spans="1:127" hidden="1" outlineLevel="1" x14ac:dyDescent="0.25">
      <c r="A193" s="252" t="s">
        <v>12</v>
      </c>
      <c r="B193" s="291" t="str">
        <f>Tabelle3[[#Headers],[Ned (€)]]</f>
        <v>Ned (€)</v>
      </c>
      <c r="C193" s="292" t="str">
        <f>C$4</f>
        <v>Ned (Backer)</v>
      </c>
      <c r="D193" s="370" t="str">
        <f t="shared" ref="D193:AW193" si="702">D$4</f>
        <v>Ned (€/B)</v>
      </c>
      <c r="E193" s="294" t="str">
        <f t="shared" si="702"/>
        <v>Werkzeuge (€)</v>
      </c>
      <c r="F193" s="295" t="str">
        <f t="shared" si="702"/>
        <v>Werkzeuge (Backer)</v>
      </c>
      <c r="G193" s="407" t="str">
        <f t="shared" si="702"/>
        <v>Werkz (€/B)</v>
      </c>
      <c r="H193" s="298" t="str">
        <f t="shared" si="702"/>
        <v>DSK Fasar (€)</v>
      </c>
      <c r="I193" s="299" t="str">
        <f t="shared" si="702"/>
        <v>DSK Fasar (Backer)</v>
      </c>
      <c r="J193" s="300" t="str">
        <f t="shared" si="702"/>
        <v>DSK Fasar (€/B)</v>
      </c>
      <c r="K193" s="291" t="str">
        <f t="shared" si="702"/>
        <v>Mythen (€)</v>
      </c>
      <c r="L193" s="292" t="str">
        <f t="shared" si="702"/>
        <v>Mythen (Backer)</v>
      </c>
      <c r="M193" s="292" t="str">
        <f t="shared" si="702"/>
        <v>Mythen (€/B)</v>
      </c>
      <c r="N193" s="296" t="str">
        <f t="shared" si="702"/>
        <v>SOK (€)</v>
      </c>
      <c r="O193" s="297" t="str">
        <f t="shared" si="702"/>
        <v>SOK (Backer)</v>
      </c>
      <c r="P193" s="297" t="str">
        <f t="shared" si="702"/>
        <v>SOK (€/B)</v>
      </c>
      <c r="Q193" s="293" t="str">
        <f t="shared" si="702"/>
        <v>RE (€)</v>
      </c>
      <c r="R193" s="293" t="str">
        <f t="shared" si="702"/>
        <v>RE (Backer)</v>
      </c>
      <c r="S193" s="293" t="str">
        <f t="shared" si="702"/>
        <v>RE (€/B)</v>
      </c>
      <c r="T193" s="293" t="str">
        <f t="shared" si="702"/>
        <v>DGG (€)</v>
      </c>
      <c r="U193" s="293" t="str">
        <f t="shared" si="702"/>
        <v>DGG (Backer)</v>
      </c>
      <c r="V193" s="293" t="str">
        <f t="shared" si="702"/>
        <v>DGG (€/B)</v>
      </c>
      <c r="W193" s="298" t="str">
        <f t="shared" si="702"/>
        <v>DSK SV (€)</v>
      </c>
      <c r="X193" s="299" t="str">
        <f t="shared" si="702"/>
        <v>DSK SV (Backer)</v>
      </c>
      <c r="Y193" s="300" t="str">
        <f t="shared" si="702"/>
        <v>DSK SV (€/B)</v>
      </c>
      <c r="Z193" s="296" t="str">
        <f t="shared" si="702"/>
        <v>WW (€)</v>
      </c>
      <c r="AA193" s="297" t="str">
        <f t="shared" si="702"/>
        <v>WW (Backer)</v>
      </c>
      <c r="AB193" s="297" t="str">
        <f t="shared" si="702"/>
        <v>WW (€/B)</v>
      </c>
      <c r="AC193" s="298" t="str">
        <f t="shared" si="702"/>
        <v>DSK R (€)</v>
      </c>
      <c r="AD193" s="299" t="str">
        <f t="shared" si="702"/>
        <v>DSK R (Backer)</v>
      </c>
      <c r="AE193" s="300" t="str">
        <f t="shared" si="702"/>
        <v>DSK R (€/B)</v>
      </c>
      <c r="AF193" s="293" t="str">
        <f t="shared" si="702"/>
        <v>Ära (€)</v>
      </c>
      <c r="AG193" s="293" t="str">
        <f t="shared" si="702"/>
        <v>Ära (Backer)</v>
      </c>
      <c r="AH193" s="293" t="str">
        <f t="shared" si="702"/>
        <v>Ära (€/B)</v>
      </c>
      <c r="AI193" s="293" t="str">
        <f t="shared" si="702"/>
        <v>Mosaik (€)</v>
      </c>
      <c r="AJ193" s="293" t="str">
        <f t="shared" si="702"/>
        <v>Mosaik (Backer)</v>
      </c>
      <c r="AK193" s="293" t="str">
        <f t="shared" si="702"/>
        <v>Mosaik (€/B)</v>
      </c>
      <c r="AL193" s="298" t="str">
        <f t="shared" si="702"/>
        <v>DSK ES (€)</v>
      </c>
      <c r="AM193" s="299" t="str">
        <f t="shared" si="702"/>
        <v>DSK ES (Backer)</v>
      </c>
      <c r="AN193" s="300" t="str">
        <f t="shared" si="702"/>
        <v>DSK ES (€/B)</v>
      </c>
      <c r="AO193" s="296" t="str">
        <f t="shared" si="702"/>
        <v>ES (€)</v>
      </c>
      <c r="AP193" s="297" t="str">
        <f t="shared" si="702"/>
        <v>ES (Backer)</v>
      </c>
      <c r="AQ193" s="424" t="str">
        <f t="shared" si="702"/>
        <v>ES (€/B)</v>
      </c>
      <c r="AR193" s="296" t="str">
        <f t="shared" si="702"/>
        <v>WF (€)</v>
      </c>
      <c r="AS193" s="297" t="str">
        <f t="shared" si="702"/>
        <v>WF(Backer)</v>
      </c>
      <c r="AT193" s="424" t="str">
        <f t="shared" si="702"/>
        <v>WF (€/B)</v>
      </c>
      <c r="AU193" s="291" t="str">
        <f t="shared" si="702"/>
        <v>AKM (€)</v>
      </c>
      <c r="AV193" s="292" t="str">
        <f t="shared" si="702"/>
        <v>AKM(Backer)</v>
      </c>
      <c r="AW193" s="292" t="str">
        <f t="shared" si="702"/>
        <v>AKM (€/B)</v>
      </c>
      <c r="AX193" s="1007" t="s">
        <v>167</v>
      </c>
      <c r="AY193" s="1007"/>
      <c r="AZ193" s="1007"/>
      <c r="BA193" s="1007"/>
      <c r="BV193" s="172"/>
      <c r="BW193" s="171"/>
      <c r="BX193" s="171"/>
      <c r="BY193" s="171"/>
      <c r="BZ193" s="171"/>
      <c r="CA193" s="171"/>
      <c r="CB193" s="171"/>
      <c r="CC193" s="171"/>
      <c r="CD193" s="171"/>
      <c r="CE193" s="171"/>
      <c r="CF193" s="171"/>
      <c r="CG193" s="171"/>
      <c r="CH193" s="171"/>
      <c r="CI193" s="171"/>
      <c r="CJ193" s="171"/>
      <c r="CK193" s="171"/>
      <c r="CL193" s="171"/>
      <c r="CM193" s="171"/>
      <c r="CN193" s="171"/>
      <c r="CO193" s="171"/>
      <c r="CP193" s="171"/>
      <c r="CQ193" s="171"/>
      <c r="CR193" s="171"/>
      <c r="CS193" s="171"/>
      <c r="CT193" s="171"/>
      <c r="CU193" s="171"/>
      <c r="CV193" s="171"/>
      <c r="CW193" s="171"/>
      <c r="CX193" s="171"/>
      <c r="CY193" s="171"/>
      <c r="CZ193" s="171"/>
      <c r="DA193" s="171"/>
      <c r="DB193" s="171"/>
      <c r="DC193" s="171"/>
      <c r="DD193" s="171"/>
      <c r="DE193" s="171"/>
      <c r="DF193" s="171"/>
      <c r="DG193" s="171"/>
      <c r="DH193" s="171"/>
      <c r="DI193" s="171"/>
      <c r="DJ193" s="171"/>
      <c r="DK193" s="171"/>
      <c r="DL193" s="171"/>
      <c r="DM193" s="171"/>
      <c r="DN193" s="171"/>
      <c r="DO193" s="171"/>
      <c r="DP193" s="171"/>
      <c r="DQ193" s="171"/>
      <c r="DR193" s="171"/>
      <c r="DS193" s="171"/>
      <c r="DT193" s="171"/>
      <c r="DU193" s="171"/>
      <c r="DV193" s="171"/>
      <c r="DW193" s="171"/>
    </row>
    <row r="194" spans="1:127" hidden="1" outlineLevel="1" x14ac:dyDescent="0.25">
      <c r="A194" s="302" t="s">
        <v>157</v>
      </c>
      <c r="B194" s="288">
        <f>SUM(B55:B61)</f>
        <v>0.38784184778250058</v>
      </c>
      <c r="C194" s="288">
        <f>SUM(C55:C61)</f>
        <v>0.35734870317002881</v>
      </c>
      <c r="D194" s="371"/>
      <c r="E194" s="288">
        <f t="shared" ref="E194:AV194" si="703">SUM(E55:E61)</f>
        <v>0.40786521461502862</v>
      </c>
      <c r="F194" s="288">
        <f t="shared" si="703"/>
        <v>0.39021164021164023</v>
      </c>
      <c r="G194" s="371"/>
      <c r="H194" s="288">
        <f t="shared" si="703"/>
        <v>0.45257651947547983</v>
      </c>
      <c r="I194" s="288">
        <f t="shared" si="703"/>
        <v>0.46808510638297873</v>
      </c>
      <c r="J194" s="288"/>
      <c r="K194" s="288">
        <f t="shared" si="703"/>
        <v>0.44696691891411361</v>
      </c>
      <c r="L194" s="288">
        <f t="shared" si="703"/>
        <v>0.47484909456740443</v>
      </c>
      <c r="M194" s="288"/>
      <c r="N194" s="288">
        <f t="shared" si="703"/>
        <v>0.61610694462453519</v>
      </c>
      <c r="O194" s="288">
        <f t="shared" si="703"/>
        <v>0.62740384615384615</v>
      </c>
      <c r="P194" s="288"/>
      <c r="Q194" s="288">
        <f t="shared" si="703"/>
        <v>0.42122420340736527</v>
      </c>
      <c r="R194" s="288">
        <f t="shared" si="703"/>
        <v>0.42762364294330518</v>
      </c>
      <c r="S194" s="288"/>
      <c r="T194" s="288">
        <f t="shared" si="703"/>
        <v>0.54752192887698226</v>
      </c>
      <c r="U194" s="288">
        <f t="shared" si="703"/>
        <v>0.53641025641025641</v>
      </c>
      <c r="V194" s="288"/>
      <c r="W194" s="288">
        <f t="shared" si="703"/>
        <v>0.43452086210940555</v>
      </c>
      <c r="X194" s="288">
        <f t="shared" si="703"/>
        <v>0.40620155038759692</v>
      </c>
      <c r="Y194" s="288"/>
      <c r="Z194" s="288">
        <f t="shared" si="703"/>
        <v>0.56986145144636058</v>
      </c>
      <c r="AA194" s="288">
        <f t="shared" si="703"/>
        <v>0.56726190476190474</v>
      </c>
      <c r="AB194" s="288"/>
      <c r="AC194" s="288">
        <f t="shared" si="703"/>
        <v>0.46145994261752371</v>
      </c>
      <c r="AD194" s="288">
        <f t="shared" si="703"/>
        <v>0.47211895910780671</v>
      </c>
      <c r="AE194" s="288"/>
      <c r="AF194" s="288">
        <f t="shared" si="703"/>
        <v>0.37897993331166563</v>
      </c>
      <c r="AG194" s="288">
        <f t="shared" si="703"/>
        <v>0.38292253521126762</v>
      </c>
      <c r="AH194" s="288"/>
      <c r="AI194" s="288">
        <f t="shared" ref="AI194:AJ194" si="704">SUM(AI55:AI61)</f>
        <v>0.57791473818220762</v>
      </c>
      <c r="AJ194" s="288">
        <f t="shared" si="704"/>
        <v>0.57130509939498708</v>
      </c>
      <c r="AK194" s="288"/>
      <c r="AL194" s="426"/>
      <c r="AM194" s="426"/>
      <c r="AN194" s="288"/>
      <c r="AO194" s="288">
        <f t="shared" ref="AO194:AP194" si="705">SUM(AO55:AO61)</f>
        <v>0.5128246800737204</v>
      </c>
      <c r="AP194" s="288">
        <f t="shared" si="705"/>
        <v>0.50817438692098094</v>
      </c>
      <c r="AQ194" s="368"/>
      <c r="AR194" s="288">
        <f t="shared" ref="AR194:AS194" si="706">SUM(AR55:AR61)</f>
        <v>0.56400873550393471</v>
      </c>
      <c r="AS194" s="288">
        <f t="shared" si="706"/>
        <v>0.5530401034928849</v>
      </c>
      <c r="AT194" s="368"/>
      <c r="AU194" s="288">
        <f t="shared" si="703"/>
        <v>0.58794729225509379</v>
      </c>
      <c r="AV194" s="288">
        <f t="shared" si="703"/>
        <v>0.61888764464352375</v>
      </c>
      <c r="AW194" s="368"/>
      <c r="AX194" s="343">
        <f t="shared" ref="AX194:AX196" si="707">AVERAGE(B194,E194,H194,K194,N194,Q194,T194,W194,Z194,AC194,AI194,AO194,AR194)</f>
        <v>0.49236107597147366</v>
      </c>
      <c r="AY194" s="343">
        <f t="shared" ref="AY194:AY196" si="708">AVERAGE(C194,F194,I194,L194,O194,R194,U194,X194,AA194,AD194,AJ194,AP194,AS194)</f>
        <v>0.48923340722350933</v>
      </c>
      <c r="AZ194" s="343"/>
      <c r="BA194" t="s">
        <v>185</v>
      </c>
    </row>
    <row r="195" spans="1:127" hidden="1" outlineLevel="1" x14ac:dyDescent="0.25">
      <c r="A195" s="303" t="s">
        <v>158</v>
      </c>
      <c r="B195" s="287">
        <f>SUM(B62:B68)</f>
        <v>0.23034726120779531</v>
      </c>
      <c r="C195" s="287">
        <f>SUM(C62:C68)</f>
        <v>0.23342939481268016</v>
      </c>
      <c r="D195" s="372"/>
      <c r="E195" s="287">
        <f t="shared" ref="E195:AV195" si="709">SUM(E62:E68)</f>
        <v>0.13758560289629235</v>
      </c>
      <c r="F195" s="287">
        <f t="shared" si="709"/>
        <v>0.14285714285714279</v>
      </c>
      <c r="G195" s="372"/>
      <c r="H195" s="287">
        <f t="shared" si="709"/>
        <v>0.15708118421265382</v>
      </c>
      <c r="I195" s="287">
        <f t="shared" si="709"/>
        <v>0.16565349544072949</v>
      </c>
      <c r="J195" s="287"/>
      <c r="K195" s="287">
        <f t="shared" si="709"/>
        <v>0.19374159638186045</v>
      </c>
      <c r="L195" s="287">
        <f t="shared" si="709"/>
        <v>0.18913480885311873</v>
      </c>
      <c r="M195" s="287"/>
      <c r="N195" s="287">
        <f t="shared" si="709"/>
        <v>0.12268850621347938</v>
      </c>
      <c r="O195" s="287">
        <f t="shared" si="709"/>
        <v>0.11298076923076927</v>
      </c>
      <c r="P195" s="287"/>
      <c r="Q195" s="287">
        <f t="shared" si="709"/>
        <v>0.19538702251176038</v>
      </c>
      <c r="R195" s="287">
        <f t="shared" si="709"/>
        <v>0.21170084439083231</v>
      </c>
      <c r="S195" s="287"/>
      <c r="T195" s="287">
        <f t="shared" si="709"/>
        <v>0.12646156505206751</v>
      </c>
      <c r="U195" s="287">
        <f t="shared" si="709"/>
        <v>0.13025641025641022</v>
      </c>
      <c r="V195" s="287"/>
      <c r="W195" s="287">
        <f t="shared" si="709"/>
        <v>0.18789363495000566</v>
      </c>
      <c r="X195" s="287">
        <f t="shared" si="709"/>
        <v>0.20620155038759685</v>
      </c>
      <c r="Y195" s="287"/>
      <c r="Z195" s="287">
        <f t="shared" si="709"/>
        <v>0.14720360010479761</v>
      </c>
      <c r="AA195" s="287">
        <f t="shared" si="709"/>
        <v>0.15119047619047621</v>
      </c>
      <c r="AB195" s="287"/>
      <c r="AC195" s="287">
        <f t="shared" si="709"/>
        <v>0.12963473846832935</v>
      </c>
      <c r="AD195" s="287">
        <f t="shared" si="709"/>
        <v>0.11895910780669144</v>
      </c>
      <c r="AE195" s="287"/>
      <c r="AF195" s="287">
        <f t="shared" si="709"/>
        <v>0.21826987508978052</v>
      </c>
      <c r="AG195" s="287">
        <f t="shared" si="709"/>
        <v>0.22975352112676051</v>
      </c>
      <c r="AH195" s="287"/>
      <c r="AI195" s="287">
        <f t="shared" ref="AI195:AJ195" si="710">SUM(AI62:AI68)</f>
        <v>0.12483491379823186</v>
      </c>
      <c r="AJ195" s="287">
        <f t="shared" si="710"/>
        <v>0.12532411408815902</v>
      </c>
      <c r="AK195" s="287"/>
      <c r="AL195" s="287">
        <f t="shared" ref="AL195:AM195" si="711">SUM(AL62:AL68)</f>
        <v>0.19568237341721628</v>
      </c>
      <c r="AM195" s="287">
        <f t="shared" si="711"/>
        <v>0.17411764705882349</v>
      </c>
      <c r="AN195" s="287"/>
      <c r="AO195" s="287">
        <f t="shared" ref="AO195:AP195" si="712">SUM(AO62:AO68)</f>
        <v>0.15035316220758066</v>
      </c>
      <c r="AP195" s="287">
        <f t="shared" si="712"/>
        <v>0.14986376021798364</v>
      </c>
      <c r="AQ195" s="383"/>
      <c r="AR195" s="287">
        <f t="shared" ref="AR195:AS195" si="713">SUM(AR62:AR68)</f>
        <v>0.17692845693621129</v>
      </c>
      <c r="AS195" s="287">
        <f t="shared" si="713"/>
        <v>0.16817593790426899</v>
      </c>
      <c r="AT195" s="383"/>
      <c r="AU195" s="287">
        <f t="shared" si="709"/>
        <v>0.12229482922971213</v>
      </c>
      <c r="AV195" s="287">
        <f t="shared" si="709"/>
        <v>0.1007838745800671</v>
      </c>
      <c r="AW195" s="383"/>
      <c r="AX195" s="343">
        <f t="shared" si="707"/>
        <v>0.1600108649954666</v>
      </c>
      <c r="AY195" s="343">
        <f t="shared" si="708"/>
        <v>0.16197906249514299</v>
      </c>
      <c r="AZ195" s="343"/>
      <c r="BA195" t="s">
        <v>186</v>
      </c>
    </row>
    <row r="196" spans="1:127" hidden="1" outlineLevel="1" x14ac:dyDescent="0.25">
      <c r="A196" s="302" t="s">
        <v>159</v>
      </c>
      <c r="B196" s="288">
        <f>SUM(B69:B75)</f>
        <v>0.38181089100970411</v>
      </c>
      <c r="C196" s="288">
        <f>SUM(C69:C75)</f>
        <v>0.40922190201729103</v>
      </c>
      <c r="D196" s="371"/>
      <c r="E196" s="288">
        <f t="shared" ref="E196:AV196" si="714">SUM(E69:E75)</f>
        <v>0.45454918248867904</v>
      </c>
      <c r="F196" s="288">
        <f t="shared" si="714"/>
        <v>0.46693121693121697</v>
      </c>
      <c r="G196" s="371"/>
      <c r="H196" s="288">
        <f t="shared" si="714"/>
        <v>0.39034229631186634</v>
      </c>
      <c r="I196" s="288">
        <f t="shared" si="714"/>
        <v>0.36626139817629177</v>
      </c>
      <c r="J196" s="288"/>
      <c r="K196" s="288">
        <f t="shared" si="714"/>
        <v>0.35929148470402594</v>
      </c>
      <c r="L196" s="288">
        <f t="shared" si="714"/>
        <v>0.33601609657947684</v>
      </c>
      <c r="M196" s="288"/>
      <c r="N196" s="288">
        <f t="shared" si="714"/>
        <v>0.26120454916198543</v>
      </c>
      <c r="O196" s="288">
        <f t="shared" si="714"/>
        <v>0.25961538461538458</v>
      </c>
      <c r="P196" s="288"/>
      <c r="Q196" s="288">
        <f t="shared" si="714"/>
        <v>0.38338877408087435</v>
      </c>
      <c r="R196" s="288">
        <f t="shared" si="714"/>
        <v>0.36067551266586251</v>
      </c>
      <c r="S196" s="288"/>
      <c r="T196" s="288">
        <f t="shared" si="714"/>
        <v>0.32601650607095023</v>
      </c>
      <c r="U196" s="288">
        <f t="shared" si="714"/>
        <v>0.33333333333333337</v>
      </c>
      <c r="V196" s="288"/>
      <c r="W196" s="288">
        <f t="shared" si="714"/>
        <v>0.37758550294058879</v>
      </c>
      <c r="X196" s="288">
        <f t="shared" si="714"/>
        <v>0.38759689922480622</v>
      </c>
      <c r="Y196" s="288"/>
      <c r="Z196" s="288">
        <f t="shared" si="714"/>
        <v>0.28293494844884182</v>
      </c>
      <c r="AA196" s="288">
        <f t="shared" si="714"/>
        <v>0.28154761904761905</v>
      </c>
      <c r="AB196" s="288"/>
      <c r="AC196" s="288">
        <f t="shared" si="714"/>
        <v>0.40890531891414694</v>
      </c>
      <c r="AD196" s="288">
        <f t="shared" si="714"/>
        <v>0.40892193308550184</v>
      </c>
      <c r="AE196" s="288"/>
      <c r="AF196" s="288">
        <f t="shared" si="714"/>
        <v>0.40275019159855385</v>
      </c>
      <c r="AG196" s="288">
        <f t="shared" si="714"/>
        <v>0.38732394366197187</v>
      </c>
      <c r="AH196" s="288"/>
      <c r="AI196" s="288">
        <f t="shared" ref="AI196:AJ196" si="715">SUM(AI69:AI75)</f>
        <v>0.29725034801956052</v>
      </c>
      <c r="AJ196" s="288">
        <f t="shared" si="715"/>
        <v>0.3033707865168539</v>
      </c>
      <c r="AK196" s="288"/>
      <c r="AL196" s="288">
        <f t="shared" ref="AL196:AM196" si="716">SUM(AL69:AL75)</f>
        <v>0.30363900554074119</v>
      </c>
      <c r="AM196" s="288">
        <f t="shared" si="716"/>
        <v>0.30823529411764705</v>
      </c>
      <c r="AN196" s="288"/>
      <c r="AO196" s="288">
        <f t="shared" ref="AO196:AP196" si="717">SUM(AO69:AO75)</f>
        <v>0.33682215771869894</v>
      </c>
      <c r="AP196" s="288">
        <f t="shared" si="717"/>
        <v>0.34196185286103542</v>
      </c>
      <c r="AQ196" s="368"/>
      <c r="AR196" s="288">
        <f t="shared" ref="AR196:AS196" si="718">SUM(AR69:AR75)</f>
        <v>0.259062807559854</v>
      </c>
      <c r="AS196" s="288">
        <f t="shared" si="718"/>
        <v>0.2787839586028461</v>
      </c>
      <c r="AT196" s="368"/>
      <c r="AU196" s="288">
        <f t="shared" si="714"/>
        <v>0.28975787851519408</v>
      </c>
      <c r="AV196" s="288">
        <f t="shared" si="714"/>
        <v>0.28032848077640915</v>
      </c>
      <c r="AW196" s="368"/>
      <c r="AX196" s="343">
        <f t="shared" si="707"/>
        <v>0.34762805903305971</v>
      </c>
      <c r="AY196" s="343">
        <f t="shared" si="708"/>
        <v>0.34878753028134768</v>
      </c>
      <c r="AZ196" s="343"/>
      <c r="BA196" t="s">
        <v>187</v>
      </c>
    </row>
    <row r="197" spans="1:127" hidden="1" outlineLevel="1" x14ac:dyDescent="0.25">
      <c r="AL197" s="1008" t="s">
        <v>406</v>
      </c>
      <c r="AM197" s="1008"/>
      <c r="AN197" s="1008"/>
      <c r="AO197" s="1009"/>
      <c r="AP197" s="1009"/>
      <c r="AQ197" s="386"/>
      <c r="AR197" s="1009"/>
      <c r="AS197" s="1009"/>
      <c r="AT197" s="386"/>
      <c r="AU197" s="1009" t="s">
        <v>166</v>
      </c>
      <c r="AV197" s="1009"/>
      <c r="AW197" s="386"/>
    </row>
    <row r="198" spans="1:127" hidden="1" outlineLevel="1" x14ac:dyDescent="0.25">
      <c r="A198" s="252" t="s">
        <v>12</v>
      </c>
      <c r="B198" s="291" t="str">
        <f>Tabelle3[[#Headers],[Ned (€)]]</f>
        <v>Ned (€)</v>
      </c>
      <c r="C198" s="292" t="str">
        <f>C$4</f>
        <v>Ned (Backer)</v>
      </c>
      <c r="D198" s="370" t="str">
        <f t="shared" ref="D198:AW198" si="719">D$4</f>
        <v>Ned (€/B)</v>
      </c>
      <c r="E198" s="294" t="str">
        <f t="shared" si="719"/>
        <v>Werkzeuge (€)</v>
      </c>
      <c r="F198" s="295" t="str">
        <f t="shared" si="719"/>
        <v>Werkzeuge (Backer)</v>
      </c>
      <c r="G198" s="407" t="str">
        <f t="shared" si="719"/>
        <v>Werkz (€/B)</v>
      </c>
      <c r="H198" s="298" t="str">
        <f t="shared" si="719"/>
        <v>DSK Fasar (€)</v>
      </c>
      <c r="I198" s="299" t="str">
        <f t="shared" si="719"/>
        <v>DSK Fasar (Backer)</v>
      </c>
      <c r="J198" s="300" t="str">
        <f t="shared" si="719"/>
        <v>DSK Fasar (€/B)</v>
      </c>
      <c r="K198" s="291" t="str">
        <f t="shared" si="719"/>
        <v>Mythen (€)</v>
      </c>
      <c r="L198" s="292" t="str">
        <f t="shared" si="719"/>
        <v>Mythen (Backer)</v>
      </c>
      <c r="M198" s="292" t="str">
        <f t="shared" si="719"/>
        <v>Mythen (€/B)</v>
      </c>
      <c r="N198" s="296" t="str">
        <f t="shared" si="719"/>
        <v>SOK (€)</v>
      </c>
      <c r="O198" s="297" t="str">
        <f t="shared" si="719"/>
        <v>SOK (Backer)</v>
      </c>
      <c r="P198" s="297" t="str">
        <f t="shared" si="719"/>
        <v>SOK (€/B)</v>
      </c>
      <c r="Q198" s="293" t="str">
        <f t="shared" si="719"/>
        <v>RE (€)</v>
      </c>
      <c r="R198" s="293" t="str">
        <f t="shared" si="719"/>
        <v>RE (Backer)</v>
      </c>
      <c r="S198" s="293" t="str">
        <f t="shared" si="719"/>
        <v>RE (€/B)</v>
      </c>
      <c r="T198" s="293" t="str">
        <f t="shared" si="719"/>
        <v>DGG (€)</v>
      </c>
      <c r="U198" s="293" t="str">
        <f t="shared" si="719"/>
        <v>DGG (Backer)</v>
      </c>
      <c r="V198" s="293" t="str">
        <f t="shared" si="719"/>
        <v>DGG (€/B)</v>
      </c>
      <c r="W198" s="298" t="str">
        <f t="shared" si="719"/>
        <v>DSK SV (€)</v>
      </c>
      <c r="X198" s="299" t="str">
        <f t="shared" si="719"/>
        <v>DSK SV (Backer)</v>
      </c>
      <c r="Y198" s="300" t="str">
        <f t="shared" si="719"/>
        <v>DSK SV (€/B)</v>
      </c>
      <c r="Z198" s="296" t="str">
        <f t="shared" si="719"/>
        <v>WW (€)</v>
      </c>
      <c r="AA198" s="297" t="str">
        <f t="shared" si="719"/>
        <v>WW (Backer)</v>
      </c>
      <c r="AB198" s="297" t="str">
        <f t="shared" si="719"/>
        <v>WW (€/B)</v>
      </c>
      <c r="AC198" s="298" t="str">
        <f t="shared" si="719"/>
        <v>DSK R (€)</v>
      </c>
      <c r="AD198" s="299" t="str">
        <f t="shared" si="719"/>
        <v>DSK R (Backer)</v>
      </c>
      <c r="AE198" s="300" t="str">
        <f t="shared" si="719"/>
        <v>DSK R (€/B)</v>
      </c>
      <c r="AF198" s="293" t="str">
        <f t="shared" si="719"/>
        <v>Ära (€)</v>
      </c>
      <c r="AG198" s="293" t="str">
        <f t="shared" si="719"/>
        <v>Ära (Backer)</v>
      </c>
      <c r="AH198" s="293" t="str">
        <f t="shared" si="719"/>
        <v>Ära (€/B)</v>
      </c>
      <c r="AI198" s="293" t="str">
        <f t="shared" si="719"/>
        <v>Mosaik (€)</v>
      </c>
      <c r="AJ198" s="293" t="str">
        <f t="shared" si="719"/>
        <v>Mosaik (Backer)</v>
      </c>
      <c r="AK198" s="293" t="str">
        <f t="shared" si="719"/>
        <v>Mosaik (€/B)</v>
      </c>
      <c r="AL198" s="298" t="str">
        <f t="shared" si="719"/>
        <v>DSK ES (€)</v>
      </c>
      <c r="AM198" s="299" t="str">
        <f t="shared" si="719"/>
        <v>DSK ES (Backer)</v>
      </c>
      <c r="AN198" s="300" t="str">
        <f t="shared" si="719"/>
        <v>DSK ES (€/B)</v>
      </c>
      <c r="AO198" s="296" t="str">
        <f t="shared" si="719"/>
        <v>ES (€)</v>
      </c>
      <c r="AP198" s="297" t="str">
        <f t="shared" si="719"/>
        <v>ES (Backer)</v>
      </c>
      <c r="AQ198" s="424" t="str">
        <f t="shared" si="719"/>
        <v>ES (€/B)</v>
      </c>
      <c r="AR198" s="296" t="str">
        <f t="shared" si="719"/>
        <v>WF (€)</v>
      </c>
      <c r="AS198" s="297" t="str">
        <f t="shared" si="719"/>
        <v>WF(Backer)</v>
      </c>
      <c r="AT198" s="424" t="str">
        <f t="shared" si="719"/>
        <v>WF (€/B)</v>
      </c>
      <c r="AU198" s="291" t="str">
        <f t="shared" si="719"/>
        <v>AKM (€)</v>
      </c>
      <c r="AV198" s="292" t="str">
        <f t="shared" si="719"/>
        <v>AKM(Backer)</v>
      </c>
      <c r="AW198" s="292" t="str">
        <f t="shared" si="719"/>
        <v>AKM (€/B)</v>
      </c>
      <c r="AX198" s="1007" t="s">
        <v>167</v>
      </c>
      <c r="AY198" s="1007"/>
      <c r="AZ198" s="1007"/>
      <c r="BA198" s="1007"/>
      <c r="BV198" s="172"/>
      <c r="BW198" s="171"/>
      <c r="BX198" s="171"/>
      <c r="BY198" s="171"/>
      <c r="BZ198" s="171"/>
      <c r="CA198" s="171"/>
      <c r="CB198" s="171"/>
      <c r="CC198" s="171"/>
      <c r="CD198" s="171"/>
      <c r="CE198" s="171"/>
      <c r="CF198" s="171"/>
      <c r="CG198" s="171"/>
      <c r="CH198" s="171"/>
      <c r="CI198" s="171"/>
      <c r="CJ198" s="171"/>
      <c r="CK198" s="171"/>
      <c r="CL198" s="171"/>
      <c r="CM198" s="171"/>
      <c r="CN198" s="171"/>
      <c r="CO198" s="171"/>
      <c r="CP198" s="171"/>
      <c r="CQ198" s="171"/>
      <c r="CR198" s="171"/>
      <c r="CS198" s="171"/>
      <c r="CT198" s="171"/>
      <c r="CU198" s="171"/>
      <c r="CV198" s="171"/>
      <c r="CW198" s="171"/>
      <c r="CX198" s="171"/>
      <c r="CY198" s="171"/>
      <c r="CZ198" s="171"/>
      <c r="DA198" s="171"/>
      <c r="DB198" s="171"/>
      <c r="DC198" s="171"/>
      <c r="DD198" s="171"/>
      <c r="DE198" s="171"/>
      <c r="DF198" s="171"/>
      <c r="DG198" s="171"/>
      <c r="DH198" s="171"/>
      <c r="DI198" s="171"/>
      <c r="DJ198" s="171"/>
      <c r="DK198" s="171"/>
      <c r="DL198" s="171"/>
      <c r="DM198" s="171"/>
      <c r="DN198" s="171"/>
      <c r="DO198" s="171"/>
      <c r="DP198" s="171"/>
      <c r="DQ198" s="171"/>
      <c r="DR198" s="171"/>
      <c r="DS198" s="171"/>
      <c r="DT198" s="171"/>
      <c r="DU198" s="171"/>
      <c r="DV198" s="171"/>
      <c r="DW198" s="171"/>
    </row>
    <row r="199" spans="1:127" hidden="1" outlineLevel="1" x14ac:dyDescent="0.25">
      <c r="A199" s="302" t="s">
        <v>35</v>
      </c>
      <c r="B199" s="288">
        <f t="shared" ref="B199:AV199" si="720">B55</f>
        <v>0.23692357045472773</v>
      </c>
      <c r="C199" s="288">
        <f t="shared" si="720"/>
        <v>0.21037463976945245</v>
      </c>
      <c r="D199" s="371"/>
      <c r="E199" s="288">
        <f t="shared" si="720"/>
        <v>0.25446248118054376</v>
      </c>
      <c r="F199" s="288">
        <f t="shared" si="720"/>
        <v>0.23677248677248677</v>
      </c>
      <c r="G199" s="371"/>
      <c r="H199" s="288">
        <f t="shared" si="720"/>
        <v>0.29429074975342379</v>
      </c>
      <c r="I199" s="288">
        <f t="shared" si="720"/>
        <v>0.29635258358662614</v>
      </c>
      <c r="J199" s="288"/>
      <c r="K199" s="288">
        <f t="shared" si="720"/>
        <v>0.21793290440155128</v>
      </c>
      <c r="L199" s="288">
        <f t="shared" si="720"/>
        <v>0.23138832997987926</v>
      </c>
      <c r="M199" s="288"/>
      <c r="N199" s="288">
        <f t="shared" si="720"/>
        <v>0.37533932582389773</v>
      </c>
      <c r="O199" s="288">
        <f t="shared" si="720"/>
        <v>0.37560096153846156</v>
      </c>
      <c r="P199" s="288"/>
      <c r="Q199" s="288">
        <f t="shared" si="720"/>
        <v>0.212457139052565</v>
      </c>
      <c r="R199" s="288">
        <f t="shared" si="720"/>
        <v>0.20566948130277443</v>
      </c>
      <c r="S199" s="288"/>
      <c r="T199" s="288">
        <f t="shared" si="720"/>
        <v>0.33040660242838005</v>
      </c>
      <c r="U199" s="288">
        <f t="shared" si="720"/>
        <v>0.32512820512820512</v>
      </c>
      <c r="V199" s="288"/>
      <c r="W199" s="288">
        <f t="shared" si="720"/>
        <v>0.23216317878953724</v>
      </c>
      <c r="X199" s="288">
        <f t="shared" si="720"/>
        <v>0.21085271317829457</v>
      </c>
      <c r="Y199" s="288"/>
      <c r="Z199" s="288">
        <f t="shared" si="720"/>
        <v>0.29954536347804644</v>
      </c>
      <c r="AA199" s="288">
        <f t="shared" si="720"/>
        <v>0.29107142857142859</v>
      </c>
      <c r="AB199" s="288"/>
      <c r="AC199" s="288">
        <f t="shared" si="720"/>
        <v>0.23055065107040387</v>
      </c>
      <c r="AD199" s="288">
        <f t="shared" si="720"/>
        <v>0.24907063197026022</v>
      </c>
      <c r="AE199" s="288"/>
      <c r="AF199" s="288">
        <f t="shared" si="720"/>
        <v>0.15888034218899844</v>
      </c>
      <c r="AG199" s="288">
        <f t="shared" si="720"/>
        <v>0.15845070422535212</v>
      </c>
      <c r="AH199" s="288"/>
      <c r="AI199" s="288">
        <f t="shared" ref="AI199:AJ199" si="721">AI55</f>
        <v>0.30887479624495817</v>
      </c>
      <c r="AJ199" s="288">
        <f t="shared" si="721"/>
        <v>0.2999135695764909</v>
      </c>
      <c r="AK199" s="288"/>
      <c r="AL199" s="426"/>
      <c r="AM199" s="426"/>
      <c r="AN199" s="288"/>
      <c r="AO199" s="288">
        <f t="shared" ref="AO199:AP199" si="722">AO55</f>
        <v>0.28716166800477166</v>
      </c>
      <c r="AP199" s="288">
        <f t="shared" si="722"/>
        <v>0.26975476839237056</v>
      </c>
      <c r="AQ199" s="368"/>
      <c r="AR199" s="288">
        <f t="shared" ref="AR199:AS199" si="723">AR55</f>
        <v>0.34307235591359936</v>
      </c>
      <c r="AS199" s="288">
        <f t="shared" si="723"/>
        <v>0.32600258732212162</v>
      </c>
      <c r="AT199" s="368"/>
      <c r="AU199" s="288">
        <f t="shared" si="720"/>
        <v>0.32721378729366507</v>
      </c>
      <c r="AV199" s="288">
        <f t="shared" si="720"/>
        <v>0.3467711832773423</v>
      </c>
      <c r="AW199" s="368"/>
      <c r="AX199" s="343">
        <f t="shared" ref="AX199:AX202" si="724">AVERAGE(B199,E199,H199,K199,N199,Q199,T199,W199,Z199,AC199,AI199,AO199,AR199)</f>
        <v>0.27870621435356968</v>
      </c>
      <c r="AY199" s="343">
        <f t="shared" ref="AY199:AY202" si="725">AVERAGE(C199,F199,I199,L199,O199,R199,U199,X199,AA199,AD199,AJ199,AP199,AS199)</f>
        <v>0.27138095285298863</v>
      </c>
      <c r="AZ199" s="343"/>
      <c r="BA199" s="367" t="s">
        <v>190</v>
      </c>
      <c r="BB199" s="367"/>
      <c r="BC199" s="367"/>
    </row>
    <row r="200" spans="1:127" hidden="1" outlineLevel="1" x14ac:dyDescent="0.25">
      <c r="A200" s="303" t="s">
        <v>188</v>
      </c>
      <c r="B200" s="287">
        <f t="shared" ref="B200:AV200" si="726">SUM(B56:B62)</f>
        <v>0.19100168417675834</v>
      </c>
      <c r="C200" s="287">
        <f t="shared" si="726"/>
        <v>0.18155619596541786</v>
      </c>
      <c r="D200" s="372"/>
      <c r="E200" s="287">
        <f t="shared" si="726"/>
        <v>0.17191463436066573</v>
      </c>
      <c r="F200" s="287">
        <f t="shared" si="726"/>
        <v>0.17063492063492061</v>
      </c>
      <c r="G200" s="372"/>
      <c r="H200" s="287">
        <f t="shared" si="726"/>
        <v>0.18103545847009556</v>
      </c>
      <c r="I200" s="287">
        <f t="shared" si="726"/>
        <v>0.19756838905775076</v>
      </c>
      <c r="J200" s="287"/>
      <c r="K200" s="287">
        <f t="shared" si="726"/>
        <v>0.26840461823960171</v>
      </c>
      <c r="L200" s="287">
        <f t="shared" si="726"/>
        <v>0.27766599597585517</v>
      </c>
      <c r="M200" s="287"/>
      <c r="N200" s="287">
        <f t="shared" si="726"/>
        <v>0.26944875500361809</v>
      </c>
      <c r="O200" s="287">
        <f t="shared" si="726"/>
        <v>0.27584134615384615</v>
      </c>
      <c r="P200" s="287"/>
      <c r="Q200" s="287">
        <f t="shared" si="726"/>
        <v>0.25580079230333896</v>
      </c>
      <c r="R200" s="287">
        <f t="shared" si="726"/>
        <v>0.27201447527141132</v>
      </c>
      <c r="S200" s="287"/>
      <c r="T200" s="287">
        <f t="shared" si="726"/>
        <v>0.23153437324460957</v>
      </c>
      <c r="U200" s="287">
        <f t="shared" si="726"/>
        <v>0.22769230769230769</v>
      </c>
      <c r="V200" s="287"/>
      <c r="W200" s="287">
        <f t="shared" si="726"/>
        <v>0.24112828264401065</v>
      </c>
      <c r="X200" s="287">
        <f t="shared" si="726"/>
        <v>0.23410852713178293</v>
      </c>
      <c r="Y200" s="287"/>
      <c r="Z200" s="287">
        <f t="shared" si="726"/>
        <v>0.29621958173439983</v>
      </c>
      <c r="AA200" s="287">
        <f t="shared" si="726"/>
        <v>0.30059523809523808</v>
      </c>
      <c r="AB200" s="287"/>
      <c r="AC200" s="287">
        <f t="shared" si="726"/>
        <v>0.25697969543147214</v>
      </c>
      <c r="AD200" s="287">
        <f t="shared" si="726"/>
        <v>0.24907063197026022</v>
      </c>
      <c r="AE200" s="287"/>
      <c r="AF200" s="287">
        <f t="shared" si="726"/>
        <v>0.25470369434112167</v>
      </c>
      <c r="AG200" s="287">
        <f t="shared" si="726"/>
        <v>0.26056338028169013</v>
      </c>
      <c r="AH200" s="287"/>
      <c r="AI200" s="287">
        <f t="shared" ref="AI200:AJ200" si="727">SUM(AI56:AI62)</f>
        <v>0.29001630040334581</v>
      </c>
      <c r="AJ200" s="287">
        <f t="shared" si="727"/>
        <v>0.29386343993085567</v>
      </c>
      <c r="AK200" s="287"/>
      <c r="AL200" s="427"/>
      <c r="AM200" s="427"/>
      <c r="AN200" s="287"/>
      <c r="AO200" s="287">
        <f t="shared" ref="AO200:AP200" si="728">SUM(AO56:AO62)</f>
        <v>0.24958962974038595</v>
      </c>
      <c r="AP200" s="287">
        <f t="shared" si="728"/>
        <v>0.2622615803814714</v>
      </c>
      <c r="AQ200" s="383"/>
      <c r="AR200" s="287">
        <f t="shared" ref="AR200:AS200" si="729">SUM(AR56:AR62)</f>
        <v>0.24468673996349771</v>
      </c>
      <c r="AS200" s="287">
        <f t="shared" si="729"/>
        <v>0.24450194049159124</v>
      </c>
      <c r="AT200" s="383"/>
      <c r="AU200" s="287">
        <f t="shared" si="726"/>
        <v>0.28241413427935008</v>
      </c>
      <c r="AV200" s="287">
        <f t="shared" si="726"/>
        <v>0.29525942515864129</v>
      </c>
      <c r="AW200" s="383"/>
      <c r="AX200" s="343">
        <f t="shared" si="724"/>
        <v>0.24213542659352311</v>
      </c>
      <c r="AY200" s="343">
        <f t="shared" si="725"/>
        <v>0.24518269144251609</v>
      </c>
      <c r="AZ200" s="343"/>
      <c r="BA200" s="367" t="s">
        <v>191</v>
      </c>
      <c r="BB200" s="367"/>
      <c r="BC200" s="367"/>
    </row>
    <row r="201" spans="1:127" hidden="1" outlineLevel="1" x14ac:dyDescent="0.25">
      <c r="A201" s="302" t="s">
        <v>189</v>
      </c>
      <c r="B201" s="288">
        <f t="shared" ref="B201:AV201" si="730">SUM(B63:B72)</f>
        <v>0.32050685700537335</v>
      </c>
      <c r="C201" s="288">
        <f t="shared" si="730"/>
        <v>0.32853025936599423</v>
      </c>
      <c r="D201" s="371"/>
      <c r="E201" s="288">
        <f t="shared" si="730"/>
        <v>0.24977592398404225</v>
      </c>
      <c r="F201" s="288">
        <f t="shared" si="730"/>
        <v>0.25529100529100529</v>
      </c>
      <c r="G201" s="371"/>
      <c r="H201" s="288">
        <f t="shared" si="730"/>
        <v>0.26823451420440769</v>
      </c>
      <c r="I201" s="288">
        <f t="shared" si="730"/>
        <v>0.28723404255319146</v>
      </c>
      <c r="J201" s="288"/>
      <c r="K201" s="288">
        <f t="shared" si="730"/>
        <v>0.25539220588725536</v>
      </c>
      <c r="L201" s="288">
        <f t="shared" si="730"/>
        <v>0.24949698189134806</v>
      </c>
      <c r="M201" s="288"/>
      <c r="N201" s="288">
        <f t="shared" si="730"/>
        <v>0.20480849266136014</v>
      </c>
      <c r="O201" s="288">
        <f t="shared" si="730"/>
        <v>0.20132211538461542</v>
      </c>
      <c r="P201" s="288"/>
      <c r="Q201" s="288">
        <f t="shared" si="730"/>
        <v>0.25088922861818097</v>
      </c>
      <c r="R201" s="288">
        <f t="shared" si="730"/>
        <v>0.25211097708082025</v>
      </c>
      <c r="S201" s="288"/>
      <c r="T201" s="288">
        <f t="shared" si="730"/>
        <v>0.24835587434645467</v>
      </c>
      <c r="U201" s="288">
        <f t="shared" si="730"/>
        <v>0.24820512820512819</v>
      </c>
      <c r="V201" s="288"/>
      <c r="W201" s="288">
        <f t="shared" si="730"/>
        <v>0.28327817014585671</v>
      </c>
      <c r="X201" s="288">
        <f t="shared" si="730"/>
        <v>0.31627906976744186</v>
      </c>
      <c r="Y201" s="288"/>
      <c r="Z201" s="288">
        <f t="shared" si="730"/>
        <v>0.22825835683572981</v>
      </c>
      <c r="AA201" s="288">
        <f t="shared" si="730"/>
        <v>0.23333333333333328</v>
      </c>
      <c r="AB201" s="288"/>
      <c r="AC201" s="288">
        <f t="shared" si="730"/>
        <v>0.20941845067314058</v>
      </c>
      <c r="AD201" s="288">
        <f t="shared" si="730"/>
        <v>0.19330855018587362</v>
      </c>
      <c r="AE201" s="288"/>
      <c r="AF201" s="288">
        <f t="shared" si="730"/>
        <v>0.30961122546836317</v>
      </c>
      <c r="AG201" s="288">
        <f t="shared" si="730"/>
        <v>0.30369718309859151</v>
      </c>
      <c r="AH201" s="288"/>
      <c r="AI201" s="288">
        <f t="shared" ref="AI201:AJ201" si="731">SUM(AI63:AI72)</f>
        <v>0.19044106273870565</v>
      </c>
      <c r="AJ201" s="288">
        <f t="shared" si="731"/>
        <v>0.17718236819360411</v>
      </c>
      <c r="AK201" s="288"/>
      <c r="AL201" s="288">
        <f t="shared" ref="AL201:AM201" si="732">SUM(AL63:AL72)</f>
        <v>0.29753939993932332</v>
      </c>
      <c r="AM201" s="288">
        <f t="shared" si="732"/>
        <v>0.26588235294117657</v>
      </c>
      <c r="AN201" s="288"/>
      <c r="AO201" s="288">
        <f t="shared" ref="AO201:AP201" si="733">SUM(AO63:AO72)</f>
        <v>0.23498857464188083</v>
      </c>
      <c r="AP201" s="288">
        <f t="shared" si="733"/>
        <v>0.22615803814713897</v>
      </c>
      <c r="AQ201" s="368"/>
      <c r="AR201" s="288">
        <f t="shared" ref="AR201:AS201" si="734">SUM(AR63:AR72)</f>
        <v>0.2621402043118467</v>
      </c>
      <c r="AS201" s="288">
        <f t="shared" si="734"/>
        <v>0.26778783958602836</v>
      </c>
      <c r="AT201" s="368"/>
      <c r="AU201" s="288">
        <f t="shared" si="730"/>
        <v>0.20031335958393115</v>
      </c>
      <c r="AV201" s="288">
        <f t="shared" si="730"/>
        <v>0.15976110488988426</v>
      </c>
      <c r="AW201" s="368"/>
      <c r="AX201" s="343">
        <f t="shared" si="724"/>
        <v>0.24665291661955649</v>
      </c>
      <c r="AY201" s="343">
        <f t="shared" si="725"/>
        <v>0.24894151607580953</v>
      </c>
      <c r="AZ201" s="343"/>
      <c r="BA201" s="367" t="s">
        <v>192</v>
      </c>
      <c r="BB201" s="367"/>
      <c r="BC201" s="367"/>
    </row>
    <row r="202" spans="1:127" hidden="1" outlineLevel="1" x14ac:dyDescent="0.25">
      <c r="A202" s="302" t="s">
        <v>161</v>
      </c>
      <c r="B202" s="288">
        <f t="shared" ref="B202:AV202" si="735">SUM(B73:B75)</f>
        <v>0.25156788836314059</v>
      </c>
      <c r="C202" s="288">
        <f t="shared" si="735"/>
        <v>0.27953890489913547</v>
      </c>
      <c r="D202" s="371"/>
      <c r="E202" s="288">
        <f t="shared" si="735"/>
        <v>0.32384696047474826</v>
      </c>
      <c r="F202" s="288">
        <f t="shared" si="735"/>
        <v>0.33730158730158732</v>
      </c>
      <c r="G202" s="371"/>
      <c r="H202" s="288">
        <f t="shared" si="735"/>
        <v>0.25643927757207297</v>
      </c>
      <c r="I202" s="288">
        <f t="shared" si="735"/>
        <v>0.21884498480243164</v>
      </c>
      <c r="J202" s="288"/>
      <c r="K202" s="288">
        <f t="shared" si="735"/>
        <v>0.25827027147159165</v>
      </c>
      <c r="L202" s="288">
        <f t="shared" si="735"/>
        <v>0.24144869215291753</v>
      </c>
      <c r="M202" s="288"/>
      <c r="N202" s="288">
        <f t="shared" si="735"/>
        <v>0.15040342651112404</v>
      </c>
      <c r="O202" s="288">
        <f t="shared" si="735"/>
        <v>0.14723557692307687</v>
      </c>
      <c r="P202" s="288"/>
      <c r="Q202" s="288">
        <f t="shared" si="735"/>
        <v>0.28085284002591504</v>
      </c>
      <c r="R202" s="288">
        <f t="shared" si="735"/>
        <v>0.27020506634499397</v>
      </c>
      <c r="S202" s="288"/>
      <c r="T202" s="288">
        <f t="shared" si="735"/>
        <v>0.18970314998055571</v>
      </c>
      <c r="U202" s="288">
        <f t="shared" si="735"/>
        <v>0.198974358974359</v>
      </c>
      <c r="V202" s="288"/>
      <c r="W202" s="288">
        <f t="shared" si="735"/>
        <v>0.2434303684205954</v>
      </c>
      <c r="X202" s="288">
        <f t="shared" si="735"/>
        <v>0.23875968992248064</v>
      </c>
      <c r="Y202" s="288"/>
      <c r="Z202" s="288">
        <f t="shared" si="735"/>
        <v>0.17597669795182391</v>
      </c>
      <c r="AA202" s="288">
        <f t="shared" si="735"/>
        <v>0.17500000000000004</v>
      </c>
      <c r="AB202" s="288"/>
      <c r="AC202" s="288">
        <f t="shared" si="735"/>
        <v>0.30305120282498343</v>
      </c>
      <c r="AD202" s="288">
        <f t="shared" si="735"/>
        <v>0.30855018587360594</v>
      </c>
      <c r="AE202" s="288"/>
      <c r="AF202" s="288">
        <f t="shared" si="735"/>
        <v>0.27680473800151673</v>
      </c>
      <c r="AG202" s="288">
        <f t="shared" si="735"/>
        <v>0.27728873239436624</v>
      </c>
      <c r="AH202" s="288"/>
      <c r="AI202" s="288">
        <f t="shared" ref="AI202:AJ202" si="736">SUM(AI73:AI75)</f>
        <v>0.21066784061299038</v>
      </c>
      <c r="AJ202" s="288">
        <f t="shared" si="736"/>
        <v>0.22904062229904931</v>
      </c>
      <c r="AK202" s="288"/>
      <c r="AL202" s="288">
        <f t="shared" ref="AL202:AM202" si="737">SUM(AL73:AL75)</f>
        <v>0.16975106583422483</v>
      </c>
      <c r="AM202" s="288">
        <f t="shared" si="737"/>
        <v>0.18352941176470583</v>
      </c>
      <c r="AN202" s="288"/>
      <c r="AO202" s="288">
        <f t="shared" ref="AO202:AP202" si="738">SUM(AO73:AO75)</f>
        <v>0.22826012761296155</v>
      </c>
      <c r="AP202" s="288">
        <f t="shared" si="738"/>
        <v>0.24182561307901906</v>
      </c>
      <c r="AQ202" s="368"/>
      <c r="AR202" s="288">
        <f t="shared" ref="AR202:AS202" si="739">SUM(AR73:AR75)</f>
        <v>0.15010069981105623</v>
      </c>
      <c r="AS202" s="288">
        <f t="shared" si="739"/>
        <v>0.16170763260025878</v>
      </c>
      <c r="AT202" s="368"/>
      <c r="AU202" s="288">
        <f t="shared" si="735"/>
        <v>0.1900587188430537</v>
      </c>
      <c r="AV202" s="288">
        <f t="shared" si="735"/>
        <v>0.19820828667413215</v>
      </c>
      <c r="AW202" s="368"/>
      <c r="AX202" s="343">
        <f t="shared" si="724"/>
        <v>0.2325054424333507</v>
      </c>
      <c r="AY202" s="343">
        <f t="shared" si="725"/>
        <v>0.23449483962868575</v>
      </c>
      <c r="AZ202" s="343"/>
      <c r="BA202" s="367" t="s">
        <v>180</v>
      </c>
      <c r="BB202" s="367"/>
      <c r="BC202" s="367"/>
    </row>
    <row r="203" spans="1:127" hidden="1" outlineLevel="1" x14ac:dyDescent="0.25">
      <c r="AL203" s="1008" t="s">
        <v>406</v>
      </c>
      <c r="AM203" s="1008"/>
      <c r="AN203" s="1008"/>
      <c r="AO203" s="1009"/>
      <c r="AP203" s="1009"/>
      <c r="AQ203" s="386"/>
      <c r="AR203" s="1009"/>
      <c r="AS203" s="1009"/>
      <c r="AT203" s="386"/>
      <c r="AU203" s="1009" t="s">
        <v>166</v>
      </c>
      <c r="AV203" s="1009"/>
      <c r="AW203" s="386"/>
    </row>
    <row r="204" spans="1:127" hidden="1" outlineLevel="1" x14ac:dyDescent="0.25">
      <c r="A204" s="252" t="s">
        <v>12</v>
      </c>
      <c r="B204" s="291" t="str">
        <f>Tabelle3[[#Headers],[Ned (€)]]</f>
        <v>Ned (€)</v>
      </c>
      <c r="C204" s="292" t="str">
        <f>C$4</f>
        <v>Ned (Backer)</v>
      </c>
      <c r="D204" s="370" t="str">
        <f t="shared" ref="D204:AW204" si="740">D$4</f>
        <v>Ned (€/B)</v>
      </c>
      <c r="E204" s="294" t="str">
        <f t="shared" si="740"/>
        <v>Werkzeuge (€)</v>
      </c>
      <c r="F204" s="295" t="str">
        <f t="shared" si="740"/>
        <v>Werkzeuge (Backer)</v>
      </c>
      <c r="G204" s="407" t="str">
        <f t="shared" si="740"/>
        <v>Werkz (€/B)</v>
      </c>
      <c r="H204" s="298" t="str">
        <f t="shared" si="740"/>
        <v>DSK Fasar (€)</v>
      </c>
      <c r="I204" s="299" t="str">
        <f t="shared" si="740"/>
        <v>DSK Fasar (Backer)</v>
      </c>
      <c r="J204" s="300" t="str">
        <f t="shared" si="740"/>
        <v>DSK Fasar (€/B)</v>
      </c>
      <c r="K204" s="291" t="str">
        <f t="shared" si="740"/>
        <v>Mythen (€)</v>
      </c>
      <c r="L204" s="292" t="str">
        <f t="shared" si="740"/>
        <v>Mythen (Backer)</v>
      </c>
      <c r="M204" s="292" t="str">
        <f t="shared" si="740"/>
        <v>Mythen (€/B)</v>
      </c>
      <c r="N204" s="296" t="str">
        <f t="shared" si="740"/>
        <v>SOK (€)</v>
      </c>
      <c r="O204" s="297" t="str">
        <f t="shared" si="740"/>
        <v>SOK (Backer)</v>
      </c>
      <c r="P204" s="297" t="str">
        <f t="shared" si="740"/>
        <v>SOK (€/B)</v>
      </c>
      <c r="Q204" s="293" t="str">
        <f t="shared" si="740"/>
        <v>RE (€)</v>
      </c>
      <c r="R204" s="293" t="str">
        <f t="shared" si="740"/>
        <v>RE (Backer)</v>
      </c>
      <c r="S204" s="293" t="str">
        <f t="shared" si="740"/>
        <v>RE (€/B)</v>
      </c>
      <c r="T204" s="293" t="str">
        <f t="shared" si="740"/>
        <v>DGG (€)</v>
      </c>
      <c r="U204" s="293" t="str">
        <f t="shared" si="740"/>
        <v>DGG (Backer)</v>
      </c>
      <c r="V204" s="293" t="str">
        <f t="shared" si="740"/>
        <v>DGG (€/B)</v>
      </c>
      <c r="W204" s="298" t="str">
        <f t="shared" si="740"/>
        <v>DSK SV (€)</v>
      </c>
      <c r="X204" s="299" t="str">
        <f t="shared" si="740"/>
        <v>DSK SV (Backer)</v>
      </c>
      <c r="Y204" s="300" t="str">
        <f t="shared" si="740"/>
        <v>DSK SV (€/B)</v>
      </c>
      <c r="Z204" s="296" t="str">
        <f t="shared" si="740"/>
        <v>WW (€)</v>
      </c>
      <c r="AA204" s="297" t="str">
        <f t="shared" si="740"/>
        <v>WW (Backer)</v>
      </c>
      <c r="AB204" s="297" t="str">
        <f t="shared" si="740"/>
        <v>WW (€/B)</v>
      </c>
      <c r="AC204" s="298" t="str">
        <f t="shared" si="740"/>
        <v>DSK R (€)</v>
      </c>
      <c r="AD204" s="299" t="str">
        <f t="shared" si="740"/>
        <v>DSK R (Backer)</v>
      </c>
      <c r="AE204" s="300" t="str">
        <f t="shared" si="740"/>
        <v>DSK R (€/B)</v>
      </c>
      <c r="AF204" s="293" t="str">
        <f t="shared" si="740"/>
        <v>Ära (€)</v>
      </c>
      <c r="AG204" s="293" t="str">
        <f t="shared" si="740"/>
        <v>Ära (Backer)</v>
      </c>
      <c r="AH204" s="293" t="str">
        <f t="shared" si="740"/>
        <v>Ära (€/B)</v>
      </c>
      <c r="AI204" s="293" t="str">
        <f t="shared" si="740"/>
        <v>Mosaik (€)</v>
      </c>
      <c r="AJ204" s="293" t="str">
        <f t="shared" si="740"/>
        <v>Mosaik (Backer)</v>
      </c>
      <c r="AK204" s="293" t="str">
        <f t="shared" si="740"/>
        <v>Mosaik (€/B)</v>
      </c>
      <c r="AL204" s="298" t="str">
        <f t="shared" si="740"/>
        <v>DSK ES (€)</v>
      </c>
      <c r="AM204" s="299" t="str">
        <f t="shared" si="740"/>
        <v>DSK ES (Backer)</v>
      </c>
      <c r="AN204" s="300" t="str">
        <f t="shared" si="740"/>
        <v>DSK ES (€/B)</v>
      </c>
      <c r="AO204" s="296" t="str">
        <f t="shared" si="740"/>
        <v>ES (€)</v>
      </c>
      <c r="AP204" s="297" t="str">
        <f t="shared" si="740"/>
        <v>ES (Backer)</v>
      </c>
      <c r="AQ204" s="424" t="str">
        <f t="shared" si="740"/>
        <v>ES (€/B)</v>
      </c>
      <c r="AR204" s="296" t="str">
        <f t="shared" si="740"/>
        <v>WF (€)</v>
      </c>
      <c r="AS204" s="297" t="str">
        <f t="shared" si="740"/>
        <v>WF(Backer)</v>
      </c>
      <c r="AT204" s="424" t="str">
        <f t="shared" si="740"/>
        <v>WF (€/B)</v>
      </c>
      <c r="AU204" s="291" t="str">
        <f t="shared" si="740"/>
        <v>AKM (€)</v>
      </c>
      <c r="AV204" s="292" t="str">
        <f t="shared" si="740"/>
        <v>AKM(Backer)</v>
      </c>
      <c r="AW204" s="292" t="str">
        <f t="shared" si="740"/>
        <v>AKM (€/B)</v>
      </c>
      <c r="AX204" s="1007" t="s">
        <v>167</v>
      </c>
      <c r="AY204" s="1007"/>
      <c r="AZ204" s="1007"/>
      <c r="BA204" s="1007"/>
      <c r="BV204" s="172"/>
      <c r="BW204" s="171"/>
      <c r="BX204" s="171"/>
      <c r="BY204" s="171"/>
      <c r="BZ204" s="171"/>
      <c r="CA204" s="171"/>
      <c r="CB204" s="171"/>
      <c r="CC204" s="171"/>
      <c r="CD204" s="171"/>
      <c r="CE204" s="171"/>
      <c r="CF204" s="171"/>
      <c r="CG204" s="171"/>
      <c r="CH204" s="171"/>
      <c r="CI204" s="171"/>
      <c r="CJ204" s="171"/>
      <c r="CK204" s="171"/>
      <c r="CL204" s="171"/>
      <c r="CM204" s="171"/>
      <c r="CN204" s="171"/>
      <c r="CO204" s="171"/>
      <c r="CP204" s="171"/>
      <c r="CQ204" s="171"/>
      <c r="CR204" s="171"/>
      <c r="CS204" s="171"/>
      <c r="CT204" s="171"/>
      <c r="CU204" s="171"/>
      <c r="CV204" s="171"/>
      <c r="CW204" s="171"/>
      <c r="CX204" s="171"/>
      <c r="CY204" s="171"/>
      <c r="CZ204" s="171"/>
      <c r="DA204" s="171"/>
      <c r="DB204" s="171"/>
      <c r="DC204" s="171"/>
      <c r="DD204" s="171"/>
      <c r="DE204" s="171"/>
      <c r="DF204" s="171"/>
      <c r="DG204" s="171"/>
      <c r="DH204" s="171"/>
      <c r="DI204" s="171"/>
      <c r="DJ204" s="171"/>
      <c r="DK204" s="171"/>
      <c r="DL204" s="171"/>
      <c r="DM204" s="171"/>
      <c r="DN204" s="171"/>
      <c r="DO204" s="171"/>
      <c r="DP204" s="171"/>
      <c r="DQ204" s="171"/>
      <c r="DR204" s="171"/>
      <c r="DS204" s="171"/>
      <c r="DT204" s="171"/>
      <c r="DU204" s="171"/>
      <c r="DV204" s="171"/>
      <c r="DW204" s="171"/>
    </row>
    <row r="205" spans="1:127" hidden="1" outlineLevel="1" x14ac:dyDescent="0.25">
      <c r="A205" s="302" t="s">
        <v>610</v>
      </c>
      <c r="B205" s="288">
        <f>SUM(B55:B64)</f>
        <v>0.50664848825086217</v>
      </c>
      <c r="C205" s="288">
        <f t="shared" ref="C205:AY205" si="741">SUM(C55:C64)</f>
        <v>0.46397694524495675</v>
      </c>
      <c r="D205" s="371"/>
      <c r="E205" s="288">
        <f t="shared" si="741"/>
        <v>0.47642954639984536</v>
      </c>
      <c r="F205" s="288">
        <f t="shared" si="741"/>
        <v>0.46296296296296297</v>
      </c>
      <c r="G205" s="371"/>
      <c r="H205" s="288">
        <f t="shared" si="741"/>
        <v>0.53882969262858349</v>
      </c>
      <c r="I205" s="288">
        <f t="shared" si="741"/>
        <v>0.56079027355623101</v>
      </c>
      <c r="J205" s="288"/>
      <c r="K205" s="288">
        <f t="shared" si="741"/>
        <v>0.54286539765087616</v>
      </c>
      <c r="L205" s="288">
        <f t="shared" si="741"/>
        <v>0.56740442655935619</v>
      </c>
      <c r="M205" s="288"/>
      <c r="N205" s="288">
        <f t="shared" si="741"/>
        <v>0.68260016647356292</v>
      </c>
      <c r="O205" s="288">
        <f t="shared" si="741"/>
        <v>0.68509615384615385</v>
      </c>
      <c r="P205" s="288"/>
      <c r="Q205" s="288">
        <f t="shared" si="741"/>
        <v>0.52208283078152251</v>
      </c>
      <c r="R205" s="288">
        <f t="shared" si="741"/>
        <v>0.5386007237635706</v>
      </c>
      <c r="S205" s="288"/>
      <c r="T205" s="288">
        <f t="shared" si="741"/>
        <v>0.59074018061616906</v>
      </c>
      <c r="U205" s="288">
        <f t="shared" si="741"/>
        <v>0.57948717948717954</v>
      </c>
      <c r="V205" s="288"/>
      <c r="W205" s="288">
        <f t="shared" si="741"/>
        <v>0.54388296717138807</v>
      </c>
      <c r="X205" s="288">
        <f t="shared" si="741"/>
        <v>0.52093023255813953</v>
      </c>
      <c r="Y205" s="288"/>
      <c r="Z205" s="288">
        <f t="shared" si="741"/>
        <v>0.64424615100097093</v>
      </c>
      <c r="AA205" s="288">
        <f t="shared" si="741"/>
        <v>0.63869047619047614</v>
      </c>
      <c r="AB205" s="288"/>
      <c r="AC205" s="288">
        <f t="shared" si="741"/>
        <v>0.51120061796512906</v>
      </c>
      <c r="AD205" s="288">
        <f t="shared" si="741"/>
        <v>0.53159851301115246</v>
      </c>
      <c r="AE205" s="288"/>
      <c r="AF205" s="288">
        <f t="shared" si="741"/>
        <v>0.48418058013233339</v>
      </c>
      <c r="AG205" s="288">
        <f t="shared" si="741"/>
        <v>0.49647887323943662</v>
      </c>
      <c r="AH205" s="288"/>
      <c r="AI205" s="288">
        <f t="shared" si="741"/>
        <v>0.63841660023558244</v>
      </c>
      <c r="AJ205" s="288">
        <f t="shared" si="741"/>
        <v>0.62834917891097664</v>
      </c>
      <c r="AK205" s="288"/>
      <c r="AL205" s="426">
        <f t="shared" si="741"/>
        <v>0.37282641672122252</v>
      </c>
      <c r="AM205" s="426">
        <f t="shared" si="741"/>
        <v>0.35529411764705882</v>
      </c>
      <c r="AN205" s="288"/>
      <c r="AO205" s="288">
        <f t="shared" si="741"/>
        <v>0.58682134510432349</v>
      </c>
      <c r="AP205" s="288">
        <f t="shared" si="741"/>
        <v>0.58446866485013627</v>
      </c>
      <c r="AQ205" s="368"/>
      <c r="AR205" s="288">
        <f t="shared" si="741"/>
        <v>0.6359866739413802</v>
      </c>
      <c r="AS205" s="288">
        <f t="shared" si="741"/>
        <v>0.61901681759379046</v>
      </c>
      <c r="AT205" s="368"/>
      <c r="AU205" s="288">
        <f t="shared" si="741"/>
        <v>0.63440589832851346</v>
      </c>
      <c r="AV205" s="288">
        <f t="shared" si="741"/>
        <v>0.67077267637178051</v>
      </c>
      <c r="AW205" s="368"/>
      <c r="AX205" s="343">
        <f t="shared" si="741"/>
        <v>0.57082697370924584</v>
      </c>
      <c r="AY205" s="343">
        <f t="shared" si="741"/>
        <v>0.56779788834885248</v>
      </c>
      <c r="AZ205" s="343"/>
      <c r="BA205" s="367" t="s">
        <v>612</v>
      </c>
      <c r="BB205" s="367"/>
      <c r="BC205" s="367"/>
    </row>
    <row r="206" spans="1:127" hidden="1" outlineLevel="1" x14ac:dyDescent="0.25">
      <c r="A206" s="303" t="s">
        <v>611</v>
      </c>
      <c r="B206" s="287">
        <f>SUM(B65:B75)</f>
        <v>0.49335151174913783</v>
      </c>
      <c r="C206" s="287">
        <f t="shared" ref="C206:AY206" si="742">SUM(C65:C75)</f>
        <v>0.5360230547550433</v>
      </c>
      <c r="D206" s="372"/>
      <c r="E206" s="287">
        <f t="shared" si="742"/>
        <v>0.52357045360015464</v>
      </c>
      <c r="F206" s="287">
        <f t="shared" si="742"/>
        <v>0.53703703703703698</v>
      </c>
      <c r="G206" s="372"/>
      <c r="H206" s="287">
        <f t="shared" si="742"/>
        <v>0.46117030737141651</v>
      </c>
      <c r="I206" s="287">
        <f t="shared" si="742"/>
        <v>0.43920972644376899</v>
      </c>
      <c r="J206" s="287"/>
      <c r="K206" s="287">
        <f t="shared" si="742"/>
        <v>0.45713460234912384</v>
      </c>
      <c r="L206" s="287">
        <f t="shared" si="742"/>
        <v>0.43259557344064381</v>
      </c>
      <c r="M206" s="287"/>
      <c r="N206" s="287">
        <f t="shared" si="742"/>
        <v>0.31739983352643708</v>
      </c>
      <c r="O206" s="287">
        <f t="shared" si="742"/>
        <v>0.31490384615384615</v>
      </c>
      <c r="P206" s="287"/>
      <c r="Q206" s="287">
        <f t="shared" si="742"/>
        <v>0.47791716921847749</v>
      </c>
      <c r="R206" s="287">
        <f t="shared" si="742"/>
        <v>0.4613992762364294</v>
      </c>
      <c r="S206" s="287"/>
      <c r="T206" s="287">
        <f t="shared" si="742"/>
        <v>0.40925981938383094</v>
      </c>
      <c r="U206" s="287">
        <f t="shared" si="742"/>
        <v>0.42051282051282046</v>
      </c>
      <c r="V206" s="287"/>
      <c r="W206" s="287">
        <f t="shared" si="742"/>
        <v>0.45611703282861193</v>
      </c>
      <c r="X206" s="287">
        <f t="shared" si="742"/>
        <v>0.47906976744186047</v>
      </c>
      <c r="Y206" s="287"/>
      <c r="Z206" s="287">
        <f t="shared" si="742"/>
        <v>0.35575384899902907</v>
      </c>
      <c r="AA206" s="287">
        <f t="shared" si="742"/>
        <v>0.36130952380952386</v>
      </c>
      <c r="AB206" s="287"/>
      <c r="AC206" s="287">
        <f t="shared" si="742"/>
        <v>0.48879938203487094</v>
      </c>
      <c r="AD206" s="287">
        <f t="shared" si="742"/>
        <v>0.46840148698884754</v>
      </c>
      <c r="AE206" s="287"/>
      <c r="AF206" s="287">
        <f t="shared" si="742"/>
        <v>0.51581941986766666</v>
      </c>
      <c r="AG206" s="287">
        <f t="shared" si="742"/>
        <v>0.50352112676056338</v>
      </c>
      <c r="AH206" s="287"/>
      <c r="AI206" s="287">
        <f t="shared" si="742"/>
        <v>0.36158339976441756</v>
      </c>
      <c r="AJ206" s="287">
        <f t="shared" si="742"/>
        <v>0.37165082108902336</v>
      </c>
      <c r="AK206" s="287"/>
      <c r="AL206" s="427">
        <f t="shared" si="742"/>
        <v>0.40195123509029651</v>
      </c>
      <c r="AM206" s="427">
        <f t="shared" si="742"/>
        <v>0.41176470588235292</v>
      </c>
      <c r="AN206" s="287"/>
      <c r="AO206" s="287">
        <f t="shared" si="742"/>
        <v>0.41317865489567651</v>
      </c>
      <c r="AP206" s="287">
        <f t="shared" si="742"/>
        <v>0.41553133514986373</v>
      </c>
      <c r="AQ206" s="383"/>
      <c r="AR206" s="287">
        <f t="shared" si="742"/>
        <v>0.3640133260586198</v>
      </c>
      <c r="AS206" s="287">
        <f t="shared" si="742"/>
        <v>0.38098318240620954</v>
      </c>
      <c r="AT206" s="383"/>
      <c r="AU206" s="287">
        <f t="shared" si="742"/>
        <v>0.36559410167148654</v>
      </c>
      <c r="AV206" s="287">
        <f t="shared" si="742"/>
        <v>0.32922732362821949</v>
      </c>
      <c r="AW206" s="383"/>
      <c r="AX206" s="343">
        <f t="shared" si="742"/>
        <v>0.42917302629075416</v>
      </c>
      <c r="AY206" s="343">
        <f t="shared" si="742"/>
        <v>0.43220211165114752</v>
      </c>
      <c r="AZ206" s="343"/>
      <c r="BA206" s="367" t="s">
        <v>613</v>
      </c>
      <c r="BB206" s="367"/>
      <c r="BC206" s="367"/>
    </row>
    <row r="207" spans="1:127" collapsed="1" x14ac:dyDescent="0.25"/>
  </sheetData>
  <sheetProtection algorithmName="SHA-512" hashValue="zdHHNmmTZXL5JNhfaRLQxH4JRHvZ7AlYPSK3xzTwCfnaIRlw7Rd78VYAdxXXbdTSfzJFaKuaucoHeiSOgJRx9g==" saltValue="5ObGu8O3HQi/3IwhB6TVEA==" spinCount="100000" sheet="1" objects="1" scenarios="1"/>
  <mergeCells count="205">
    <mergeCell ref="AX193:BA193"/>
    <mergeCell ref="AX198:BA198"/>
    <mergeCell ref="AF2:AH2"/>
    <mergeCell ref="AX114:BF114"/>
    <mergeCell ref="AX137:BF137"/>
    <mergeCell ref="DG4:DH4"/>
    <mergeCell ref="EK4:EL4"/>
    <mergeCell ref="EK5:EL5"/>
    <mergeCell ref="AO197:AP197"/>
    <mergeCell ref="AR28:AS28"/>
    <mergeCell ref="AR53:AS53"/>
    <mergeCell ref="AR77:AS77"/>
    <mergeCell ref="AR109:AS109"/>
    <mergeCell ref="AR113:AS113"/>
    <mergeCell ref="AR136:AS136"/>
    <mergeCell ref="AR162:AT162"/>
    <mergeCell ref="AR167:AS167"/>
    <mergeCell ref="AR172:AS172"/>
    <mergeCell ref="AX29:BA29"/>
    <mergeCell ref="AR177:AS177"/>
    <mergeCell ref="AR182:AS182"/>
    <mergeCell ref="AR187:AS187"/>
    <mergeCell ref="AR192:AS192"/>
    <mergeCell ref="AR197:AS197"/>
    <mergeCell ref="CI1:CJ1"/>
    <mergeCell ref="CI2:CJ2"/>
    <mergeCell ref="CE1:CF1"/>
    <mergeCell ref="CE2:CF2"/>
    <mergeCell ref="BW3:CD3"/>
    <mergeCell ref="CE3:CF3"/>
    <mergeCell ref="CG3:CH3"/>
    <mergeCell ref="CI3:CJ3"/>
    <mergeCell ref="AR3:AT3"/>
    <mergeCell ref="CK3:CL3"/>
    <mergeCell ref="DY5:DZ5"/>
    <mergeCell ref="AO167:AP167"/>
    <mergeCell ref="AO172:AP172"/>
    <mergeCell ref="AO177:AP177"/>
    <mergeCell ref="AO182:AP182"/>
    <mergeCell ref="CW4:CX4"/>
    <mergeCell ref="DS5:DT5"/>
    <mergeCell ref="DO4:DP4"/>
    <mergeCell ref="DU4:DV4"/>
    <mergeCell ref="DU5:DV5"/>
    <mergeCell ref="DW5:DX5"/>
    <mergeCell ref="DI5:DJ5"/>
    <mergeCell ref="CQ3:CR3"/>
    <mergeCell ref="CS3:CT3"/>
    <mergeCell ref="CU3:CV3"/>
    <mergeCell ref="CW3:CX3"/>
    <mergeCell ref="CY3:CZ3"/>
    <mergeCell ref="DG3:DH3"/>
    <mergeCell ref="AO109:AP109"/>
    <mergeCell ref="CU4:CV4"/>
    <mergeCell ref="CE4:CF4"/>
    <mergeCell ref="CG4:CH4"/>
    <mergeCell ref="CI4:CJ4"/>
    <mergeCell ref="CY4:CZ4"/>
    <mergeCell ref="DW4:DX4"/>
    <mergeCell ref="DY4:DZ4"/>
    <mergeCell ref="EA4:EB4"/>
    <mergeCell ref="EC4:ED4"/>
    <mergeCell ref="DK5:DL5"/>
    <mergeCell ref="DM5:DN5"/>
    <mergeCell ref="DO5:DP5"/>
    <mergeCell ref="DQ5:DR5"/>
    <mergeCell ref="DA4:DB4"/>
    <mergeCell ref="BW4:BX4"/>
    <mergeCell ref="BY4:BZ4"/>
    <mergeCell ref="CA4:CB4"/>
    <mergeCell ref="BL4:BN4"/>
    <mergeCell ref="BR4:BT4"/>
    <mergeCell ref="CC4:CD4"/>
    <mergeCell ref="AC102:AD102"/>
    <mergeCell ref="AI102:AJ102"/>
    <mergeCell ref="AX54:BA54"/>
    <mergeCell ref="AX78:BA78"/>
    <mergeCell ref="B164:C164"/>
    <mergeCell ref="E106:F106"/>
    <mergeCell ref="Q106:R106"/>
    <mergeCell ref="AC104:AD104"/>
    <mergeCell ref="W104:X104"/>
    <mergeCell ref="H104:I104"/>
    <mergeCell ref="T106:U106"/>
    <mergeCell ref="AI162:AK162"/>
    <mergeCell ref="N104:O104"/>
    <mergeCell ref="T104:U104"/>
    <mergeCell ref="AI104:AJ104"/>
    <mergeCell ref="E104:F104"/>
    <mergeCell ref="H106:I106"/>
    <mergeCell ref="AC108:AD108"/>
    <mergeCell ref="N108:O108"/>
    <mergeCell ref="AX168:BA168"/>
    <mergeCell ref="AX173:BA173"/>
    <mergeCell ref="AX178:BA178"/>
    <mergeCell ref="AX183:BA183"/>
    <mergeCell ref="AX188:BA188"/>
    <mergeCell ref="N3:P3"/>
    <mergeCell ref="Q3:S3"/>
    <mergeCell ref="T3:V3"/>
    <mergeCell ref="AL77:AN77"/>
    <mergeCell ref="AL109:AN109"/>
    <mergeCell ref="W3:Y3"/>
    <mergeCell ref="AL3:AN3"/>
    <mergeCell ref="Z164:AA164"/>
    <mergeCell ref="AC3:AE3"/>
    <mergeCell ref="AF3:AH3"/>
    <mergeCell ref="AI3:AK3"/>
    <mergeCell ref="AU167:AV167"/>
    <mergeCell ref="AU172:AV172"/>
    <mergeCell ref="AU177:AV177"/>
    <mergeCell ref="AU182:AV182"/>
    <mergeCell ref="AL113:AN113"/>
    <mergeCell ref="AL136:AN136"/>
    <mergeCell ref="AO136:AP136"/>
    <mergeCell ref="AX110:BA110"/>
    <mergeCell ref="AU192:AV192"/>
    <mergeCell ref="AU197:AV197"/>
    <mergeCell ref="AL102:AM102"/>
    <mergeCell ref="AL104:AM104"/>
    <mergeCell ref="AL162:AN162"/>
    <mergeCell ref="AO3:AQ3"/>
    <mergeCell ref="AO28:AP28"/>
    <mergeCell ref="AO53:AP53"/>
    <mergeCell ref="AO77:AP77"/>
    <mergeCell ref="AO113:AP113"/>
    <mergeCell ref="AU3:AW3"/>
    <mergeCell ref="AO187:AP187"/>
    <mergeCell ref="AO192:AP192"/>
    <mergeCell ref="AL167:AN167"/>
    <mergeCell ref="AL172:AN172"/>
    <mergeCell ref="AL177:AN177"/>
    <mergeCell ref="AL182:AN182"/>
    <mergeCell ref="AL187:AN187"/>
    <mergeCell ref="AL192:AN192"/>
    <mergeCell ref="AL197:AN197"/>
    <mergeCell ref="AU187:AV187"/>
    <mergeCell ref="AL28:AN28"/>
    <mergeCell ref="AL53:AN53"/>
    <mergeCell ref="B3:D3"/>
    <mergeCell ref="N162:P162"/>
    <mergeCell ref="AF162:AH162"/>
    <mergeCell ref="AU28:AV28"/>
    <mergeCell ref="AU53:AV53"/>
    <mergeCell ref="AU77:AV77"/>
    <mergeCell ref="AU113:AV113"/>
    <mergeCell ref="E3:G3"/>
    <mergeCell ref="H3:J3"/>
    <mergeCell ref="K3:M3"/>
    <mergeCell ref="T102:U102"/>
    <mergeCell ref="W102:X102"/>
    <mergeCell ref="N106:O106"/>
    <mergeCell ref="Z3:AB3"/>
    <mergeCell ref="AO162:AQ162"/>
    <mergeCell ref="E102:F102"/>
    <mergeCell ref="H102:I102"/>
    <mergeCell ref="N102:O102"/>
    <mergeCell ref="EE5:EF5"/>
    <mergeCell ref="DW1:DX1"/>
    <mergeCell ref="EA1:EB1"/>
    <mergeCell ref="CY2:CZ2"/>
    <mergeCell ref="DA1:DB1"/>
    <mergeCell ref="DA3:DB3"/>
    <mergeCell ref="EI4:EJ4"/>
    <mergeCell ref="EI5:EJ5"/>
    <mergeCell ref="AL2:AN2"/>
    <mergeCell ref="BY2:BZ2"/>
    <mergeCell ref="DC3:DD3"/>
    <mergeCell ref="DC4:DD4"/>
    <mergeCell ref="DE3:DF3"/>
    <mergeCell ref="EE1:EF1"/>
    <mergeCell ref="EE4:EF4"/>
    <mergeCell ref="DQ1:DR1"/>
    <mergeCell ref="EC1:ED1"/>
    <mergeCell ref="DI1:DJ1"/>
    <mergeCell ref="DO1:DP1"/>
    <mergeCell ref="EA5:EB5"/>
    <mergeCell ref="EC5:ED5"/>
    <mergeCell ref="BO4:BQ4"/>
    <mergeCell ref="BI4:BK4"/>
    <mergeCell ref="CK4:CL4"/>
    <mergeCell ref="AX204:BA204"/>
    <mergeCell ref="AL203:AN203"/>
    <mergeCell ref="AO203:AP203"/>
    <mergeCell ref="AR203:AS203"/>
    <mergeCell ref="AU203:AV203"/>
    <mergeCell ref="CY1:CZ1"/>
    <mergeCell ref="EG1:EH1"/>
    <mergeCell ref="EG4:EH4"/>
    <mergeCell ref="EG5:EH5"/>
    <mergeCell ref="CO4:CP4"/>
    <mergeCell ref="CQ4:CR4"/>
    <mergeCell ref="CS4:CT4"/>
    <mergeCell ref="CM3:CN3"/>
    <mergeCell ref="CO3:CP3"/>
    <mergeCell ref="CM4:CN4"/>
    <mergeCell ref="DQ4:DR4"/>
    <mergeCell ref="DS4:DT4"/>
    <mergeCell ref="DI4:DJ4"/>
    <mergeCell ref="DK4:DL4"/>
    <mergeCell ref="DM4:DN4"/>
    <mergeCell ref="CM1:CN1"/>
    <mergeCell ref="CM2:CN2"/>
    <mergeCell ref="DE4:DF4"/>
    <mergeCell ref="DC2:DD2"/>
  </mergeCells>
  <phoneticPr fontId="5" type="noConversion"/>
  <conditionalFormatting sqref="E111 B111 H111 K111 N111 Q111 T111 W111 Z111 AC111 AF111 AX111 AU111">
    <cfRule type="colorScale" priority="145">
      <colorScale>
        <cfvo type="min"/>
        <cfvo type="percentile" val="50"/>
        <cfvo type="max"/>
        <color rgb="FFF8696B"/>
        <color rgb="FFFFEB84"/>
        <color rgb="FF63BE7B"/>
      </colorScale>
    </cfRule>
  </conditionalFormatting>
  <conditionalFormatting sqref="E161 B161 H161 K161 N161 Q161 T161 W161 Z161 AC161 AF161 AX161 BA161 BD161">
    <cfRule type="colorScale" priority="127">
      <colorScale>
        <cfvo type="min"/>
        <cfvo type="percentile" val="50"/>
        <cfvo type="max"/>
        <color rgb="FF63BE7B"/>
        <color rgb="FFFFEB84"/>
        <color rgb="FFF8696B"/>
      </colorScale>
    </cfRule>
  </conditionalFormatting>
  <conditionalFormatting sqref="E163 B163 H163 K163 N163 Q163 T163 W163 Z163 AC163 AF163 AX163 BA163 BD163">
    <cfRule type="colorScale" priority="125">
      <colorScale>
        <cfvo type="min"/>
        <cfvo type="percentile" val="50"/>
        <cfvo type="max"/>
        <color rgb="FF63BE7B"/>
        <color rgb="FFFFEB84"/>
        <color rgb="FFF8696B"/>
      </colorScale>
    </cfRule>
  </conditionalFormatting>
  <conditionalFormatting sqref="B30:C51 E30:F51 H30:AY51">
    <cfRule type="colorScale" priority="155">
      <colorScale>
        <cfvo type="min"/>
        <cfvo type="percentile" val="50"/>
        <cfvo type="max"/>
        <color rgb="FFF8696B"/>
        <color rgb="FFFFEB84"/>
        <color rgb="FF63BE7B"/>
      </colorScale>
    </cfRule>
  </conditionalFormatting>
  <conditionalFormatting sqref="B55:C75 E55:F75 H55:AY75">
    <cfRule type="colorScale" priority="160">
      <colorScale>
        <cfvo type="min"/>
        <cfvo type="percentile" val="50"/>
        <cfvo type="max"/>
        <color rgb="FFF8696B"/>
        <color rgb="FFFFEB84"/>
        <color rgb="FF63BE7B"/>
      </colorScale>
    </cfRule>
  </conditionalFormatting>
  <conditionalFormatting sqref="B79:C99 E79:F99 H79:AY99">
    <cfRule type="colorScale" priority="162">
      <colorScale>
        <cfvo type="min"/>
        <cfvo type="percentile" val="50"/>
        <cfvo type="max"/>
        <color rgb="FFF8696B"/>
        <color rgb="FFFFEB84"/>
        <color rgb="FF63BE7B"/>
      </colorScale>
    </cfRule>
  </conditionalFormatting>
  <conditionalFormatting sqref="B103:C103 E103:F103 H103:AZ103">
    <cfRule type="colorScale" priority="161">
      <colorScale>
        <cfvo type="min"/>
        <cfvo type="percentile" val="50"/>
        <cfvo type="max"/>
        <color rgb="FFF8696B"/>
        <color rgb="FFFFEB84"/>
        <color rgb="FF63BE7B"/>
      </colorScale>
    </cfRule>
  </conditionalFormatting>
  <conditionalFormatting sqref="B169:C171 E169:F171 H171:AN171 H169:AK170 AN169:AN170 AO169:AY171">
    <cfRule type="colorScale" priority="156">
      <colorScale>
        <cfvo type="min"/>
        <cfvo type="percentile" val="50"/>
        <cfvo type="max"/>
        <color rgb="FFF8696B"/>
        <color rgb="FFFFEB84"/>
        <color rgb="FF63BE7B"/>
      </colorScale>
    </cfRule>
  </conditionalFormatting>
  <conditionalFormatting sqref="B174:C176 E174:F176 H176:AN176 H174:AK175 AN174:AN175 AO174:AY176">
    <cfRule type="colorScale" priority="148">
      <colorScale>
        <cfvo type="min"/>
        <cfvo type="percentile" val="50"/>
        <cfvo type="max"/>
        <color rgb="FFF8696B"/>
        <color rgb="FFFFEB84"/>
        <color rgb="FF63BE7B"/>
      </colorScale>
    </cfRule>
  </conditionalFormatting>
  <conditionalFormatting sqref="B179:C181 E179:F181 H181:AN181 H179:AK180 AN179:AN180 AO179:AY181">
    <cfRule type="colorScale" priority="157">
      <colorScale>
        <cfvo type="min"/>
        <cfvo type="percentile" val="50"/>
        <cfvo type="max"/>
        <color rgb="FFF8696B"/>
        <color rgb="FFFFEB84"/>
        <color rgb="FF63BE7B"/>
      </colorScale>
    </cfRule>
  </conditionalFormatting>
  <conditionalFormatting sqref="B184:C186 E184:F186 H186:AN186 H184:AK185 AN184:AN185 AO184:AY186">
    <cfRule type="colorScale" priority="150">
      <colorScale>
        <cfvo type="min"/>
        <cfvo type="percentile" val="50"/>
        <cfvo type="max"/>
        <color rgb="FFF8696B"/>
        <color rgb="FFFFEB84"/>
        <color rgb="FF63BE7B"/>
      </colorScale>
    </cfRule>
  </conditionalFormatting>
  <conditionalFormatting sqref="B189:C191 E189:F191 H191:AN191 H189:AK190 AN189:AN190 AO189:AY191">
    <cfRule type="colorScale" priority="152">
      <colorScale>
        <cfvo type="min"/>
        <cfvo type="percentile" val="50"/>
        <cfvo type="max"/>
        <color rgb="FFF8696B"/>
        <color rgb="FFFFEB84"/>
        <color rgb="FF63BE7B"/>
      </colorScale>
    </cfRule>
  </conditionalFormatting>
  <conditionalFormatting sqref="B194:C196 E194:F196 H194:AY196">
    <cfRule type="colorScale" priority="159">
      <colorScale>
        <cfvo type="min"/>
        <cfvo type="percentile" val="50"/>
        <cfvo type="max"/>
        <color rgb="FFF8696B"/>
        <color rgb="FFFFEB84"/>
        <color rgb="FF63BE7B"/>
      </colorScale>
    </cfRule>
  </conditionalFormatting>
  <conditionalFormatting sqref="B199:C202 E199:F202 H201:AN202 H199:AK200 AN199:AN200 AO199:AY202 B205:C206 E205:F206 H205:AK206 AN205:AY206">
    <cfRule type="colorScale" priority="1221">
      <colorScale>
        <cfvo type="min"/>
        <cfvo type="percentile" val="50"/>
        <cfvo type="max"/>
        <color rgb="FFF8696B"/>
        <color rgb="FFFFEB84"/>
        <color rgb="FF63BE7B"/>
      </colorScale>
    </cfRule>
  </conditionalFormatting>
  <conditionalFormatting sqref="B105:AY105">
    <cfRule type="colorScale" priority="57">
      <colorScale>
        <cfvo type="min"/>
        <cfvo type="percentile" val="50"/>
        <cfvo type="max"/>
        <color rgb="FFF8696B"/>
        <color rgb="FFFFEB84"/>
        <color rgb="FF63BE7B"/>
      </colorScale>
    </cfRule>
  </conditionalFormatting>
  <conditionalFormatting sqref="B101:AZ101">
    <cfRule type="colorScale" priority="50">
      <colorScale>
        <cfvo type="min"/>
        <cfvo type="percentile" val="50"/>
        <cfvo type="max"/>
        <color rgb="FFF8696B"/>
        <color rgb="FFFFEB84"/>
        <color rgb="FF63BE7B"/>
      </colorScale>
    </cfRule>
  </conditionalFormatting>
  <conditionalFormatting sqref="B107:AZ107">
    <cfRule type="colorScale" priority="49">
      <colorScale>
        <cfvo type="min"/>
        <cfvo type="percentile" val="50"/>
        <cfvo type="max"/>
        <color rgb="FFF8696B"/>
        <color rgb="FFFFEB84"/>
        <color rgb="FF63BE7B"/>
      </colorScale>
    </cfRule>
  </conditionalFormatting>
  <conditionalFormatting sqref="F111 C111 I111:J111 L111:M111 O111:P111 R111:S111 U111:V111 X111:Y111 AA111:AB111 AD111:AE111 AG111:AH111 AV111:AW111 AY111 AP111:AQ111 AJ111:AN111 AS111:AT111">
    <cfRule type="colorScale" priority="144">
      <colorScale>
        <cfvo type="min"/>
        <cfvo type="percentile" val="50"/>
        <cfvo type="max"/>
        <color rgb="FFF8696B"/>
        <color rgb="FFFFEB84"/>
        <color rgb="FF63BE7B"/>
      </colorScale>
    </cfRule>
  </conditionalFormatting>
  <conditionalFormatting sqref="D5:D26">
    <cfRule type="colorScale" priority="118">
      <colorScale>
        <cfvo type="min"/>
        <cfvo type="percentile" val="50"/>
        <cfvo type="max"/>
        <color rgb="FFF8696B"/>
        <color rgb="FFFFEB84"/>
        <color rgb="FF63BE7B"/>
      </colorScale>
    </cfRule>
  </conditionalFormatting>
  <conditionalFormatting sqref="G163 D163 J163 M163 P163 S163 V163 Y163 AB163 AE163 AH163 AZ163 BC163 BF163 AK163">
    <cfRule type="colorScale" priority="121">
      <colorScale>
        <cfvo type="min"/>
        <cfvo type="num" val="0"/>
        <cfvo type="max"/>
        <color rgb="FFFF0000"/>
        <color rgb="FF00B050"/>
        <color rgb="FFFF0000"/>
      </colorScale>
    </cfRule>
  </conditionalFormatting>
  <conditionalFormatting sqref="E115:E135 B115:B135 H115:H135 K115:K135 N115:N135 Q115:Q135 T115:T135 W115:W135 Z115:Z135 AC115:AC135 AF115:AF135 AX115:AX135 AU115:AU135 AI115:AI135">
    <cfRule type="colorScale" priority="143">
      <colorScale>
        <cfvo type="min"/>
        <cfvo type="percentile" val="50"/>
        <cfvo type="max"/>
        <color rgb="FFF8696B"/>
        <color rgb="FFFFEB84"/>
        <color rgb="FF63BE7B"/>
      </colorScale>
    </cfRule>
  </conditionalFormatting>
  <conditionalFormatting sqref="E160 B160 H160 K160 N160 Q160 T160 W160 Z160 AC160 AF160 AX160 BA160 BD160">
    <cfRule type="colorScale" priority="129">
      <colorScale>
        <cfvo type="min"/>
        <cfvo type="percentile" val="50"/>
        <cfvo type="max"/>
        <color rgb="FF63BE7B"/>
        <color rgb="FFFFEB84"/>
        <color rgb="FFF8696B"/>
      </colorScale>
    </cfRule>
    <cfRule type="colorScale" priority="130">
      <colorScale>
        <cfvo type="min"/>
        <cfvo type="percentile" val="50"/>
        <cfvo type="max"/>
        <color rgb="FFF8696B"/>
        <color rgb="FFFFEB84"/>
        <color rgb="FF63BE7B"/>
      </colorScale>
    </cfRule>
  </conditionalFormatting>
  <conditionalFormatting sqref="F115:F135 C115:C135 I115:I135 L115:L135 O115:O135 R115:R135 U115:U135 X115:X135 AA115:AA135 AD115:AD135 AG115:AG135 AY115:AY135 AV115:AV135">
    <cfRule type="colorScale" priority="142">
      <colorScale>
        <cfvo type="min"/>
        <cfvo type="percentile" val="50"/>
        <cfvo type="max"/>
        <color rgb="FFF8696B"/>
        <color rgb="FFFFEB84"/>
        <color rgb="FF63BE7B"/>
      </colorScale>
    </cfRule>
  </conditionalFormatting>
  <conditionalFormatting sqref="G6:G26">
    <cfRule type="colorScale" priority="117">
      <colorScale>
        <cfvo type="min"/>
        <cfvo type="percentile" val="50"/>
        <cfvo type="max"/>
        <color rgb="FFF8696B"/>
        <color rgb="FFFFEB84"/>
        <color rgb="FF63BE7B"/>
      </colorScale>
    </cfRule>
  </conditionalFormatting>
  <conditionalFormatting sqref="D160 G160 J160 M160 P160 S160 V160 Y160 AB160 AE160 AH160 AZ160 BC160 BF160 AK160">
    <cfRule type="colorScale" priority="119">
      <colorScale>
        <cfvo type="min"/>
        <cfvo type="num" val="0"/>
        <cfvo type="max"/>
        <color rgb="FFFF0000"/>
        <color rgb="FF00B050"/>
        <color rgb="FFFF0000"/>
      </colorScale>
    </cfRule>
  </conditionalFormatting>
  <conditionalFormatting sqref="J6:J26">
    <cfRule type="colorScale" priority="115">
      <colorScale>
        <cfvo type="min"/>
        <cfvo type="percentile" val="50"/>
        <cfvo type="max"/>
        <color rgb="FFF8696B"/>
        <color rgb="FFFFEB84"/>
        <color rgb="FF63BE7B"/>
      </colorScale>
    </cfRule>
  </conditionalFormatting>
  <conditionalFormatting sqref="M6:M26">
    <cfRule type="colorScale" priority="113">
      <colorScale>
        <cfvo type="min"/>
        <cfvo type="percentile" val="50"/>
        <cfvo type="max"/>
        <color rgb="FFF8696B"/>
        <color rgb="FFFFEB84"/>
        <color rgb="FF63BE7B"/>
      </colorScale>
    </cfRule>
  </conditionalFormatting>
  <conditionalFormatting sqref="N159:O159 Q159">
    <cfRule type="colorScale" priority="131">
      <colorScale>
        <cfvo type="min"/>
        <cfvo type="num" val="0"/>
        <cfvo type="max"/>
        <color rgb="FFF8696B"/>
        <color rgb="FFFFEB84"/>
        <color rgb="FF63BE7B"/>
      </colorScale>
    </cfRule>
  </conditionalFormatting>
  <conditionalFormatting sqref="P6:P26">
    <cfRule type="colorScale" priority="112">
      <colorScale>
        <cfvo type="min"/>
        <cfvo type="percentile" val="50"/>
        <cfvo type="max"/>
        <color rgb="FFF8696B"/>
        <color rgb="FFFFEB84"/>
        <color rgb="FF63BE7B"/>
      </colorScale>
    </cfRule>
  </conditionalFormatting>
  <conditionalFormatting sqref="S6:S26">
    <cfRule type="colorScale" priority="111">
      <colorScale>
        <cfvo type="min"/>
        <cfvo type="percentile" val="50"/>
        <cfvo type="max"/>
        <color rgb="FFF8696B"/>
        <color rgb="FFFFEB84"/>
        <color rgb="FF63BE7B"/>
      </colorScale>
    </cfRule>
  </conditionalFormatting>
  <conditionalFormatting sqref="V6:V26">
    <cfRule type="colorScale" priority="110">
      <colorScale>
        <cfvo type="min"/>
        <cfvo type="percentile" val="50"/>
        <cfvo type="max"/>
        <color rgb="FFF8696B"/>
        <color rgb="FFFFEB84"/>
        <color rgb="FF63BE7B"/>
      </colorScale>
    </cfRule>
  </conditionalFormatting>
  <conditionalFormatting sqref="Y6:Y26">
    <cfRule type="colorScale" priority="109">
      <colorScale>
        <cfvo type="min"/>
        <cfvo type="percentile" val="50"/>
        <cfvo type="max"/>
        <color rgb="FFF8696B"/>
        <color rgb="FFFFEB84"/>
        <color rgb="FF63BE7B"/>
      </colorScale>
    </cfRule>
  </conditionalFormatting>
  <conditionalFormatting sqref="AB6:AB26">
    <cfRule type="colorScale" priority="108">
      <colorScale>
        <cfvo type="min"/>
        <cfvo type="percentile" val="50"/>
        <cfvo type="max"/>
        <color rgb="FFF8696B"/>
        <color rgb="FFFFEB84"/>
        <color rgb="FF63BE7B"/>
      </colorScale>
    </cfRule>
  </conditionalFormatting>
  <conditionalFormatting sqref="AE6:AE26">
    <cfRule type="colorScale" priority="107">
      <colorScale>
        <cfvo type="min"/>
        <cfvo type="percentile" val="50"/>
        <cfvo type="max"/>
        <color rgb="FFF8696B"/>
        <color rgb="FFFFEB84"/>
        <color rgb="FF63BE7B"/>
      </colorScale>
    </cfRule>
  </conditionalFormatting>
  <conditionalFormatting sqref="AH6:AH26">
    <cfRule type="colorScale" priority="106">
      <colorScale>
        <cfvo type="min"/>
        <cfvo type="percentile" val="50"/>
        <cfvo type="max"/>
        <color rgb="FFF8696B"/>
        <color rgb="FFFFEB84"/>
        <color rgb="FF63BE7B"/>
      </colorScale>
    </cfRule>
  </conditionalFormatting>
  <conditionalFormatting sqref="AI111">
    <cfRule type="colorScale" priority="15">
      <colorScale>
        <cfvo type="min"/>
        <cfvo type="percentile" val="50"/>
        <cfvo type="max"/>
        <color rgb="FFF8696B"/>
        <color rgb="FFFFEB84"/>
        <color rgb="FF63BE7B"/>
      </colorScale>
    </cfRule>
  </conditionalFormatting>
  <conditionalFormatting sqref="AI115:AI135">
    <cfRule type="colorScale" priority="24">
      <colorScale>
        <cfvo type="min"/>
        <cfvo type="percentile" val="50"/>
        <cfvo type="max"/>
        <color rgb="FFF8696B"/>
        <color rgb="FFFFEB84"/>
        <color rgb="FF63BE7B"/>
      </colorScale>
    </cfRule>
  </conditionalFormatting>
  <conditionalFormatting sqref="AK6:AK26">
    <cfRule type="colorScale" priority="30">
      <colorScale>
        <cfvo type="min"/>
        <cfvo type="percentile" val="50"/>
        <cfvo type="max"/>
        <color rgb="FFF8696B"/>
        <color rgb="FFFFEB84"/>
        <color rgb="FF63BE7B"/>
      </colorScale>
    </cfRule>
  </conditionalFormatting>
  <conditionalFormatting sqref="AN6:AN26">
    <cfRule type="colorScale" priority="29">
      <colorScale>
        <cfvo type="min"/>
        <cfvo type="percentile" val="50"/>
        <cfvo type="max"/>
        <color rgb="FFF8696B"/>
        <color rgb="FFFFEB84"/>
        <color rgb="FF63BE7B"/>
      </colorScale>
    </cfRule>
  </conditionalFormatting>
  <conditionalFormatting sqref="AN138:AN158">
    <cfRule type="colorScale" priority="7">
      <colorScale>
        <cfvo type="min"/>
        <cfvo type="percentile" val="50"/>
        <cfvo type="max"/>
        <color rgb="FFF8696B"/>
        <color rgb="FFFFEB84"/>
        <color rgb="FF63BE7B"/>
      </colorScale>
    </cfRule>
  </conditionalFormatting>
  <conditionalFormatting sqref="AN160:AN161">
    <cfRule type="colorScale" priority="6">
      <colorScale>
        <cfvo type="min"/>
        <cfvo type="percentile" val="50"/>
        <cfvo type="max"/>
        <color rgb="FFF8696B"/>
        <color rgb="FFFFEB84"/>
        <color rgb="FF63BE7B"/>
      </colorScale>
    </cfRule>
  </conditionalFormatting>
  <conditionalFormatting sqref="AN163">
    <cfRule type="colorScale" priority="5">
      <colorScale>
        <cfvo type="min"/>
        <cfvo type="percentile" val="50"/>
        <cfvo type="max"/>
        <color rgb="FFF8696B"/>
        <color rgb="FFFFEB84"/>
        <color rgb="FF63BE7B"/>
      </colorScale>
    </cfRule>
  </conditionalFormatting>
  <conditionalFormatting sqref="AO111">
    <cfRule type="colorScale" priority="14">
      <colorScale>
        <cfvo type="min"/>
        <cfvo type="percentile" val="50"/>
        <cfvo type="max"/>
        <color rgb="FFF8696B"/>
        <color rgb="FFFFEB84"/>
        <color rgb="FF63BE7B"/>
      </colorScale>
    </cfRule>
  </conditionalFormatting>
  <conditionalFormatting sqref="AO115:AO135">
    <cfRule type="colorScale" priority="21">
      <colorScale>
        <cfvo type="min"/>
        <cfvo type="percentile" val="50"/>
        <cfvo type="max"/>
        <color rgb="FFF8696B"/>
        <color rgb="FFFFEB84"/>
        <color rgb="FF63BE7B"/>
      </colorScale>
    </cfRule>
  </conditionalFormatting>
  <conditionalFormatting sqref="AP115:AP135">
    <cfRule type="colorScale" priority="20">
      <colorScale>
        <cfvo type="min"/>
        <cfvo type="percentile" val="50"/>
        <cfvo type="max"/>
        <color rgb="FFF8696B"/>
        <color rgb="FFFFEB84"/>
        <color rgb="FF63BE7B"/>
      </colorScale>
    </cfRule>
  </conditionalFormatting>
  <conditionalFormatting sqref="AQ6:AQ26 AT6:AT26">
    <cfRule type="colorScale" priority="19">
      <colorScale>
        <cfvo type="min"/>
        <cfvo type="percentile" val="50"/>
        <cfvo type="max"/>
        <color rgb="FFF8696B"/>
        <color rgb="FFFFEB84"/>
        <color rgb="FF63BE7B"/>
      </colorScale>
    </cfRule>
  </conditionalFormatting>
  <conditionalFormatting sqref="AQ138:AQ158 AT138:AT158">
    <cfRule type="colorScale" priority="10">
      <colorScale>
        <cfvo type="min"/>
        <cfvo type="percentile" val="50"/>
        <cfvo type="max"/>
        <color rgb="FFF8696B"/>
        <color rgb="FFFFEB84"/>
        <color rgb="FF63BE7B"/>
      </colorScale>
    </cfRule>
  </conditionalFormatting>
  <conditionalFormatting sqref="AQ161 AT161">
    <cfRule type="colorScale" priority="9">
      <colorScale>
        <cfvo type="min"/>
        <cfvo type="num" val="0"/>
        <cfvo type="max"/>
        <color rgb="FFFF0000"/>
        <color rgb="FF00B050"/>
        <color rgb="FFFF0000"/>
      </colorScale>
    </cfRule>
  </conditionalFormatting>
  <conditionalFormatting sqref="AQ163 AT163">
    <cfRule type="colorScale" priority="11">
      <colorScale>
        <cfvo type="min"/>
        <cfvo type="num" val="0"/>
        <cfvo type="max"/>
        <color rgb="FFFF0000"/>
        <color rgb="FF00B050"/>
        <color rgb="FFFF0000"/>
      </colorScale>
    </cfRule>
  </conditionalFormatting>
  <conditionalFormatting sqref="AR111">
    <cfRule type="colorScale" priority="2">
      <colorScale>
        <cfvo type="min"/>
        <cfvo type="percentile" val="50"/>
        <cfvo type="max"/>
        <color rgb="FFF8696B"/>
        <color rgb="FFFFEB84"/>
        <color rgb="FF63BE7B"/>
      </colorScale>
    </cfRule>
  </conditionalFormatting>
  <conditionalFormatting sqref="AR115:AR135">
    <cfRule type="colorScale" priority="4">
      <colorScale>
        <cfvo type="min"/>
        <cfvo type="percentile" val="50"/>
        <cfvo type="max"/>
        <color rgb="FFF8696B"/>
        <color rgb="FFFFEB84"/>
        <color rgb="FF63BE7B"/>
      </colorScale>
    </cfRule>
  </conditionalFormatting>
  <conditionalFormatting sqref="AS115:AS135">
    <cfRule type="colorScale" priority="3">
      <colorScale>
        <cfvo type="min"/>
        <cfvo type="percentile" val="50"/>
        <cfvo type="max"/>
        <color rgb="FFF8696B"/>
        <color rgb="FFFFEB84"/>
        <color rgb="FF63BE7B"/>
      </colorScale>
    </cfRule>
  </conditionalFormatting>
  <conditionalFormatting sqref="AQ160 AT160">
    <cfRule type="colorScale" priority="8">
      <colorScale>
        <cfvo type="min"/>
        <cfvo type="num" val="0"/>
        <cfvo type="max"/>
        <color rgb="FFFF0000"/>
        <color rgb="FF00B050"/>
        <color rgb="FFFF0000"/>
      </colorScale>
    </cfRule>
  </conditionalFormatting>
  <conditionalFormatting sqref="AW6:AW26">
    <cfRule type="colorScale" priority="28">
      <colorScale>
        <cfvo type="min"/>
        <cfvo type="percentile" val="50"/>
        <cfvo type="max"/>
        <color rgb="FFF8696B"/>
        <color rgb="FFFFEB84"/>
        <color rgb="FF63BE7B"/>
      </colorScale>
    </cfRule>
  </conditionalFormatting>
  <conditionalFormatting sqref="AX138:AX159 BA138:BA159 BD138:BD159 N138:N158 B138:B159 E138:E159 H138:H159 K138:K159 Q138:Q158 T138:T159 W138:W159 Z138:Z159 AC138:AC159 AF138:AF159">
    <cfRule type="colorScale" priority="133">
      <colorScale>
        <cfvo type="min"/>
        <cfvo type="num" val="0"/>
        <cfvo type="max"/>
        <color rgb="FFF8696B"/>
        <color rgb="FFFFEB84"/>
        <color rgb="FF63BE7B"/>
      </colorScale>
    </cfRule>
  </conditionalFormatting>
  <conditionalFormatting sqref="AY138:AY159 BB138:BB159 BE138:BE159 O138:O158 C138:C159 F138:F159 I138:I159 L138:L159 R138:R159 U138:U159 X138:X159 AA138:AA159 AD138:AD159 AG138:AG159">
    <cfRule type="colorScale" priority="132">
      <colorScale>
        <cfvo type="min"/>
        <cfvo type="num" val="0"/>
        <cfvo type="max"/>
        <color rgb="FFF8696B"/>
        <color rgb="FFFFEB84"/>
        <color rgb="FF63BE7B"/>
      </colorScale>
    </cfRule>
  </conditionalFormatting>
  <conditionalFormatting sqref="AZ138:AZ158 BC138:BC158 BF138:BF158 G138:G158 D138:D158 J138:J158 M138:M158 P138:P158 S138:S158 V138:V158 Y138:Y158 AB138:AB158 AE138:AE158 AH138:AH158 AK138:AK158">
    <cfRule type="colorScale" priority="122">
      <colorScale>
        <cfvo type="min"/>
        <cfvo type="percentile" val="50"/>
        <cfvo type="max"/>
        <color rgb="FFF8696B"/>
        <color rgb="FFFFEB84"/>
        <color rgb="FF63BE7B"/>
      </colorScale>
    </cfRule>
  </conditionalFormatting>
  <conditionalFormatting sqref="BB160 BE160 AY160 AG160 AD160 AA160 X160 U160 R160 O160 L160 I160 F160 C160">
    <cfRule type="colorScale" priority="128">
      <colorScale>
        <cfvo type="min"/>
        <cfvo type="percentile" val="50"/>
        <cfvo type="max"/>
        <color rgb="FF63BE7B"/>
        <color rgb="FFFFEB84"/>
        <color rgb="FFF8696B"/>
      </colorScale>
    </cfRule>
  </conditionalFormatting>
  <conditionalFormatting sqref="BB163 BE163 AY163 AG163 AD163 AA163 X163 U163 R163 O163 L163 I163 F163 C163">
    <cfRule type="colorScale" priority="124">
      <colorScale>
        <cfvo type="min"/>
        <cfvo type="percentile" val="50"/>
        <cfvo type="max"/>
        <color rgb="FF63BE7B"/>
        <color rgb="FFFFEB84"/>
        <color rgb="FFF8696B"/>
      </colorScale>
    </cfRule>
  </conditionalFormatting>
  <conditionalFormatting sqref="BC161 BF161 AZ161 AH161 AE161 AB161 Y161 V161 S161 P161 M161 J161 G161 D161 AK161">
    <cfRule type="colorScale" priority="120">
      <colorScale>
        <cfvo type="min"/>
        <cfvo type="num" val="0"/>
        <cfvo type="max"/>
        <color rgb="FFFF0000"/>
        <color rgb="FF00B050"/>
        <color rgb="FFFF0000"/>
      </colorScale>
    </cfRule>
  </conditionalFormatting>
  <conditionalFormatting sqref="BD115:BD135 BA115:BA135">
    <cfRule type="colorScale" priority="139">
      <colorScale>
        <cfvo type="min"/>
        <cfvo type="percentile" val="50"/>
        <cfvo type="max"/>
        <color rgb="FFF8696B"/>
        <color rgb="FFFFEB84"/>
        <color rgb="FF63BE7B"/>
      </colorScale>
    </cfRule>
  </conditionalFormatting>
  <conditionalFormatting sqref="BE115:BE135 BB115:BB135">
    <cfRule type="colorScale" priority="138">
      <colorScale>
        <cfvo type="min"/>
        <cfvo type="percentile" val="50"/>
        <cfvo type="max"/>
        <color rgb="FFF8696B"/>
        <color rgb="FFFFEB84"/>
        <color rgb="FF63BE7B"/>
      </colorScale>
    </cfRule>
  </conditionalFormatting>
  <conditionalFormatting sqref="BE161 BB161 AY161 AG161 AD161 AA161 X161 U161 R161 O161 L161 I161 F161 C161">
    <cfRule type="colorScale" priority="126">
      <colorScale>
        <cfvo type="min"/>
        <cfvo type="percentile" val="50"/>
        <cfvo type="max"/>
        <color rgb="FF63BE7B"/>
        <color rgb="FFFFEB84"/>
        <color rgb="FFF8696B"/>
      </colorScale>
    </cfRule>
  </conditionalFormatting>
  <conditionalFormatting sqref="BF115:BF135 BC115:BC135 AZ115:AZ135 AH115:AH135 AE115:AE135 AB115:AB135 Y115:Y135 V115:V135 S115:S135 P115:P135 M115:M135 J115:J135 G115:G135 D115:D135 AK115:AK135 AW115:AW135 AQ115:AQ135 AN115:AN135 AT115:AT135">
    <cfRule type="colorScale" priority="123">
      <colorScale>
        <cfvo type="min"/>
        <cfvo type="percentile" val="50"/>
        <cfvo type="max"/>
        <color rgb="FFF8696B"/>
        <color rgb="FFFFEB84"/>
        <color rgb="FF63BE7B"/>
      </colorScale>
    </cfRule>
  </conditionalFormatting>
  <conditionalFormatting sqref="BI28:BI29 BL28:BL29 BR28:BR29 BO28:BO29 BI6:BI26 BL6:BL26 BO6:BO26 BR6:BR26">
    <cfRule type="colorScale" priority="1201">
      <colorScale>
        <cfvo type="min"/>
        <cfvo type="percentile" val="50"/>
        <cfvo type="max"/>
        <color rgb="FFF8696B"/>
        <color rgb="FFFFEB84"/>
        <color rgb="FF63BE7B"/>
      </colorScale>
    </cfRule>
  </conditionalFormatting>
  <conditionalFormatting sqref="BJ28:BJ29 BM28:BM29 BS28:BS29 BP28:BP29 BJ6:BJ26 BM6:BM26 BP6:BP26 BS6:BS26">
    <cfRule type="colorScale" priority="1209">
      <colorScale>
        <cfvo type="min"/>
        <cfvo type="percentile" val="50"/>
        <cfvo type="max"/>
        <color rgb="FFF8696B"/>
        <color rgb="FFFFEB84"/>
        <color rgb="FF63BE7B"/>
      </colorScale>
    </cfRule>
  </conditionalFormatting>
  <conditionalFormatting sqref="BT28:BT29 BK28:BK29 BN28:BN29 BQ28:BQ29 BN6:BN26 BK6:BK26 BQ6:BQ26 BT6:BT26">
    <cfRule type="colorScale" priority="1217">
      <colorScale>
        <cfvo type="min"/>
        <cfvo type="percentile" val="50"/>
        <cfvo type="max"/>
        <color rgb="FFF8696B"/>
        <color rgb="FFFFEB84"/>
        <color rgb="FF63BE7B"/>
      </colorScale>
    </cfRule>
  </conditionalFormatting>
  <conditionalFormatting sqref="BW6:CB26">
    <cfRule type="colorScale" priority="1144">
      <colorScale>
        <cfvo type="min"/>
        <cfvo type="percentile" val="50"/>
        <cfvo type="max"/>
        <color rgb="FFF8696B"/>
        <color rgb="FFFFEB84"/>
        <color rgb="FF63BE7B"/>
      </colorScale>
    </cfRule>
  </conditionalFormatting>
  <conditionalFormatting sqref="BW27:DH27">
    <cfRule type="colorScale" priority="52">
      <colorScale>
        <cfvo type="min"/>
        <cfvo type="percentile" val="50"/>
        <cfvo type="max"/>
        <color rgb="FFF8696B"/>
        <color rgb="FFFFEB84"/>
        <color rgb="FF63BE7B"/>
      </colorScale>
    </cfRule>
  </conditionalFormatting>
  <conditionalFormatting sqref="BW31:DH50">
    <cfRule type="colorScale" priority="54">
      <colorScale>
        <cfvo type="min"/>
        <cfvo type="percentile" val="50"/>
        <cfvo type="max"/>
        <color rgb="FFF8696B"/>
        <color rgb="FFFFEB84"/>
        <color rgb="FF63BE7B"/>
      </colorScale>
    </cfRule>
  </conditionalFormatting>
  <conditionalFormatting sqref="BW51:DH51">
    <cfRule type="colorScale" priority="55">
      <colorScale>
        <cfvo type="min"/>
        <cfvo type="percentile" val="50"/>
        <cfvo type="max"/>
        <color rgb="FFF8696B"/>
        <color rgb="FFFFEB84"/>
        <color rgb="FF63BE7B"/>
      </colorScale>
    </cfRule>
  </conditionalFormatting>
  <conditionalFormatting sqref="BW52:DH52">
    <cfRule type="colorScale" priority="56">
      <colorScale>
        <cfvo type="min"/>
        <cfvo type="percentile" val="50"/>
        <cfvo type="max"/>
        <color rgb="FFF8696B"/>
        <color rgb="FFFFEB84"/>
        <color rgb="FF63BE7B"/>
      </colorScale>
    </cfRule>
  </conditionalFormatting>
  <conditionalFormatting sqref="CC6:CD26">
    <cfRule type="colorScale" priority="23">
      <colorScale>
        <cfvo type="min"/>
        <cfvo type="percentile" val="50"/>
        <cfvo type="max"/>
        <color rgb="FF63BE7B"/>
        <color rgb="FFFFEB84"/>
        <color rgb="FFF8696B"/>
      </colorScale>
    </cfRule>
  </conditionalFormatting>
  <conditionalFormatting sqref="CE6:DH26">
    <cfRule type="colorScale" priority="1219">
      <colorScale>
        <cfvo type="min"/>
        <cfvo type="percentile" val="50"/>
        <cfvo type="max"/>
        <color rgb="FFF8696B"/>
        <color rgb="FFFFEB84"/>
        <color rgb="FF63BE7B"/>
      </colorScale>
    </cfRule>
  </conditionalFormatting>
  <conditionalFormatting sqref="DJ6:ED26">
    <cfRule type="colorScale" priority="1220">
      <colorScale>
        <cfvo type="min"/>
        <cfvo type="percentile" val="50"/>
        <cfvo type="max"/>
        <color rgb="FFF8696B"/>
        <color rgb="FFFFEB84"/>
        <color rgb="FF63BE7B"/>
      </colorScale>
    </cfRule>
  </conditionalFormatting>
  <conditionalFormatting sqref="DJ28:EL28">
    <cfRule type="colorScale" priority="53">
      <colorScale>
        <cfvo type="min"/>
        <cfvo type="percentile" val="50"/>
        <cfvo type="max"/>
        <color rgb="FF63BE7B"/>
        <color rgb="FFFFEB84"/>
        <color rgb="FFF8696B"/>
      </colorScale>
    </cfRule>
  </conditionalFormatting>
  <conditionalFormatting sqref="EF6:EF26">
    <cfRule type="colorScale" priority="18">
      <colorScale>
        <cfvo type="min"/>
        <cfvo type="percentile" val="50"/>
        <cfvo type="max"/>
        <color rgb="FFF8696B"/>
        <color rgb="FFFFEB84"/>
        <color rgb="FF63BE7B"/>
      </colorScale>
    </cfRule>
  </conditionalFormatting>
  <conditionalFormatting sqref="EG6:EH26">
    <cfRule type="colorScale" priority="17">
      <colorScale>
        <cfvo type="min"/>
        <cfvo type="percentile" val="50"/>
        <cfvo type="max"/>
        <color rgb="FFF8696B"/>
        <color rgb="FFFFEB84"/>
        <color rgb="FF63BE7B"/>
      </colorScale>
    </cfRule>
  </conditionalFormatting>
  <conditionalFormatting sqref="EI6:EJ26">
    <cfRule type="colorScale" priority="16">
      <colorScale>
        <cfvo type="min"/>
        <cfvo type="percentile" val="50"/>
        <cfvo type="max"/>
        <color rgb="FFF8696B"/>
        <color rgb="FFFFEB84"/>
        <color rgb="FF63BE7B"/>
      </colorScale>
    </cfRule>
  </conditionalFormatting>
  <conditionalFormatting sqref="EK6:EL26">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r:id="rId1"/>
  <ignoredErrors>
    <ignoredError sqref="BA113 F113 H113:I113 K113:L113 N113:O113 Q113:R113 T113:U113 W113:X113 Z113:AA113 AC113:AD113 AF113:AG113 AU111:AV111 AX113:AY113 BA111" formula="1"/>
  </ignoredError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7</vt:i4>
      </vt:variant>
    </vt:vector>
  </HeadingPairs>
  <TitlesOfParts>
    <vt:vector size="14" baseType="lpstr">
      <vt:lpstr>Overview &amp; instructions</vt:lpstr>
      <vt:lpstr>Shopping guide</vt:lpstr>
      <vt:lpstr>Videos &amp; links</vt:lpstr>
      <vt:lpstr>Adventures_Heroes v1.0 vs v2.0</vt:lpstr>
      <vt:lpstr>Rules v1.0 vs v2.0</vt:lpstr>
      <vt:lpstr>Changelog</vt:lpstr>
      <vt:lpstr>Vergleich</vt:lpstr>
      <vt:lpstr>'Adventures_Heroes v1.0 vs v2.0'!Druckbereich</vt:lpstr>
      <vt:lpstr>Changelog!Druckbereich</vt:lpstr>
      <vt:lpstr>'Overview &amp; instructions'!Druckbereich</vt:lpstr>
      <vt:lpstr>'Rules v1.0 vs v2.0'!Druckbereich</vt:lpstr>
      <vt:lpstr>'Shopping guide'!Druckbereich</vt:lpstr>
      <vt:lpstr>'Overview &amp; instructions'!Drucktitel</vt:lpstr>
      <vt:lpstr>'Shopping guide'!Drucktitel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Gernot</dc:creator>
  <cp:lastModifiedBy>Gernot Ohrner</cp:lastModifiedBy>
  <cp:lastPrinted>2025-02-17T22:29:56Z</cp:lastPrinted>
  <dcterms:created xsi:type="dcterms:W3CDTF">2021-01-19T21:15:58Z</dcterms:created>
  <dcterms:modified xsi:type="dcterms:W3CDTF">2025-02-19T22:49:18Z</dcterms:modified>
</cp:coreProperties>
</file>