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Ära des Goldenen Kaisers\"/>
    </mc:Choice>
  </mc:AlternateContent>
  <xr:revisionPtr revIDLastSave="0" documentId="13_ncr:1_{2A2BCC79-875B-4B41-9CFD-0F03469487E2}" xr6:coauthVersionLast="47" xr6:coauthVersionMax="47" xr10:uidLastSave="{00000000-0000-0000-0000-000000000000}"/>
  <bookViews>
    <workbookView xWindow="2595" yWindow="-120" windowWidth="35925" windowHeight="21840" xr2:uid="{3C0DC3EB-12BA-4DE2-BE53-BC5B92B614A4}"/>
  </bookViews>
  <sheets>
    <sheet name="Übersicht &amp; Anleitung" sheetId="4" r:id="rId1"/>
    <sheet name="CF-Guide" sheetId="1" r:id="rId2"/>
    <sheet name="Vergleich" sheetId="2" state="hidden" r:id="rId3"/>
  </sheets>
  <definedNames>
    <definedName name="_xlnm.Print_Area" localSheetId="1">'CF-Guide'!$A$1:$S$152</definedName>
    <definedName name="_xlnm.Print_Area" localSheetId="0">'Übersicht &amp; Anleitung'!$A$1:$S$125</definedName>
    <definedName name="_xlnm.Print_Titles" localSheetId="1">'CF-Guide'!$1:$6</definedName>
    <definedName name="_xlnm.Print_Titles" localSheetId="0">'Übersicht &amp; Anleitung'!$1:$24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57" i="2" l="1"/>
  <c r="BG56" i="2"/>
  <c r="BG55" i="2"/>
  <c r="BG54" i="2"/>
  <c r="BG53" i="2"/>
  <c r="BG52" i="2"/>
  <c r="BG51" i="2"/>
  <c r="AP79" i="4"/>
  <c r="AO79" i="4"/>
  <c r="AN79" i="4"/>
  <c r="AM79" i="4"/>
  <c r="AH79" i="4"/>
  <c r="B20" i="4"/>
  <c r="AP78" i="4"/>
  <c r="AO78" i="4"/>
  <c r="AN78" i="4"/>
  <c r="AM78" i="4"/>
  <c r="AH78" i="4"/>
  <c r="AP77" i="4"/>
  <c r="AO77" i="4"/>
  <c r="AN77" i="4"/>
  <c r="AM77" i="4"/>
  <c r="AH77" i="4"/>
  <c r="AP76" i="4"/>
  <c r="AO76" i="4"/>
  <c r="AN76" i="4"/>
  <c r="AM76" i="4"/>
  <c r="AH76" i="4"/>
  <c r="AP75" i="4"/>
  <c r="AO75" i="4"/>
  <c r="AN75" i="4"/>
  <c r="AM75" i="4"/>
  <c r="AH75" i="4"/>
  <c r="AP74" i="4"/>
  <c r="AO74" i="4"/>
  <c r="AN74" i="4"/>
  <c r="AM74" i="4"/>
  <c r="AH74" i="4"/>
  <c r="AP73" i="4"/>
  <c r="AO73" i="4"/>
  <c r="AN73" i="4"/>
  <c r="AM73" i="4"/>
  <c r="AH73" i="4"/>
  <c r="AM72" i="4"/>
  <c r="AN72" i="4"/>
  <c r="AO72" i="4"/>
  <c r="AP72" i="4"/>
  <c r="AH72" i="4"/>
  <c r="AM71" i="4"/>
  <c r="AN71" i="4"/>
  <c r="AO71" i="4"/>
  <c r="AP71" i="4"/>
  <c r="AH71" i="4"/>
  <c r="AM70" i="4"/>
  <c r="AN70" i="4"/>
  <c r="AO70" i="4"/>
  <c r="AP70" i="4"/>
  <c r="AH70" i="4"/>
  <c r="AM69" i="4"/>
  <c r="AN69" i="4"/>
  <c r="AO69" i="4"/>
  <c r="AP69" i="4"/>
  <c r="AH69" i="4"/>
  <c r="AM67" i="4"/>
  <c r="AN67" i="4"/>
  <c r="AO67" i="4"/>
  <c r="AP67" i="4"/>
  <c r="AM68" i="4"/>
  <c r="AN68" i="4"/>
  <c r="AO68" i="4"/>
  <c r="AP68" i="4"/>
  <c r="AH68" i="4"/>
  <c r="AH67" i="4"/>
  <c r="AM66" i="4"/>
  <c r="AN66" i="4"/>
  <c r="AO66" i="4"/>
  <c r="AP66" i="4"/>
  <c r="AH66" i="4"/>
  <c r="AH65" i="4"/>
  <c r="AH64" i="4"/>
  <c r="AH63" i="4"/>
  <c r="AH62" i="4"/>
  <c r="AH61" i="4"/>
  <c r="AP65" i="4"/>
  <c r="AO65" i="4"/>
  <c r="AN65" i="4"/>
  <c r="AM65" i="4"/>
  <c r="AM64" i="4"/>
  <c r="AN64" i="4"/>
  <c r="AO64" i="4"/>
  <c r="AP64" i="4"/>
  <c r="AK8" i="2"/>
  <c r="AL8" i="2"/>
  <c r="AM63" i="4"/>
  <c r="AN63" i="4"/>
  <c r="AO63" i="4"/>
  <c r="AP63" i="4"/>
  <c r="W86" i="4"/>
  <c r="CW108" i="4"/>
  <c r="CU108" i="4"/>
  <c r="CW107" i="4"/>
  <c r="CU107" i="4"/>
  <c r="CW106" i="4"/>
  <c r="CU106" i="4"/>
  <c r="CW105" i="4"/>
  <c r="CU105" i="4"/>
  <c r="CW104" i="4"/>
  <c r="CU104" i="4"/>
  <c r="CW103" i="4"/>
  <c r="CU103" i="4"/>
  <c r="CW102" i="4"/>
  <c r="CU102" i="4"/>
  <c r="CW101" i="4"/>
  <c r="CU101" i="4"/>
  <c r="CW100" i="4"/>
  <c r="CU100" i="4"/>
  <c r="CW99" i="4"/>
  <c r="CU99" i="4"/>
  <c r="CW98" i="4"/>
  <c r="CU98" i="4"/>
  <c r="CW97" i="4"/>
  <c r="CU97" i="4"/>
  <c r="CW96" i="4"/>
  <c r="CU96" i="4"/>
  <c r="CW95" i="4"/>
  <c r="CU95" i="4"/>
  <c r="CW94" i="4"/>
  <c r="CU94" i="4"/>
  <c r="CW93" i="4"/>
  <c r="CU93" i="4"/>
  <c r="CW92" i="4"/>
  <c r="CX92" i="4" s="1"/>
  <c r="CU92" i="4"/>
  <c r="CV92" i="4" s="1"/>
  <c r="CV93" i="4" s="1"/>
  <c r="CR108" i="4"/>
  <c r="CP108" i="4"/>
  <c r="CR107" i="4"/>
  <c r="CP107" i="4"/>
  <c r="CR106" i="4"/>
  <c r="CP106" i="4"/>
  <c r="CR105" i="4"/>
  <c r="CP105" i="4"/>
  <c r="CR104" i="4"/>
  <c r="CP104" i="4"/>
  <c r="CR103" i="4"/>
  <c r="CP103" i="4"/>
  <c r="CR102" i="4"/>
  <c r="CP102" i="4"/>
  <c r="CR101" i="4"/>
  <c r="CP101" i="4"/>
  <c r="CR100" i="4"/>
  <c r="CP100" i="4"/>
  <c r="CR99" i="4"/>
  <c r="CP99" i="4"/>
  <c r="CR98" i="4"/>
  <c r="CP98" i="4"/>
  <c r="CR97" i="4"/>
  <c r="CP97" i="4"/>
  <c r="CR96" i="4"/>
  <c r="CP96" i="4"/>
  <c r="CR95" i="4"/>
  <c r="CP95" i="4"/>
  <c r="CR94" i="4"/>
  <c r="CP94" i="4"/>
  <c r="CR93" i="4"/>
  <c r="CP93" i="4"/>
  <c r="CR92" i="4"/>
  <c r="CS92" i="4" s="1"/>
  <c r="CP92" i="4"/>
  <c r="CQ92" i="4" s="1"/>
  <c r="CM108" i="4"/>
  <c r="CK108" i="4"/>
  <c r="CI108" i="4"/>
  <c r="CG108" i="4"/>
  <c r="CM107" i="4"/>
  <c r="CK107" i="4"/>
  <c r="CI107" i="4"/>
  <c r="CG107" i="4"/>
  <c r="CM106" i="4"/>
  <c r="CK106" i="4"/>
  <c r="CI106" i="4"/>
  <c r="CG106" i="4"/>
  <c r="CM105" i="4"/>
  <c r="CK105" i="4"/>
  <c r="CI105" i="4"/>
  <c r="CG105" i="4"/>
  <c r="CM104" i="4"/>
  <c r="CK104" i="4"/>
  <c r="CI104" i="4"/>
  <c r="CG104" i="4"/>
  <c r="CM103" i="4"/>
  <c r="CK103" i="4"/>
  <c r="CI103" i="4"/>
  <c r="CG103" i="4"/>
  <c r="CM102" i="4"/>
  <c r="CK102" i="4"/>
  <c r="CI102" i="4"/>
  <c r="CG102" i="4"/>
  <c r="CM101" i="4"/>
  <c r="CK101" i="4"/>
  <c r="CI101" i="4"/>
  <c r="CG101" i="4"/>
  <c r="CM100" i="4"/>
  <c r="CK100" i="4"/>
  <c r="CI100" i="4"/>
  <c r="CG100" i="4"/>
  <c r="CM99" i="4"/>
  <c r="CK99" i="4"/>
  <c r="CI99" i="4"/>
  <c r="CG99" i="4"/>
  <c r="CM98" i="4"/>
  <c r="CK98" i="4"/>
  <c r="CI98" i="4"/>
  <c r="CG98" i="4"/>
  <c r="CM97" i="4"/>
  <c r="CK97" i="4"/>
  <c r="CI97" i="4"/>
  <c r="CG97" i="4"/>
  <c r="CM96" i="4"/>
  <c r="CK96" i="4"/>
  <c r="CI96" i="4"/>
  <c r="CG96" i="4"/>
  <c r="CM95" i="4"/>
  <c r="CK95" i="4"/>
  <c r="CI95" i="4"/>
  <c r="CG95" i="4"/>
  <c r="CM94" i="4"/>
  <c r="CK94" i="4"/>
  <c r="CI94" i="4"/>
  <c r="CG94" i="4"/>
  <c r="CM93" i="4"/>
  <c r="CK93" i="4"/>
  <c r="CI93" i="4"/>
  <c r="CG93" i="4"/>
  <c r="CM92" i="4"/>
  <c r="CN92" i="4" s="1"/>
  <c r="CK92" i="4"/>
  <c r="CL92" i="4" s="1"/>
  <c r="CI92" i="4"/>
  <c r="CJ92" i="4" s="1"/>
  <c r="CJ93" i="4" s="1"/>
  <c r="CG92" i="4"/>
  <c r="CH92" i="4" s="1"/>
  <c r="V86" i="4"/>
  <c r="U86" i="4"/>
  <c r="AP62" i="4"/>
  <c r="AW62" i="4" s="1"/>
  <c r="AX62" i="4" s="1"/>
  <c r="AO62" i="4"/>
  <c r="AU62" i="4" s="1"/>
  <c r="AV62" i="4" s="1"/>
  <c r="AN62" i="4"/>
  <c r="AS62" i="4" s="1"/>
  <c r="AT62" i="4" s="1"/>
  <c r="AM62" i="4"/>
  <c r="AQ62" i="4" s="1"/>
  <c r="AR62" i="4" s="1"/>
  <c r="K125" i="1"/>
  <c r="J125" i="1"/>
  <c r="I125" i="1"/>
  <c r="H125" i="1"/>
  <c r="K127" i="1"/>
  <c r="K126" i="1"/>
  <c r="K122" i="1"/>
  <c r="K121" i="1"/>
  <c r="F139" i="1"/>
  <c r="F138" i="1"/>
  <c r="F141" i="1"/>
  <c r="F140" i="1"/>
  <c r="F137" i="1"/>
  <c r="F136" i="1"/>
  <c r="F135" i="1"/>
  <c r="F134" i="1"/>
  <c r="F133" i="1"/>
  <c r="L147" i="1"/>
  <c r="L131" i="1"/>
  <c r="J127" i="1"/>
  <c r="I127" i="1"/>
  <c r="H127" i="1"/>
  <c r="J126" i="1"/>
  <c r="I126" i="1"/>
  <c r="H126" i="1"/>
  <c r="J122" i="1"/>
  <c r="I122" i="1"/>
  <c r="H122" i="1"/>
  <c r="J98" i="1"/>
  <c r="I98" i="1"/>
  <c r="H98" i="1"/>
  <c r="CL93" i="4" l="1"/>
  <c r="CN93" i="4"/>
  <c r="CS93" i="4"/>
  <c r="CS94" i="4" s="1"/>
  <c r="CS95" i="4" s="1"/>
  <c r="CS96" i="4" s="1"/>
  <c r="CS97" i="4" s="1"/>
  <c r="CS98" i="4" s="1"/>
  <c r="CS99" i="4" s="1"/>
  <c r="CS100" i="4" s="1"/>
  <c r="CS101" i="4" s="1"/>
  <c r="CS102" i="4" s="1"/>
  <c r="CS103" i="4" s="1"/>
  <c r="CS104" i="4" s="1"/>
  <c r="CS105" i="4" s="1"/>
  <c r="CS106" i="4" s="1"/>
  <c r="CS107" i="4" s="1"/>
  <c r="CS108" i="4" s="1"/>
  <c r="CJ94" i="4"/>
  <c r="CJ95" i="4" s="1"/>
  <c r="CL94" i="4"/>
  <c r="CL95" i="4" s="1"/>
  <c r="CL96" i="4" s="1"/>
  <c r="CL97" i="4" s="1"/>
  <c r="CL98" i="4" s="1"/>
  <c r="CL99" i="4" s="1"/>
  <c r="CL100" i="4" s="1"/>
  <c r="CL101" i="4" s="1"/>
  <c r="CL102" i="4" s="1"/>
  <c r="CL103" i="4" s="1"/>
  <c r="CL104" i="4" s="1"/>
  <c r="CL105" i="4" s="1"/>
  <c r="CL106" i="4" s="1"/>
  <c r="CL107" i="4" s="1"/>
  <c r="CL108" i="4" s="1"/>
  <c r="CN94" i="4"/>
  <c r="CN95" i="4" s="1"/>
  <c r="CQ93" i="4"/>
  <c r="CQ94" i="4" s="1"/>
  <c r="CQ95" i="4" s="1"/>
  <c r="CQ96" i="4" s="1"/>
  <c r="CQ97" i="4" s="1"/>
  <c r="CQ98" i="4" s="1"/>
  <c r="CQ99" i="4" s="1"/>
  <c r="CQ100" i="4" s="1"/>
  <c r="CJ96" i="4"/>
  <c r="CJ97" i="4" s="1"/>
  <c r="CJ98" i="4" s="1"/>
  <c r="CJ99" i="4" s="1"/>
  <c r="CJ100" i="4" s="1"/>
  <c r="CJ101" i="4" s="1"/>
  <c r="CJ102" i="4" s="1"/>
  <c r="CJ103" i="4" s="1"/>
  <c r="CJ104" i="4" s="1"/>
  <c r="CJ105" i="4" s="1"/>
  <c r="CJ106" i="4" s="1"/>
  <c r="CJ107" i="4" s="1"/>
  <c r="CJ108" i="4" s="1"/>
  <c r="CN96" i="4"/>
  <c r="CN97" i="4" s="1"/>
  <c r="CN98" i="4" s="1"/>
  <c r="CN99" i="4" s="1"/>
  <c r="CN100" i="4" s="1"/>
  <c r="CN101" i="4" s="1"/>
  <c r="CN102" i="4" s="1"/>
  <c r="CN103" i="4" s="1"/>
  <c r="CN104" i="4" s="1"/>
  <c r="CN105" i="4" s="1"/>
  <c r="CN106" i="4" s="1"/>
  <c r="CN107" i="4" s="1"/>
  <c r="CN108" i="4" s="1"/>
  <c r="CV94" i="4"/>
  <c r="CV95" i="4" s="1"/>
  <c r="CV96" i="4" s="1"/>
  <c r="CV97" i="4" s="1"/>
  <c r="CV98" i="4" s="1"/>
  <c r="CV99" i="4" s="1"/>
  <c r="CV100" i="4" s="1"/>
  <c r="CV101" i="4" s="1"/>
  <c r="CV102" i="4" s="1"/>
  <c r="CV103" i="4" s="1"/>
  <c r="CV104" i="4" s="1"/>
  <c r="CV105" i="4" s="1"/>
  <c r="CV106" i="4" s="1"/>
  <c r="CV107" i="4" s="1"/>
  <c r="CV108" i="4" s="1"/>
  <c r="CQ101" i="4"/>
  <c r="CQ102" i="4" s="1"/>
  <c r="CQ103" i="4" s="1"/>
  <c r="CQ104" i="4" s="1"/>
  <c r="CQ105" i="4" s="1"/>
  <c r="CQ106" i="4" s="1"/>
  <c r="CQ107" i="4" s="1"/>
  <c r="CQ108" i="4" s="1"/>
  <c r="CX93" i="4"/>
  <c r="CX94" i="4" s="1"/>
  <c r="CX95" i="4" s="1"/>
  <c r="CX96" i="4" s="1"/>
  <c r="CX97" i="4" s="1"/>
  <c r="CX98" i="4" s="1"/>
  <c r="CX99" i="4" s="1"/>
  <c r="CX100" i="4" s="1"/>
  <c r="CX101" i="4" s="1"/>
  <c r="CX102" i="4" s="1"/>
  <c r="CX103" i="4" s="1"/>
  <c r="CX104" i="4" s="1"/>
  <c r="CX105" i="4" s="1"/>
  <c r="CX106" i="4" s="1"/>
  <c r="CX107" i="4" s="1"/>
  <c r="CX108" i="4" s="1"/>
  <c r="CH93" i="4"/>
  <c r="CH94" i="4" s="1"/>
  <c r="CH95" i="4" s="1"/>
  <c r="CH96" i="4" s="1"/>
  <c r="CH97" i="4" s="1"/>
  <c r="CH98" i="4" s="1"/>
  <c r="CH99" i="4" s="1"/>
  <c r="CH100" i="4" s="1"/>
  <c r="CH101" i="4" s="1"/>
  <c r="CH102" i="4" s="1"/>
  <c r="CH103" i="4" s="1"/>
  <c r="CH104" i="4" s="1"/>
  <c r="CH105" i="4" s="1"/>
  <c r="CH106" i="4" s="1"/>
  <c r="CH107" i="4" s="1"/>
  <c r="CH108" i="4" s="1"/>
  <c r="L138" i="1"/>
  <c r="L139" i="1"/>
  <c r="J99" i="1" l="1"/>
  <c r="I99" i="1"/>
  <c r="H99" i="1"/>
  <c r="J100" i="1"/>
  <c r="I100" i="1"/>
  <c r="H100" i="1"/>
  <c r="BR39" i="2" l="1"/>
  <c r="BQ39" i="2"/>
  <c r="BR40" i="2" s="1"/>
  <c r="BR34" i="2"/>
  <c r="BQ34" i="2"/>
  <c r="BR29" i="2"/>
  <c r="BQ29" i="2"/>
  <c r="BR24" i="2"/>
  <c r="BQ24" i="2"/>
  <c r="BR19" i="2"/>
  <c r="BQ19" i="2"/>
  <c r="BR20" i="2" s="1"/>
  <c r="BR14" i="2"/>
  <c r="BQ14" i="2"/>
  <c r="BR15" i="2" s="1"/>
  <c r="BR9" i="2"/>
  <c r="BQ9" i="2"/>
  <c r="BR35" i="2" l="1"/>
  <c r="BR25" i="2"/>
  <c r="BR30" i="2"/>
  <c r="BR10" i="2"/>
  <c r="E33" i="4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B1" i="1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AM61" i="4"/>
  <c r="AQ61" i="4" s="1"/>
  <c r="AN61" i="4"/>
  <c r="AS61" i="4" s="1"/>
  <c r="AO61" i="4"/>
  <c r="AU61" i="4" s="1"/>
  <c r="AP61" i="4"/>
  <c r="AW61" i="4" s="1"/>
  <c r="Y23" i="4"/>
  <c r="Y22" i="4"/>
  <c r="Y21" i="4"/>
  <c r="Y20" i="4"/>
  <c r="Y19" i="4"/>
  <c r="Y18" i="4"/>
  <c r="Y17" i="4"/>
  <c r="Y16" i="4"/>
  <c r="Y15" i="4"/>
  <c r="P5" i="1"/>
  <c r="O5" i="1"/>
  <c r="N5" i="1"/>
  <c r="M5" i="1"/>
  <c r="L5" i="1"/>
  <c r="K5" i="1"/>
  <c r="J5" i="1"/>
  <c r="I5" i="1"/>
  <c r="H5" i="1"/>
  <c r="D22" i="4"/>
  <c r="AL5" i="2"/>
  <c r="AL4" i="2"/>
  <c r="AK5" i="2"/>
  <c r="AK4" i="2"/>
  <c r="I89" i="4"/>
  <c r="I88" i="4"/>
  <c r="M87" i="4"/>
  <c r="L87" i="4"/>
  <c r="I87" i="4"/>
  <c r="M86" i="4"/>
  <c r="L86" i="4"/>
  <c r="K86" i="4"/>
  <c r="J86" i="4"/>
  <c r="I86" i="4"/>
  <c r="CX79" i="4"/>
  <c r="CT79" i="4"/>
  <c r="CD79" i="4"/>
  <c r="CE79" i="4" s="1"/>
  <c r="CC79" i="4"/>
  <c r="CA79" i="4"/>
  <c r="CB79" i="4" s="1"/>
  <c r="BV79" i="4"/>
  <c r="BW79" i="4" s="1"/>
  <c r="BU79" i="4"/>
  <c r="BS79" i="4"/>
  <c r="BT79" i="4" s="1"/>
  <c r="BN79" i="4"/>
  <c r="BO79" i="4" s="1"/>
  <c r="BK79" i="4"/>
  <c r="BL79" i="4" s="1"/>
  <c r="CX78" i="4"/>
  <c r="CT78" i="4"/>
  <c r="CD78" i="4"/>
  <c r="CE78" i="4" s="1"/>
  <c r="CC78" i="4"/>
  <c r="CA78" i="4"/>
  <c r="CB78" i="4" s="1"/>
  <c r="BV78" i="4"/>
  <c r="BW78" i="4" s="1"/>
  <c r="BU78" i="4"/>
  <c r="BS78" i="4"/>
  <c r="BT78" i="4" s="1"/>
  <c r="BN78" i="4"/>
  <c r="BO78" i="4" s="1"/>
  <c r="BK78" i="4"/>
  <c r="BL78" i="4" s="1"/>
  <c r="CX77" i="4"/>
  <c r="CT77" i="4"/>
  <c r="CD77" i="4"/>
  <c r="CE77" i="4" s="1"/>
  <c r="CC77" i="4"/>
  <c r="CA77" i="4"/>
  <c r="CB77" i="4" s="1"/>
  <c r="BV77" i="4"/>
  <c r="BW77" i="4" s="1"/>
  <c r="BU77" i="4"/>
  <c r="BS77" i="4"/>
  <c r="BT77" i="4" s="1"/>
  <c r="BN77" i="4"/>
  <c r="BO77" i="4" s="1"/>
  <c r="BK77" i="4"/>
  <c r="BL77" i="4" s="1"/>
  <c r="CX76" i="4"/>
  <c r="CT76" i="4"/>
  <c r="CD76" i="4"/>
  <c r="CE76" i="4" s="1"/>
  <c r="CC76" i="4"/>
  <c r="CA76" i="4"/>
  <c r="CB76" i="4" s="1"/>
  <c r="BV76" i="4"/>
  <c r="BW76" i="4" s="1"/>
  <c r="BU76" i="4"/>
  <c r="BS76" i="4"/>
  <c r="BT76" i="4" s="1"/>
  <c r="BN76" i="4"/>
  <c r="BO76" i="4" s="1"/>
  <c r="BK76" i="4"/>
  <c r="BL76" i="4" s="1"/>
  <c r="CX75" i="4"/>
  <c r="CT75" i="4"/>
  <c r="CS75" i="4"/>
  <c r="CD75" i="4"/>
  <c r="CE75" i="4" s="1"/>
  <c r="CC75" i="4"/>
  <c r="CA75" i="4"/>
  <c r="CB75" i="4" s="1"/>
  <c r="BV75" i="4"/>
  <c r="BW75" i="4" s="1"/>
  <c r="BU75" i="4"/>
  <c r="BS75" i="4"/>
  <c r="BT75" i="4" s="1"/>
  <c r="BN75" i="4"/>
  <c r="BO75" i="4" s="1"/>
  <c r="BK75" i="4"/>
  <c r="BL75" i="4" s="1"/>
  <c r="CX74" i="4"/>
  <c r="CT74" i="4"/>
  <c r="CD74" i="4"/>
  <c r="CE74" i="4" s="1"/>
  <c r="CC74" i="4"/>
  <c r="CA74" i="4"/>
  <c r="CB74" i="4" s="1"/>
  <c r="BV74" i="4"/>
  <c r="BW74" i="4" s="1"/>
  <c r="BU74" i="4"/>
  <c r="BS74" i="4"/>
  <c r="BT74" i="4" s="1"/>
  <c r="BN74" i="4"/>
  <c r="BO74" i="4" s="1"/>
  <c r="BK74" i="4"/>
  <c r="BL74" i="4" s="1"/>
  <c r="CX73" i="4"/>
  <c r="CT73" i="4"/>
  <c r="CD73" i="4"/>
  <c r="CE73" i="4" s="1"/>
  <c r="CC73" i="4"/>
  <c r="CA73" i="4"/>
  <c r="CB73" i="4" s="1"/>
  <c r="BV73" i="4"/>
  <c r="BW73" i="4" s="1"/>
  <c r="BU73" i="4"/>
  <c r="BS73" i="4"/>
  <c r="BT73" i="4" s="1"/>
  <c r="BN73" i="4"/>
  <c r="BO73" i="4" s="1"/>
  <c r="BK73" i="4"/>
  <c r="BL73" i="4" s="1"/>
  <c r="CX72" i="4"/>
  <c r="CT72" i="4"/>
  <c r="CD72" i="4"/>
  <c r="CE72" i="4" s="1"/>
  <c r="CC72" i="4"/>
  <c r="CA72" i="4"/>
  <c r="CB72" i="4" s="1"/>
  <c r="BV72" i="4"/>
  <c r="BW72" i="4" s="1"/>
  <c r="BU72" i="4"/>
  <c r="BS72" i="4"/>
  <c r="BT72" i="4" s="1"/>
  <c r="BN72" i="4"/>
  <c r="BO72" i="4" s="1"/>
  <c r="BK72" i="4"/>
  <c r="BL72" i="4" s="1"/>
  <c r="CX71" i="4"/>
  <c r="CT71" i="4"/>
  <c r="CV71" i="4" s="1"/>
  <c r="CD71" i="4"/>
  <c r="CE71" i="4" s="1"/>
  <c r="CC71" i="4"/>
  <c r="CA71" i="4"/>
  <c r="CB71" i="4" s="1"/>
  <c r="BV71" i="4"/>
  <c r="BW71" i="4" s="1"/>
  <c r="BU71" i="4"/>
  <c r="BS71" i="4"/>
  <c r="BT71" i="4" s="1"/>
  <c r="BN71" i="4"/>
  <c r="BO71" i="4" s="1"/>
  <c r="BK71" i="4"/>
  <c r="BL71" i="4" s="1"/>
  <c r="CX70" i="4"/>
  <c r="CT70" i="4"/>
  <c r="CD70" i="4"/>
  <c r="CE70" i="4" s="1"/>
  <c r="CC70" i="4"/>
  <c r="CA70" i="4"/>
  <c r="CB70" i="4" s="1"/>
  <c r="BV70" i="4"/>
  <c r="BW70" i="4" s="1"/>
  <c r="BU70" i="4"/>
  <c r="BS70" i="4"/>
  <c r="BT70" i="4" s="1"/>
  <c r="BN70" i="4"/>
  <c r="BO70" i="4" s="1"/>
  <c r="BK70" i="4"/>
  <c r="BL70" i="4" s="1"/>
  <c r="CX69" i="4"/>
  <c r="CT69" i="4"/>
  <c r="CV69" i="4" s="1"/>
  <c r="CD69" i="4"/>
  <c r="CE69" i="4" s="1"/>
  <c r="CC69" i="4"/>
  <c r="CA69" i="4"/>
  <c r="CB69" i="4" s="1"/>
  <c r="BV69" i="4"/>
  <c r="BW69" i="4" s="1"/>
  <c r="BU69" i="4"/>
  <c r="BS69" i="4"/>
  <c r="BT69" i="4" s="1"/>
  <c r="BN69" i="4"/>
  <c r="BO69" i="4" s="1"/>
  <c r="BK69" i="4"/>
  <c r="BL69" i="4" s="1"/>
  <c r="CX68" i="4"/>
  <c r="CT68" i="4"/>
  <c r="CD68" i="4"/>
  <c r="CE68" i="4" s="1"/>
  <c r="CC68" i="4"/>
  <c r="CA68" i="4"/>
  <c r="CB68" i="4" s="1"/>
  <c r="BV68" i="4"/>
  <c r="BW68" i="4" s="1"/>
  <c r="BU68" i="4"/>
  <c r="BS68" i="4"/>
  <c r="BT68" i="4" s="1"/>
  <c r="BN68" i="4"/>
  <c r="BO68" i="4" s="1"/>
  <c r="BK68" i="4"/>
  <c r="BL68" i="4" s="1"/>
  <c r="CX67" i="4"/>
  <c r="CT67" i="4"/>
  <c r="CV67" i="4" s="1"/>
  <c r="CD67" i="4"/>
  <c r="CE67" i="4" s="1"/>
  <c r="CC67" i="4"/>
  <c r="CA67" i="4"/>
  <c r="CB67" i="4" s="1"/>
  <c r="BV67" i="4"/>
  <c r="BW67" i="4" s="1"/>
  <c r="BU67" i="4"/>
  <c r="BS67" i="4"/>
  <c r="BT67" i="4" s="1"/>
  <c r="BN67" i="4"/>
  <c r="BO67" i="4" s="1"/>
  <c r="BK67" i="4"/>
  <c r="BL67" i="4" s="1"/>
  <c r="CX66" i="4"/>
  <c r="CT66" i="4"/>
  <c r="CD66" i="4"/>
  <c r="CE66" i="4" s="1"/>
  <c r="CC66" i="4"/>
  <c r="CA66" i="4"/>
  <c r="CB66" i="4" s="1"/>
  <c r="BV66" i="4"/>
  <c r="BW66" i="4" s="1"/>
  <c r="BU66" i="4"/>
  <c r="BS66" i="4"/>
  <c r="BT66" i="4" s="1"/>
  <c r="BN66" i="4"/>
  <c r="BO66" i="4" s="1"/>
  <c r="BK66" i="4"/>
  <c r="BL66" i="4" s="1"/>
  <c r="CX65" i="4"/>
  <c r="CT65" i="4"/>
  <c r="CV65" i="4" s="1"/>
  <c r="CD65" i="4"/>
  <c r="CE65" i="4" s="1"/>
  <c r="CC65" i="4"/>
  <c r="CA65" i="4"/>
  <c r="CB65" i="4" s="1"/>
  <c r="BV65" i="4"/>
  <c r="BW65" i="4" s="1"/>
  <c r="BU65" i="4"/>
  <c r="BS65" i="4"/>
  <c r="BT65" i="4" s="1"/>
  <c r="BN65" i="4"/>
  <c r="BO65" i="4" s="1"/>
  <c r="BK65" i="4"/>
  <c r="BL65" i="4" s="1"/>
  <c r="CX64" i="4"/>
  <c r="CT64" i="4"/>
  <c r="CD64" i="4"/>
  <c r="CE64" i="4" s="1"/>
  <c r="CC64" i="4"/>
  <c r="CA64" i="4"/>
  <c r="CB64" i="4" s="1"/>
  <c r="BV64" i="4"/>
  <c r="BW64" i="4" s="1"/>
  <c r="BU64" i="4"/>
  <c r="BS64" i="4"/>
  <c r="BT64" i="4" s="1"/>
  <c r="BN64" i="4"/>
  <c r="BO64" i="4" s="1"/>
  <c r="BK64" i="4"/>
  <c r="BL64" i="4" s="1"/>
  <c r="CX63" i="4"/>
  <c r="CT63" i="4"/>
  <c r="CV63" i="4" s="1"/>
  <c r="CD63" i="4"/>
  <c r="CE63" i="4" s="1"/>
  <c r="CC63" i="4"/>
  <c r="CA63" i="4"/>
  <c r="CB63" i="4" s="1"/>
  <c r="BV63" i="4"/>
  <c r="BW63" i="4" s="1"/>
  <c r="BU63" i="4"/>
  <c r="BS63" i="4"/>
  <c r="BT63" i="4" s="1"/>
  <c r="BN63" i="4"/>
  <c r="BO63" i="4" s="1"/>
  <c r="BO92" i="4" s="1"/>
  <c r="BP92" i="4" s="1"/>
  <c r="BK63" i="4"/>
  <c r="BL63" i="4" s="1"/>
  <c r="CX62" i="4"/>
  <c r="CT62" i="4"/>
  <c r="CD62" i="4"/>
  <c r="CE62" i="4" s="1"/>
  <c r="CC62" i="4"/>
  <c r="CA62" i="4"/>
  <c r="CB62" i="4" s="1"/>
  <c r="BV62" i="4"/>
  <c r="BW62" i="4" s="1"/>
  <c r="BU62" i="4"/>
  <c r="BS62" i="4"/>
  <c r="BT62" i="4" s="1"/>
  <c r="BN62" i="4"/>
  <c r="BO62" i="4" s="1"/>
  <c r="BK62" i="4"/>
  <c r="BL62" i="4" s="1"/>
  <c r="CX61" i="4"/>
  <c r="CT61" i="4"/>
  <c r="CV61" i="4" s="1"/>
  <c r="CD61" i="4"/>
  <c r="CE61" i="4" s="1"/>
  <c r="CC61" i="4"/>
  <c r="CA61" i="4"/>
  <c r="CB61" i="4" s="1"/>
  <c r="BV61" i="4"/>
  <c r="BW61" i="4" s="1"/>
  <c r="BU61" i="4"/>
  <c r="BS61" i="4"/>
  <c r="BT61" i="4" s="1"/>
  <c r="BN61" i="4"/>
  <c r="BO61" i="4" s="1"/>
  <c r="BK61" i="4"/>
  <c r="BL61" i="4" s="1"/>
  <c r="CX60" i="4"/>
  <c r="CT60" i="4"/>
  <c r="CD60" i="4"/>
  <c r="CE60" i="4" s="1"/>
  <c r="CC60" i="4"/>
  <c r="CA60" i="4"/>
  <c r="CB60" i="4" s="1"/>
  <c r="BV60" i="4"/>
  <c r="BW60" i="4" s="1"/>
  <c r="BU60" i="4"/>
  <c r="BS60" i="4"/>
  <c r="BT60" i="4" s="1"/>
  <c r="BN60" i="4"/>
  <c r="BO60" i="4" s="1"/>
  <c r="BK60" i="4"/>
  <c r="BL60" i="4" s="1"/>
  <c r="BB60" i="4"/>
  <c r="BA60" i="4"/>
  <c r="AP60" i="4"/>
  <c r="AW60" i="4" s="1"/>
  <c r="AO60" i="4"/>
  <c r="AU60" i="4" s="1"/>
  <c r="AN60" i="4"/>
  <c r="J89" i="4" s="1"/>
  <c r="AM60" i="4"/>
  <c r="J60" i="4" s="1"/>
  <c r="AJ60" i="4"/>
  <c r="AI60" i="4"/>
  <c r="BD60" i="4" s="1"/>
  <c r="AH60" i="4"/>
  <c r="AJ8" i="4" s="1"/>
  <c r="I60" i="4"/>
  <c r="CX59" i="4"/>
  <c r="CT59" i="4"/>
  <c r="CD59" i="4"/>
  <c r="CE59" i="4" s="1"/>
  <c r="CF59" i="4" s="1"/>
  <c r="CC59" i="4"/>
  <c r="CA59" i="4"/>
  <c r="CB59" i="4" s="1"/>
  <c r="BV59" i="4"/>
  <c r="BW59" i="4" s="1"/>
  <c r="BX59" i="4" s="1"/>
  <c r="BU59" i="4"/>
  <c r="BS59" i="4"/>
  <c r="BT59" i="4" s="1"/>
  <c r="BN59" i="4"/>
  <c r="BO59" i="4" s="1"/>
  <c r="BP59" i="4" s="1"/>
  <c r="BK59" i="4"/>
  <c r="BL59" i="4" s="1"/>
  <c r="BM59" i="4" s="1"/>
  <c r="BB59" i="4"/>
  <c r="BA59" i="4"/>
  <c r="AQ59" i="4"/>
  <c r="AP59" i="4"/>
  <c r="K88" i="4" s="1"/>
  <c r="AO59" i="4"/>
  <c r="K59" i="4" s="1"/>
  <c r="AN59" i="4"/>
  <c r="J88" i="4" s="1"/>
  <c r="AM59" i="4"/>
  <c r="J59" i="4" s="1"/>
  <c r="AJ59" i="4"/>
  <c r="AI59" i="4"/>
  <c r="AI4" i="4" s="1"/>
  <c r="AH59" i="4"/>
  <c r="AS59" i="4" s="1"/>
  <c r="L88" i="4" s="1"/>
  <c r="AA59" i="4"/>
  <c r="AC59" i="4" s="1"/>
  <c r="H59" i="4" s="1"/>
  <c r="H88" i="4" s="1"/>
  <c r="I59" i="4"/>
  <c r="M58" i="4"/>
  <c r="I58" i="4"/>
  <c r="CT58" i="4"/>
  <c r="AQ58" i="4"/>
  <c r="L58" i="4" s="1"/>
  <c r="AP58" i="4"/>
  <c r="K87" i="4" s="1"/>
  <c r="AO58" i="4"/>
  <c r="K58" i="4" s="1"/>
  <c r="AN58" i="4"/>
  <c r="J87" i="4" s="1"/>
  <c r="AM58" i="4"/>
  <c r="J58" i="4" s="1"/>
  <c r="AC58" i="4"/>
  <c r="H58" i="4" s="1"/>
  <c r="H87" i="4" s="1"/>
  <c r="Z58" i="4"/>
  <c r="Z11" i="4"/>
  <c r="D20" i="4" s="1"/>
  <c r="CV73" i="4" l="1"/>
  <c r="CB92" i="4"/>
  <c r="CC92" i="4" s="1"/>
  <c r="BO94" i="4"/>
  <c r="BW92" i="4"/>
  <c r="BX92" i="4" s="1"/>
  <c r="BT98" i="4"/>
  <c r="BL94" i="4"/>
  <c r="BT94" i="4"/>
  <c r="CE94" i="4"/>
  <c r="BO96" i="4"/>
  <c r="BL100" i="4"/>
  <c r="BL106" i="4"/>
  <c r="BO106" i="4"/>
  <c r="BT108" i="4"/>
  <c r="BW96" i="4"/>
  <c r="BW100" i="4"/>
  <c r="BW104" i="4"/>
  <c r="CE102" i="4"/>
  <c r="CE106" i="4"/>
  <c r="BL99" i="4"/>
  <c r="BO99" i="4"/>
  <c r="BL107" i="4"/>
  <c r="BT93" i="4"/>
  <c r="BT99" i="4"/>
  <c r="BO105" i="4"/>
  <c r="BW97" i="4"/>
  <c r="BL102" i="4"/>
  <c r="BO102" i="4"/>
  <c r="BL108" i="4"/>
  <c r="BT104" i="4"/>
  <c r="CE108" i="4"/>
  <c r="BL101" i="4"/>
  <c r="BO95" i="4"/>
  <c r="BL105" i="4"/>
  <c r="BT97" i="4"/>
  <c r="BO107" i="4"/>
  <c r="BT105" i="4"/>
  <c r="BW99" i="4"/>
  <c r="CB93" i="4"/>
  <c r="CC93" i="4" s="1"/>
  <c r="CB95" i="4"/>
  <c r="CB97" i="4"/>
  <c r="CB99" i="4"/>
  <c r="CB101" i="4"/>
  <c r="CB103" i="4"/>
  <c r="BW105" i="4"/>
  <c r="BW107" i="4"/>
  <c r="BL92" i="4"/>
  <c r="BM92" i="4" s="1"/>
  <c r="BL96" i="4"/>
  <c r="BL104" i="4"/>
  <c r="BO98" i="4"/>
  <c r="BO104" i="4"/>
  <c r="BT92" i="4"/>
  <c r="BU92" i="4" s="1"/>
  <c r="BT96" i="4"/>
  <c r="BT102" i="4"/>
  <c r="CB106" i="4"/>
  <c r="CE92" i="4"/>
  <c r="CF92" i="4" s="1"/>
  <c r="CE96" i="4"/>
  <c r="CE98" i="4"/>
  <c r="CE100" i="4"/>
  <c r="CE104" i="4"/>
  <c r="CV77" i="4"/>
  <c r="BL93" i="4"/>
  <c r="BL97" i="4"/>
  <c r="BL103" i="4"/>
  <c r="BO93" i="4"/>
  <c r="BP93" i="4" s="1"/>
  <c r="BO97" i="4"/>
  <c r="BO103" i="4"/>
  <c r="BT107" i="4"/>
  <c r="CB105" i="4"/>
  <c r="CB107" i="4"/>
  <c r="BL98" i="4"/>
  <c r="BO100" i="4"/>
  <c r="BT100" i="4"/>
  <c r="BO108" i="4"/>
  <c r="BT106" i="4"/>
  <c r="BW93" i="4"/>
  <c r="BX93" i="4" s="1"/>
  <c r="BW103" i="4"/>
  <c r="CE93" i="4"/>
  <c r="CE95" i="4"/>
  <c r="CE97" i="4"/>
  <c r="CE99" i="4"/>
  <c r="CE101" i="4"/>
  <c r="CE103" i="4"/>
  <c r="BW94" i="4"/>
  <c r="BW98" i="4"/>
  <c r="BW102" i="4"/>
  <c r="CB94" i="4"/>
  <c r="CB96" i="4"/>
  <c r="CB98" i="4"/>
  <c r="CB100" i="4"/>
  <c r="CB102" i="4"/>
  <c r="CB104" i="4"/>
  <c r="BW106" i="4"/>
  <c r="BW108" i="4"/>
  <c r="CB108" i="4"/>
  <c r="BL95" i="4"/>
  <c r="BO101" i="4"/>
  <c r="BT95" i="4"/>
  <c r="BT101" i="4"/>
  <c r="BT103" i="4"/>
  <c r="BW95" i="4"/>
  <c r="BW101" i="4"/>
  <c r="CE105" i="4"/>
  <c r="CE107" i="4"/>
  <c r="CV68" i="4"/>
  <c r="CV70" i="4"/>
  <c r="CV72" i="4"/>
  <c r="CV74" i="4"/>
  <c r="CV59" i="4"/>
  <c r="CV78" i="4"/>
  <c r="CV76" i="4"/>
  <c r="CV75" i="4"/>
  <c r="CV64" i="4"/>
  <c r="CV66" i="4"/>
  <c r="CV58" i="4"/>
  <c r="CV60" i="4"/>
  <c r="CV62" i="4"/>
  <c r="CV79" i="4"/>
  <c r="Z12" i="4"/>
  <c r="P6" i="1" s="1"/>
  <c r="BX60" i="4"/>
  <c r="BX61" i="4" s="1"/>
  <c r="BX62" i="4" s="1"/>
  <c r="BX63" i="4" s="1"/>
  <c r="BX64" i="4" s="1"/>
  <c r="BX65" i="4" s="1"/>
  <c r="BX66" i="4" s="1"/>
  <c r="BX67" i="4" s="1"/>
  <c r="BX68" i="4" s="1"/>
  <c r="BX69" i="4" s="1"/>
  <c r="BX70" i="4" s="1"/>
  <c r="BX71" i="4" s="1"/>
  <c r="BX72" i="4" s="1"/>
  <c r="BX73" i="4" s="1"/>
  <c r="BX74" i="4" s="1"/>
  <c r="BX75" i="4" s="1"/>
  <c r="BX76" i="4" s="1"/>
  <c r="BX77" i="4" s="1"/>
  <c r="BX78" i="4" s="1"/>
  <c r="BX79" i="4" s="1"/>
  <c r="CP114" i="4"/>
  <c r="BC60" i="4"/>
  <c r="AI8" i="4"/>
  <c r="AK8" i="4" s="1"/>
  <c r="AJ4" i="4"/>
  <c r="AK4" i="4" s="1"/>
  <c r="CI114" i="4"/>
  <c r="K60" i="4"/>
  <c r="AL59" i="4"/>
  <c r="AA60" i="4"/>
  <c r="Z60" i="4" s="1"/>
  <c r="AL60" i="4"/>
  <c r="BD59" i="4"/>
  <c r="CU114" i="4"/>
  <c r="CW114" i="4"/>
  <c r="BM60" i="4"/>
  <c r="BM61" i="4" s="1"/>
  <c r="BM62" i="4" s="1"/>
  <c r="BM63" i="4" s="1"/>
  <c r="BM64" i="4" s="1"/>
  <c r="BM65" i="4" s="1"/>
  <c r="BM66" i="4" s="1"/>
  <c r="BM67" i="4" s="1"/>
  <c r="BM68" i="4" s="1"/>
  <c r="BM69" i="4" s="1"/>
  <c r="BM70" i="4" s="1"/>
  <c r="BM71" i="4" s="1"/>
  <c r="BM72" i="4" s="1"/>
  <c r="BM73" i="4" s="1"/>
  <c r="BM74" i="4" s="1"/>
  <c r="BM75" i="4" s="1"/>
  <c r="BM76" i="4" s="1"/>
  <c r="BM77" i="4" s="1"/>
  <c r="BM78" i="4" s="1"/>
  <c r="BM79" i="4" s="1"/>
  <c r="BP60" i="4"/>
  <c r="BP61" i="4" s="1"/>
  <c r="BP62" i="4" s="1"/>
  <c r="BP63" i="4" s="1"/>
  <c r="BP64" i="4" s="1"/>
  <c r="BP65" i="4" s="1"/>
  <c r="BP66" i="4" s="1"/>
  <c r="BP67" i="4" s="1"/>
  <c r="BP68" i="4" s="1"/>
  <c r="BP69" i="4" s="1"/>
  <c r="BP70" i="4" s="1"/>
  <c r="BP71" i="4" s="1"/>
  <c r="BP72" i="4" s="1"/>
  <c r="BP73" i="4" s="1"/>
  <c r="BP74" i="4" s="1"/>
  <c r="BP75" i="4" s="1"/>
  <c r="BP76" i="4" s="1"/>
  <c r="BP77" i="4" s="1"/>
  <c r="BP78" i="4" s="1"/>
  <c r="BP79" i="4" s="1"/>
  <c r="AS60" i="4"/>
  <c r="L89" i="4" s="1"/>
  <c r="AK59" i="4"/>
  <c r="CR114" i="4"/>
  <c r="AT59" i="4"/>
  <c r="AK60" i="4"/>
  <c r="CG114" i="4"/>
  <c r="AX60" i="4"/>
  <c r="M89" i="4"/>
  <c r="CF60" i="4"/>
  <c r="CF61" i="4" s="1"/>
  <c r="CF62" i="4" s="1"/>
  <c r="CF63" i="4" s="1"/>
  <c r="CF64" i="4" s="1"/>
  <c r="CF65" i="4" s="1"/>
  <c r="CF66" i="4" s="1"/>
  <c r="CF67" i="4" s="1"/>
  <c r="CF68" i="4" s="1"/>
  <c r="CF69" i="4" s="1"/>
  <c r="CF70" i="4" s="1"/>
  <c r="CF71" i="4" s="1"/>
  <c r="CF72" i="4" s="1"/>
  <c r="CF73" i="4" s="1"/>
  <c r="CF74" i="4" s="1"/>
  <c r="CF75" i="4" s="1"/>
  <c r="CF76" i="4" s="1"/>
  <c r="CF77" i="4" s="1"/>
  <c r="CF78" i="4" s="1"/>
  <c r="CF79" i="4" s="1"/>
  <c r="AR59" i="4"/>
  <c r="AQ60" i="4"/>
  <c r="AU59" i="4"/>
  <c r="L59" i="4"/>
  <c r="K89" i="4"/>
  <c r="AW59" i="4"/>
  <c r="M60" i="4"/>
  <c r="AV60" i="4"/>
  <c r="AD59" i="4"/>
  <c r="BC59" i="4"/>
  <c r="CK114" i="4"/>
  <c r="CM114" i="4"/>
  <c r="BP94" i="4" l="1"/>
  <c r="BP95" i="4" s="1"/>
  <c r="BP96" i="4" s="1"/>
  <c r="BP97" i="4" s="1"/>
  <c r="BP98" i="4" s="1"/>
  <c r="BP99" i="4" s="1"/>
  <c r="BP100" i="4" s="1"/>
  <c r="BP101" i="4" s="1"/>
  <c r="BP102" i="4" s="1"/>
  <c r="BP103" i="4" s="1"/>
  <c r="BP104" i="4" s="1"/>
  <c r="BP105" i="4" s="1"/>
  <c r="BP106" i="4" s="1"/>
  <c r="BP107" i="4" s="1"/>
  <c r="BP108" i="4" s="1"/>
  <c r="BM93" i="4"/>
  <c r="BM94" i="4" s="1"/>
  <c r="BM95" i="4" s="1"/>
  <c r="BM96" i="4" s="1"/>
  <c r="BM97" i="4" s="1"/>
  <c r="BM98" i="4" s="1"/>
  <c r="BM99" i="4" s="1"/>
  <c r="BM100" i="4" s="1"/>
  <c r="BM101" i="4" s="1"/>
  <c r="BM102" i="4" s="1"/>
  <c r="BM103" i="4" s="1"/>
  <c r="BM104" i="4" s="1"/>
  <c r="BM105" i="4" s="1"/>
  <c r="BM106" i="4" s="1"/>
  <c r="BM107" i="4" s="1"/>
  <c r="BM108" i="4" s="1"/>
  <c r="BX94" i="4"/>
  <c r="BX95" i="4" s="1"/>
  <c r="BX96" i="4" s="1"/>
  <c r="BX97" i="4" s="1"/>
  <c r="BX98" i="4" s="1"/>
  <c r="BX99" i="4" s="1"/>
  <c r="BX100" i="4" s="1"/>
  <c r="BX101" i="4" s="1"/>
  <c r="BX102" i="4" s="1"/>
  <c r="BX103" i="4" s="1"/>
  <c r="BX104" i="4" s="1"/>
  <c r="BX105" i="4" s="1"/>
  <c r="BX106" i="4" s="1"/>
  <c r="BX107" i="4" s="1"/>
  <c r="BX108" i="4" s="1"/>
  <c r="CF93" i="4"/>
  <c r="CF94" i="4" s="1"/>
  <c r="CF95" i="4" s="1"/>
  <c r="CF96" i="4" s="1"/>
  <c r="CF97" i="4" s="1"/>
  <c r="CF98" i="4" s="1"/>
  <c r="CF99" i="4" s="1"/>
  <c r="CF100" i="4" s="1"/>
  <c r="CF101" i="4" s="1"/>
  <c r="CF102" i="4" s="1"/>
  <c r="CF103" i="4" s="1"/>
  <c r="CF104" i="4" s="1"/>
  <c r="CF105" i="4" s="1"/>
  <c r="CF106" i="4" s="1"/>
  <c r="CF107" i="4" s="1"/>
  <c r="CF108" i="4" s="1"/>
  <c r="CC94" i="4"/>
  <c r="CC95" i="4" s="1"/>
  <c r="CC96" i="4" s="1"/>
  <c r="CC97" i="4" s="1"/>
  <c r="CC98" i="4" s="1"/>
  <c r="CC99" i="4" s="1"/>
  <c r="CC100" i="4" s="1"/>
  <c r="CC101" i="4" s="1"/>
  <c r="CC102" i="4" s="1"/>
  <c r="CC103" i="4" s="1"/>
  <c r="CC104" i="4" s="1"/>
  <c r="CC105" i="4" s="1"/>
  <c r="CC106" i="4" s="1"/>
  <c r="CC107" i="4" s="1"/>
  <c r="CC108" i="4" s="1"/>
  <c r="BU93" i="4"/>
  <c r="BU94" i="4" s="1"/>
  <c r="BU95" i="4" s="1"/>
  <c r="BU96" i="4" s="1"/>
  <c r="BU97" i="4" s="1"/>
  <c r="BU98" i="4" s="1"/>
  <c r="BU99" i="4" s="1"/>
  <c r="BU100" i="4" s="1"/>
  <c r="BU101" i="4" s="1"/>
  <c r="BU102" i="4" s="1"/>
  <c r="BU103" i="4" s="1"/>
  <c r="BU104" i="4" s="1"/>
  <c r="BU105" i="4" s="1"/>
  <c r="BU106" i="4" s="1"/>
  <c r="BU107" i="4" s="1"/>
  <c r="BU108" i="4" s="1"/>
  <c r="Z13" i="4"/>
  <c r="K6" i="1"/>
  <c r="N6" i="1"/>
  <c r="O6" i="1"/>
  <c r="M6" i="1"/>
  <c r="I6" i="1"/>
  <c r="AA61" i="4"/>
  <c r="AA62" i="4" s="1"/>
  <c r="AC62" i="4" s="1"/>
  <c r="H62" i="4" s="1"/>
  <c r="H91" i="4" s="1"/>
  <c r="L6" i="1"/>
  <c r="J6" i="1"/>
  <c r="H6" i="1"/>
  <c r="Z61" i="4"/>
  <c r="AA63" i="4"/>
  <c r="Z63" i="4" s="1"/>
  <c r="AC60" i="4"/>
  <c r="AD60" i="4" s="1"/>
  <c r="AT60" i="4"/>
  <c r="BW114" i="4"/>
  <c r="CB114" i="4"/>
  <c r="AX59" i="4"/>
  <c r="M88" i="4"/>
  <c r="AE59" i="4"/>
  <c r="AY59" i="4" s="1"/>
  <c r="AZ59" i="4"/>
  <c r="CE114" i="4"/>
  <c r="M59" i="4"/>
  <c r="AV59" i="4"/>
  <c r="BO114" i="4"/>
  <c r="BT114" i="4"/>
  <c r="BL114" i="4"/>
  <c r="L60" i="4"/>
  <c r="AR60" i="4"/>
  <c r="Z62" i="4" l="1"/>
  <c r="AC61" i="4"/>
  <c r="AD61" i="4" s="1"/>
  <c r="AE61" i="4" s="1"/>
  <c r="AD62" i="4"/>
  <c r="H60" i="4"/>
  <c r="H89" i="4" s="1"/>
  <c r="AC63" i="4"/>
  <c r="H63" i="4" s="1"/>
  <c r="H92" i="4" s="1"/>
  <c r="AA64" i="4"/>
  <c r="Z64" i="4" s="1"/>
  <c r="AE60" i="4"/>
  <c r="AY60" i="4" s="1"/>
  <c r="AZ60" i="4"/>
  <c r="J121" i="1"/>
  <c r="I121" i="1"/>
  <c r="H121" i="1"/>
  <c r="J120" i="1"/>
  <c r="I120" i="1"/>
  <c r="H120" i="1"/>
  <c r="H61" i="4" l="1"/>
  <c r="H90" i="4" s="1"/>
  <c r="AE62" i="4"/>
  <c r="AD63" i="4"/>
  <c r="AE63" i="4" s="1"/>
  <c r="AC64" i="4"/>
  <c r="AD64" i="4" s="1"/>
  <c r="AA65" i="4"/>
  <c r="AC65" i="4" s="1"/>
  <c r="AJ11" i="4"/>
  <c r="J90" i="4"/>
  <c r="K90" i="4"/>
  <c r="J61" i="4"/>
  <c r="AK6" i="2"/>
  <c r="BC61" i="4"/>
  <c r="AL6" i="2"/>
  <c r="AH32" i="2"/>
  <c r="AH30" i="2"/>
  <c r="AG28" i="2"/>
  <c r="AG26" i="2"/>
  <c r="BP39" i="2"/>
  <c r="BO39" i="2"/>
  <c r="BP34" i="2"/>
  <c r="BO34" i="2"/>
  <c r="BP29" i="2"/>
  <c r="BO29" i="2"/>
  <c r="BP24" i="2"/>
  <c r="BO24" i="2"/>
  <c r="BP25" i="2" s="1"/>
  <c r="BP19" i="2"/>
  <c r="BO19" i="2"/>
  <c r="BP14" i="2"/>
  <c r="BO14" i="2"/>
  <c r="BP15" i="2" s="1"/>
  <c r="BP9" i="2"/>
  <c r="BO9" i="2"/>
  <c r="BP20" i="2" l="1"/>
  <c r="BP40" i="2"/>
  <c r="BP30" i="2"/>
  <c r="AG27" i="2"/>
  <c r="H64" i="4"/>
  <c r="H93" i="4" s="1"/>
  <c r="BP35" i="2"/>
  <c r="AH31" i="2"/>
  <c r="BP10" i="2"/>
  <c r="Z65" i="4"/>
  <c r="AA66" i="4"/>
  <c r="AA67" i="4" s="1"/>
  <c r="AE64" i="4"/>
  <c r="K61" i="4"/>
  <c r="H65" i="4"/>
  <c r="H94" i="4" s="1"/>
  <c r="AD65" i="4"/>
  <c r="AE65" i="4" s="1"/>
  <c r="AZ61" i="4"/>
  <c r="I61" i="4"/>
  <c r="AJ61" i="4"/>
  <c r="AI61" i="4"/>
  <c r="AI11" i="4" s="1"/>
  <c r="AK11" i="4" s="1"/>
  <c r="BA61" i="4"/>
  <c r="I90" i="4"/>
  <c r="BB61" i="4"/>
  <c r="L95" i="1"/>
  <c r="AF32" i="2"/>
  <c r="AF30" i="2"/>
  <c r="AD32" i="2"/>
  <c r="AD30" i="2"/>
  <c r="AB32" i="2"/>
  <c r="AB30" i="2"/>
  <c r="Z32" i="2"/>
  <c r="Z30" i="2"/>
  <c r="X32" i="2"/>
  <c r="X30" i="2"/>
  <c r="V32" i="2"/>
  <c r="V30" i="2"/>
  <c r="T32" i="2"/>
  <c r="T30" i="2"/>
  <c r="D32" i="2"/>
  <c r="D30" i="2"/>
  <c r="AE28" i="2"/>
  <c r="AC28" i="2"/>
  <c r="AA28" i="2"/>
  <c r="Y28" i="2"/>
  <c r="W28" i="2"/>
  <c r="U28" i="2"/>
  <c r="S28" i="2"/>
  <c r="C28" i="2"/>
  <c r="S26" i="2"/>
  <c r="U26" i="2"/>
  <c r="W26" i="2"/>
  <c r="Y26" i="2"/>
  <c r="AA26" i="2"/>
  <c r="AC26" i="2"/>
  <c r="AE26" i="2"/>
  <c r="C26" i="2"/>
  <c r="L97" i="1"/>
  <c r="D31" i="2" l="1"/>
  <c r="AE27" i="2"/>
  <c r="Z66" i="4"/>
  <c r="AC66" i="4"/>
  <c r="H66" i="4" s="1"/>
  <c r="H95" i="4" s="1"/>
  <c r="AC67" i="4"/>
  <c r="Z67" i="4"/>
  <c r="AA68" i="4"/>
  <c r="AY61" i="4"/>
  <c r="AL61" i="4"/>
  <c r="AK61" i="4"/>
  <c r="BD61" i="4"/>
  <c r="AF31" i="2"/>
  <c r="X31" i="2"/>
  <c r="V31" i="2"/>
  <c r="AD31" i="2"/>
  <c r="C27" i="2"/>
  <c r="T31" i="2"/>
  <c r="AB31" i="2"/>
  <c r="Z31" i="2"/>
  <c r="S27" i="2"/>
  <c r="W27" i="2"/>
  <c r="Y27" i="2"/>
  <c r="U27" i="2"/>
  <c r="AC27" i="2"/>
  <c r="AA27" i="2"/>
  <c r="L128" i="1"/>
  <c r="L129" i="1" s="1"/>
  <c r="AD66" i="4" l="1"/>
  <c r="AE66" i="4" s="1"/>
  <c r="H67" i="4"/>
  <c r="H96" i="4" s="1"/>
  <c r="AD67" i="4"/>
  <c r="Z68" i="4"/>
  <c r="AA69" i="4"/>
  <c r="AC68" i="4"/>
  <c r="BN39" i="2"/>
  <c r="BM39" i="2"/>
  <c r="BN34" i="2"/>
  <c r="BM34" i="2"/>
  <c r="BN35" i="2" s="1"/>
  <c r="BN29" i="2"/>
  <c r="BM29" i="2"/>
  <c r="BN30" i="2" s="1"/>
  <c r="BN24" i="2"/>
  <c r="BM24" i="2"/>
  <c r="BN19" i="2"/>
  <c r="BM19" i="2"/>
  <c r="BN14" i="2"/>
  <c r="BM14" i="2"/>
  <c r="BN9" i="2"/>
  <c r="BM9" i="2"/>
  <c r="BL39" i="2"/>
  <c r="BK39" i="2"/>
  <c r="BL34" i="2"/>
  <c r="BK34" i="2"/>
  <c r="BL29" i="2"/>
  <c r="BK29" i="2"/>
  <c r="BL24" i="2"/>
  <c r="BK24" i="2"/>
  <c r="BL19" i="2"/>
  <c r="BK19" i="2"/>
  <c r="BL14" i="2"/>
  <c r="BK14" i="2"/>
  <c r="BL9" i="2"/>
  <c r="BK9" i="2"/>
  <c r="BL20" i="2" l="1"/>
  <c r="AE67" i="4"/>
  <c r="H68" i="4"/>
  <c r="H97" i="4" s="1"/>
  <c r="AD68" i="4"/>
  <c r="AE68" i="4" s="1"/>
  <c r="AC69" i="4"/>
  <c r="Z69" i="4"/>
  <c r="AA70" i="4"/>
  <c r="BN25" i="2"/>
  <c r="BL40" i="2"/>
  <c r="BL35" i="2"/>
  <c r="BN20" i="2"/>
  <c r="BL25" i="2"/>
  <c r="BN40" i="2"/>
  <c r="BN15" i="2"/>
  <c r="BL15" i="2"/>
  <c r="BL30" i="2"/>
  <c r="BN10" i="2"/>
  <c r="BL10" i="2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P4" i="2"/>
  <c r="P5" i="2" s="1"/>
  <c r="O4" i="2"/>
  <c r="O5" i="2" s="1"/>
  <c r="AA71" i="4" l="1"/>
  <c r="AC70" i="4"/>
  <c r="Z70" i="4"/>
  <c r="H69" i="4"/>
  <c r="H98" i="4" s="1"/>
  <c r="AD69" i="4"/>
  <c r="AE69" i="4" s="1"/>
  <c r="AD70" i="4" l="1"/>
  <c r="AE70" i="4" s="1"/>
  <c r="H70" i="4"/>
  <c r="H99" i="4" s="1"/>
  <c r="AC71" i="4"/>
  <c r="Z71" i="4"/>
  <c r="AA72" i="4"/>
  <c r="AD71" i="4" l="1"/>
  <c r="AE71" i="4" s="1"/>
  <c r="H71" i="4"/>
  <c r="H100" i="4" s="1"/>
  <c r="AC72" i="4"/>
  <c r="Z72" i="4"/>
  <c r="AA73" i="4"/>
  <c r="H131" i="1"/>
  <c r="L133" i="1" s="1"/>
  <c r="I131" i="1"/>
  <c r="L134" i="1" s="1"/>
  <c r="I97" i="1"/>
  <c r="H97" i="1"/>
  <c r="H95" i="1"/>
  <c r="AD72" i="4" l="1"/>
  <c r="AE72" i="4" s="1"/>
  <c r="H72" i="4"/>
  <c r="H101" i="4" s="1"/>
  <c r="AC73" i="4"/>
  <c r="Z73" i="4"/>
  <c r="AA74" i="4"/>
  <c r="I133" i="1"/>
  <c r="H137" i="1"/>
  <c r="I137" i="1"/>
  <c r="H134" i="1"/>
  <c r="H147" i="1"/>
  <c r="AC74" i="4" l="1"/>
  <c r="Z74" i="4"/>
  <c r="AA75" i="4"/>
  <c r="AD73" i="4"/>
  <c r="AE73" i="4" s="1"/>
  <c r="H73" i="4"/>
  <c r="H102" i="4" s="1"/>
  <c r="I128" i="1"/>
  <c r="H128" i="1"/>
  <c r="H129" i="1" s="1"/>
  <c r="Z75" i="4" l="1"/>
  <c r="AA76" i="4"/>
  <c r="AC75" i="4"/>
  <c r="H74" i="4"/>
  <c r="H103" i="4" s="1"/>
  <c r="AD74" i="4"/>
  <c r="AE74" i="4" s="1"/>
  <c r="AA77" i="4" l="1"/>
  <c r="AC76" i="4"/>
  <c r="Z76" i="4"/>
  <c r="H75" i="4"/>
  <c r="H104" i="4" s="1"/>
  <c r="AD75" i="4"/>
  <c r="AE75" i="4" s="1"/>
  <c r="AD76" i="4" l="1"/>
  <c r="AE76" i="4" s="1"/>
  <c r="H76" i="4"/>
  <c r="H105" i="4" s="1"/>
  <c r="AC77" i="4"/>
  <c r="Z77" i="4"/>
  <c r="AA78" i="4"/>
  <c r="BI9" i="2"/>
  <c r="BJ39" i="2"/>
  <c r="BJ9" i="2"/>
  <c r="BJ14" i="2"/>
  <c r="BI19" i="2"/>
  <c r="BJ19" i="2"/>
  <c r="BI24" i="2"/>
  <c r="BJ34" i="2"/>
  <c r="BI14" i="2"/>
  <c r="BJ24" i="2"/>
  <c r="BI29" i="2"/>
  <c r="BJ29" i="2"/>
  <c r="BI34" i="2"/>
  <c r="BI39" i="2"/>
  <c r="AD77" i="4" l="1"/>
  <c r="AE77" i="4" s="1"/>
  <c r="H77" i="4"/>
  <c r="H106" i="4" s="1"/>
  <c r="AC78" i="4"/>
  <c r="Z78" i="4"/>
  <c r="AA79" i="4"/>
  <c r="BJ10" i="2"/>
  <c r="BJ15" i="2"/>
  <c r="BJ25" i="2"/>
  <c r="BJ40" i="2"/>
  <c r="BJ35" i="2"/>
  <c r="BJ30" i="2"/>
  <c r="BJ20" i="2"/>
  <c r="Z79" i="4" l="1"/>
  <c r="AC79" i="4"/>
  <c r="H78" i="4"/>
  <c r="H107" i="4" s="1"/>
  <c r="AD78" i="4"/>
  <c r="AE78" i="4" s="1"/>
  <c r="Q95" i="1"/>
  <c r="P95" i="1"/>
  <c r="O95" i="1"/>
  <c r="N95" i="1"/>
  <c r="M95" i="1"/>
  <c r="J95" i="1"/>
  <c r="G95" i="1"/>
  <c r="J97" i="1"/>
  <c r="K97" i="1"/>
  <c r="M97" i="1"/>
  <c r="N97" i="1"/>
  <c r="O97" i="1"/>
  <c r="P97" i="1"/>
  <c r="G128" i="1"/>
  <c r="Q128" i="1"/>
  <c r="P131" i="1"/>
  <c r="L141" i="1" s="1"/>
  <c r="H79" i="4" l="1"/>
  <c r="H108" i="4" s="1"/>
  <c r="AD79" i="4"/>
  <c r="AE79" i="4" s="1"/>
  <c r="P137" i="1"/>
  <c r="I141" i="1"/>
  <c r="H141" i="1"/>
  <c r="P133" i="1"/>
  <c r="P134" i="1"/>
  <c r="I138" i="1"/>
  <c r="P138" i="1"/>
  <c r="H138" i="1"/>
  <c r="O131" i="1"/>
  <c r="L140" i="1" s="1"/>
  <c r="M128" i="1"/>
  <c r="M129" i="1" s="1"/>
  <c r="R95" i="1"/>
  <c r="I95" i="1"/>
  <c r="I129" i="1" s="1"/>
  <c r="I147" i="1"/>
  <c r="G131" i="1"/>
  <c r="L132" i="1" s="1"/>
  <c r="P128" i="1"/>
  <c r="P129" i="1" s="1"/>
  <c r="R128" i="1"/>
  <c r="K95" i="1"/>
  <c r="K131" i="1"/>
  <c r="L136" i="1" s="1"/>
  <c r="J131" i="1"/>
  <c r="L135" i="1" s="1"/>
  <c r="Q129" i="1"/>
  <c r="G129" i="1"/>
  <c r="O128" i="1"/>
  <c r="O129" i="1" s="1"/>
  <c r="N128" i="1"/>
  <c r="N129" i="1" s="1"/>
  <c r="O137" i="1" l="1"/>
  <c r="G140" i="1"/>
  <c r="O133" i="1"/>
  <c r="G139" i="1"/>
  <c r="I132" i="1"/>
  <c r="J132" i="1"/>
  <c r="K132" i="1"/>
  <c r="O132" i="1"/>
  <c r="G137" i="1"/>
  <c r="G138" i="1"/>
  <c r="H132" i="1"/>
  <c r="G134" i="1"/>
  <c r="G133" i="1"/>
  <c r="G135" i="1"/>
  <c r="J133" i="1"/>
  <c r="G136" i="1"/>
  <c r="K133" i="1"/>
  <c r="G141" i="1"/>
  <c r="P132" i="1"/>
  <c r="K137" i="1"/>
  <c r="J137" i="1"/>
  <c r="K138" i="1"/>
  <c r="O138" i="1"/>
  <c r="I135" i="1"/>
  <c r="O135" i="1"/>
  <c r="H135" i="1"/>
  <c r="P135" i="1"/>
  <c r="K135" i="1"/>
  <c r="J134" i="1"/>
  <c r="P136" i="1"/>
  <c r="O136" i="1"/>
  <c r="H136" i="1"/>
  <c r="I136" i="1"/>
  <c r="J136" i="1"/>
  <c r="K134" i="1"/>
  <c r="J138" i="1"/>
  <c r="K141" i="1"/>
  <c r="J141" i="1"/>
  <c r="H139" i="1"/>
  <c r="I139" i="1"/>
  <c r="O139" i="1"/>
  <c r="J139" i="1"/>
  <c r="K139" i="1"/>
  <c r="P139" i="1"/>
  <c r="H140" i="1"/>
  <c r="I140" i="1"/>
  <c r="K140" i="1"/>
  <c r="J140" i="1"/>
  <c r="P140" i="1"/>
  <c r="O134" i="1"/>
  <c r="O141" i="1"/>
  <c r="R129" i="1"/>
  <c r="K128" i="1"/>
  <c r="K129" i="1" s="1"/>
  <c r="J128" i="1"/>
  <c r="J129" i="1" s="1"/>
  <c r="BH39" i="2" l="1"/>
  <c r="BG39" i="2"/>
  <c r="BH34" i="2"/>
  <c r="BG34" i="2"/>
  <c r="BH29" i="2"/>
  <c r="BG29" i="2"/>
  <c r="BH24" i="2"/>
  <c r="BG24" i="2"/>
  <c r="BH19" i="2"/>
  <c r="BG19" i="2"/>
  <c r="BH14" i="2"/>
  <c r="BG14" i="2"/>
  <c r="BH9" i="2"/>
  <c r="BG9" i="2"/>
  <c r="BH10" i="2" s="1"/>
  <c r="BH35" i="2" l="1"/>
  <c r="BH30" i="2"/>
  <c r="BH20" i="2"/>
  <c r="BH15" i="2"/>
  <c r="BH25" i="2"/>
  <c r="BH40" i="2"/>
  <c r="BF39" i="2"/>
  <c r="BE39" i="2"/>
  <c r="BD39" i="2"/>
  <c r="BC39" i="2"/>
  <c r="BB39" i="2"/>
  <c r="BA39" i="2"/>
  <c r="BB40" i="2" s="1"/>
  <c r="AX39" i="2"/>
  <c r="AW39" i="2"/>
  <c r="AV38" i="2" l="1"/>
  <c r="AV39" i="2"/>
  <c r="AV40" i="2"/>
  <c r="AU40" i="2"/>
  <c r="AU39" i="2"/>
  <c r="AU38" i="2"/>
  <c r="BF40" i="2"/>
  <c r="BD40" i="2"/>
  <c r="AX40" i="2"/>
  <c r="BF34" i="2" l="1"/>
  <c r="BE34" i="2"/>
  <c r="BD34" i="2"/>
  <c r="BC34" i="2"/>
  <c r="BB34" i="2"/>
  <c r="BA34" i="2"/>
  <c r="AX34" i="2"/>
  <c r="AW34" i="2"/>
  <c r="BF29" i="2"/>
  <c r="BE29" i="2"/>
  <c r="BD29" i="2"/>
  <c r="BC29" i="2"/>
  <c r="BB29" i="2"/>
  <c r="BA29" i="2"/>
  <c r="AX29" i="2"/>
  <c r="AW29" i="2"/>
  <c r="BF24" i="2"/>
  <c r="BE24" i="2"/>
  <c r="BD24" i="2"/>
  <c r="BC24" i="2"/>
  <c r="BB24" i="2"/>
  <c r="BA24" i="2"/>
  <c r="AX24" i="2"/>
  <c r="AW24" i="2"/>
  <c r="BF19" i="2"/>
  <c r="BE19" i="2"/>
  <c r="BF14" i="2"/>
  <c r="BE14" i="2"/>
  <c r="BF9" i="2"/>
  <c r="BE9" i="2"/>
  <c r="BF10" i="2" s="1"/>
  <c r="AV29" i="2" l="1"/>
  <c r="AV30" i="2"/>
  <c r="AV28" i="2"/>
  <c r="AU33" i="2"/>
  <c r="AU34" i="2"/>
  <c r="AU35" i="2"/>
  <c r="AU30" i="2"/>
  <c r="AU29" i="2"/>
  <c r="AU28" i="2"/>
  <c r="AV33" i="2"/>
  <c r="AV35" i="2"/>
  <c r="AV34" i="2"/>
  <c r="AU24" i="2"/>
  <c r="AU23" i="2"/>
  <c r="AU25" i="2"/>
  <c r="AV25" i="2"/>
  <c r="AV24" i="2"/>
  <c r="AV23" i="2"/>
  <c r="BD35" i="2"/>
  <c r="BF25" i="2"/>
  <c r="BD30" i="2"/>
  <c r="AX30" i="2"/>
  <c r="AX25" i="2"/>
  <c r="BF35" i="2"/>
  <c r="BB30" i="2"/>
  <c r="BF30" i="2"/>
  <c r="BF15" i="2"/>
  <c r="BB35" i="2"/>
  <c r="BD25" i="2"/>
  <c r="AX35" i="2"/>
  <c r="BB25" i="2"/>
  <c r="BF20" i="2"/>
  <c r="BD19" i="2" l="1"/>
  <c r="BC19" i="2"/>
  <c r="BB19" i="2"/>
  <c r="BA19" i="2"/>
  <c r="AX19" i="2"/>
  <c r="AW19" i="2"/>
  <c r="AU19" i="2" l="1"/>
  <c r="AU20" i="2"/>
  <c r="AU18" i="2"/>
  <c r="AV18" i="2"/>
  <c r="AV20" i="2"/>
  <c r="AV19" i="2"/>
  <c r="AW90" i="4" s="1"/>
  <c r="AS90" i="4"/>
  <c r="BD20" i="2"/>
  <c r="BB20" i="2"/>
  <c r="AX20" i="2"/>
  <c r="BD14" i="2"/>
  <c r="BC14" i="2"/>
  <c r="BB14" i="2"/>
  <c r="BA14" i="2"/>
  <c r="AX14" i="2"/>
  <c r="AW14" i="2"/>
  <c r="AX9" i="2"/>
  <c r="AW9" i="2"/>
  <c r="BD9" i="2"/>
  <c r="BC9" i="2"/>
  <c r="AU14" i="2" l="1"/>
  <c r="AU15" i="2"/>
  <c r="AU13" i="2"/>
  <c r="AV13" i="2"/>
  <c r="AV14" i="2"/>
  <c r="AV15" i="2"/>
  <c r="AU89" i="4"/>
  <c r="AQ89" i="4"/>
  <c r="AS89" i="4"/>
  <c r="AW89" i="4"/>
  <c r="AX10" i="2"/>
  <c r="J24" i="2" l="1"/>
  <c r="I24" i="2"/>
  <c r="L24" i="2"/>
  <c r="K24" i="2"/>
  <c r="I5" i="2" l="1"/>
  <c r="I12" i="2"/>
  <c r="I16" i="2"/>
  <c r="I21" i="2"/>
  <c r="I4" i="2"/>
  <c r="I6" i="2"/>
  <c r="I14" i="2"/>
  <c r="I18" i="2"/>
  <c r="I23" i="2"/>
  <c r="I7" i="2"/>
  <c r="I8" i="2"/>
  <c r="I9" i="2"/>
  <c r="I10" i="2"/>
  <c r="I11" i="2"/>
  <c r="I13" i="2"/>
  <c r="I15" i="2"/>
  <c r="I17" i="2"/>
  <c r="I20" i="2"/>
  <c r="I22" i="2"/>
  <c r="I19" i="2"/>
  <c r="M21" i="2"/>
  <c r="M17" i="2"/>
  <c r="M13" i="2"/>
  <c r="M9" i="2"/>
  <c r="M5" i="2"/>
  <c r="M18" i="2"/>
  <c r="M14" i="2"/>
  <c r="M6" i="2"/>
  <c r="M24" i="2"/>
  <c r="M20" i="2"/>
  <c r="M16" i="2"/>
  <c r="M12" i="2"/>
  <c r="M8" i="2"/>
  <c r="M4" i="2"/>
  <c r="M22" i="2"/>
  <c r="M10" i="2"/>
  <c r="M23" i="2"/>
  <c r="M19" i="2"/>
  <c r="M15" i="2"/>
  <c r="M11" i="2"/>
  <c r="M7" i="2"/>
  <c r="N8" i="2"/>
  <c r="N5" i="2"/>
  <c r="N9" i="2"/>
  <c r="N13" i="2"/>
  <c r="N17" i="2"/>
  <c r="N21" i="2"/>
  <c r="N4" i="2"/>
  <c r="N16" i="2"/>
  <c r="N24" i="2"/>
  <c r="N6" i="2"/>
  <c r="N10" i="2"/>
  <c r="N14" i="2"/>
  <c r="N18" i="2"/>
  <c r="N22" i="2"/>
  <c r="N12" i="2"/>
  <c r="N20" i="2"/>
  <c r="N7" i="2"/>
  <c r="N11" i="2"/>
  <c r="N15" i="2"/>
  <c r="N19" i="2"/>
  <c r="N23" i="2"/>
  <c r="BB9" i="2" l="1"/>
  <c r="BA9" i="2"/>
  <c r="AZ9" i="2"/>
  <c r="AY9" i="2"/>
  <c r="AQ24" i="2"/>
  <c r="AP24" i="2"/>
  <c r="AO24" i="2"/>
  <c r="AN24" i="2"/>
  <c r="AM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AR23" i="2"/>
  <c r="AN23" i="2"/>
  <c r="AM23" i="2"/>
  <c r="AR22" i="2"/>
  <c r="AN22" i="2"/>
  <c r="AM22" i="2"/>
  <c r="AR21" i="2"/>
  <c r="AN21" i="2"/>
  <c r="AM21" i="2"/>
  <c r="AR20" i="2"/>
  <c r="AN20" i="2"/>
  <c r="AM20" i="2"/>
  <c r="AR19" i="2"/>
  <c r="AN19" i="2"/>
  <c r="AM19" i="2"/>
  <c r="AQ19" i="2"/>
  <c r="AR18" i="2"/>
  <c r="AQ18" i="2"/>
  <c r="AN18" i="2"/>
  <c r="AM18" i="2"/>
  <c r="AQ17" i="2"/>
  <c r="AN17" i="2"/>
  <c r="AM17" i="2"/>
  <c r="AR16" i="2"/>
  <c r="AQ16" i="2"/>
  <c r="AN16" i="2"/>
  <c r="AM16" i="2"/>
  <c r="AQ15" i="2"/>
  <c r="AN15" i="2"/>
  <c r="AM15" i="2"/>
  <c r="R15" i="2"/>
  <c r="R16" i="2" s="1"/>
  <c r="R17" i="2" s="1"/>
  <c r="R18" i="2" s="1"/>
  <c r="R19" i="2" s="1"/>
  <c r="R20" i="2" s="1"/>
  <c r="R21" i="2" s="1"/>
  <c r="R22" i="2" s="1"/>
  <c r="R23" i="2" s="1"/>
  <c r="Q15" i="2"/>
  <c r="Q16" i="2" s="1"/>
  <c r="Q17" i="2" s="1"/>
  <c r="Q18" i="2" s="1"/>
  <c r="Q19" i="2" s="1"/>
  <c r="Q20" i="2" s="1"/>
  <c r="Q21" i="2" s="1"/>
  <c r="Q22" i="2" s="1"/>
  <c r="Q23" i="2" s="1"/>
  <c r="AR14" i="2"/>
  <c r="AQ14" i="2"/>
  <c r="AP14" i="2"/>
  <c r="AO14" i="2"/>
  <c r="AN14" i="2"/>
  <c r="AM14" i="2"/>
  <c r="AQ13" i="2"/>
  <c r="AN13" i="2"/>
  <c r="AM13" i="2"/>
  <c r="AR12" i="2"/>
  <c r="AQ12" i="2"/>
  <c r="AN12" i="2"/>
  <c r="AM12" i="2"/>
  <c r="AQ11" i="2"/>
  <c r="AN11" i="2"/>
  <c r="AM11" i="2"/>
  <c r="AR10" i="2"/>
  <c r="AQ10" i="2"/>
  <c r="AN10" i="2"/>
  <c r="AM10" i="2"/>
  <c r="AQ9" i="2"/>
  <c r="AN9" i="2"/>
  <c r="AM9" i="2"/>
  <c r="AR8" i="2"/>
  <c r="AQ8" i="2"/>
  <c r="AN8" i="2"/>
  <c r="AM8" i="2"/>
  <c r="AQ7" i="2"/>
  <c r="AN7" i="2"/>
  <c r="AM7" i="2"/>
  <c r="AQ6" i="2"/>
  <c r="AN6" i="2"/>
  <c r="AM6" i="2"/>
  <c r="AQ5" i="2"/>
  <c r="AN5" i="2"/>
  <c r="AM5" i="2"/>
  <c r="R5" i="2"/>
  <c r="R6" i="2" s="1"/>
  <c r="R7" i="2" s="1"/>
  <c r="R8" i="2" s="1"/>
  <c r="R9" i="2" s="1"/>
  <c r="R10" i="2" s="1"/>
  <c r="R11" i="2" s="1"/>
  <c r="R12" i="2" s="1"/>
  <c r="R13" i="2" s="1"/>
  <c r="Q5" i="2"/>
  <c r="Q6" i="2" s="1"/>
  <c r="Q7" i="2" s="1"/>
  <c r="Q8" i="2" s="1"/>
  <c r="Q9" i="2" s="1"/>
  <c r="Q10" i="2" s="1"/>
  <c r="Q11" i="2" s="1"/>
  <c r="Q12" i="2" s="1"/>
  <c r="Q13" i="2" s="1"/>
  <c r="AR4" i="2"/>
  <c r="AQ4" i="2"/>
  <c r="AP4" i="2"/>
  <c r="AO4" i="2"/>
  <c r="AN4" i="2"/>
  <c r="AM4" i="2"/>
  <c r="BB15" i="2"/>
  <c r="AR3" i="2"/>
  <c r="AQ3" i="2"/>
  <c r="AP3" i="2"/>
  <c r="AO3" i="2"/>
  <c r="AN3" i="2"/>
  <c r="AM3" i="2"/>
  <c r="AU9" i="2" l="1"/>
  <c r="AU8" i="2"/>
  <c r="AU10" i="2"/>
  <c r="AV8" i="2"/>
  <c r="AV10" i="2"/>
  <c r="AV9" i="2"/>
  <c r="AQ88" i="4"/>
  <c r="AU88" i="4"/>
  <c r="AW88" i="4"/>
  <c r="AS88" i="4"/>
  <c r="E23" i="2"/>
  <c r="F23" i="2"/>
  <c r="AL34" i="2"/>
  <c r="AK35" i="2"/>
  <c r="AL35" i="2"/>
  <c r="G19" i="2"/>
  <c r="H19" i="2"/>
  <c r="H15" i="2"/>
  <c r="F4" i="2"/>
  <c r="F5" i="2" s="1"/>
  <c r="E4" i="2"/>
  <c r="E5" i="2" s="1"/>
  <c r="H7" i="2"/>
  <c r="H9" i="2"/>
  <c r="H20" i="2"/>
  <c r="H21" i="2"/>
  <c r="H22" i="2"/>
  <c r="H23" i="2"/>
  <c r="H5" i="2"/>
  <c r="H11" i="2"/>
  <c r="H13" i="2"/>
  <c r="H17" i="2"/>
  <c r="AZ10" i="2"/>
  <c r="G5" i="2"/>
  <c r="G8" i="2"/>
  <c r="G16" i="2"/>
  <c r="G4" i="2"/>
  <c r="G11" i="2"/>
  <c r="G15" i="2"/>
  <c r="G17" i="2"/>
  <c r="G6" i="2"/>
  <c r="G9" i="2"/>
  <c r="G12" i="2"/>
  <c r="G14" i="2"/>
  <c r="BB10" i="2"/>
  <c r="G7" i="2"/>
  <c r="G10" i="2"/>
  <c r="G13" i="2"/>
  <c r="AQ20" i="2"/>
  <c r="G20" i="2"/>
  <c r="AQ21" i="2"/>
  <c r="G21" i="2"/>
  <c r="AQ22" i="2"/>
  <c r="G22" i="2"/>
  <c r="AQ23" i="2"/>
  <c r="G23" i="2"/>
  <c r="AR24" i="2"/>
  <c r="H4" i="2"/>
  <c r="AR5" i="2"/>
  <c r="H6" i="2"/>
  <c r="AR6" i="2"/>
  <c r="AR7" i="2"/>
  <c r="H8" i="2"/>
  <c r="AR9" i="2"/>
  <c r="H10" i="2"/>
  <c r="AR11" i="2"/>
  <c r="H12" i="2"/>
  <c r="AR13" i="2"/>
  <c r="H14" i="2"/>
  <c r="AR15" i="2"/>
  <c r="H16" i="2"/>
  <c r="AR17" i="2"/>
  <c r="M90" i="4" l="1"/>
  <c r="AX61" i="4"/>
  <c r="AK34" i="2"/>
  <c r="E6" i="2"/>
  <c r="E7" i="2" s="1"/>
  <c r="E8" i="2" s="1"/>
  <c r="E9" i="2" s="1"/>
  <c r="E10" i="2" s="1"/>
  <c r="E11" i="2" s="1"/>
  <c r="E12" i="2" s="1"/>
  <c r="E13" i="2" s="1"/>
  <c r="F6" i="2"/>
  <c r="F7" i="2" s="1"/>
  <c r="F8" i="2" s="1"/>
  <c r="F9" i="2" s="1"/>
  <c r="F10" i="2" s="1"/>
  <c r="F11" i="2" s="1"/>
  <c r="F12" i="2" s="1"/>
  <c r="F13" i="2" s="1"/>
  <c r="AO35" i="2"/>
  <c r="AX15" i="2"/>
  <c r="K91" i="4" l="1"/>
  <c r="AU90" i="4"/>
  <c r="M61" i="4"/>
  <c r="AV61" i="4"/>
  <c r="AQ90" i="4"/>
  <c r="L61" i="4"/>
  <c r="AR61" i="4"/>
  <c r="L90" i="4"/>
  <c r="AT61" i="4"/>
  <c r="M91" i="4"/>
  <c r="AN36" i="2"/>
  <c r="AO34" i="2"/>
  <c r="AM36" i="2"/>
  <c r="K62" i="4" l="1"/>
  <c r="J62" i="4"/>
  <c r="L91" i="4"/>
  <c r="AQ91" i="4"/>
  <c r="AQ93" i="4" s="1"/>
  <c r="L62" i="4"/>
  <c r="AU91" i="4"/>
  <c r="AU93" i="4" s="1"/>
  <c r="AU63" i="4" s="1"/>
  <c r="AU64" i="4" s="1"/>
  <c r="AU65" i="4" s="1"/>
  <c r="AU66" i="4" s="1"/>
  <c r="AU67" i="4" s="1"/>
  <c r="AU68" i="4" s="1"/>
  <c r="AU69" i="4" s="1"/>
  <c r="AU70" i="4" s="1"/>
  <c r="AU71" i="4" s="1"/>
  <c r="AU72" i="4" s="1"/>
  <c r="AU73" i="4" s="1"/>
  <c r="AU74" i="4" s="1"/>
  <c r="AU75" i="4" s="1"/>
  <c r="AU76" i="4" s="1"/>
  <c r="AU77" i="4" s="1"/>
  <c r="AU78" i="4" s="1"/>
  <c r="AU79" i="4" s="1"/>
  <c r="M62" i="4"/>
  <c r="AP36" i="2"/>
  <c r="AQ63" i="4" l="1"/>
  <c r="AQ64" i="4" s="1"/>
  <c r="AQ65" i="4" s="1"/>
  <c r="AQ66" i="4" s="1"/>
  <c r="AQ67" i="4" s="1"/>
  <c r="AQ68" i="4" s="1"/>
  <c r="AQ69" i="4" s="1"/>
  <c r="AQ70" i="4" s="1"/>
  <c r="AQ71" i="4" s="1"/>
  <c r="AQ72" i="4" s="1"/>
  <c r="AQ73" i="4" s="1"/>
  <c r="AQ74" i="4" s="1"/>
  <c r="AQ75" i="4" s="1"/>
  <c r="AQ76" i="4" s="1"/>
  <c r="AQ77" i="4" s="1"/>
  <c r="AQ78" i="4" s="1"/>
  <c r="AQ79" i="4" s="1"/>
  <c r="K63" i="4"/>
  <c r="L79" i="4"/>
  <c r="J91" i="4"/>
  <c r="AJ24" i="4"/>
  <c r="BC62" i="4"/>
  <c r="M63" i="4"/>
  <c r="AU92" i="4"/>
  <c r="K64" i="4" l="1"/>
  <c r="L63" i="4"/>
  <c r="AQ92" i="4"/>
  <c r="AK7" i="2"/>
  <c r="I62" i="4"/>
  <c r="AJ62" i="4"/>
  <c r="AI62" i="4"/>
  <c r="BA62" i="4"/>
  <c r="AZ62" i="4"/>
  <c r="AL7" i="2"/>
  <c r="I91" i="4"/>
  <c r="BB62" i="4"/>
  <c r="AS91" i="4"/>
  <c r="AS93" i="4" s="1"/>
  <c r="AS63" i="4" s="1"/>
  <c r="AS64" i="4" s="1"/>
  <c r="AW91" i="4"/>
  <c r="AW93" i="4" s="1"/>
  <c r="AW63" i="4" s="1"/>
  <c r="AW64" i="4" s="1"/>
  <c r="AW65" i="4" s="1"/>
  <c r="AW66" i="4" s="1"/>
  <c r="AW67" i="4" s="1"/>
  <c r="AW68" i="4" s="1"/>
  <c r="AW69" i="4" s="1"/>
  <c r="AW70" i="4" s="1"/>
  <c r="AW71" i="4" s="1"/>
  <c r="AW72" i="4" s="1"/>
  <c r="AW73" i="4" s="1"/>
  <c r="AW74" i="4" s="1"/>
  <c r="AW75" i="4" s="1"/>
  <c r="AW76" i="4" s="1"/>
  <c r="AW77" i="4" s="1"/>
  <c r="AW78" i="4" s="1"/>
  <c r="AW79" i="4" s="1"/>
  <c r="L64" i="4"/>
  <c r="M64" i="4"/>
  <c r="G143" i="1"/>
  <c r="AS65" i="4" l="1"/>
  <c r="K65" i="4"/>
  <c r="J63" i="4"/>
  <c r="AU94" i="4"/>
  <c r="AG91" i="4"/>
  <c r="CR58" i="4" s="1"/>
  <c r="AQ94" i="4"/>
  <c r="L144" i="1"/>
  <c r="L145" i="1" s="1"/>
  <c r="L148" i="1"/>
  <c r="L149" i="1" s="1"/>
  <c r="L150" i="1" s="1"/>
  <c r="AI24" i="4"/>
  <c r="AK24" i="4" s="1"/>
  <c r="BD62" i="4"/>
  <c r="AY62" i="4"/>
  <c r="AK62" i="4"/>
  <c r="AL62" i="4"/>
  <c r="M65" i="4"/>
  <c r="L65" i="4"/>
  <c r="I144" i="1"/>
  <c r="I145" i="1" s="1"/>
  <c r="H144" i="1"/>
  <c r="H145" i="1" s="1"/>
  <c r="H148" i="1"/>
  <c r="H149" i="1" s="1"/>
  <c r="H150" i="1" s="1"/>
  <c r="I148" i="1"/>
  <c r="I149" i="1" s="1"/>
  <c r="I150" i="1" s="1"/>
  <c r="J144" i="1"/>
  <c r="J145" i="1" s="1"/>
  <c r="O144" i="1"/>
  <c r="O145" i="1" s="1"/>
  <c r="P144" i="1"/>
  <c r="P145" i="1" s="1"/>
  <c r="G144" i="1"/>
  <c r="G145" i="1" s="1"/>
  <c r="AS66" i="4" l="1"/>
  <c r="AS67" i="4" s="1"/>
  <c r="AS68" i="4" s="1"/>
  <c r="AS69" i="4" s="1"/>
  <c r="AS70" i="4" s="1"/>
  <c r="AS71" i="4" s="1"/>
  <c r="AS72" i="4" s="1"/>
  <c r="AS73" i="4" s="1"/>
  <c r="AS74" i="4" s="1"/>
  <c r="AS75" i="4" s="1"/>
  <c r="AS76" i="4" s="1"/>
  <c r="AS77" i="4" s="1"/>
  <c r="AS78" i="4" s="1"/>
  <c r="AS79" i="4" s="1"/>
  <c r="K66" i="4"/>
  <c r="J64" i="4"/>
  <c r="L92" i="4"/>
  <c r="CS69" i="4"/>
  <c r="CS67" i="4"/>
  <c r="CS76" i="4"/>
  <c r="CS70" i="4"/>
  <c r="CS59" i="4"/>
  <c r="CS77" i="4"/>
  <c r="CS64" i="4"/>
  <c r="CS78" i="4"/>
  <c r="CS79" i="4"/>
  <c r="CS73" i="4"/>
  <c r="CS63" i="4"/>
  <c r="CS66" i="4"/>
  <c r="CS60" i="4"/>
  <c r="CS61" i="4"/>
  <c r="CS68" i="4"/>
  <c r="CS62" i="4"/>
  <c r="CS65" i="4"/>
  <c r="CS74" i="4"/>
  <c r="CS72" i="4"/>
  <c r="CS71" i="4"/>
  <c r="K92" i="4"/>
  <c r="M92" i="4"/>
  <c r="L66" i="4"/>
  <c r="M66" i="4"/>
  <c r="K144" i="1"/>
  <c r="K145" i="1" s="1"/>
  <c r="K67" i="4" l="1"/>
  <c r="J65" i="4"/>
  <c r="K93" i="4"/>
  <c r="M93" i="4"/>
  <c r="J92" i="4"/>
  <c r="L93" i="4"/>
  <c r="AJ23" i="4"/>
  <c r="BC63" i="4"/>
  <c r="L67" i="4"/>
  <c r="M67" i="4"/>
  <c r="K68" i="4" l="1"/>
  <c r="J66" i="4"/>
  <c r="AJ12" i="4"/>
  <c r="BC64" i="4"/>
  <c r="AI63" i="4"/>
  <c r="AZ63" i="4"/>
  <c r="I63" i="4"/>
  <c r="AR63" i="4"/>
  <c r="AJ63" i="4"/>
  <c r="BA63" i="4"/>
  <c r="AV63" i="4"/>
  <c r="L94" i="4"/>
  <c r="AS92" i="4"/>
  <c r="AW92" i="4"/>
  <c r="AT63" i="4"/>
  <c r="BB63" i="4"/>
  <c r="I92" i="4"/>
  <c r="AX63" i="4"/>
  <c r="J93" i="4"/>
  <c r="K94" i="4"/>
  <c r="M94" i="4"/>
  <c r="M68" i="4"/>
  <c r="L68" i="4"/>
  <c r="J67" i="4" l="1"/>
  <c r="J68" i="4"/>
  <c r="AL9" i="2"/>
  <c r="I93" i="4"/>
  <c r="BB64" i="4"/>
  <c r="AX64" i="4"/>
  <c r="AT64" i="4"/>
  <c r="BC65" i="4"/>
  <c r="AJ13" i="4"/>
  <c r="L95" i="4"/>
  <c r="K95" i="4"/>
  <c r="M95" i="4"/>
  <c r="BD63" i="4"/>
  <c r="AY63" i="4"/>
  <c r="AK63" i="4"/>
  <c r="AL63" i="4"/>
  <c r="AI23" i="4"/>
  <c r="AK23" i="4" s="1"/>
  <c r="J94" i="4"/>
  <c r="L69" i="4"/>
  <c r="M69" i="4"/>
  <c r="BD10" i="2"/>
  <c r="BD15" i="2"/>
  <c r="J69" i="4" l="1"/>
  <c r="BC66" i="4"/>
  <c r="AJ15" i="4"/>
  <c r="I64" i="4"/>
  <c r="AJ64" i="4"/>
  <c r="BA64" i="4"/>
  <c r="AK9" i="2"/>
  <c r="AV64" i="4"/>
  <c r="AI64" i="4"/>
  <c r="AR64" i="4"/>
  <c r="AZ64" i="4"/>
  <c r="L96" i="4"/>
  <c r="K96" i="4"/>
  <c r="M96" i="4"/>
  <c r="J95" i="4"/>
  <c r="AL10" i="2"/>
  <c r="BB65" i="4"/>
  <c r="AX65" i="4"/>
  <c r="AT65" i="4"/>
  <c r="I94" i="4"/>
  <c r="M70" i="4"/>
  <c r="K69" i="4"/>
  <c r="L70" i="4"/>
  <c r="J20" i="2"/>
  <c r="J19" i="2"/>
  <c r="J22" i="2"/>
  <c r="J10" i="2"/>
  <c r="J5" i="2"/>
  <c r="J13" i="2"/>
  <c r="J21" i="2"/>
  <c r="J8" i="2"/>
  <c r="J4" i="2"/>
  <c r="J6" i="2"/>
  <c r="J11" i="2"/>
  <c r="J12" i="2"/>
  <c r="J7" i="2"/>
  <c r="J15" i="2"/>
  <c r="J23" i="2"/>
  <c r="J14" i="2"/>
  <c r="J16" i="2"/>
  <c r="J9" i="2"/>
  <c r="J17" i="2"/>
  <c r="J18" i="2"/>
  <c r="J70" i="4" l="1"/>
  <c r="AK64" i="4"/>
  <c r="BD64" i="4"/>
  <c r="AY64" i="4"/>
  <c r="AL64" i="4"/>
  <c r="AI12" i="4"/>
  <c r="AK12" i="4" s="1"/>
  <c r="BC68" i="4"/>
  <c r="L97" i="4"/>
  <c r="AT66" i="4"/>
  <c r="I95" i="4"/>
  <c r="AL11" i="2"/>
  <c r="AX66" i="4"/>
  <c r="BB66" i="4"/>
  <c r="J96" i="4"/>
  <c r="M97" i="4"/>
  <c r="BC67" i="4"/>
  <c r="AJ10" i="4"/>
  <c r="M71" i="4"/>
  <c r="L71" i="4"/>
  <c r="K70" i="4"/>
  <c r="L4" i="2"/>
  <c r="L6" i="2"/>
  <c r="L5" i="2"/>
  <c r="L7" i="2"/>
  <c r="I65" i="4" l="1"/>
  <c r="AJ65" i="4"/>
  <c r="AI65" i="4"/>
  <c r="BA65" i="4"/>
  <c r="AV65" i="4"/>
  <c r="AR65" i="4"/>
  <c r="AZ65" i="4"/>
  <c r="AK10" i="2"/>
  <c r="M98" i="4"/>
  <c r="K97" i="4"/>
  <c r="J97" i="4"/>
  <c r="AL12" i="2"/>
  <c r="I96" i="4"/>
  <c r="AT67" i="4"/>
  <c r="BB67" i="4"/>
  <c r="AX67" i="4"/>
  <c r="AJ20" i="4"/>
  <c r="L98" i="4"/>
  <c r="K71" i="4"/>
  <c r="L72" i="4"/>
  <c r="M72" i="4"/>
  <c r="L8" i="2"/>
  <c r="J71" i="4" l="1"/>
  <c r="J98" i="4"/>
  <c r="K98" i="4"/>
  <c r="BB68" i="4"/>
  <c r="AT68" i="4"/>
  <c r="AX68" i="4"/>
  <c r="AL13" i="2"/>
  <c r="I97" i="4"/>
  <c r="M99" i="4"/>
  <c r="AJ19" i="4"/>
  <c r="L99" i="4"/>
  <c r="AI13" i="4"/>
  <c r="AK13" i="4" s="1"/>
  <c r="AY65" i="4"/>
  <c r="AK65" i="4"/>
  <c r="BD65" i="4"/>
  <c r="AL65" i="4"/>
  <c r="AJ16" i="4"/>
  <c r="BC69" i="4"/>
  <c r="M73" i="4"/>
  <c r="J72" i="4"/>
  <c r="L73" i="4"/>
  <c r="K72" i="4"/>
  <c r="L9" i="2"/>
  <c r="BC70" i="4" l="1"/>
  <c r="AL14" i="2"/>
  <c r="I98" i="4"/>
  <c r="BB69" i="4"/>
  <c r="AX69" i="4"/>
  <c r="AT69" i="4"/>
  <c r="K99" i="4"/>
  <c r="M100" i="4"/>
  <c r="BA66" i="4"/>
  <c r="AZ66" i="4"/>
  <c r="AR66" i="4"/>
  <c r="AV66" i="4"/>
  <c r="AI66" i="4"/>
  <c r="I66" i="4"/>
  <c r="AK11" i="2"/>
  <c r="AJ66" i="4"/>
  <c r="AJ22" i="4"/>
  <c r="L100" i="4"/>
  <c r="J99" i="4"/>
  <c r="K73" i="4"/>
  <c r="L74" i="4"/>
  <c r="J73" i="4"/>
  <c r="M74" i="4"/>
  <c r="L10" i="2"/>
  <c r="M101" i="4" l="1"/>
  <c r="AX70" i="4"/>
  <c r="BB70" i="4"/>
  <c r="AL15" i="2"/>
  <c r="I99" i="4"/>
  <c r="AT70" i="4"/>
  <c r="K100" i="4"/>
  <c r="AI15" i="4"/>
  <c r="AK15" i="4" s="1"/>
  <c r="AK66" i="4"/>
  <c r="AL66" i="4"/>
  <c r="BD66" i="4"/>
  <c r="AY66" i="4"/>
  <c r="J100" i="4"/>
  <c r="BC71" i="4"/>
  <c r="AJ14" i="4"/>
  <c r="L101" i="4"/>
  <c r="L75" i="4"/>
  <c r="J74" i="4"/>
  <c r="M75" i="4"/>
  <c r="K74" i="4"/>
  <c r="L11" i="2"/>
  <c r="L102" i="4" l="1"/>
  <c r="AJ9" i="4"/>
  <c r="J101" i="4"/>
  <c r="I67" i="4"/>
  <c r="AI67" i="4"/>
  <c r="AZ67" i="4"/>
  <c r="AJ67" i="4"/>
  <c r="AV67" i="4"/>
  <c r="AK12" i="2"/>
  <c r="BA67" i="4"/>
  <c r="AR67" i="4"/>
  <c r="K101" i="4"/>
  <c r="AX71" i="4"/>
  <c r="AT71" i="4"/>
  <c r="I100" i="4"/>
  <c r="BB71" i="4"/>
  <c r="AL16" i="2"/>
  <c r="M102" i="4"/>
  <c r="BC72" i="4"/>
  <c r="M76" i="4"/>
  <c r="J75" i="4"/>
  <c r="K75" i="4"/>
  <c r="AQ128" i="4"/>
  <c r="AQ129" i="4" s="1"/>
  <c r="L76" i="4"/>
  <c r="L12" i="2"/>
  <c r="AL17" i="2" l="1"/>
  <c r="I101" i="4"/>
  <c r="BB72" i="4"/>
  <c r="AX72" i="4"/>
  <c r="AT72" i="4"/>
  <c r="K102" i="4"/>
  <c r="J102" i="4"/>
  <c r="AK67" i="4"/>
  <c r="AY67" i="4"/>
  <c r="AI10" i="4"/>
  <c r="AK10" i="4" s="1"/>
  <c r="BD67" i="4"/>
  <c r="AL67" i="4"/>
  <c r="BC73" i="4"/>
  <c r="M103" i="4"/>
  <c r="AJ17" i="4"/>
  <c r="L103" i="4"/>
  <c r="L77" i="4"/>
  <c r="M77" i="4"/>
  <c r="K76" i="4"/>
  <c r="J76" i="4"/>
  <c r="L13" i="2"/>
  <c r="AJ18" i="4" l="1"/>
  <c r="L104" i="4"/>
  <c r="BC74" i="4"/>
  <c r="AL18" i="2"/>
  <c r="BB73" i="4"/>
  <c r="AX73" i="4"/>
  <c r="I102" i="4"/>
  <c r="AT73" i="4"/>
  <c r="K103" i="4"/>
  <c r="AJ68" i="4"/>
  <c r="AI68" i="4"/>
  <c r="AZ68" i="4"/>
  <c r="AK13" i="2"/>
  <c r="AV68" i="4"/>
  <c r="BA68" i="4"/>
  <c r="I68" i="4"/>
  <c r="AR68" i="4"/>
  <c r="J103" i="4"/>
  <c r="M104" i="4"/>
  <c r="J77" i="4"/>
  <c r="M78" i="4"/>
  <c r="M79" i="4"/>
  <c r="L78" i="4"/>
  <c r="K77" i="4"/>
  <c r="L14" i="2"/>
  <c r="M105" i="4" l="1"/>
  <c r="AL19" i="2"/>
  <c r="I103" i="4"/>
  <c r="AX74" i="4"/>
  <c r="BB74" i="4"/>
  <c r="AT74" i="4"/>
  <c r="J104" i="4"/>
  <c r="BD68" i="4"/>
  <c r="AK68" i="4"/>
  <c r="AY68" i="4"/>
  <c r="AL68" i="4"/>
  <c r="K104" i="4"/>
  <c r="AJ21" i="4"/>
  <c r="L105" i="4"/>
  <c r="BC75" i="4"/>
  <c r="K79" i="4"/>
  <c r="K78" i="4"/>
  <c r="J79" i="4"/>
  <c r="J78" i="4"/>
  <c r="L15" i="2"/>
  <c r="K105" i="4" l="1"/>
  <c r="BC76" i="4"/>
  <c r="J105" i="4"/>
  <c r="AV69" i="4"/>
  <c r="AZ69" i="4"/>
  <c r="I69" i="4"/>
  <c r="AK14" i="2"/>
  <c r="AJ69" i="4"/>
  <c r="AI69" i="4"/>
  <c r="AI20" i="4" s="1"/>
  <c r="AK20" i="4" s="1"/>
  <c r="AR69" i="4"/>
  <c r="BA69" i="4"/>
  <c r="AJ6" i="4"/>
  <c r="L106" i="4"/>
  <c r="BB75" i="4"/>
  <c r="AT75" i="4"/>
  <c r="I104" i="4"/>
  <c r="AX75" i="4"/>
  <c r="AL20" i="2"/>
  <c r="M106" i="4"/>
  <c r="L16" i="2"/>
  <c r="BC77" i="4" l="1"/>
  <c r="AL21" i="2"/>
  <c r="BB76" i="4"/>
  <c r="AT76" i="4"/>
  <c r="AX76" i="4"/>
  <c r="AS128" i="4"/>
  <c r="AS129" i="4" s="1"/>
  <c r="I105" i="4"/>
  <c r="L107" i="4"/>
  <c r="AJ7" i="4"/>
  <c r="BD69" i="4"/>
  <c r="AK69" i="4"/>
  <c r="AI16" i="4"/>
  <c r="AK16" i="4" s="1"/>
  <c r="AY69" i="4"/>
  <c r="AL69" i="4"/>
  <c r="J106" i="4"/>
  <c r="M107" i="4"/>
  <c r="M108" i="4"/>
  <c r="K106" i="4"/>
  <c r="L17" i="2"/>
  <c r="AJ5" i="4" l="1"/>
  <c r="L108" i="4"/>
  <c r="AL22" i="2"/>
  <c r="AX77" i="4"/>
  <c r="BB77" i="4"/>
  <c r="AT77" i="4"/>
  <c r="I106" i="4"/>
  <c r="BC78" i="4"/>
  <c r="BA70" i="4"/>
  <c r="AV70" i="4"/>
  <c r="AR70" i="4"/>
  <c r="I70" i="4"/>
  <c r="AI70" i="4"/>
  <c r="AI19" i="4" s="1"/>
  <c r="AK19" i="4" s="1"/>
  <c r="AZ70" i="4"/>
  <c r="AK15" i="2"/>
  <c r="AJ70" i="4"/>
  <c r="J107" i="4"/>
  <c r="J108" i="4"/>
  <c r="K107" i="4"/>
  <c r="K108" i="4"/>
  <c r="L18" i="2"/>
  <c r="AH85" i="4" l="1"/>
  <c r="AY70" i="4"/>
  <c r="AL70" i="4"/>
  <c r="BD70" i="4"/>
  <c r="AK70" i="4"/>
  <c r="AX78" i="4"/>
  <c r="AT78" i="4"/>
  <c r="I107" i="4"/>
  <c r="AL23" i="2"/>
  <c r="BB78" i="4"/>
  <c r="BC79" i="4"/>
  <c r="L19" i="2"/>
  <c r="AL24" i="2" l="1"/>
  <c r="AT79" i="4"/>
  <c r="BB79" i="4"/>
  <c r="I108" i="4"/>
  <c r="AX79" i="4"/>
  <c r="AK16" i="2"/>
  <c r="BA71" i="4"/>
  <c r="AV71" i="4"/>
  <c r="AI71" i="4"/>
  <c r="AI22" i="4" s="1"/>
  <c r="AK22" i="4" s="1"/>
  <c r="AZ71" i="4"/>
  <c r="I71" i="4"/>
  <c r="AJ71" i="4"/>
  <c r="AR71" i="4"/>
  <c r="L20" i="2"/>
  <c r="BT24" i="2" l="1"/>
  <c r="BT39" i="2"/>
  <c r="BT29" i="2"/>
  <c r="BT34" i="2"/>
  <c r="BT19" i="2"/>
  <c r="BT14" i="2"/>
  <c r="BT9" i="2"/>
  <c r="BG79" i="4"/>
  <c r="BG67" i="4"/>
  <c r="BG69" i="4"/>
  <c r="BG70" i="4"/>
  <c r="BG74" i="4"/>
  <c r="BG75" i="4"/>
  <c r="BG76" i="4"/>
  <c r="BG77" i="4"/>
  <c r="BG68" i="4"/>
  <c r="BG66" i="4"/>
  <c r="BG60" i="4"/>
  <c r="BG61" i="4"/>
  <c r="BG73" i="4"/>
  <c r="BG78" i="4"/>
  <c r="BG63" i="4"/>
  <c r="BG71" i="4"/>
  <c r="BG59" i="4"/>
  <c r="BH59" i="4" s="1"/>
  <c r="BG65" i="4"/>
  <c r="BG62" i="4"/>
  <c r="BG72" i="4"/>
  <c r="BG64" i="4"/>
  <c r="AY71" i="4"/>
  <c r="AK71" i="4"/>
  <c r="BD71" i="4"/>
  <c r="AL71" i="4"/>
  <c r="L21" i="2"/>
  <c r="BG95" i="4" l="1"/>
  <c r="BG92" i="4"/>
  <c r="BG101" i="4"/>
  <c r="BG107" i="4"/>
  <c r="BG106" i="4"/>
  <c r="BG99" i="4"/>
  <c r="BG94" i="4"/>
  <c r="BG102" i="4"/>
  <c r="BG97" i="4"/>
  <c r="BG104" i="4"/>
  <c r="BG98" i="4"/>
  <c r="BG100" i="4"/>
  <c r="BG96" i="4"/>
  <c r="BH60" i="4"/>
  <c r="BH61" i="4" s="1"/>
  <c r="BG105" i="4"/>
  <c r="BG103" i="4"/>
  <c r="BG93" i="4"/>
  <c r="BG108" i="4"/>
  <c r="BH62" i="4"/>
  <c r="BH63" i="4" s="1"/>
  <c r="BH64" i="4" s="1"/>
  <c r="BH65" i="4" s="1"/>
  <c r="BH66" i="4" s="1"/>
  <c r="BH67" i="4" s="1"/>
  <c r="BH68" i="4" s="1"/>
  <c r="BH69" i="4" s="1"/>
  <c r="BH70" i="4" s="1"/>
  <c r="BH71" i="4" s="1"/>
  <c r="BH72" i="4" s="1"/>
  <c r="BH73" i="4" s="1"/>
  <c r="BH74" i="4" s="1"/>
  <c r="BH75" i="4" s="1"/>
  <c r="BH76" i="4" s="1"/>
  <c r="BH77" i="4" s="1"/>
  <c r="BH78" i="4" s="1"/>
  <c r="BH79" i="4" s="1"/>
  <c r="BH92" i="4"/>
  <c r="BH93" i="4" s="1"/>
  <c r="BH94" i="4" s="1"/>
  <c r="BA72" i="4"/>
  <c r="AK17" i="2"/>
  <c r="AV72" i="4"/>
  <c r="AZ72" i="4"/>
  <c r="AI72" i="4"/>
  <c r="AI14" i="4" s="1"/>
  <c r="AK14" i="4" s="1"/>
  <c r="AR72" i="4"/>
  <c r="AJ72" i="4"/>
  <c r="I72" i="4"/>
  <c r="L22" i="2"/>
  <c r="BH95" i="4" l="1"/>
  <c r="BH96" i="4" s="1"/>
  <c r="BH97" i="4" s="1"/>
  <c r="BH98" i="4" s="1"/>
  <c r="BH99" i="4" s="1"/>
  <c r="BH100" i="4" s="1"/>
  <c r="BH101" i="4" s="1"/>
  <c r="BH102" i="4" s="1"/>
  <c r="BH103" i="4" s="1"/>
  <c r="BH104" i="4" s="1"/>
  <c r="BH105" i="4" s="1"/>
  <c r="BH106" i="4" s="1"/>
  <c r="BH107" i="4" s="1"/>
  <c r="BH108" i="4" s="1"/>
  <c r="AK72" i="4"/>
  <c r="BD72" i="4"/>
  <c r="AL72" i="4"/>
  <c r="AY72" i="4"/>
  <c r="BG114" i="4"/>
  <c r="L23" i="2"/>
  <c r="I73" i="4" l="1"/>
  <c r="AR73" i="4"/>
  <c r="AV73" i="4"/>
  <c r="AK18" i="2"/>
  <c r="AI73" i="4"/>
  <c r="AI9" i="4" s="1"/>
  <c r="AK9" i="4" s="1"/>
  <c r="AZ73" i="4"/>
  <c r="BA73" i="4"/>
  <c r="AJ73" i="4"/>
  <c r="K4" i="2"/>
  <c r="K6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BD73" i="4" l="1"/>
  <c r="AL73" i="4"/>
  <c r="AK73" i="4"/>
  <c r="AY73" i="4"/>
  <c r="G147" i="1"/>
  <c r="G148" i="1" s="1"/>
  <c r="G149" i="1" s="1"/>
  <c r="G150" i="1" s="1"/>
  <c r="K147" i="1"/>
  <c r="K148" i="1" s="1"/>
  <c r="K149" i="1" s="1"/>
  <c r="K150" i="1" s="1"/>
  <c r="O147" i="1"/>
  <c r="P147" i="1"/>
  <c r="P148" i="1" s="1"/>
  <c r="P149" i="1" s="1"/>
  <c r="P150" i="1" s="1"/>
  <c r="J147" i="1"/>
  <c r="J148" i="1" s="1"/>
  <c r="J149" i="1" s="1"/>
  <c r="J150" i="1" s="1"/>
  <c r="AZ74" i="4" l="1"/>
  <c r="AV74" i="4"/>
  <c r="AR74" i="4"/>
  <c r="I74" i="4"/>
  <c r="BA74" i="4"/>
  <c r="AK19" i="2"/>
  <c r="AI74" i="4"/>
  <c r="AI17" i="4" s="1"/>
  <c r="AK17" i="4" s="1"/>
  <c r="AJ74" i="4"/>
  <c r="O148" i="1"/>
  <c r="O149" i="1" s="1"/>
  <c r="O150" i="1" s="1"/>
  <c r="AK74" i="4" l="1"/>
  <c r="BD74" i="4"/>
  <c r="AY74" i="4"/>
  <c r="AL74" i="4"/>
  <c r="AK20" i="2" l="1"/>
  <c r="AV75" i="4"/>
  <c r="AZ75" i="4"/>
  <c r="AJ75" i="4"/>
  <c r="AR75" i="4"/>
  <c r="AI75" i="4"/>
  <c r="AI18" i="4" s="1"/>
  <c r="AK18" i="4" s="1"/>
  <c r="I75" i="4"/>
  <c r="BA75" i="4"/>
  <c r="AK37" i="2"/>
  <c r="AK38" i="2"/>
  <c r="AL37" i="2"/>
  <c r="AL38" i="2"/>
  <c r="BD75" i="4" l="1"/>
  <c r="AY75" i="4"/>
  <c r="AL75" i="4"/>
  <c r="AK75" i="4"/>
  <c r="AO38" i="2"/>
  <c r="AN39" i="2"/>
  <c r="AM39" i="2"/>
  <c r="AO37" i="2"/>
  <c r="AZ76" i="4" l="1"/>
  <c r="I76" i="4"/>
  <c r="AI76" i="4"/>
  <c r="AI21" i="4" s="1"/>
  <c r="AK21" i="4" s="1"/>
  <c r="AR76" i="4"/>
  <c r="AJ76" i="4"/>
  <c r="AK21" i="2"/>
  <c r="BA76" i="4"/>
  <c r="AV76" i="4"/>
  <c r="AP39" i="2"/>
  <c r="AY76" i="4" l="1"/>
  <c r="AL76" i="4"/>
  <c r="AK76" i="4"/>
  <c r="BD76" i="4"/>
  <c r="AK40" i="2"/>
  <c r="AK41" i="2"/>
  <c r="AZ77" i="4" l="1"/>
  <c r="AR77" i="4"/>
  <c r="AV77" i="4"/>
  <c r="AJ77" i="4"/>
  <c r="BA77" i="4"/>
  <c r="AI77" i="4"/>
  <c r="AI6" i="4" s="1"/>
  <c r="AK6" i="4" s="1"/>
  <c r="I77" i="4"/>
  <c r="AK22" i="2"/>
  <c r="AL40" i="2"/>
  <c r="AO40" i="2" s="1"/>
  <c r="AL41" i="2"/>
  <c r="AO41" i="2" s="1"/>
  <c r="AM42" i="2"/>
  <c r="AK77" i="4" l="1"/>
  <c r="AY77" i="4"/>
  <c r="AL77" i="4"/>
  <c r="BD77" i="4"/>
  <c r="AN42" i="2"/>
  <c r="AP42" i="2" s="1"/>
  <c r="AL43" i="2"/>
  <c r="AL44" i="2"/>
  <c r="AK43" i="2"/>
  <c r="AK44" i="2"/>
  <c r="AI78" i="4" l="1"/>
  <c r="AI7" i="4" s="1"/>
  <c r="AK7" i="4" s="1"/>
  <c r="AZ78" i="4"/>
  <c r="BA78" i="4"/>
  <c r="AK23" i="2"/>
  <c r="I78" i="4"/>
  <c r="AV78" i="4"/>
  <c r="AJ78" i="4"/>
  <c r="AR78" i="4"/>
  <c r="AN45" i="2"/>
  <c r="AO44" i="2"/>
  <c r="AL47" i="2"/>
  <c r="AL46" i="2"/>
  <c r="AM45" i="2"/>
  <c r="AO43" i="2"/>
  <c r="AK78" i="4" l="1"/>
  <c r="AL78" i="4"/>
  <c r="AY78" i="4"/>
  <c r="BD78" i="4"/>
  <c r="AP45" i="2"/>
  <c r="AL50" i="2"/>
  <c r="AL49" i="2"/>
  <c r="AN48" i="2"/>
  <c r="AK47" i="2"/>
  <c r="AO47" i="2" s="1"/>
  <c r="AK46" i="2"/>
  <c r="AK24" i="2" l="1"/>
  <c r="AZ79" i="4"/>
  <c r="AR79" i="4"/>
  <c r="CP58" i="4"/>
  <c r="CQ58" i="4" s="1"/>
  <c r="I79" i="4"/>
  <c r="AI79" i="4"/>
  <c r="AI5" i="4" s="1"/>
  <c r="AK5" i="4" s="1"/>
  <c r="AJ79" i="4"/>
  <c r="AV79" i="4"/>
  <c r="BA79" i="4"/>
  <c r="AN51" i="2"/>
  <c r="AL53" i="2"/>
  <c r="AL52" i="2"/>
  <c r="AO46" i="2"/>
  <c r="AM48" i="2"/>
  <c r="AP48" i="2" s="1"/>
  <c r="BS9" i="2" l="1"/>
  <c r="BS34" i="2"/>
  <c r="BS39" i="2"/>
  <c r="BS29" i="2"/>
  <c r="BS24" i="2"/>
  <c r="BS19" i="2"/>
  <c r="BS14" i="2"/>
  <c r="BF64" i="4"/>
  <c r="BF71" i="4"/>
  <c r="BF69" i="4"/>
  <c r="BF61" i="4"/>
  <c r="BE64" i="4"/>
  <c r="BF72" i="4"/>
  <c r="BE69" i="4"/>
  <c r="BF66" i="4"/>
  <c r="BE68" i="4"/>
  <c r="BE63" i="4"/>
  <c r="BF70" i="4"/>
  <c r="BE72" i="4"/>
  <c r="BF76" i="4"/>
  <c r="BE71" i="4"/>
  <c r="BE76" i="4"/>
  <c r="BE61" i="4"/>
  <c r="BE77" i="4"/>
  <c r="BF73" i="4"/>
  <c r="BF78" i="4"/>
  <c r="BF65" i="4"/>
  <c r="BE73" i="4"/>
  <c r="BE65" i="4"/>
  <c r="BF68" i="4"/>
  <c r="BE67" i="4"/>
  <c r="BF59" i="4"/>
  <c r="BF63" i="4"/>
  <c r="BF74" i="4"/>
  <c r="BF75" i="4"/>
  <c r="BE59" i="4"/>
  <c r="BF62" i="4"/>
  <c r="BE62" i="4"/>
  <c r="BF77" i="4"/>
  <c r="BE74" i="4"/>
  <c r="BF67" i="4"/>
  <c r="BE75" i="4"/>
  <c r="BF79" i="4"/>
  <c r="BE66" i="4"/>
  <c r="BE70" i="4"/>
  <c r="BF60" i="4"/>
  <c r="BE60" i="4"/>
  <c r="AY79" i="4"/>
  <c r="AK79" i="4"/>
  <c r="BD79" i="4"/>
  <c r="BE79" i="4" s="1"/>
  <c r="AI85" i="4"/>
  <c r="AK85" i="4" s="1"/>
  <c r="AL79" i="4"/>
  <c r="BE78" i="4"/>
  <c r="AL57" i="2"/>
  <c r="AN54" i="2"/>
  <c r="AK49" i="2"/>
  <c r="AK50" i="2"/>
  <c r="AO50" i="2" s="1"/>
  <c r="BT25" i="2" l="1"/>
  <c r="BH54" i="2"/>
  <c r="BT30" i="2"/>
  <c r="BH55" i="2"/>
  <c r="BT15" i="2"/>
  <c r="BH52" i="2"/>
  <c r="BT40" i="2"/>
  <c r="BH57" i="2"/>
  <c r="BT35" i="2"/>
  <c r="BH56" i="2"/>
  <c r="BT20" i="2"/>
  <c r="BH53" i="2"/>
  <c r="BT10" i="2"/>
  <c r="BH51" i="2"/>
  <c r="BE100" i="4"/>
  <c r="BE104" i="4"/>
  <c r="BE106" i="4"/>
  <c r="BE103" i="4"/>
  <c r="BE95" i="4"/>
  <c r="BE105" i="4"/>
  <c r="BE101" i="4"/>
  <c r="BE97" i="4"/>
  <c r="BE107" i="4"/>
  <c r="BE108" i="4"/>
  <c r="BE93" i="4"/>
  <c r="BE94" i="4"/>
  <c r="BE99" i="4"/>
  <c r="BE92" i="4"/>
  <c r="BF92" i="4" s="1"/>
  <c r="BE98" i="4"/>
  <c r="BE96" i="4"/>
  <c r="BE102" i="4"/>
  <c r="AO49" i="2"/>
  <c r="AM51" i="2"/>
  <c r="AP51" i="2" s="1"/>
  <c r="BE114" i="4" l="1"/>
  <c r="BF93" i="4"/>
  <c r="BF94" i="4" s="1"/>
  <c r="BF95" i="4" s="1"/>
  <c r="BF96" i="4" s="1"/>
  <c r="BF97" i="4" s="1"/>
  <c r="BF98" i="4" s="1"/>
  <c r="BF99" i="4" s="1"/>
  <c r="BF100" i="4" s="1"/>
  <c r="BF101" i="4" s="1"/>
  <c r="BF102" i="4" s="1"/>
  <c r="BF103" i="4" s="1"/>
  <c r="BF104" i="4" s="1"/>
  <c r="BF105" i="4" s="1"/>
  <c r="BF106" i="4" s="1"/>
  <c r="BF107" i="4" s="1"/>
  <c r="BF108" i="4" s="1"/>
  <c r="AK53" i="2"/>
  <c r="AO53" i="2" s="1"/>
  <c r="AK52" i="2"/>
  <c r="AO52" i="2" l="1"/>
  <c r="AM54" i="2"/>
  <c r="AP54" i="2" s="1"/>
  <c r="AK57" i="2"/>
  <c r="AK58" i="2" s="1"/>
  <c r="AL30" i="2" l="1"/>
  <c r="AL32" i="2"/>
  <c r="AR32" i="2" l="1"/>
  <c r="AN32" i="2"/>
  <c r="AP32" i="2"/>
  <c r="AL31" i="2"/>
  <c r="AN30" i="2"/>
  <c r="AR30" i="2"/>
  <c r="AP30" i="2"/>
  <c r="AR31" i="2" l="1"/>
  <c r="AP31" i="2"/>
  <c r="AN31" i="2"/>
  <c r="AK26" i="2" l="1"/>
  <c r="AK28" i="2"/>
  <c r="AP28" i="2" l="1"/>
  <c r="AK27" i="2"/>
  <c r="AN28" i="2"/>
  <c r="AR28" i="2"/>
  <c r="AR26" i="2"/>
  <c r="AP26" i="2"/>
  <c r="AN26" i="2"/>
  <c r="AP27" i="2" l="1"/>
  <c r="AR27" i="2"/>
  <c r="AN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AL63" authorId="0" shapeId="0" xr:uid="{B550EC9F-B4FD-4F50-A3E5-2663D3E485A3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bis hier weniger als 5 Tage</t>
        </r>
      </text>
    </comment>
    <comment ref="CJ75" authorId="0" shapeId="0" xr:uid="{A6F396BC-32BB-42E3-9BD0-17441975DECC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N75" authorId="0" shapeId="0" xr:uid="{7E5C5A07-6FA0-481F-BD11-29809A28875E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S75" authorId="0" shapeId="0" xr:uid="{2B68C2F1-2E39-4A52-99F1-5CAB95131CDD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X75" authorId="0" shapeId="0" xr:uid="{1BB3AE4D-2D8F-469C-A27B-2B455B5F4AAB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<sst xmlns="http://schemas.openxmlformats.org/spreadsheetml/2006/main" count="2439" uniqueCount="458">
  <si>
    <t>Die grün markierten Produkte hast du bei dem entsprechenden Paket inklusive.</t>
  </si>
  <si>
    <t>↓</t>
  </si>
  <si>
    <t>Format</t>
  </si>
  <si>
    <t>UVP-Preis
im F-Shop</t>
  </si>
  <si>
    <t>µ</t>
  </si>
  <si>
    <t>-</t>
  </si>
  <si>
    <t>Schätzpreis, Preis nach CF ist unbekannt</t>
  </si>
  <si>
    <t>Deine Kosten</t>
  </si>
  <si>
    <t>/</t>
  </si>
  <si>
    <t>Deine Ersparnis</t>
  </si>
  <si>
    <t>Deine zusätzlichen Produkte</t>
  </si>
  <si>
    <t>x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</si>
  <si>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</si>
  <si>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</si>
  <si>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</si>
  <si>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</si>
  <si>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</si>
  <si>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</si>
  <si>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</si>
  <si>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</si>
  <si>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</si>
  <si>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</si>
  <si>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</si>
  <si>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</si>
  <si>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</si>
  <si>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</si>
  <si>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</si>
  <si>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</si>
  <si>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</si>
  <si>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</si>
  <si>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</si>
  <si>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</si>
  <si>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</si>
  <si>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</si>
  <si>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</si>
  <si>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</si>
  <si>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</si>
  <si>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</si>
  <si>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</si>
  <si>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</si>
  <si>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</si>
  <si>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</si>
  <si>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</si>
  <si>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</si>
  <si>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</si>
  <si>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</si>
  <si>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</si>
  <si>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</si>
  <si>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</si>
  <si>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</si>
  <si>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</si>
  <si>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</si>
  <si>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</si>
  <si>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</si>
  <si>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</si>
  <si>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</si>
  <si>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</si>
  <si>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</si>
  <si>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</si>
  <si>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</si>
  <si>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</si>
  <si>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</si>
  <si>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</si>
  <si>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</si>
  <si>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</si>
  <si>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</si>
  <si>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</si>
  <si>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</si>
  <si>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</si>
  <si>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</si>
  <si>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MP TW (€)</t>
  </si>
  <si>
    <t>MP TW (B)</t>
  </si>
  <si>
    <t>DSK (€)</t>
  </si>
  <si>
    <t>DSK norm (€)</t>
  </si>
  <si>
    <t>DSK norm (Backer)</t>
  </si>
  <si>
    <t>Tag 2 mal X</t>
  </si>
  <si>
    <t>Min:</t>
  </si>
  <si>
    <t>Max:</t>
  </si>
  <si>
    <t>B</t>
  </si>
  <si>
    <t>€ kum.</t>
  </si>
  <si>
    <t>Backer kum</t>
  </si>
  <si>
    <t>Stand Ist/HR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</si>
  <si>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</si>
  <si>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</si>
  <si>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</si>
  <si>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</si>
  <si>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</si>
  <si>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</si>
  <si>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</si>
  <si>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</si>
  <si>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</si>
  <si>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</si>
  <si>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</si>
  <si>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</si>
  <si>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</si>
  <si>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</si>
  <si>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</si>
  <si>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</si>
  <si>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</si>
  <si>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</si>
  <si>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</si>
  <si>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</si>
  <si>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</si>
  <si>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</si>
  <si>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</si>
  <si>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</si>
  <si>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</si>
  <si>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</si>
  <si>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</si>
  <si>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</si>
  <si>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</si>
  <si>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</si>
  <si>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</si>
  <si>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</si>
  <si>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</si>
  <si>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</si>
  <si>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</si>
  <si>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</si>
  <si>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</si>
  <si>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</si>
  <si>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</si>
  <si>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</si>
  <si>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</si>
  <si>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</si>
  <si>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</si>
  <si>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</si>
  <si>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>Tag 3</t>
  </si>
  <si>
    <t>Schnitt</t>
  </si>
  <si>
    <t>PDF</t>
  </si>
  <si>
    <t>MP AML (€)</t>
  </si>
  <si>
    <t>MP AML (B)</t>
  </si>
  <si>
    <t>SOK (€)</t>
  </si>
  <si>
    <t>SOK (Backer)</t>
  </si>
  <si>
    <t>Tag 3 mal X</t>
  </si>
  <si>
    <t>Tag 4 mal X</t>
  </si>
  <si>
    <t>Tag 5 mal X</t>
  </si>
  <si>
    <t>Tag 4</t>
  </si>
  <si>
    <t>Tag 5</t>
  </si>
  <si>
    <t>Tag 6 mal X</t>
  </si>
  <si>
    <t>Tag 6</t>
  </si>
  <si>
    <t>Tag 7</t>
  </si>
  <si>
    <t>Tag 7 mal X</t>
  </si>
  <si>
    <t>Diverse</t>
  </si>
  <si>
    <t>Die Sonnenküste</t>
  </si>
  <si>
    <t>UVP-Preis
im ebook-Shop</t>
  </si>
  <si>
    <t>SOK (€/kum)</t>
  </si>
  <si>
    <t>SOK (B)</t>
  </si>
  <si>
    <t>SOK (B/kum)</t>
  </si>
  <si>
    <t>RE (€)</t>
  </si>
  <si>
    <t>RE (Backer)</t>
  </si>
  <si>
    <t>SOK norm (€)</t>
  </si>
  <si>
    <t>SOK norm (Backer)</t>
  </si>
  <si>
    <t>MP SOK (€)</t>
  </si>
  <si>
    <t>MP SOK (B)</t>
  </si>
  <si>
    <t>Rohals Erben</t>
  </si>
  <si>
    <t>Zusatzprodukt</t>
  </si>
  <si>
    <t>In %</t>
  </si>
  <si>
    <t>Dein Gesamtrabatt</t>
  </si>
  <si>
    <t>Kauf nach CF</t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</si>
  <si>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</si>
  <si>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</si>
  <si>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t>Physische Produkte</t>
  </si>
  <si>
    <t>Digitale Produkte</t>
  </si>
  <si>
    <t>Alle Produkte</t>
  </si>
  <si>
    <t>Anteil Unterstützer je Dankeschön</t>
  </si>
  <si>
    <t>s.o.</t>
  </si>
  <si>
    <t>RE (€/kum)</t>
  </si>
  <si>
    <t>RE (B)</t>
  </si>
  <si>
    <t>RE (B/kum)</t>
  </si>
  <si>
    <t>DGG (€)</t>
  </si>
  <si>
    <t>MP RE (€)</t>
  </si>
  <si>
    <t>MP RE (B)</t>
  </si>
  <si>
    <t>DGG (Backer)</t>
  </si>
  <si>
    <t>https://hinter-dem-schwarzen-auge.de/links/</t>
  </si>
  <si>
    <t>Prognose min</t>
  </si>
  <si>
    <t>Prognose max</t>
  </si>
  <si>
    <t>Hochrechnung (könnte passen, oder auch nicht ;) )</t>
  </si>
  <si>
    <t>€ max.</t>
  </si>
  <si>
    <t>€ min.</t>
  </si>
  <si>
    <t>Backer min.</t>
  </si>
  <si>
    <t>Backer max.</t>
  </si>
  <si>
    <t>A4, Hardcover + PDF</t>
  </si>
  <si>
    <t>Umfang</t>
  </si>
  <si>
    <t>A4, Softcover + PDF</t>
  </si>
  <si>
    <t>Einsteigerbox</t>
  </si>
  <si>
    <t>F</t>
  </si>
  <si>
    <t>F/C</t>
  </si>
  <si>
    <t>C</t>
  </si>
  <si>
    <t>k.A.</t>
  </si>
  <si>
    <t>Unterstützen kannst Du uns hier:</t>
  </si>
  <si>
    <t>https://hinter-dem-schwarzen-auge.de/support</t>
  </si>
  <si>
    <t>Alle Links zum Projekt findest du hier:</t>
  </si>
  <si>
    <t>Teil des Kompendiums - Nicht als Einzelprodukt erhältlich!</t>
  </si>
  <si>
    <r>
      <t xml:space="preserve">Das sparst Du </t>
    </r>
    <r>
      <rPr>
        <b/>
        <sz val="20"/>
        <color rgb="FF00B050"/>
        <rFont val="Book Antiqua"/>
        <family val="1"/>
      </rPr>
      <t xml:space="preserve">(grüner Betrag)
</t>
    </r>
    <r>
      <rPr>
        <b/>
        <sz val="20"/>
        <color theme="1"/>
        <rFont val="Book Antiqua"/>
        <family val="1"/>
      </rPr>
      <t>oder das zahlst Du mehr (</t>
    </r>
    <r>
      <rPr>
        <b/>
        <sz val="20"/>
        <color rgb="FFFF0000"/>
        <rFont val="Book Antiqua"/>
        <family val="1"/>
      </rPr>
      <t>roter Betrag</t>
    </r>
    <r>
      <rPr>
        <b/>
        <sz val="20"/>
        <color theme="1"/>
        <rFont val="Book Antiqua"/>
        <family val="1"/>
      </rPr>
      <t>),
wenn du stattdessen folgendes Dankeschön wählst…</t>
    </r>
  </si>
  <si>
    <t>Das sind die physischen Bestandteile des jeweiligen Dankeschöns(!) wert</t>
  </si>
  <si>
    <t>Das sind die digitalen Bestandteile des jeweiligen Dankeschöns(!) wert</t>
  </si>
  <si>
    <t>Das sind die physichen &amp; digitalen Bestandteile des jeweiligen Dankeschöns(!) wert</t>
  </si>
  <si>
    <r>
      <t xml:space="preserve">Das zahlst du insgesamt für </t>
    </r>
    <r>
      <rPr>
        <b/>
        <sz val="10"/>
        <color rgb="FFFF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</t>
    </r>
  </si>
  <si>
    <r>
      <t xml:space="preserve">Das kostet </t>
    </r>
    <r>
      <rPr>
        <b/>
        <i/>
        <sz val="10"/>
        <color rgb="FFFF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F-Shop/ulisses-ebook-Shop</t>
    </r>
  </si>
  <si>
    <r>
      <t xml:space="preserve">Diesen Rabatt gewährt </t>
    </r>
    <r>
      <rPr>
        <b/>
        <i/>
        <sz val="10"/>
        <color rgb="FFFF0000"/>
        <rFont val="Book Antiqua"/>
        <family val="1"/>
      </rPr>
      <t xml:space="preserve">dein Wunschpaket </t>
    </r>
    <r>
      <rPr>
        <b/>
        <i/>
        <sz val="10"/>
        <rFont val="Book Antiqua"/>
        <family val="1"/>
      </rPr>
      <t xml:space="preserve">somit gegenüber dem Einkauf </t>
    </r>
    <r>
      <rPr>
        <b/>
        <i/>
        <sz val="10"/>
        <color theme="1"/>
        <rFont val="Book Antiqua"/>
        <family val="1"/>
      </rPr>
      <t>(nach dem Crowdfunding) im  F-Shop/ulisses-ebook-Shop</t>
    </r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</si>
  <si>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FF0000"/>
        <rFont val="Book Antiqua"/>
        <family val="1"/>
      </rPr>
      <t>nicht Teil deines Wunschpakets</t>
    </r>
    <r>
      <rPr>
        <b/>
        <i/>
        <sz val="10"/>
        <color theme="1"/>
        <rFont val="Book Antiqua"/>
        <family val="1"/>
      </rPr>
      <t xml:space="preserve"> sind, haben folgenden Wert</t>
    </r>
  </si>
  <si>
    <t>DSK SV (€)</t>
  </si>
  <si>
    <t>DSK SV (Backer)</t>
  </si>
  <si>
    <t>WW (€)</t>
  </si>
  <si>
    <t>WW (Backer)</t>
  </si>
  <si>
    <t>DSK Fasar (€)</t>
  </si>
  <si>
    <t>DSK Fasar (Backer)</t>
  </si>
  <si>
    <t>MP ANB (€)</t>
  </si>
  <si>
    <t>MP ANB (B)</t>
  </si>
  <si>
    <t>MP DSKF (€)</t>
  </si>
  <si>
    <t>MP DSKF (B)</t>
  </si>
  <si>
    <t>MP WdM (€)</t>
  </si>
  <si>
    <t>MP WdM (B)</t>
  </si>
  <si>
    <t>MP DGG (€)</t>
  </si>
  <si>
    <t>MP DGG (B)</t>
  </si>
  <si>
    <t>MP DSKSV (€)</t>
  </si>
  <si>
    <t>MP DSKSV (B)</t>
  </si>
  <si>
    <t>Kauf nach dem CF</t>
  </si>
  <si>
    <r>
      <t xml:space="preserve">Das kostet </t>
    </r>
    <r>
      <rPr>
        <b/>
        <i/>
        <sz val="10"/>
        <color rgb="FFFF0000"/>
        <rFont val="Book Antiqua"/>
        <family val="1"/>
      </rPr>
      <t xml:space="preserve">dein Wunschpaket inkl.zusätzlicher Produkte </t>
    </r>
    <r>
      <rPr>
        <b/>
        <i/>
        <sz val="10"/>
        <rFont val="Book Antiqua"/>
        <family val="1"/>
      </rPr>
      <t xml:space="preserve">(nach dem Crowdfunding) im </t>
    </r>
    <r>
      <rPr>
        <b/>
        <i/>
        <sz val="10"/>
        <color theme="1"/>
        <rFont val="Book Antiqua"/>
        <family val="1"/>
      </rPr>
      <t>F-Shop/ulisses-ebook-Shop (voraussichtlich) insgesamt</t>
    </r>
  </si>
  <si>
    <t>Anteil Tag 20/21</t>
  </si>
  <si>
    <t>Anteil Tag 1/2</t>
  </si>
  <si>
    <t>dazwischen</t>
  </si>
  <si>
    <t>Min</t>
  </si>
  <si>
    <t>Max</t>
  </si>
  <si>
    <t>Mittel</t>
  </si>
  <si>
    <t>DSK Fasar</t>
  </si>
  <si>
    <t>Schleichender Verfall</t>
  </si>
  <si>
    <t>DSK R (Backer)</t>
  </si>
  <si>
    <t>DSK R (€)</t>
  </si>
  <si>
    <t>MP WW (€)</t>
  </si>
  <si>
    <t>MP WW (B)</t>
  </si>
  <si>
    <t>Schnitt:</t>
  </si>
  <si>
    <t>Sehr flach</t>
  </si>
  <si>
    <t>Sehr steil</t>
  </si>
  <si>
    <t>C/F</t>
  </si>
  <si>
    <t>0 €</t>
  </si>
  <si>
    <t>DSK Refurbished</t>
  </si>
  <si>
    <t>DSK: Schleichender Verfall</t>
  </si>
  <si>
    <t>DSKSV (€)</t>
  </si>
  <si>
    <t>DSKSV (€/kum)</t>
  </si>
  <si>
    <t>DSKSV (B)</t>
  </si>
  <si>
    <t>DSKSV (B/kum)</t>
  </si>
  <si>
    <t>DSK R (€/kum)</t>
  </si>
  <si>
    <t>DSK R (B/kum)</t>
  </si>
  <si>
    <t>DSK R (B)</t>
  </si>
  <si>
    <t>Bitte setze hier deine "x" für deine Wunschprodukte</t>
  </si>
  <si>
    <t xml:space="preserve">© 2023 Bild by Ulisses Spiele GmbH               </t>
  </si>
  <si>
    <t>Links</t>
  </si>
  <si>
    <t>Zum Crowdfunding kommst du hier (oder mit Klick auf das Bild):</t>
  </si>
  <si>
    <t>Anleitung</t>
  </si>
  <si>
    <r>
      <t xml:space="preserve">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Schwarzen Auge!</t>
    </r>
  </si>
  <si>
    <t>A1:CQ150</t>
  </si>
  <si>
    <t>Aktuelle Hochrechnung</t>
  </si>
  <si>
    <t>1. Schätzung</t>
  </si>
  <si>
    <t>Vorherige CF</t>
  </si>
  <si>
    <r>
      <rPr>
        <b/>
        <sz val="19"/>
        <color rgb="FFFF0000"/>
        <rFont val="Book Antiqua"/>
        <family val="1"/>
      </rPr>
      <t>DSA, DSK &amp; AVENTURIA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B050"/>
        <rFont val="Book Antiqua"/>
        <family val="1"/>
      </rPr>
      <t>Nachrichten, Fantalks, Community-Talks, Let's Plays u.v.m.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70C0"/>
        <rFont val="Book Antiqua"/>
        <family val="1"/>
      </rPr>
      <t>auf Twitch, YouTube, Discord, Blog, Facebook, Instagram etc.</t>
    </r>
  </si>
  <si>
    <t>https://www.gameontabletop.com/cf2571/das-schwarze-auge-ara-des-goldenen-kaisers.html</t>
  </si>
  <si>
    <t>Glorreiches Ereignis</t>
  </si>
  <si>
    <t>Geadelte Gedanken</t>
  </si>
  <si>
    <t>Wider den magischen Lug</t>
  </si>
  <si>
    <t>Welch eine Ehre!</t>
  </si>
  <si>
    <t>Deine erste Queste</t>
  </si>
  <si>
    <t>Hoch droben aus schwarzem Basalt</t>
  </si>
  <si>
    <t>Ära (€)</t>
  </si>
  <si>
    <t>Ära (Backer)</t>
  </si>
  <si>
    <t>MP DSK R (€)</t>
  </si>
  <si>
    <t>MP DSK R (B)</t>
  </si>
  <si>
    <r>
      <t xml:space="preserve">Ära des Goldenen Kaisers </t>
    </r>
    <r>
      <rPr>
        <sz val="8"/>
        <color theme="1"/>
        <rFont val="Book Antiqua"/>
        <family val="1"/>
      </rPr>
      <t>(Epochenband)</t>
    </r>
  </si>
  <si>
    <t>128 Seiten</t>
  </si>
  <si>
    <r>
      <t xml:space="preserve">Ära des Goldenen Kaisers Deluxe </t>
    </r>
    <r>
      <rPr>
        <sz val="8"/>
        <color theme="1"/>
        <rFont val="Book Antiqua"/>
        <family val="1"/>
      </rPr>
      <t>(Epochenband)</t>
    </r>
  </si>
  <si>
    <r>
      <t>Mysterien der Goldenen Kaiserzeit</t>
    </r>
    <r>
      <rPr>
        <sz val="8"/>
        <color theme="1"/>
        <rFont val="Book Antiqua"/>
        <family val="1"/>
      </rPr>
      <t xml:space="preserve"> (Spielleiterband)</t>
    </r>
  </si>
  <si>
    <t>Kompendium der Goldenen Kaiserzeit</t>
  </si>
  <si>
    <t>Die Verschwörung von Gareth</t>
  </si>
  <si>
    <r>
      <t>Meisterset – Die Verschwörung von Gareth</t>
    </r>
    <r>
      <rPr>
        <sz val="8"/>
        <color theme="1"/>
        <rFont val="Book Antiqua"/>
        <family val="1"/>
      </rPr>
      <t xml:space="preserve"> (DSA 5-Variante)</t>
    </r>
  </si>
  <si>
    <t>Landkartenset - Ära des Goldenen Kaisers</t>
  </si>
  <si>
    <t>Spielplanset - Ära des Goldenen Kaisers</t>
  </si>
  <si>
    <t>Sammelbox - Ära des Goldenen Kaisers</t>
  </si>
  <si>
    <t>Das Heldenbrevier der Ära des Goldenen Kaisers</t>
  </si>
  <si>
    <t>Sphärenklang - Ära des Goldenen Kaisers</t>
  </si>
  <si>
    <t>Acrylmarkerset - Ära des Goldenen Kaisers</t>
  </si>
  <si>
    <t>Acrylmarkerset - Die Verschwörung von Gareth</t>
  </si>
  <si>
    <t>Notizbuch für Neuadlige</t>
  </si>
  <si>
    <t>Miniatur - Kaiser Hal</t>
  </si>
  <si>
    <t>Neu in Aventurien</t>
  </si>
  <si>
    <t>Ritterin</t>
  </si>
  <si>
    <t>Baron</t>
  </si>
  <si>
    <t>Gräfin</t>
  </si>
  <si>
    <t>Digitaler Fürst</t>
  </si>
  <si>
    <t>Herzogin</t>
  </si>
  <si>
    <t>Fürst</t>
  </si>
  <si>
    <t>A4, HC (Kunstleder) + PDF</t>
  </si>
  <si>
    <t>Ggf. nach dem CF nur noch sehr begrenzt erhältlich</t>
  </si>
  <si>
    <t>Resin (neue Formel!)</t>
  </si>
  <si>
    <t>1 Miniatur</t>
  </si>
  <si>
    <t>200 Seiten</t>
  </si>
  <si>
    <t>A4(?), HC</t>
  </si>
  <si>
    <t>24 Marker</t>
  </si>
  <si>
    <t>Acrylmarker</t>
  </si>
  <si>
    <t>&gt;20 Tracks</t>
  </si>
  <si>
    <t>CD + mp3s</t>
  </si>
  <si>
    <t>160 Seiten</t>
  </si>
  <si>
    <t>A5, HC (Kunstleder) + PDF</t>
  </si>
  <si>
    <t>Klapp-Box</t>
  </si>
  <si>
    <t>Pappbox (Leinen) mit Magnet</t>
  </si>
  <si>
    <t>Diverse (laminiert) + PDF</t>
  </si>
  <si>
    <t>Diverse (laminiert)</t>
  </si>
  <si>
    <t>X Karten</t>
  </si>
  <si>
    <t>5 Farb-Pläne</t>
  </si>
  <si>
    <t>Handouts</t>
  </si>
  <si>
    <t>96 Seiten</t>
  </si>
  <si>
    <t>bis 160 Seiten</t>
  </si>
  <si>
    <r>
      <t>Das Geheimnis des Drachenritters</t>
    </r>
    <r>
      <rPr>
        <sz val="8"/>
        <color theme="1"/>
        <rFont val="Book Antiqua"/>
        <family val="1"/>
      </rPr>
      <t xml:space="preserve"> (DSA-Einsteigerbox)</t>
    </r>
  </si>
  <si>
    <t>F/C/R</t>
  </si>
  <si>
    <t>Bereits erhältliches Produkt</t>
  </si>
  <si>
    <r>
      <t>Die Hexe vom Schattenwasser</t>
    </r>
    <r>
      <rPr>
        <sz val="8"/>
        <color theme="1"/>
        <rFont val="Book Antiqua"/>
        <family val="1"/>
      </rPr>
      <t xml:space="preserve"> (Erweiterung für die DSA-Einsteigerbox)</t>
    </r>
  </si>
  <si>
    <r>
      <t xml:space="preserve">Bereits erhältliches Produkt (max. 50 St.); </t>
    </r>
    <r>
      <rPr>
        <sz val="10"/>
        <color rgb="FFFF0000"/>
        <rFont val="Book Antiqua"/>
        <family val="1"/>
      </rPr>
      <t>50% Rabatt!</t>
    </r>
  </si>
  <si>
    <t>Die Gestade des Gottwals - Crowdfunding Pack</t>
  </si>
  <si>
    <t>Spielkarten</t>
  </si>
  <si>
    <t>Sphärenklang - Das Dornenreich</t>
  </si>
  <si>
    <t>Sphärenklang - Die Dampfenden Dschungel</t>
  </si>
  <si>
    <t>Sphärenklang - Die Gestade des Gottwals</t>
  </si>
  <si>
    <t>Sphärenklang - Die Flusslande</t>
  </si>
  <si>
    <t>Sphärenklang - Die Sonnenküste</t>
  </si>
  <si>
    <t>DSA5 Schicksalspunkte Die Gestade des Gottwals</t>
  </si>
  <si>
    <t>20 SchiPs</t>
  </si>
  <si>
    <t>Kunstoff-Schips</t>
  </si>
  <si>
    <t>55 Karten</t>
  </si>
  <si>
    <t>DSA5 Spielkartenset Kritische Treffer</t>
  </si>
  <si>
    <t>DSA5 Spielkartenset Kritische Offensiv-Fehlschläge</t>
  </si>
  <si>
    <t>DSA5 Spielkartenset Kritische Defensiv Erfolge</t>
  </si>
  <si>
    <t>DSA5 Spielkartenset Kritische Defensiv Fehlschläge</t>
  </si>
  <si>
    <t>DSA5 Spielkartenset Schätze &amp; Kostbarkeiten</t>
  </si>
  <si>
    <t>DSA5 Spielkartenset Schätze &amp; Kostbarkeiten 2</t>
  </si>
  <si>
    <t>DSA5 Spielkartenset Schätze &amp; Kostbarkeiten 3</t>
  </si>
  <si>
    <t>DSA5 Spielkartenset Schätze &amp; Kostbarkeiten 4</t>
  </si>
  <si>
    <t>DSA5 Spielkartenset Falltüren &amp; Speergruben</t>
  </si>
  <si>
    <t>DSA5 Spielkartenset Kampfbegegnungen – Räuber &amp; Gardisten</t>
  </si>
  <si>
    <t>DSA5 Spielkartenbundle Aventurische Magie</t>
  </si>
  <si>
    <t>DSA5 Spielkartenbundle Aventurische Magie 2</t>
  </si>
  <si>
    <t>DSA5 Spielkartenbundle Aventurische Magie 3</t>
  </si>
  <si>
    <t>DSA5 Spielkartenbundle Aventurisches Götterwirken</t>
  </si>
  <si>
    <t>Kunststoff-Würfel</t>
  </si>
  <si>
    <t>DSA5 Einsteigerbox: Magier - Würfelset</t>
  </si>
  <si>
    <t>5 Würfel</t>
  </si>
  <si>
    <t>DSA5 Einsteigerbox: Krieger - Würfelset</t>
  </si>
  <si>
    <t>DSA5 Einsteigerbox: Zwergen - Würfelset</t>
  </si>
  <si>
    <t>DSA5 Einsteigerbox: Elfen - Würfelset</t>
  </si>
  <si>
    <t>DSA5 Einsteigerbox: Schicksalspunkte-Set</t>
  </si>
  <si>
    <t>12 SchiPs</t>
  </si>
  <si>
    <t>DSA5 - Das Schwarze Auge Regelwerk</t>
  </si>
  <si>
    <t>A4, Hardcover</t>
  </si>
  <si>
    <t>DSA5 - Aventurischer Almanach</t>
  </si>
  <si>
    <t>Almanach der Ungeheuer</t>
  </si>
  <si>
    <t>B5, HC (Kunstleder)</t>
  </si>
  <si>
    <t>Eynmaleyns der Kreutherkunde</t>
  </si>
  <si>
    <t>A4, Softcover</t>
  </si>
  <si>
    <t>DSA 1 - Die Verschwörung von Gareth (remastered)</t>
  </si>
  <si>
    <t>DSA 2 - Mehr als 1000 Oger (remastered)</t>
  </si>
  <si>
    <t>DSA 2 - Das große Donnersturm-Rennen (remastered)</t>
  </si>
  <si>
    <t>DSA 1 - Die Göttin der Amazonen (remastered)</t>
  </si>
  <si>
    <t>Würfel Nostria</t>
  </si>
  <si>
    <t>Würfel Windhag</t>
  </si>
  <si>
    <t>DSA5 Spielkartenbundle Heldenerschaffung</t>
  </si>
  <si>
    <t>Würfel Albernia</t>
  </si>
  <si>
    <t>Würfel Charyptoroth</t>
  </si>
  <si>
    <t>Würfel Efferd</t>
  </si>
  <si>
    <t>Würfel Nordmarken</t>
  </si>
  <si>
    <t>Würfel Kosch</t>
  </si>
  <si>
    <t>2 Würfel</t>
  </si>
  <si>
    <r>
      <t xml:space="preserve">Bereits erhältliches Produkt (max. 50 St.); </t>
    </r>
    <r>
      <rPr>
        <sz val="10"/>
        <color rgb="FFFF0000"/>
        <rFont val="Book Antiqua"/>
        <family val="1"/>
      </rPr>
      <t>70% Rabatt!</t>
    </r>
  </si>
  <si>
    <r>
      <t xml:space="preserve">Bereits erhältliches Produkt (max. 50 St.); </t>
    </r>
    <r>
      <rPr>
        <sz val="10"/>
        <color rgb="FFFF0000"/>
        <rFont val="Book Antiqua"/>
        <family val="1"/>
      </rPr>
      <t>42% Rabatt!</t>
    </r>
  </si>
  <si>
    <r>
      <t xml:space="preserve">Bereits erhältliches Produkt (max. 50 St.); </t>
    </r>
    <r>
      <rPr>
        <sz val="10"/>
        <color rgb="FFFF0000"/>
        <rFont val="Book Antiqua"/>
        <family val="1"/>
      </rPr>
      <t>61% Rabatt!</t>
    </r>
  </si>
  <si>
    <t>DSA5 Spielkartenset Magie - Traditionsartefakte</t>
  </si>
  <si>
    <t>136 Karten</t>
  </si>
  <si>
    <t>DSA5 Meister-Schicksalspunkte (20)</t>
  </si>
  <si>
    <t>DSA1 - Schiff der verlorenen Seelen - Lets Play Variante</t>
  </si>
  <si>
    <t>DSA1 - Die sieben magischen Kelche - Lets Play Variante</t>
  </si>
  <si>
    <t>DSA1 - Lets Play Bundle</t>
  </si>
  <si>
    <r>
      <t xml:space="preserve">Bereits erhältliches Produkt (max. 50 St.); </t>
    </r>
    <r>
      <rPr>
        <sz val="10"/>
        <color rgb="FFFF0000"/>
        <rFont val="Book Antiqua"/>
        <family val="1"/>
      </rPr>
      <t>58% Rabatt!</t>
    </r>
  </si>
  <si>
    <t>170 Karten</t>
  </si>
  <si>
    <r>
      <t xml:space="preserve">Bereits erhältliches Produkt (max. 40 St.); </t>
    </r>
    <r>
      <rPr>
        <sz val="10"/>
        <color rgb="FFFF0000"/>
        <rFont val="Book Antiqua"/>
        <family val="1"/>
      </rPr>
      <t>50% Rabatt!</t>
    </r>
  </si>
  <si>
    <r>
      <t xml:space="preserve">Bereits erhältliches Produkt (max. 30 St.); </t>
    </r>
    <r>
      <rPr>
        <sz val="10"/>
        <color rgb="FFFF0000"/>
        <rFont val="Book Antiqua"/>
        <family val="1"/>
      </rPr>
      <t>50% Rabatt!</t>
    </r>
  </si>
  <si>
    <r>
      <t xml:space="preserve">Bereits erhältliches Produkt (max. 40 St.); </t>
    </r>
    <r>
      <rPr>
        <sz val="10"/>
        <color rgb="FFFF0000"/>
        <rFont val="Book Antiqua"/>
        <family val="1"/>
      </rPr>
      <t>38% Rabatt!</t>
    </r>
  </si>
  <si>
    <r>
      <t xml:space="preserve">Bereits erhältliches Produkt (max. 40 St.); </t>
    </r>
    <r>
      <rPr>
        <sz val="10"/>
        <color rgb="FFFF0000"/>
        <rFont val="Book Antiqua"/>
        <family val="1"/>
      </rPr>
      <t>44% Rabatt!</t>
    </r>
  </si>
  <si>
    <r>
      <t xml:space="preserve">Bereits erhältliches Produkt (max. 35 St.); </t>
    </r>
    <r>
      <rPr>
        <sz val="10"/>
        <color rgb="FFFF0000"/>
        <rFont val="Book Antiqua"/>
        <family val="1"/>
      </rPr>
      <t>50% Rabatt!</t>
    </r>
  </si>
  <si>
    <t>Audio-CD</t>
  </si>
  <si>
    <t>Regelkarten</t>
  </si>
  <si>
    <t>529 Karten</t>
  </si>
  <si>
    <t>493 Karten</t>
  </si>
  <si>
    <t>430 Karten</t>
  </si>
  <si>
    <t>603 Karten</t>
  </si>
  <si>
    <r>
      <t>- Kurzgeschichte "Rabenmunder Ränke"</t>
    </r>
    <r>
      <rPr>
        <b/>
        <i/>
        <sz val="10"/>
        <color theme="1"/>
        <rFont val="Book Antiqua"/>
        <family val="1"/>
      </rPr>
      <t xml:space="preserve"> (1. Ziel)</t>
    </r>
  </si>
  <si>
    <r>
      <t xml:space="preserve">- Kurzabenteuer "Kaiserjagd" </t>
    </r>
    <r>
      <rPr>
        <b/>
        <i/>
        <sz val="10"/>
        <color theme="1"/>
        <rFont val="Book Antiqua"/>
        <family val="1"/>
      </rPr>
      <t>(3. Ziel)</t>
    </r>
  </si>
  <si>
    <t>Erweiterung des Kompendiums</t>
  </si>
  <si>
    <t>mp3s</t>
  </si>
  <si>
    <r>
      <t>- Solo-Abenteuer "Nahemas Spiegel"</t>
    </r>
    <r>
      <rPr>
        <b/>
        <i/>
        <sz val="10"/>
        <color theme="1"/>
        <rFont val="Book Antiqua"/>
        <family val="1"/>
      </rPr>
      <t xml:space="preserve"> (4. Ziel)</t>
    </r>
  </si>
  <si>
    <t>Grotho, Garax, Grotho Greifax Graf von Gratenfels</t>
  </si>
  <si>
    <t>Min/Max 1-4</t>
  </si>
  <si>
    <t>Thorwal</t>
  </si>
  <si>
    <t>Werkzeuge</t>
  </si>
  <si>
    <t>Sonnenküste</t>
  </si>
  <si>
    <t>Gunst d. Göttin</t>
  </si>
  <si>
    <t>Winterwacht</t>
  </si>
  <si>
    <r>
      <t xml:space="preserve">Der "Ära des Goldenen Kaisers"-Crowdfunding-Guide       von       </t>
    </r>
    <r>
      <rPr>
        <b/>
        <i/>
        <sz val="18"/>
        <color theme="1"/>
        <rFont val="Book Antiqua"/>
        <family val="1"/>
      </rPr>
      <t>Hinter dem Schwarzen Auge</t>
    </r>
  </si>
  <si>
    <r>
      <t xml:space="preserve">Die orange markierten Produkte musst du bei dem entsprechenden Paket als Zusatzprodukt ("Zusatzprodukt") im CF hinzubuchen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("enthalten")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("Kauf nach CF")</t>
    </r>
  </si>
  <si>
    <r>
      <t xml:space="preserve">Diesen Gesamtrabatt gewährt </t>
    </r>
    <r>
      <rPr>
        <b/>
        <i/>
        <sz val="10"/>
        <color rgb="FFFF0000"/>
        <rFont val="Book Antiqua"/>
        <family val="1"/>
      </rPr>
      <t xml:space="preserve">dein Wunschpaket inkl. zusätzlicher Produkte </t>
    </r>
    <r>
      <rPr>
        <b/>
        <i/>
        <sz val="10"/>
        <color theme="1"/>
        <rFont val="Book Antiqua"/>
        <family val="1"/>
      </rPr>
      <t>somit gegenüber dem Einkauf (nach dem Crowdfunding) insgesamt</t>
    </r>
  </si>
  <si>
    <t>Erweiterung des Landkartensets</t>
  </si>
  <si>
    <t>Teil des Landkartensets - Nicht als Einzelprodukt erhältlich!</t>
  </si>
  <si>
    <t>Halscher Neuadel</t>
  </si>
  <si>
    <t>Das Schicksal einer Insel</t>
  </si>
  <si>
    <r>
      <t>- Kurzabenteuer "Das eiserne Siegel"</t>
    </r>
    <r>
      <rPr>
        <b/>
        <i/>
        <sz val="10"/>
        <color theme="1"/>
        <rFont val="Book Antiqua"/>
        <family val="1"/>
      </rPr>
      <t xml:space="preserve"> (6. Ziel)</t>
    </r>
  </si>
  <si>
    <r>
      <t>- Schauplatz "Bannakademie Ysilia"</t>
    </r>
    <r>
      <rPr>
        <b/>
        <i/>
        <sz val="10"/>
        <color theme="1"/>
        <rFont val="Book Antiqua"/>
        <family val="1"/>
      </rPr>
      <t xml:space="preserve"> (2. Ziel)</t>
    </r>
  </si>
  <si>
    <r>
      <t>- Schauplatz "Burg Rabenmund"</t>
    </r>
    <r>
      <rPr>
        <b/>
        <i/>
        <sz val="10"/>
        <color theme="1"/>
        <rFont val="Book Antiqua"/>
        <family val="1"/>
      </rPr>
      <t xml:space="preserve"> (5. Ziel)</t>
    </r>
  </si>
  <si>
    <t>1 Statue</t>
  </si>
  <si>
    <t>Zinnguss &amp; Marmorsockel</t>
  </si>
  <si>
    <t>Zusatzprodukt; Schätzpreis; limitiert auf 100 Stück</t>
  </si>
  <si>
    <t>Das Aufbegehren einer Insel</t>
  </si>
  <si>
    <r>
      <rPr>
        <b/>
        <u/>
        <sz val="14"/>
        <rFont val="Book Antiqua"/>
        <family val="1"/>
      </rPr>
      <t>Physische</t>
    </r>
    <r>
      <rPr>
        <b/>
        <sz val="14"/>
        <rFont val="Book Antiqua"/>
        <family val="1"/>
      </rPr>
      <t xml:space="preserve"> Produkte des Crowdfundings</t>
    </r>
  </si>
  <si>
    <r>
      <t xml:space="preserve">Art
</t>
    </r>
    <r>
      <rPr>
        <b/>
        <sz val="8"/>
        <rFont val="Book Antiqua"/>
        <family val="1"/>
      </rPr>
      <t>(Fluff/
Crunch/
Regeln)</t>
    </r>
  </si>
  <si>
    <r>
      <rPr>
        <b/>
        <u/>
        <sz val="10"/>
        <rFont val="Book Antiqua"/>
        <family val="1"/>
      </rPr>
      <t>Kein</t>
    </r>
    <r>
      <rPr>
        <b/>
        <sz val="10"/>
        <rFont val="Book Antiqua"/>
        <family val="1"/>
      </rPr>
      <t xml:space="preserve"> Paket (Kauf im F-Shop, nach dem CF)</t>
    </r>
  </si>
  <si>
    <r>
      <t>- Spielhilfe "Halscher Neuadel/Baronie Balderweith"</t>
    </r>
    <r>
      <rPr>
        <b/>
        <i/>
        <sz val="10"/>
        <color theme="1"/>
        <rFont val="Book Antiqua"/>
        <family val="1"/>
      </rPr>
      <t xml:space="preserve"> (7. Ziel)</t>
    </r>
  </si>
  <si>
    <r>
      <t>Wähle im Register "CF-Guide" deine</t>
    </r>
    <r>
      <rPr>
        <b/>
        <sz val="10"/>
        <color rgb="FFC00000"/>
        <rFont val="Book Antiqua"/>
        <family val="1"/>
      </rPr>
      <t xml:space="preserve"> Wunschprodukte (setze dafür ein "x" in der ersten Spalte)</t>
    </r>
    <r>
      <rPr>
        <b/>
        <sz val="10"/>
        <color theme="1"/>
        <rFont val="Book Antiqua"/>
        <family val="1"/>
      </rPr>
      <t xml:space="preserve"> und lass dir anzeigen, welches Paket bzw. welche Kombination für dich am besten passt!</t>
    </r>
  </si>
  <si>
    <r>
      <t>- Kurzabenteuer "Blutende Lilie"</t>
    </r>
    <r>
      <rPr>
        <b/>
        <i/>
        <sz val="10"/>
        <color theme="1"/>
        <rFont val="Book Antiqua"/>
        <family val="1"/>
      </rPr>
      <t xml:space="preserve"> (9. Ziel)</t>
    </r>
  </si>
  <si>
    <r>
      <t>- Kurzgeschichte "Königreich der letzten Tage"</t>
    </r>
    <r>
      <rPr>
        <b/>
        <i/>
        <sz val="10"/>
        <color theme="1"/>
        <rFont val="Book Antiqua"/>
        <family val="1"/>
      </rPr>
      <t xml:space="preserve"> (8. Ziel)</t>
    </r>
  </si>
  <si>
    <t>Die Insel des Hofmagiers</t>
  </si>
  <si>
    <r>
      <t>- Schauplatz "Galottas Insel"</t>
    </r>
    <r>
      <rPr>
        <b/>
        <i/>
        <sz val="10"/>
        <color theme="1"/>
        <rFont val="Book Antiqua"/>
        <family val="1"/>
      </rPr>
      <t xml:space="preserve"> (10. Ziel)</t>
    </r>
  </si>
  <si>
    <t>Aufrührerische Provinzen</t>
  </si>
  <si>
    <t>Güldener Ort</t>
  </si>
  <si>
    <t>Miniatur - Kaiser Hal (groß)</t>
  </si>
  <si>
    <t>Resin (neue Formel!) - 500%</t>
  </si>
  <si>
    <t>Das Gift der Insel</t>
  </si>
  <si>
    <r>
      <t>- Kurzgeschichte "Ewige Wachsamkeit"</t>
    </r>
    <r>
      <rPr>
        <b/>
        <i/>
        <sz val="10"/>
        <color theme="1"/>
        <rFont val="Book Antiqua"/>
        <family val="1"/>
      </rPr>
      <t xml:space="preserve"> (11. Ziel)</t>
    </r>
  </si>
  <si>
    <t>Prachtvoller Palast</t>
  </si>
  <si>
    <r>
      <t>- Schauplatz "Neue Residenz in Gareth"</t>
    </r>
    <r>
      <rPr>
        <b/>
        <i/>
        <sz val="10"/>
        <color theme="1"/>
        <rFont val="Book Antiqua"/>
        <family val="1"/>
      </rPr>
      <t xml:space="preserve"> (12. Ziel)</t>
    </r>
  </si>
  <si>
    <r>
      <t xml:space="preserve">Limitierte Kaiser Hal-Götterstatue von Kraken Wargames </t>
    </r>
    <r>
      <rPr>
        <b/>
        <sz val="10"/>
        <color rgb="FF00B050"/>
        <rFont val="Book Antiqua"/>
        <family val="1"/>
      </rPr>
      <t>(exklusiv im Crowdfunding!)</t>
    </r>
  </si>
  <si>
    <r>
      <t>- Kurzabenteuer "Auf Schuppenspuren"</t>
    </r>
    <r>
      <rPr>
        <b/>
        <i/>
        <sz val="10"/>
        <color theme="1"/>
        <rFont val="Book Antiqua"/>
        <family val="1"/>
      </rPr>
      <t xml:space="preserve"> (13. Ziel)</t>
    </r>
  </si>
  <si>
    <t>Illusionisten aus Mendena</t>
  </si>
  <si>
    <t>Ausverkauft</t>
  </si>
  <si>
    <r>
      <t xml:space="preserve">- Hochglanzkarte der Neuen Residenz in Gareth </t>
    </r>
    <r>
      <rPr>
        <b/>
        <i/>
        <sz val="10"/>
        <color theme="1"/>
        <rFont val="Book Antiqua"/>
        <family val="1"/>
      </rPr>
      <t>(14. Ziel)</t>
    </r>
  </si>
  <si>
    <t>Das geraubte Erbe</t>
  </si>
  <si>
    <r>
      <t>- Schauplatz "Illusions-Akademie Mendena, inkl. Professiosnpaket &amp; Szenario"</t>
    </r>
    <r>
      <rPr>
        <b/>
        <i/>
        <sz val="10"/>
        <color theme="1"/>
        <rFont val="Book Antiqua"/>
        <family val="1"/>
      </rPr>
      <t xml:space="preserve"> (15. Ziel)</t>
    </r>
  </si>
  <si>
    <r>
      <t>- Schauplatz "Borbaradianer-Kloster, inkl. Karte &amp; Szenario"</t>
    </r>
    <r>
      <rPr>
        <b/>
        <i/>
        <sz val="10"/>
        <color theme="1"/>
        <rFont val="Book Antiqua"/>
        <family val="1"/>
      </rPr>
      <t xml:space="preserve"> (17. Ziel)</t>
    </r>
  </si>
  <si>
    <r>
      <t>- Kurzabenteuer "Die Träne der Eorga</t>
    </r>
    <r>
      <rPr>
        <sz val="10"/>
        <color theme="1"/>
        <rFont val="Book Antiqua"/>
        <family val="1"/>
      </rPr>
      <t>ï</t>
    </r>
    <r>
      <rPr>
        <i/>
        <sz val="10"/>
        <color theme="1"/>
        <rFont val="Book Antiqua"/>
        <family val="1"/>
      </rPr>
      <t>dos"</t>
    </r>
    <r>
      <rPr>
        <b/>
        <i/>
        <sz val="10"/>
        <color theme="1"/>
        <rFont val="Book Antiqua"/>
        <family val="1"/>
      </rPr>
      <t xml:space="preserve"> (16. Ziel)</t>
    </r>
  </si>
  <si>
    <t>Schwarz und Rot</t>
  </si>
  <si>
    <t>Die Zyklopen-Inseln</t>
  </si>
  <si>
    <r>
      <t>- Kurzabenteuer "Hylailer Feuer"</t>
    </r>
    <r>
      <rPr>
        <b/>
        <i/>
        <sz val="10"/>
        <color theme="1"/>
        <rFont val="Book Antiqua"/>
        <family val="1"/>
      </rPr>
      <t xml:space="preserve"> (18. Ziel)</t>
    </r>
  </si>
  <si>
    <t>Akademie der vereinten Künste</t>
  </si>
  <si>
    <t>Achtet die Etikette!</t>
  </si>
  <si>
    <t>Extrablatt!</t>
  </si>
  <si>
    <t>18:00</t>
  </si>
  <si>
    <r>
      <t>- Solo-Abenteuer "Der erste Hoftag"</t>
    </r>
    <r>
      <rPr>
        <b/>
        <i/>
        <sz val="10"/>
        <color theme="1"/>
        <rFont val="Book Antiqua"/>
        <family val="1"/>
      </rPr>
      <t xml:space="preserve"> (20. Ziel)</t>
    </r>
  </si>
  <si>
    <r>
      <t>- Schauplatz "Schwert und Stab zu Beilunk"</t>
    </r>
    <r>
      <rPr>
        <b/>
        <i/>
        <sz val="10"/>
        <color theme="1"/>
        <rFont val="Book Antiqua"/>
        <family val="1"/>
      </rPr>
      <t xml:space="preserve"> (19. Ziel)</t>
    </r>
  </si>
  <si>
    <r>
      <t xml:space="preserve">- Exklusive Ausgabe des Aventurischen Boten </t>
    </r>
    <r>
      <rPr>
        <b/>
        <i/>
        <sz val="10"/>
        <color theme="1"/>
        <rFont val="Book Antiqua"/>
        <family val="1"/>
      </rPr>
      <t>(21. Ziel)</t>
    </r>
  </si>
  <si>
    <t>1 Karte</t>
  </si>
  <si>
    <t>1 Bote</t>
  </si>
  <si>
    <t>Extrem steil</t>
  </si>
  <si>
    <t>MP Hal (€)</t>
  </si>
  <si>
    <t>MP Hal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</si>
</sst>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"/>
    <numFmt numFmtId="165" formatCode="#,##0.00\ &quot;€&quot;"/>
    <numFmt numFmtId="166" formatCode="[$£-809]#,##0"/>
    <numFmt numFmtId="167" formatCode="0.0%"/>
    <numFmt numFmtId="168" formatCode="dddd"/>
    <numFmt numFmtId="169" formatCode="h:mm;@"/>
    <numFmt numFmtId="170" formatCode="[h]:mm"/>
    <numFmt numFmtId="171" formatCode="0&quot;. Tag&quot;"/>
    <numFmt numFmtId="172" formatCode="dd/mm/yy"/>
    <numFmt numFmtId="173" formatCode="dd/mm/yy\,\ hh:mm"/>
  </numFmts>
  <fonts count="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i/>
      <sz val="10"/>
      <color rgb="FF00B050"/>
      <name val="Book Antiqua"/>
      <family val="1"/>
    </font>
    <font>
      <i/>
      <sz val="10"/>
      <name val="Book Antiqua"/>
      <family val="1"/>
    </font>
    <font>
      <sz val="14"/>
      <color theme="1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sz val="8"/>
      <color theme="1"/>
      <name val="Book Antiqua"/>
      <family val="1"/>
    </font>
    <font>
      <b/>
      <sz val="10"/>
      <color rgb="FF7030A0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sz val="8"/>
      <color theme="0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sz val="8"/>
      <name val="Book Antiqua"/>
      <family val="1"/>
    </font>
    <font>
      <b/>
      <sz val="10"/>
      <color rgb="FFFD23ED"/>
      <name val="Book Antiqua"/>
      <family val="1"/>
    </font>
    <font>
      <b/>
      <u/>
      <sz val="14"/>
      <color theme="10"/>
      <name val="Book Antiqua"/>
      <family val="1"/>
    </font>
    <font>
      <b/>
      <sz val="20"/>
      <color theme="1"/>
      <name val="Book Antiqua"/>
      <family val="1"/>
    </font>
    <font>
      <b/>
      <sz val="20"/>
      <color rgb="FF00B050"/>
      <name val="Book Antiqua"/>
      <family val="1"/>
    </font>
    <font>
      <b/>
      <sz val="20"/>
      <color rgb="FFFF0000"/>
      <name val="Book Antiqua"/>
      <family val="1"/>
    </font>
    <font>
      <b/>
      <sz val="10"/>
      <color rgb="FF00B0F0"/>
      <name val="Book Antiqua"/>
      <family val="1"/>
    </font>
    <font>
      <b/>
      <sz val="11"/>
      <color theme="0"/>
      <name val="Calibri"/>
      <family val="2"/>
      <scheme val="minor"/>
    </font>
    <font>
      <b/>
      <sz val="10"/>
      <color theme="5" tint="-0.499984740745262"/>
      <name val="Book Antiqua"/>
      <family val="1"/>
    </font>
    <font>
      <b/>
      <sz val="10"/>
      <color theme="9" tint="-0.249977111117893"/>
      <name val="Book Antiqua"/>
      <family val="1"/>
    </font>
    <font>
      <i/>
      <sz val="11"/>
      <color theme="0"/>
      <name val="Calibri"/>
      <family val="2"/>
      <scheme val="minor"/>
    </font>
    <font>
      <b/>
      <sz val="30"/>
      <color rgb="FFFF0000"/>
      <name val="Book Antiqua"/>
      <family val="1"/>
    </font>
    <font>
      <b/>
      <sz val="18"/>
      <color theme="1"/>
      <name val="Book Antiqua"/>
      <family val="1"/>
    </font>
    <font>
      <b/>
      <sz val="14"/>
      <name val="Book Antiqua"/>
      <family val="1"/>
    </font>
    <font>
      <b/>
      <sz val="16"/>
      <name val="Book Antiqua"/>
      <family val="1"/>
    </font>
    <font>
      <sz val="14"/>
      <color theme="1"/>
      <name val="Book Antiqua"/>
      <family val="1"/>
    </font>
    <font>
      <b/>
      <i/>
      <sz val="10"/>
      <color rgb="FF00B050"/>
      <name val="Book Antiqua"/>
      <family val="1"/>
    </font>
    <font>
      <b/>
      <sz val="19"/>
      <color theme="1"/>
      <name val="Book Antiqua"/>
      <family val="1"/>
    </font>
    <font>
      <b/>
      <sz val="19"/>
      <color rgb="FFFF0000"/>
      <name val="Book Antiqua"/>
      <family val="1"/>
    </font>
    <font>
      <b/>
      <sz val="19"/>
      <color rgb="FF00B050"/>
      <name val="Book Antiqua"/>
      <family val="1"/>
    </font>
    <font>
      <b/>
      <sz val="19"/>
      <color rgb="FF0070C0"/>
      <name val="Book Antiqua"/>
      <family val="1"/>
    </font>
    <font>
      <b/>
      <sz val="25"/>
      <color rgb="FFFF0000"/>
      <name val="Book Antiqua"/>
      <family val="1"/>
    </font>
    <font>
      <b/>
      <sz val="12"/>
      <name val="Book Antiqua"/>
      <family val="1"/>
    </font>
    <font>
      <sz val="8"/>
      <color rgb="FF00B050"/>
      <name val="Book Antiqua"/>
      <family val="1"/>
    </font>
    <font>
      <sz val="14"/>
      <color rgb="FF00B050"/>
      <name val="Wingdings"/>
      <charset val="2"/>
    </font>
    <font>
      <b/>
      <sz val="10"/>
      <color theme="7" tint="-0.249977111117893"/>
      <name val="Book Antiqua"/>
      <family val="1"/>
    </font>
    <font>
      <b/>
      <sz val="10"/>
      <color rgb="FF0070C0"/>
      <name val="Book Antiqua"/>
      <family val="1"/>
    </font>
    <font>
      <b/>
      <i/>
      <sz val="18"/>
      <color theme="1"/>
      <name val="Book Antiqua"/>
      <family val="1"/>
    </font>
    <font>
      <b/>
      <u/>
      <sz val="13"/>
      <color theme="10"/>
      <name val="Book Antiqua"/>
      <family val="1"/>
    </font>
    <font>
      <b/>
      <u/>
      <sz val="10.5"/>
      <color theme="10"/>
      <name val="Book Antiqua"/>
      <family val="1"/>
    </font>
    <font>
      <b/>
      <u/>
      <sz val="14"/>
      <name val="Book Antiqua"/>
      <family val="1"/>
    </font>
    <font>
      <b/>
      <sz val="8"/>
      <name val="Book Antiqua"/>
      <family val="1"/>
    </font>
    <font>
      <b/>
      <u/>
      <sz val="10"/>
      <name val="Book Antiqua"/>
      <family val="1"/>
    </font>
    <font>
      <b/>
      <sz val="12"/>
      <color rgb="FFC00000"/>
      <name val="Book Antiqua"/>
      <family val="1"/>
    </font>
    <font>
      <b/>
      <sz val="10"/>
      <color rgb="FFC4BF00"/>
      <name val="Book Antiqua"/>
      <family val="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7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3" fontId="6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167" fontId="0" fillId="0" borderId="0" xfId="0" applyNumberFormat="1"/>
    <xf numFmtId="3" fontId="1" fillId="6" borderId="0" xfId="0" applyNumberFormat="1" applyFont="1" applyFill="1"/>
    <xf numFmtId="3" fontId="6" fillId="6" borderId="0" xfId="0" applyNumberFormat="1" applyFont="1" applyFill="1"/>
    <xf numFmtId="3" fontId="21" fillId="0" borderId="0" xfId="0" applyNumberFormat="1" applyFont="1"/>
    <xf numFmtId="3" fontId="3" fillId="0" borderId="0" xfId="0" applyNumberFormat="1" applyFont="1"/>
    <xf numFmtId="167" fontId="4" fillId="0" borderId="0" xfId="0" applyNumberFormat="1" applyFont="1"/>
    <xf numFmtId="0" fontId="4" fillId="0" borderId="0" xfId="0" applyFont="1"/>
    <xf numFmtId="3" fontId="21" fillId="6" borderId="0" xfId="0" applyNumberFormat="1" applyFont="1" applyFill="1"/>
    <xf numFmtId="3" fontId="3" fillId="6" borderId="0" xfId="0" applyNumberFormat="1" applyFont="1" applyFill="1"/>
    <xf numFmtId="2" fontId="3" fillId="0" borderId="0" xfId="0" applyNumberFormat="1" applyFont="1"/>
    <xf numFmtId="2" fontId="21" fillId="0" borderId="0" xfId="0" applyNumberFormat="1" applyFont="1"/>
    <xf numFmtId="0" fontId="1" fillId="0" borderId="0" xfId="0" applyFont="1"/>
    <xf numFmtId="0" fontId="21" fillId="0" borderId="0" xfId="0" applyFont="1"/>
    <xf numFmtId="2" fontId="4" fillId="0" borderId="0" xfId="0" applyNumberFormat="1" applyFont="1"/>
    <xf numFmtId="2" fontId="0" fillId="0" borderId="0" xfId="0" applyNumberFormat="1"/>
    <xf numFmtId="2" fontId="1" fillId="0" borderId="32" xfId="0" applyNumberFormat="1" applyFont="1" applyBorder="1"/>
    <xf numFmtId="0" fontId="6" fillId="0" borderId="33" xfId="0" applyFont="1" applyBorder="1"/>
    <xf numFmtId="2" fontId="1" fillId="0" borderId="34" xfId="0" applyNumberFormat="1" applyFont="1" applyBorder="1"/>
    <xf numFmtId="2" fontId="6" fillId="0" borderId="35" xfId="0" applyNumberFormat="1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0" fontId="6" fillId="0" borderId="38" xfId="0" applyFont="1" applyBorder="1"/>
    <xf numFmtId="2" fontId="1" fillId="0" borderId="38" xfId="0" applyNumberFormat="1" applyFont="1" applyBorder="1"/>
    <xf numFmtId="2" fontId="6" fillId="0" borderId="39" xfId="0" applyNumberFormat="1" applyFont="1" applyBorder="1"/>
    <xf numFmtId="2" fontId="1" fillId="0" borderId="39" xfId="0" applyNumberFormat="1" applyFont="1" applyBorder="1"/>
    <xf numFmtId="4" fontId="1" fillId="0" borderId="0" xfId="0" applyNumberFormat="1" applyFont="1"/>
    <xf numFmtId="4" fontId="0" fillId="0" borderId="0" xfId="0" applyNumberFormat="1"/>
    <xf numFmtId="1" fontId="1" fillId="0" borderId="0" xfId="0" applyNumberFormat="1" applyFont="1"/>
    <xf numFmtId="0" fontId="10" fillId="7" borderId="0" xfId="0" applyFont="1" applyFill="1"/>
    <xf numFmtId="0" fontId="22" fillId="7" borderId="0" xfId="0" applyFont="1" applyFill="1"/>
    <xf numFmtId="0" fontId="15" fillId="7" borderId="0" xfId="0" applyFont="1" applyFill="1"/>
    <xf numFmtId="0" fontId="9" fillId="7" borderId="0" xfId="0" applyFont="1" applyFill="1"/>
    <xf numFmtId="2" fontId="2" fillId="0" borderId="0" xfId="0" applyNumberFormat="1" applyFont="1"/>
    <xf numFmtId="2" fontId="21" fillId="0" borderId="35" xfId="0" applyNumberFormat="1" applyFont="1" applyBorder="1"/>
    <xf numFmtId="2" fontId="3" fillId="0" borderId="38" xfId="0" applyNumberFormat="1" applyFont="1" applyBorder="1"/>
    <xf numFmtId="0" fontId="21" fillId="0" borderId="38" xfId="0" applyFont="1" applyBorder="1"/>
    <xf numFmtId="2" fontId="3" fillId="0" borderId="39" xfId="0" applyNumberFormat="1" applyFont="1" applyBorder="1"/>
    <xf numFmtId="2" fontId="21" fillId="0" borderId="39" xfId="0" applyNumberFormat="1" applyFont="1" applyBorder="1"/>
    <xf numFmtId="2" fontId="2" fillId="0" borderId="38" xfId="0" applyNumberFormat="1" applyFont="1" applyBorder="1"/>
    <xf numFmtId="0" fontId="18" fillId="0" borderId="38" xfId="0" applyFont="1" applyBorder="1"/>
    <xf numFmtId="2" fontId="18" fillId="0" borderId="0" xfId="0" applyNumberFormat="1" applyFont="1"/>
    <xf numFmtId="2" fontId="2" fillId="0" borderId="39" xfId="0" applyNumberFormat="1" applyFont="1" applyBorder="1"/>
    <xf numFmtId="2" fontId="18" fillId="0" borderId="39" xfId="0" applyNumberFormat="1" applyFont="1" applyBorder="1"/>
    <xf numFmtId="0" fontId="13" fillId="7" borderId="0" xfId="0" applyFont="1" applyFill="1"/>
    <xf numFmtId="3" fontId="0" fillId="0" borderId="44" xfId="0" applyNumberFormat="1" applyBorder="1"/>
    <xf numFmtId="0" fontId="25" fillId="7" borderId="0" xfId="0" applyFont="1" applyFill="1"/>
    <xf numFmtId="0" fontId="26" fillId="7" borderId="0" xfId="0" applyFont="1" applyFill="1" applyAlignment="1">
      <alignment horizontal="center" vertical="center"/>
    </xf>
    <xf numFmtId="3" fontId="24" fillId="7" borderId="28" xfId="0" applyNumberFormat="1" applyFont="1" applyFill="1" applyBorder="1" applyAlignment="1">
      <alignment horizontal="center" vertical="center"/>
    </xf>
    <xf numFmtId="3" fontId="28" fillId="7" borderId="5" xfId="0" applyNumberFormat="1" applyFont="1" applyFill="1" applyBorder="1" applyAlignment="1">
      <alignment vertical="center"/>
    </xf>
    <xf numFmtId="3" fontId="24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2" fontId="2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0" fontId="15" fillId="3" borderId="0" xfId="0" applyFont="1" applyFill="1" applyAlignment="1">
      <alignment vertical="center"/>
    </xf>
    <xf numFmtId="167" fontId="15" fillId="7" borderId="0" xfId="0" applyNumberFormat="1" applyFont="1" applyFill="1" applyAlignment="1">
      <alignment vertical="center"/>
    </xf>
    <xf numFmtId="3" fontId="29" fillId="7" borderId="5" xfId="0" applyNumberFormat="1" applyFont="1" applyFill="1" applyBorder="1" applyAlignment="1">
      <alignment vertical="center"/>
    </xf>
    <xf numFmtId="167" fontId="15" fillId="7" borderId="0" xfId="0" applyNumberFormat="1" applyFont="1" applyFill="1"/>
    <xf numFmtId="0" fontId="15" fillId="3" borderId="0" xfId="0" applyFont="1" applyFill="1" applyAlignment="1">
      <alignment horizontal="center" vertical="center"/>
    </xf>
    <xf numFmtId="3" fontId="26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7" borderId="0" xfId="0" applyFont="1" applyFill="1" applyAlignment="1">
      <alignment horizontal="right" vertical="center"/>
    </xf>
    <xf numFmtId="3" fontId="13" fillId="7" borderId="0" xfId="0" applyNumberFormat="1" applyFont="1" applyFill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65" fontId="13" fillId="0" borderId="7" xfId="0" quotePrefix="1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165" fontId="25" fillId="0" borderId="7" xfId="0" quotePrefix="1" applyNumberFormat="1" applyFont="1" applyBorder="1" applyAlignment="1">
      <alignment horizontal="right" vertical="center"/>
    </xf>
    <xf numFmtId="0" fontId="9" fillId="0" borderId="0" xfId="0" applyFont="1"/>
    <xf numFmtId="0" fontId="22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168" fontId="28" fillId="7" borderId="0" xfId="0" applyNumberFormat="1" applyFont="1" applyFill="1" applyAlignment="1">
      <alignment horizontal="right" vertical="center"/>
    </xf>
    <xf numFmtId="172" fontId="28" fillId="7" borderId="0" xfId="0" applyNumberFormat="1" applyFont="1" applyFill="1" applyAlignment="1">
      <alignment horizontal="center" vertical="center"/>
    </xf>
    <xf numFmtId="20" fontId="28" fillId="7" borderId="0" xfId="0" applyNumberFormat="1" applyFont="1" applyFill="1" applyAlignment="1">
      <alignment horizontal="center" vertical="center"/>
    </xf>
    <xf numFmtId="169" fontId="28" fillId="7" borderId="0" xfId="0" applyNumberFormat="1" applyFont="1" applyFill="1" applyAlignment="1">
      <alignment vertical="center"/>
    </xf>
    <xf numFmtId="170" fontId="28" fillId="7" borderId="0" xfId="0" applyNumberFormat="1" applyFont="1" applyFill="1" applyAlignment="1">
      <alignment vertical="center"/>
    </xf>
    <xf numFmtId="164" fontId="28" fillId="7" borderId="5" xfId="0" applyNumberFormat="1" applyFont="1" applyFill="1" applyBorder="1" applyAlignment="1">
      <alignment vertical="center"/>
    </xf>
    <xf numFmtId="1" fontId="28" fillId="7" borderId="5" xfId="0" applyNumberFormat="1" applyFont="1" applyFill="1" applyBorder="1" applyAlignment="1">
      <alignment vertical="center"/>
    </xf>
    <xf numFmtId="164" fontId="28" fillId="7" borderId="0" xfId="0" applyNumberFormat="1" applyFont="1" applyFill="1" applyAlignment="1">
      <alignment vertical="center"/>
    </xf>
    <xf numFmtId="165" fontId="31" fillId="7" borderId="0" xfId="0" applyNumberFormat="1" applyFont="1" applyFill="1" applyAlignment="1">
      <alignment vertical="center"/>
    </xf>
    <xf numFmtId="165" fontId="28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7" fontId="28" fillId="7" borderId="0" xfId="0" applyNumberFormat="1" applyFont="1" applyFill="1" applyAlignment="1">
      <alignment vertical="center"/>
    </xf>
    <xf numFmtId="167" fontId="31" fillId="7" borderId="0" xfId="0" applyNumberFormat="1" applyFont="1" applyFill="1" applyAlignment="1">
      <alignment vertical="center"/>
    </xf>
    <xf numFmtId="0" fontId="28" fillId="3" borderId="0" xfId="0" applyFont="1" applyFill="1"/>
    <xf numFmtId="164" fontId="24" fillId="7" borderId="5" xfId="0" applyNumberFormat="1" applyFont="1" applyFill="1" applyBorder="1" applyAlignment="1">
      <alignment vertical="center"/>
    </xf>
    <xf numFmtId="3" fontId="24" fillId="7" borderId="5" xfId="0" applyNumberFormat="1" applyFont="1" applyFill="1" applyBorder="1" applyAlignment="1">
      <alignment vertical="center"/>
    </xf>
    <xf numFmtId="1" fontId="24" fillId="7" borderId="5" xfId="0" applyNumberFormat="1" applyFont="1" applyFill="1" applyBorder="1" applyAlignment="1">
      <alignment vertical="center"/>
    </xf>
    <xf numFmtId="3" fontId="28" fillId="7" borderId="0" xfId="0" applyNumberFormat="1" applyFont="1" applyFill="1" applyAlignment="1">
      <alignment vertical="center"/>
    </xf>
    <xf numFmtId="0" fontId="28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right" vertical="center"/>
    </xf>
    <xf numFmtId="0" fontId="29" fillId="7" borderId="0" xfId="0" applyFont="1" applyFill="1" applyAlignment="1">
      <alignment horizontal="center" vertical="center"/>
    </xf>
    <xf numFmtId="168" fontId="29" fillId="7" borderId="0" xfId="0" applyNumberFormat="1" applyFont="1" applyFill="1" applyAlignment="1">
      <alignment vertical="center"/>
    </xf>
    <xf numFmtId="172" fontId="29" fillId="7" borderId="0" xfId="0" applyNumberFormat="1" applyFont="1" applyFill="1" applyAlignment="1">
      <alignment horizontal="center" vertical="center"/>
    </xf>
    <xf numFmtId="20" fontId="29" fillId="7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vertical="center"/>
    </xf>
    <xf numFmtId="170" fontId="29" fillId="7" borderId="0" xfId="0" applyNumberFormat="1" applyFont="1" applyFill="1" applyAlignment="1">
      <alignment vertical="center"/>
    </xf>
    <xf numFmtId="165" fontId="32" fillId="7" borderId="0" xfId="0" applyNumberFormat="1" applyFont="1" applyFill="1" applyAlignment="1">
      <alignment vertical="center"/>
    </xf>
    <xf numFmtId="165" fontId="29" fillId="7" borderId="0" xfId="0" applyNumberFormat="1" applyFont="1" applyFill="1" applyAlignment="1">
      <alignment vertical="center"/>
    </xf>
    <xf numFmtId="164" fontId="29" fillId="7" borderId="0" xfId="0" applyNumberFormat="1" applyFont="1" applyFill="1" applyAlignment="1">
      <alignment vertical="center"/>
    </xf>
    <xf numFmtId="3" fontId="29" fillId="7" borderId="0" xfId="0" applyNumberFormat="1" applyFont="1" applyFill="1" applyAlignment="1">
      <alignment vertical="center"/>
    </xf>
    <xf numFmtId="167" fontId="29" fillId="7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4" fontId="29" fillId="7" borderId="0" xfId="0" applyNumberFormat="1" applyFont="1" applyFill="1" applyAlignment="1">
      <alignment vertical="center"/>
    </xf>
    <xf numFmtId="0" fontId="29" fillId="3" borderId="0" xfId="0" applyFont="1" applyFill="1"/>
    <xf numFmtId="0" fontId="29" fillId="7" borderId="0" xfId="0" applyFont="1" applyFill="1"/>
    <xf numFmtId="0" fontId="22" fillId="7" borderId="0" xfId="0" applyFont="1" applyFill="1" applyAlignment="1">
      <alignment horizontal="center" vertical="center"/>
    </xf>
    <xf numFmtId="164" fontId="22" fillId="7" borderId="0" xfId="0" applyNumberFormat="1" applyFont="1" applyFill="1" applyAlignment="1">
      <alignment vertical="center"/>
    </xf>
    <xf numFmtId="165" fontId="29" fillId="7" borderId="5" xfId="0" applyNumberFormat="1" applyFont="1" applyFill="1" applyBorder="1" applyAlignment="1">
      <alignment vertical="center"/>
    </xf>
    <xf numFmtId="3" fontId="22" fillId="7" borderId="0" xfId="0" applyNumberFormat="1" applyFont="1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22" fillId="7" borderId="0" xfId="0" applyNumberFormat="1" applyFont="1" applyFill="1" applyAlignment="1">
      <alignment vertical="center"/>
    </xf>
    <xf numFmtId="167" fontId="29" fillId="7" borderId="0" xfId="0" applyNumberFormat="1" applyFont="1" applyFill="1"/>
    <xf numFmtId="167" fontId="13" fillId="7" borderId="0" xfId="0" applyNumberFormat="1" applyFont="1" applyFill="1"/>
    <xf numFmtId="167" fontId="28" fillId="7" borderId="0" xfId="0" applyNumberFormat="1" applyFont="1" applyFill="1"/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33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3" fontId="22" fillId="7" borderId="5" xfId="0" applyNumberFormat="1" applyFont="1" applyFill="1" applyBorder="1"/>
    <xf numFmtId="0" fontId="15" fillId="9" borderId="0" xfId="0" applyFont="1" applyFill="1"/>
    <xf numFmtId="0" fontId="15" fillId="9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9" fillId="9" borderId="0" xfId="0" applyFont="1" applyFill="1"/>
    <xf numFmtId="0" fontId="10" fillId="9" borderId="0" xfId="0" applyFont="1" applyFill="1"/>
    <xf numFmtId="3" fontId="13" fillId="9" borderId="0" xfId="0" applyNumberFormat="1" applyFont="1" applyFill="1" applyAlignment="1">
      <alignment horizontal="center"/>
    </xf>
    <xf numFmtId="3" fontId="22" fillId="9" borderId="0" xfId="0" applyNumberFormat="1" applyFont="1" applyFill="1" applyAlignment="1">
      <alignment horizontal="center"/>
    </xf>
    <xf numFmtId="14" fontId="28" fillId="9" borderId="0" xfId="0" applyNumberFormat="1" applyFont="1" applyFill="1" applyAlignment="1">
      <alignment horizontal="center"/>
    </xf>
    <xf numFmtId="14" fontId="29" fillId="9" borderId="0" xfId="0" applyNumberFormat="1" applyFont="1" applyFill="1" applyAlignment="1">
      <alignment horizontal="center"/>
    </xf>
    <xf numFmtId="0" fontId="29" fillId="9" borderId="0" xfId="0" applyFont="1" applyFill="1"/>
    <xf numFmtId="4" fontId="16" fillId="9" borderId="0" xfId="0" applyNumberFormat="1" applyFont="1" applyFill="1" applyAlignment="1">
      <alignment horizontal="center" vertical="center"/>
    </xf>
    <xf numFmtId="0" fontId="24" fillId="9" borderId="0" xfId="0" applyFont="1" applyFill="1" applyAlignment="1">
      <alignment horizontal="center"/>
    </xf>
    <xf numFmtId="165" fontId="16" fillId="9" borderId="0" xfId="0" applyNumberFormat="1" applyFont="1" applyFill="1" applyAlignment="1">
      <alignment horizontal="right"/>
    </xf>
    <xf numFmtId="165" fontId="15" fillId="9" borderId="0" xfId="0" applyNumberFormat="1" applyFont="1" applyFill="1" applyAlignment="1">
      <alignment horizontal="right"/>
    </xf>
    <xf numFmtId="0" fontId="22" fillId="9" borderId="0" xfId="0" applyFont="1" applyFill="1" applyAlignment="1">
      <alignment horizontal="center"/>
    </xf>
    <xf numFmtId="0" fontId="28" fillId="9" borderId="0" xfId="0" applyFont="1" applyFill="1"/>
    <xf numFmtId="0" fontId="15" fillId="9" borderId="0" xfId="0" applyFont="1" applyFill="1" applyAlignment="1">
      <alignment horizontal="center"/>
    </xf>
    <xf numFmtId="164" fontId="15" fillId="9" borderId="0" xfId="0" applyNumberFormat="1" applyFont="1" applyFill="1" applyAlignment="1">
      <alignment horizontal="center"/>
    </xf>
    <xf numFmtId="165" fontId="15" fillId="9" borderId="0" xfId="0" applyNumberFormat="1" applyFont="1" applyFill="1" applyAlignment="1">
      <alignment horizontal="left"/>
    </xf>
    <xf numFmtId="3" fontId="16" fillId="9" borderId="0" xfId="0" applyNumberFormat="1" applyFont="1" applyFill="1" applyAlignment="1">
      <alignment horizontal="center" vertical="center"/>
    </xf>
    <xf numFmtId="164" fontId="26" fillId="9" borderId="0" xfId="0" applyNumberFormat="1" applyFont="1" applyFill="1" applyAlignment="1">
      <alignment vertical="center"/>
    </xf>
    <xf numFmtId="164" fontId="15" fillId="9" borderId="0" xfId="0" applyNumberFormat="1" applyFont="1" applyFill="1" applyAlignment="1">
      <alignment horizontal="center" vertical="center"/>
    </xf>
    <xf numFmtId="165" fontId="16" fillId="9" borderId="0" xfId="0" applyNumberFormat="1" applyFont="1" applyFill="1" applyAlignment="1">
      <alignment horizontal="right" vertical="center"/>
    </xf>
    <xf numFmtId="165" fontId="26" fillId="9" borderId="0" xfId="0" applyNumberFormat="1" applyFont="1" applyFill="1" applyAlignment="1">
      <alignment horizontal="right" vertical="center"/>
    </xf>
    <xf numFmtId="165" fontId="8" fillId="9" borderId="0" xfId="0" applyNumberFormat="1" applyFont="1" applyFill="1" applyAlignment="1">
      <alignment horizontal="right"/>
    </xf>
    <xf numFmtId="165" fontId="9" fillId="9" borderId="0" xfId="0" applyNumberFormat="1" applyFont="1" applyFill="1" applyAlignment="1">
      <alignment horizontal="right"/>
    </xf>
    <xf numFmtId="165" fontId="15" fillId="9" borderId="0" xfId="0" applyNumberFormat="1" applyFont="1" applyFill="1"/>
    <xf numFmtId="166" fontId="15" fillId="9" borderId="0" xfId="0" applyNumberFormat="1" applyFont="1" applyFill="1"/>
    <xf numFmtId="3" fontId="13" fillId="9" borderId="0" xfId="0" applyNumberFormat="1" applyFont="1" applyFill="1" applyAlignment="1">
      <alignment horizontal="left"/>
    </xf>
    <xf numFmtId="164" fontId="16" fillId="9" borderId="0" xfId="0" applyNumberFormat="1" applyFont="1" applyFill="1" applyAlignment="1">
      <alignment horizontal="right"/>
    </xf>
    <xf numFmtId="3" fontId="29" fillId="9" borderId="0" xfId="0" applyNumberFormat="1" applyFont="1" applyFill="1" applyAlignment="1">
      <alignment horizontal="center"/>
    </xf>
    <xf numFmtId="3" fontId="13" fillId="9" borderId="1" xfId="0" applyNumberFormat="1" applyFont="1" applyFill="1" applyBorder="1" applyAlignment="1">
      <alignment horizontal="center"/>
    </xf>
    <xf numFmtId="0" fontId="22" fillId="10" borderId="40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right" vertical="center"/>
    </xf>
    <xf numFmtId="0" fontId="16" fillId="10" borderId="3" xfId="0" applyFont="1" applyFill="1" applyBorder="1" applyAlignment="1">
      <alignment horizontal="center" vertical="center" wrapText="1"/>
    </xf>
    <xf numFmtId="165" fontId="16" fillId="10" borderId="7" xfId="0" applyNumberFormat="1" applyFont="1" applyFill="1" applyBorder="1" applyAlignment="1">
      <alignment horizontal="center" vertical="center" wrapText="1"/>
    </xf>
    <xf numFmtId="165" fontId="26" fillId="10" borderId="7" xfId="0" applyNumberFormat="1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right" vertical="center"/>
    </xf>
    <xf numFmtId="164" fontId="26" fillId="10" borderId="27" xfId="0" applyNumberFormat="1" applyFont="1" applyFill="1" applyBorder="1" applyAlignment="1">
      <alignment horizontal="center" vertical="center"/>
    </xf>
    <xf numFmtId="164" fontId="26" fillId="10" borderId="41" xfId="0" applyNumberFormat="1" applyFont="1" applyFill="1" applyBorder="1" applyAlignment="1">
      <alignment horizontal="center" vertical="center"/>
    </xf>
    <xf numFmtId="173" fontId="38" fillId="9" borderId="0" xfId="0" applyNumberFormat="1" applyFont="1" applyFill="1" applyAlignment="1">
      <alignment horizontal="left"/>
    </xf>
    <xf numFmtId="173" fontId="39" fillId="9" borderId="0" xfId="0" applyNumberFormat="1" applyFont="1" applyFill="1" applyAlignment="1">
      <alignment horizontal="left"/>
    </xf>
    <xf numFmtId="3" fontId="40" fillId="7" borderId="0" xfId="0" applyNumberFormat="1" applyFont="1" applyFill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164" fontId="26" fillId="10" borderId="4" xfId="0" applyNumberFormat="1" applyFont="1" applyFill="1" applyBorder="1" applyAlignment="1">
      <alignment horizontal="center" vertical="center" wrapText="1"/>
    </xf>
    <xf numFmtId="164" fontId="26" fillId="10" borderId="5" xfId="0" applyNumberFormat="1" applyFont="1" applyFill="1" applyBorder="1" applyAlignment="1">
      <alignment horizontal="center" vertical="center" wrapText="1"/>
    </xf>
    <xf numFmtId="164" fontId="26" fillId="10" borderId="6" xfId="0" applyNumberFormat="1" applyFont="1" applyFill="1" applyBorder="1" applyAlignment="1">
      <alignment horizontal="center" vertical="center" wrapText="1"/>
    </xf>
    <xf numFmtId="3" fontId="24" fillId="7" borderId="0" xfId="0" applyNumberFormat="1" applyFont="1" applyFill="1" applyAlignment="1">
      <alignment vertical="center"/>
    </xf>
    <xf numFmtId="164" fontId="29" fillId="7" borderId="5" xfId="0" applyNumberFormat="1" applyFont="1" applyFill="1" applyBorder="1" applyAlignment="1">
      <alignment vertical="center"/>
    </xf>
    <xf numFmtId="0" fontId="28" fillId="7" borderId="0" xfId="0" applyFont="1" applyFill="1"/>
    <xf numFmtId="0" fontId="31" fillId="7" borderId="0" xfId="0" applyFont="1" applyFill="1"/>
    <xf numFmtId="164" fontId="15" fillId="7" borderId="0" xfId="0" applyNumberFormat="1" applyFont="1" applyFill="1"/>
    <xf numFmtId="3" fontId="24" fillId="9" borderId="0" xfId="0" applyNumberFormat="1" applyFont="1" applyFill="1" applyAlignment="1">
      <alignment horizontal="right"/>
    </xf>
    <xf numFmtId="0" fontId="42" fillId="0" borderId="5" xfId="0" applyFont="1" applyBorder="1" applyAlignment="1">
      <alignment horizontal="center" vertical="center"/>
    </xf>
    <xf numFmtId="9" fontId="9" fillId="10" borderId="10" xfId="0" applyNumberFormat="1" applyFont="1" applyFill="1" applyBorder="1" applyAlignment="1">
      <alignment horizontal="center" vertical="center"/>
    </xf>
    <xf numFmtId="9" fontId="9" fillId="10" borderId="16" xfId="0" applyNumberFormat="1" applyFont="1" applyFill="1" applyBorder="1" applyAlignment="1">
      <alignment horizontal="center" vertical="center"/>
    </xf>
    <xf numFmtId="164" fontId="9" fillId="10" borderId="5" xfId="0" applyNumberFormat="1" applyFont="1" applyFill="1" applyBorder="1" applyAlignment="1">
      <alignment horizontal="center" vertical="center"/>
    </xf>
    <xf numFmtId="164" fontId="9" fillId="10" borderId="29" xfId="0" applyNumberFormat="1" applyFont="1" applyFill="1" applyBorder="1" applyAlignment="1">
      <alignment horizontal="center" vertical="center"/>
    </xf>
    <xf numFmtId="0" fontId="43" fillId="10" borderId="4" xfId="0" applyFont="1" applyFill="1" applyBorder="1" applyAlignment="1">
      <alignment horizontal="center" vertical="center"/>
    </xf>
    <xf numFmtId="0" fontId="43" fillId="10" borderId="5" xfId="0" applyFont="1" applyFill="1" applyBorder="1" applyAlignment="1">
      <alignment horizontal="center" vertical="center"/>
    </xf>
    <xf numFmtId="165" fontId="43" fillId="10" borderId="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/>
    </xf>
    <xf numFmtId="164" fontId="11" fillId="11" borderId="27" xfId="0" applyNumberFormat="1" applyFont="1" applyFill="1" applyBorder="1" applyAlignment="1">
      <alignment horizontal="center" vertical="center"/>
    </xf>
    <xf numFmtId="164" fontId="11" fillId="11" borderId="41" xfId="0" applyNumberFormat="1" applyFont="1" applyFill="1" applyBorder="1" applyAlignment="1">
      <alignment horizontal="center" vertical="center"/>
    </xf>
    <xf numFmtId="165" fontId="8" fillId="11" borderId="26" xfId="0" applyNumberFormat="1" applyFont="1" applyFill="1" applyBorder="1" applyAlignment="1">
      <alignment horizontal="right" vertical="center"/>
    </xf>
    <xf numFmtId="165" fontId="11" fillId="11" borderId="1" xfId="0" applyNumberFormat="1" applyFont="1" applyFill="1" applyBorder="1" applyAlignment="1">
      <alignment horizontal="right" vertical="center"/>
    </xf>
    <xf numFmtId="3" fontId="22" fillId="10" borderId="48" xfId="0" applyNumberFormat="1" applyFont="1" applyFill="1" applyBorder="1" applyAlignment="1">
      <alignment horizontal="center" vertical="center"/>
    </xf>
    <xf numFmtId="9" fontId="11" fillId="10" borderId="5" xfId="0" applyNumberFormat="1" applyFont="1" applyFill="1" applyBorder="1" applyAlignment="1">
      <alignment horizontal="center" vertical="center"/>
    </xf>
    <xf numFmtId="9" fontId="11" fillId="10" borderId="29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8" fillId="9" borderId="0" xfId="0" applyFont="1" applyFill="1" applyAlignment="1">
      <alignment vertical="center"/>
    </xf>
    <xf numFmtId="3" fontId="28" fillId="7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34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left" vertical="center"/>
    </xf>
    <xf numFmtId="0" fontId="42" fillId="8" borderId="5" xfId="0" applyFont="1" applyFill="1" applyBorder="1" applyAlignment="1">
      <alignment horizontal="center" vertical="center"/>
    </xf>
    <xf numFmtId="165" fontId="13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left" vertical="center"/>
    </xf>
    <xf numFmtId="3" fontId="1" fillId="2" borderId="0" xfId="0" applyNumberFormat="1" applyFont="1" applyFill="1"/>
    <xf numFmtId="3" fontId="22" fillId="7" borderId="0" xfId="0" applyNumberFormat="1" applyFont="1" applyFill="1"/>
    <xf numFmtId="3" fontId="16" fillId="9" borderId="0" xfId="0" applyNumberFormat="1" applyFont="1" applyFill="1" applyAlignment="1">
      <alignment horizontal="right"/>
    </xf>
    <xf numFmtId="164" fontId="26" fillId="9" borderId="5" xfId="0" applyNumberFormat="1" applyFont="1" applyFill="1" applyBorder="1" applyAlignment="1">
      <alignment horizontal="left" vertical="center"/>
    </xf>
    <xf numFmtId="164" fontId="13" fillId="9" borderId="5" xfId="0" applyNumberFormat="1" applyFont="1" applyFill="1" applyBorder="1" applyAlignment="1">
      <alignment horizontal="center" vertical="center"/>
    </xf>
    <xf numFmtId="164" fontId="29" fillId="9" borderId="5" xfId="0" applyNumberFormat="1" applyFont="1" applyFill="1" applyBorder="1" applyAlignment="1">
      <alignment horizontal="center" vertical="center"/>
    </xf>
    <xf numFmtId="164" fontId="13" fillId="9" borderId="29" xfId="0" applyNumberFormat="1" applyFont="1" applyFill="1" applyBorder="1" applyAlignment="1">
      <alignment horizontal="center" vertical="center"/>
    </xf>
    <xf numFmtId="164" fontId="26" fillId="9" borderId="10" xfId="0" applyNumberFormat="1" applyFont="1" applyFill="1" applyBorder="1" applyAlignment="1">
      <alignment horizontal="left" vertical="center"/>
    </xf>
    <xf numFmtId="164" fontId="13" fillId="9" borderId="10" xfId="0" applyNumberFormat="1" applyFont="1" applyFill="1" applyBorder="1" applyAlignment="1">
      <alignment horizontal="center" vertical="center"/>
    </xf>
    <xf numFmtId="164" fontId="29" fillId="9" borderId="16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/>
    </xf>
    <xf numFmtId="164" fontId="24" fillId="7" borderId="5" xfId="0" applyNumberFormat="1" applyFont="1" applyFill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164" fontId="26" fillId="9" borderId="0" xfId="0" applyNumberFormat="1" applyFont="1" applyFill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15" fillId="0" borderId="4" xfId="0" quotePrefix="1" applyFont="1" applyBorder="1" applyAlignment="1">
      <alignment horizontal="center" vertical="center"/>
    </xf>
    <xf numFmtId="0" fontId="15" fillId="8" borderId="4" xfId="0" quotePrefix="1" applyFont="1" applyFill="1" applyBorder="1" applyAlignment="1">
      <alignment horizontal="center" vertical="center"/>
    </xf>
    <xf numFmtId="0" fontId="9" fillId="0" borderId="4" xfId="0" quotePrefix="1" applyFont="1" applyBorder="1" applyAlignment="1">
      <alignment vertical="center"/>
    </xf>
    <xf numFmtId="0" fontId="34" fillId="0" borderId="9" xfId="0" applyFont="1" applyBorder="1" applyAlignment="1">
      <alignment horizontal="center" vertical="center"/>
    </xf>
    <xf numFmtId="164" fontId="9" fillId="11" borderId="13" xfId="0" applyNumberFormat="1" applyFont="1" applyFill="1" applyBorder="1" applyAlignment="1">
      <alignment horizontal="center" vertical="center"/>
    </xf>
    <xf numFmtId="164" fontId="9" fillId="11" borderId="14" xfId="0" applyNumberFormat="1" applyFont="1" applyFill="1" applyBorder="1" applyAlignment="1">
      <alignment horizontal="center" vertical="center"/>
    </xf>
    <xf numFmtId="164" fontId="9" fillId="11" borderId="10" xfId="0" applyNumberFormat="1" applyFont="1" applyFill="1" applyBorder="1" applyAlignment="1">
      <alignment horizontal="center" vertical="center"/>
    </xf>
    <xf numFmtId="164" fontId="9" fillId="11" borderId="16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3" fontId="51" fillId="9" borderId="0" xfId="0" applyNumberFormat="1" applyFont="1" applyFill="1" applyAlignment="1">
      <alignment horizontal="right"/>
    </xf>
    <xf numFmtId="4" fontId="1" fillId="0" borderId="32" xfId="0" applyNumberFormat="1" applyFont="1" applyBorder="1"/>
    <xf numFmtId="1" fontId="1" fillId="0" borderId="38" xfId="0" applyNumberFormat="1" applyFont="1" applyBorder="1"/>
    <xf numFmtId="0" fontId="0" fillId="0" borderId="38" xfId="0" applyBorder="1"/>
    <xf numFmtId="4" fontId="0" fillId="0" borderId="38" xfId="0" applyNumberFormat="1" applyBorder="1"/>
    <xf numFmtId="4" fontId="0" fillId="0" borderId="33" xfId="0" applyNumberFormat="1" applyBorder="1"/>
    <xf numFmtId="4" fontId="1" fillId="0" borderId="34" xfId="0" applyNumberFormat="1" applyFont="1" applyBorder="1"/>
    <xf numFmtId="4" fontId="0" fillId="0" borderId="35" xfId="0" applyNumberFormat="1" applyBorder="1"/>
    <xf numFmtId="4" fontId="1" fillId="0" borderId="36" xfId="0" applyNumberFormat="1" applyFont="1" applyBorder="1"/>
    <xf numFmtId="4" fontId="1" fillId="0" borderId="39" xfId="0" applyNumberFormat="1" applyFont="1" applyBorder="1"/>
    <xf numFmtId="4" fontId="0" fillId="0" borderId="39" xfId="0" applyNumberFormat="1" applyBorder="1"/>
    <xf numFmtId="4" fontId="0" fillId="0" borderId="37" xfId="0" applyNumberFormat="1" applyBorder="1"/>
    <xf numFmtId="164" fontId="29" fillId="7" borderId="38" xfId="0" applyNumberFormat="1" applyFont="1" applyFill="1" applyBorder="1" applyAlignment="1">
      <alignment vertical="center"/>
    </xf>
    <xf numFmtId="3" fontId="0" fillId="0" borderId="38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16" fillId="7" borderId="5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9" fontId="1" fillId="0" borderId="0" xfId="0" applyNumberFormat="1" applyFont="1"/>
    <xf numFmtId="9" fontId="0" fillId="0" borderId="0" xfId="0" applyNumberFormat="1"/>
    <xf numFmtId="3" fontId="53" fillId="9" borderId="0" xfId="0" applyNumberFormat="1" applyFont="1" applyFill="1" applyAlignment="1">
      <alignment horizontal="right"/>
    </xf>
    <xf numFmtId="2" fontId="52" fillId="13" borderId="32" xfId="0" applyNumberFormat="1" applyFont="1" applyFill="1" applyBorder="1"/>
    <xf numFmtId="0" fontId="55" fillId="13" borderId="38" xfId="0" applyFont="1" applyFill="1" applyBorder="1"/>
    <xf numFmtId="2" fontId="52" fillId="14" borderId="38" xfId="0" applyNumberFormat="1" applyFont="1" applyFill="1" applyBorder="1"/>
    <xf numFmtId="0" fontId="55" fillId="14" borderId="38" xfId="0" applyFont="1" applyFill="1" applyBorder="1"/>
    <xf numFmtId="2" fontId="52" fillId="15" borderId="38" xfId="0" applyNumberFormat="1" applyFont="1" applyFill="1" applyBorder="1"/>
    <xf numFmtId="0" fontId="55" fillId="15" borderId="38" xfId="0" applyFont="1" applyFill="1" applyBorder="1"/>
    <xf numFmtId="2" fontId="1" fillId="16" borderId="38" xfId="0" applyNumberFormat="1" applyFont="1" applyFill="1" applyBorder="1"/>
    <xf numFmtId="0" fontId="6" fillId="16" borderId="33" xfId="0" applyFont="1" applyFill="1" applyBorder="1"/>
    <xf numFmtId="2" fontId="52" fillId="13" borderId="38" xfId="0" applyNumberFormat="1" applyFont="1" applyFill="1" applyBorder="1"/>
    <xf numFmtId="0" fontId="55" fillId="13" borderId="33" xfId="0" applyFont="1" applyFill="1" applyBorder="1"/>
    <xf numFmtId="0" fontId="55" fillId="14" borderId="33" xfId="0" applyFont="1" applyFill="1" applyBorder="1"/>
    <xf numFmtId="2" fontId="52" fillId="17" borderId="38" xfId="0" applyNumberFormat="1" applyFont="1" applyFill="1" applyBorder="1"/>
    <xf numFmtId="0" fontId="55" fillId="17" borderId="33" xfId="0" applyFont="1" applyFill="1" applyBorder="1"/>
    <xf numFmtId="2" fontId="52" fillId="13" borderId="34" xfId="0" applyNumberFormat="1" applyFont="1" applyFill="1" applyBorder="1"/>
    <xf numFmtId="2" fontId="55" fillId="13" borderId="0" xfId="0" applyNumberFormat="1" applyFont="1" applyFill="1"/>
    <xf numFmtId="2" fontId="52" fillId="14" borderId="0" xfId="0" applyNumberFormat="1" applyFont="1" applyFill="1"/>
    <xf numFmtId="2" fontId="55" fillId="14" borderId="0" xfId="0" applyNumberFormat="1" applyFont="1" applyFill="1"/>
    <xf numFmtId="2" fontId="52" fillId="15" borderId="0" xfId="0" applyNumberFormat="1" applyFont="1" applyFill="1"/>
    <xf numFmtId="2" fontId="55" fillId="15" borderId="0" xfId="0" applyNumberFormat="1" applyFont="1" applyFill="1"/>
    <xf numFmtId="2" fontId="1" fillId="16" borderId="0" xfId="0" applyNumberFormat="1" applyFont="1" applyFill="1"/>
    <xf numFmtId="2" fontId="6" fillId="16" borderId="35" xfId="0" applyNumberFormat="1" applyFont="1" applyFill="1" applyBorder="1"/>
    <xf numFmtId="2" fontId="52" fillId="13" borderId="0" xfId="0" applyNumberFormat="1" applyFont="1" applyFill="1"/>
    <xf numFmtId="2" fontId="55" fillId="13" borderId="35" xfId="0" applyNumberFormat="1" applyFont="1" applyFill="1" applyBorder="1"/>
    <xf numFmtId="2" fontId="55" fillId="14" borderId="35" xfId="0" applyNumberFormat="1" applyFont="1" applyFill="1" applyBorder="1"/>
    <xf numFmtId="2" fontId="52" fillId="17" borderId="0" xfId="0" applyNumberFormat="1" applyFont="1" applyFill="1"/>
    <xf numFmtId="2" fontId="55" fillId="17" borderId="35" xfId="0" applyNumberFormat="1" applyFont="1" applyFill="1" applyBorder="1"/>
    <xf numFmtId="165" fontId="15" fillId="8" borderId="11" xfId="0" quotePrefix="1" applyNumberFormat="1" applyFont="1" applyFill="1" applyBorder="1" applyAlignment="1">
      <alignment horizontal="left" vertical="center"/>
    </xf>
    <xf numFmtId="0" fontId="34" fillId="8" borderId="53" xfId="0" applyFont="1" applyFill="1" applyBorder="1" applyAlignment="1">
      <alignment horizontal="center" vertical="center"/>
    </xf>
    <xf numFmtId="3" fontId="10" fillId="11" borderId="54" xfId="0" applyNumberFormat="1" applyFont="1" applyFill="1" applyBorder="1" applyAlignment="1">
      <alignment horizontal="center" vertical="center"/>
    </xf>
    <xf numFmtId="3" fontId="54" fillId="9" borderId="0" xfId="0" applyNumberFormat="1" applyFont="1" applyFill="1" applyAlignment="1">
      <alignment horizontal="right"/>
    </xf>
    <xf numFmtId="164" fontId="29" fillId="7" borderId="39" xfId="0" applyNumberFormat="1" applyFont="1" applyFill="1" applyBorder="1" applyAlignment="1">
      <alignment vertical="center"/>
    </xf>
    <xf numFmtId="0" fontId="26" fillId="7" borderId="0" xfId="0" applyFont="1" applyFill="1"/>
    <xf numFmtId="0" fontId="24" fillId="7" borderId="0" xfId="0" applyFont="1" applyFill="1" applyAlignment="1">
      <alignment horizontal="center" vertical="center"/>
    </xf>
    <xf numFmtId="0" fontId="47" fillId="9" borderId="0" xfId="1" applyFont="1" applyFill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 vertical="center"/>
    </xf>
    <xf numFmtId="0" fontId="15" fillId="9" borderId="55" xfId="0" applyFont="1" applyFill="1" applyBorder="1"/>
    <xf numFmtId="0" fontId="10" fillId="9" borderId="32" xfId="0" applyFont="1" applyFill="1" applyBorder="1"/>
    <xf numFmtId="0" fontId="23" fillId="9" borderId="0" xfId="0" applyFont="1" applyFill="1" applyAlignment="1">
      <alignment vertical="center" wrapText="1"/>
    </xf>
    <xf numFmtId="0" fontId="17" fillId="9" borderId="0" xfId="0" applyFont="1" applyFill="1" applyAlignment="1">
      <alignment vertical="center" wrapText="1"/>
    </xf>
    <xf numFmtId="0" fontId="26" fillId="9" borderId="0" xfId="0" applyFont="1" applyFill="1" applyAlignment="1">
      <alignment wrapText="1"/>
    </xf>
    <xf numFmtId="0" fontId="26" fillId="9" borderId="0" xfId="0" applyFont="1" applyFill="1" applyAlignment="1">
      <alignment horizontal="center" wrapText="1"/>
    </xf>
    <xf numFmtId="0" fontId="47" fillId="9" borderId="0" xfId="1" applyFont="1" applyFill="1" applyAlignment="1"/>
    <xf numFmtId="0" fontId="43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6" fillId="9" borderId="0" xfId="0" applyFont="1" applyFill="1"/>
    <xf numFmtId="4" fontId="59" fillId="9" borderId="38" xfId="0" applyNumberFormat="1" applyFont="1" applyFill="1" applyBorder="1" applyAlignment="1">
      <alignment vertical="center" wrapText="1"/>
    </xf>
    <xf numFmtId="0" fontId="60" fillId="9" borderId="0" xfId="0" applyFont="1" applyFill="1" applyAlignment="1">
      <alignment horizontal="center"/>
    </xf>
    <xf numFmtId="0" fontId="43" fillId="9" borderId="0" xfId="0" applyFont="1" applyFill="1" applyAlignment="1">
      <alignment horizontal="center" vertical="center" wrapText="1"/>
    </xf>
    <xf numFmtId="0" fontId="43" fillId="9" borderId="0" xfId="0" applyFont="1" applyFill="1" applyAlignment="1">
      <alignment vertical="center" wrapText="1"/>
    </xf>
    <xf numFmtId="4" fontId="58" fillId="9" borderId="0" xfId="0" applyNumberFormat="1" applyFont="1" applyFill="1" applyAlignment="1">
      <alignment horizontal="center" vertical="center" wrapText="1"/>
    </xf>
    <xf numFmtId="4" fontId="58" fillId="9" borderId="34" xfId="0" applyNumberFormat="1" applyFont="1" applyFill="1" applyBorder="1" applyAlignment="1">
      <alignment horizontal="center" vertical="center" wrapText="1"/>
    </xf>
    <xf numFmtId="171" fontId="24" fillId="7" borderId="28" xfId="0" applyNumberFormat="1" applyFont="1" applyFill="1" applyBorder="1" applyAlignment="1">
      <alignment horizontal="center" vertical="center"/>
    </xf>
    <xf numFmtId="14" fontId="24" fillId="7" borderId="7" xfId="0" applyNumberFormat="1" applyFont="1" applyFill="1" applyBorder="1" applyAlignment="1">
      <alignment horizontal="center" vertical="center"/>
    </xf>
    <xf numFmtId="3" fontId="24" fillId="7" borderId="11" xfId="0" quotePrefix="1" applyNumberFormat="1" applyFont="1" applyFill="1" applyBorder="1" applyAlignment="1">
      <alignment horizontal="center" vertical="center"/>
    </xf>
    <xf numFmtId="3" fontId="24" fillId="7" borderId="7" xfId="0" applyNumberFormat="1" applyFont="1" applyFill="1" applyBorder="1" applyAlignment="1">
      <alignment horizontal="center" vertical="center"/>
    </xf>
    <xf numFmtId="3" fontId="11" fillId="10" borderId="5" xfId="0" applyNumberFormat="1" applyFont="1" applyFill="1" applyBorder="1" applyAlignment="1">
      <alignment horizontal="center" vertical="center"/>
    </xf>
    <xf numFmtId="3" fontId="11" fillId="10" borderId="29" xfId="0" applyNumberFormat="1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/>
    </xf>
    <xf numFmtId="0" fontId="26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3" fontId="28" fillId="9" borderId="0" xfId="0" applyNumberFormat="1" applyFont="1" applyFill="1" applyAlignment="1">
      <alignment horizontal="center"/>
    </xf>
    <xf numFmtId="0" fontId="24" fillId="7" borderId="0" xfId="0" applyFont="1" applyFill="1"/>
    <xf numFmtId="164" fontId="61" fillId="7" borderId="5" xfId="0" applyNumberFormat="1" applyFont="1" applyFill="1" applyBorder="1" applyAlignment="1">
      <alignment vertical="center"/>
    </xf>
    <xf numFmtId="3" fontId="61" fillId="7" borderId="5" xfId="0" applyNumberFormat="1" applyFont="1" applyFill="1" applyBorder="1" applyAlignment="1">
      <alignment vertical="center"/>
    </xf>
    <xf numFmtId="0" fontId="22" fillId="9" borderId="0" xfId="0" applyFont="1" applyFill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4" fontId="28" fillId="7" borderId="6" xfId="0" applyNumberFormat="1" applyFont="1" applyFill="1" applyBorder="1" applyAlignment="1">
      <alignment vertical="center"/>
    </xf>
    <xf numFmtId="0" fontId="26" fillId="9" borderId="49" xfId="0" applyFont="1" applyFill="1" applyBorder="1" applyAlignment="1">
      <alignment wrapText="1"/>
    </xf>
    <xf numFmtId="0" fontId="22" fillId="10" borderId="46" xfId="0" applyFont="1" applyFill="1" applyBorder="1" applyAlignment="1">
      <alignment horizontal="center" vertical="top" wrapText="1"/>
    </xf>
    <xf numFmtId="0" fontId="22" fillId="10" borderId="45" xfId="0" applyFont="1" applyFill="1" applyBorder="1" applyAlignment="1">
      <alignment horizontal="center" vertical="top" wrapText="1"/>
    </xf>
    <xf numFmtId="164" fontId="28" fillId="6" borderId="5" xfId="0" applyNumberFormat="1" applyFont="1" applyFill="1" applyBorder="1" applyAlignment="1">
      <alignment vertical="center"/>
    </xf>
    <xf numFmtId="164" fontId="24" fillId="6" borderId="5" xfId="0" applyNumberFormat="1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167" fontId="25" fillId="7" borderId="0" xfId="0" applyNumberFormat="1" applyFont="1" applyFill="1" applyAlignment="1">
      <alignment vertical="center"/>
    </xf>
    <xf numFmtId="0" fontId="28" fillId="7" borderId="0" xfId="0" applyFont="1" applyFill="1" applyAlignment="1">
      <alignment horizontal="center"/>
    </xf>
    <xf numFmtId="3" fontId="16" fillId="7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5" fillId="0" borderId="5" xfId="0" applyFont="1" applyBorder="1" applyAlignment="1">
      <alignment horizontal="center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0" fontId="16" fillId="9" borderId="0" xfId="0" applyFont="1" applyFill="1" applyAlignment="1">
      <alignment horizontal="center"/>
    </xf>
    <xf numFmtId="0" fontId="24" fillId="9" borderId="43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 wrapText="1"/>
    </xf>
    <xf numFmtId="0" fontId="24" fillId="9" borderId="43" xfId="0" applyFont="1" applyFill="1" applyBorder="1" applyAlignment="1">
      <alignment horizontal="center" vertical="center" wrapText="1"/>
    </xf>
    <xf numFmtId="164" fontId="24" fillId="9" borderId="57" xfId="0" applyNumberFormat="1" applyFont="1" applyFill="1" applyBorder="1" applyAlignment="1">
      <alignment horizontal="right"/>
    </xf>
    <xf numFmtId="164" fontId="28" fillId="9" borderId="0" xfId="0" applyNumberFormat="1" applyFont="1" applyFill="1"/>
    <xf numFmtId="164" fontId="28" fillId="9" borderId="43" xfId="0" applyNumberFormat="1" applyFont="1" applyFill="1" applyBorder="1"/>
    <xf numFmtId="164" fontId="24" fillId="9" borderId="43" xfId="0" applyNumberFormat="1" applyFont="1" applyFill="1" applyBorder="1" applyAlignment="1">
      <alignment horizontal="right"/>
    </xf>
    <xf numFmtId="164" fontId="46" fillId="9" borderId="57" xfId="0" applyNumberFormat="1" applyFont="1" applyFill="1" applyBorder="1" applyAlignment="1">
      <alignment horizontal="right"/>
    </xf>
    <xf numFmtId="3" fontId="24" fillId="9" borderId="57" xfId="0" applyNumberFormat="1" applyFont="1" applyFill="1" applyBorder="1" applyAlignment="1">
      <alignment horizontal="right"/>
    </xf>
    <xf numFmtId="0" fontId="28" fillId="9" borderId="43" xfId="0" applyFont="1" applyFill="1" applyBorder="1"/>
    <xf numFmtId="3" fontId="24" fillId="9" borderId="0" xfId="0" applyNumberFormat="1" applyFont="1" applyFill="1"/>
    <xf numFmtId="3" fontId="24" fillId="9" borderId="43" xfId="0" applyNumberFormat="1" applyFont="1" applyFill="1" applyBorder="1"/>
    <xf numFmtId="3" fontId="16" fillId="9" borderId="49" xfId="0" applyNumberFormat="1" applyFont="1" applyFill="1" applyBorder="1" applyAlignment="1">
      <alignment horizontal="right"/>
    </xf>
    <xf numFmtId="3" fontId="24" fillId="9" borderId="50" xfId="0" applyNumberFormat="1" applyFont="1" applyFill="1" applyBorder="1" applyAlignment="1">
      <alignment horizontal="right"/>
    </xf>
    <xf numFmtId="0" fontId="16" fillId="9" borderId="57" xfId="0" applyFont="1" applyFill="1" applyBorder="1" applyAlignment="1">
      <alignment horizontal="center"/>
    </xf>
    <xf numFmtId="0" fontId="16" fillId="9" borderId="57" xfId="0" applyFont="1" applyFill="1" applyBorder="1" applyAlignment="1">
      <alignment horizontal="center" vertical="center" wrapText="1"/>
    </xf>
    <xf numFmtId="164" fontId="28" fillId="9" borderId="57" xfId="0" applyNumberFormat="1" applyFont="1" applyFill="1" applyBorder="1" applyAlignment="1">
      <alignment horizontal="right"/>
    </xf>
    <xf numFmtId="164" fontId="28" fillId="9" borderId="43" xfId="0" applyNumberFormat="1" applyFont="1" applyFill="1" applyBorder="1" applyAlignment="1">
      <alignment horizontal="right"/>
    </xf>
    <xf numFmtId="164" fontId="16" fillId="9" borderId="57" xfId="0" applyNumberFormat="1" applyFont="1" applyFill="1" applyBorder="1" applyAlignment="1">
      <alignment horizontal="right"/>
    </xf>
    <xf numFmtId="164" fontId="37" fillId="9" borderId="57" xfId="0" applyNumberFormat="1" applyFont="1" applyFill="1" applyBorder="1"/>
    <xf numFmtId="164" fontId="41" fillId="9" borderId="43" xfId="0" applyNumberFormat="1" applyFont="1" applyFill="1" applyBorder="1"/>
    <xf numFmtId="3" fontId="24" fillId="9" borderId="43" xfId="0" applyNumberFormat="1" applyFont="1" applyFill="1" applyBorder="1" applyAlignment="1">
      <alignment horizontal="right"/>
    </xf>
    <xf numFmtId="3" fontId="16" fillId="9" borderId="64" xfId="0" applyNumberFormat="1" applyFont="1" applyFill="1" applyBorder="1" applyAlignment="1">
      <alignment horizontal="right"/>
    </xf>
    <xf numFmtId="164" fontId="28" fillId="9" borderId="57" xfId="0" applyNumberFormat="1" applyFont="1" applyFill="1" applyBorder="1"/>
    <xf numFmtId="164" fontId="53" fillId="9" borderId="57" xfId="0" applyNumberFormat="1" applyFont="1" applyFill="1" applyBorder="1"/>
    <xf numFmtId="164" fontId="54" fillId="9" borderId="43" xfId="0" applyNumberFormat="1" applyFont="1" applyFill="1" applyBorder="1"/>
    <xf numFmtId="3" fontId="29" fillId="7" borderId="32" xfId="0" applyNumberFormat="1" applyFont="1" applyFill="1" applyBorder="1" applyAlignment="1">
      <alignment horizontal="left"/>
    </xf>
    <xf numFmtId="165" fontId="29" fillId="7" borderId="38" xfId="0" applyNumberFormat="1" applyFont="1" applyFill="1" applyBorder="1"/>
    <xf numFmtId="3" fontId="29" fillId="7" borderId="38" xfId="0" applyNumberFormat="1" applyFont="1" applyFill="1" applyBorder="1"/>
    <xf numFmtId="0" fontId="29" fillId="7" borderId="38" xfId="0" applyFont="1" applyFill="1" applyBorder="1"/>
    <xf numFmtId="3" fontId="29" fillId="7" borderId="33" xfId="0" applyNumberFormat="1" applyFont="1" applyFill="1" applyBorder="1"/>
    <xf numFmtId="3" fontId="29" fillId="7" borderId="36" xfId="0" applyNumberFormat="1" applyFont="1" applyFill="1" applyBorder="1" applyAlignment="1">
      <alignment horizontal="left"/>
    </xf>
    <xf numFmtId="165" fontId="29" fillId="7" borderId="39" xfId="0" applyNumberFormat="1" applyFont="1" applyFill="1" applyBorder="1"/>
    <xf numFmtId="3" fontId="29" fillId="7" borderId="39" xfId="0" applyNumberFormat="1" applyFont="1" applyFill="1" applyBorder="1"/>
    <xf numFmtId="0" fontId="29" fillId="7" borderId="39" xfId="0" applyFont="1" applyFill="1" applyBorder="1"/>
    <xf numFmtId="3" fontId="29" fillId="7" borderId="37" xfId="0" applyNumberFormat="1" applyFont="1" applyFill="1" applyBorder="1"/>
    <xf numFmtId="165" fontId="29" fillId="7" borderId="0" xfId="0" applyNumberFormat="1" applyFont="1" applyFill="1"/>
    <xf numFmtId="3" fontId="29" fillId="7" borderId="0" xfId="0" applyNumberFormat="1" applyFont="1" applyFill="1"/>
    <xf numFmtId="3" fontId="29" fillId="7" borderId="34" xfId="0" applyNumberFormat="1" applyFont="1" applyFill="1" applyBorder="1" applyAlignment="1">
      <alignment horizontal="left"/>
    </xf>
    <xf numFmtId="3" fontId="29" fillId="7" borderId="35" xfId="0" applyNumberFormat="1" applyFont="1" applyFill="1" applyBorder="1"/>
    <xf numFmtId="0" fontId="29" fillId="0" borderId="4" xfId="0" applyFont="1" applyBorder="1" applyAlignment="1">
      <alignment vertical="center" wrapText="1"/>
    </xf>
    <xf numFmtId="165" fontId="15" fillId="0" borderId="7" xfId="0" applyNumberFormat="1" applyFont="1" applyBorder="1" applyAlignment="1">
      <alignment horizontal="left" vertical="center"/>
    </xf>
    <xf numFmtId="0" fontId="24" fillId="7" borderId="0" xfId="0" applyFont="1" applyFill="1" applyAlignment="1">
      <alignment vertical="center"/>
    </xf>
    <xf numFmtId="164" fontId="24" fillId="7" borderId="0" xfId="0" applyNumberFormat="1" applyFont="1" applyFill="1" applyAlignment="1">
      <alignment horizontal="left" vertical="center"/>
    </xf>
    <xf numFmtId="164" fontId="24" fillId="7" borderId="0" xfId="0" applyNumberFormat="1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168" fontId="28" fillId="7" borderId="0" xfId="0" applyNumberFormat="1" applyFont="1" applyFill="1" applyAlignment="1">
      <alignment vertical="center"/>
    </xf>
    <xf numFmtId="0" fontId="53" fillId="7" borderId="57" xfId="0" applyFont="1" applyFill="1" applyBorder="1" applyAlignment="1">
      <alignment horizontal="center"/>
    </xf>
    <xf numFmtId="0" fontId="53" fillId="7" borderId="57" xfId="0" applyFont="1" applyFill="1" applyBorder="1" applyAlignment="1">
      <alignment horizontal="center" vertical="center" wrapText="1"/>
    </xf>
    <xf numFmtId="164" fontId="28" fillId="7" borderId="57" xfId="0" applyNumberFormat="1" applyFont="1" applyFill="1" applyBorder="1" applyAlignment="1">
      <alignment horizontal="right"/>
    </xf>
    <xf numFmtId="164" fontId="28" fillId="7" borderId="43" xfId="0" applyNumberFormat="1" applyFont="1" applyFill="1" applyBorder="1" applyAlignment="1">
      <alignment horizontal="right"/>
    </xf>
    <xf numFmtId="164" fontId="28" fillId="7" borderId="57" xfId="0" applyNumberFormat="1" applyFont="1" applyFill="1" applyBorder="1"/>
    <xf numFmtId="164" fontId="28" fillId="7" borderId="43" xfId="0" applyNumberFormat="1" applyFont="1" applyFill="1" applyBorder="1"/>
    <xf numFmtId="164" fontId="53" fillId="7" borderId="57" xfId="0" applyNumberFormat="1" applyFont="1" applyFill="1" applyBorder="1"/>
    <xf numFmtId="3" fontId="24" fillId="7" borderId="57" xfId="0" applyNumberFormat="1" applyFont="1" applyFill="1" applyBorder="1" applyAlignment="1">
      <alignment horizontal="right"/>
    </xf>
    <xf numFmtId="3" fontId="24" fillId="7" borderId="43" xfId="0" applyNumberFormat="1" applyFont="1" applyFill="1" applyBorder="1" applyAlignment="1">
      <alignment horizontal="right"/>
    </xf>
    <xf numFmtId="3" fontId="22" fillId="7" borderId="57" xfId="0" applyNumberFormat="1" applyFont="1" applyFill="1" applyBorder="1" applyAlignment="1">
      <alignment horizontal="right"/>
    </xf>
    <xf numFmtId="3" fontId="53" fillId="7" borderId="64" xfId="0" applyNumberFormat="1" applyFont="1" applyFill="1" applyBorder="1" applyAlignment="1">
      <alignment horizontal="right"/>
    </xf>
    <xf numFmtId="3" fontId="53" fillId="7" borderId="0" xfId="0" applyNumberFormat="1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165" fontId="15" fillId="7" borderId="0" xfId="0" applyNumberFormat="1" applyFont="1" applyFill="1" applyAlignment="1">
      <alignment horizontal="right"/>
    </xf>
    <xf numFmtId="0" fontId="15" fillId="9" borderId="4" xfId="0" applyFont="1" applyFill="1" applyBorder="1" applyAlignment="1">
      <alignment vertical="center"/>
    </xf>
    <xf numFmtId="164" fontId="28" fillId="9" borderId="0" xfId="0" applyNumberFormat="1" applyFont="1" applyFill="1" applyAlignment="1">
      <alignment horizontal="right"/>
    </xf>
    <xf numFmtId="164" fontId="54" fillId="9" borderId="0" xfId="0" applyNumberFormat="1" applyFont="1" applyFill="1"/>
    <xf numFmtId="164" fontId="53" fillId="9" borderId="0" xfId="0" applyNumberFormat="1" applyFont="1" applyFill="1"/>
    <xf numFmtId="0" fontId="37" fillId="9" borderId="57" xfId="0" applyFont="1" applyFill="1" applyBorder="1" applyAlignment="1">
      <alignment horizontal="center" vertical="center"/>
    </xf>
    <xf numFmtId="0" fontId="41" fillId="9" borderId="0" xfId="0" applyFont="1" applyFill="1" applyAlignment="1">
      <alignment horizontal="center" vertical="center"/>
    </xf>
    <xf numFmtId="0" fontId="71" fillId="9" borderId="0" xfId="0" applyFont="1" applyFill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70" fillId="9" borderId="57" xfId="0" applyFont="1" applyFill="1" applyBorder="1" applyAlignment="1">
      <alignment horizontal="center"/>
    </xf>
    <xf numFmtId="0" fontId="70" fillId="9" borderId="57" xfId="0" applyFont="1" applyFill="1" applyBorder="1" applyAlignment="1">
      <alignment horizontal="center" vertical="center" wrapText="1"/>
    </xf>
    <xf numFmtId="164" fontId="70" fillId="9" borderId="57" xfId="0" applyNumberFormat="1" applyFont="1" applyFill="1" applyBorder="1" applyAlignment="1">
      <alignment horizontal="right"/>
    </xf>
    <xf numFmtId="3" fontId="70" fillId="9" borderId="64" xfId="0" applyNumberFormat="1" applyFont="1" applyFill="1" applyBorder="1" applyAlignment="1">
      <alignment horizontal="right"/>
    </xf>
    <xf numFmtId="164" fontId="37" fillId="9" borderId="57" xfId="0" applyNumberFormat="1" applyFont="1" applyFill="1" applyBorder="1" applyAlignment="1">
      <alignment horizontal="right" vertical="center"/>
    </xf>
    <xf numFmtId="164" fontId="41" fillId="9" borderId="0" xfId="0" applyNumberFormat="1" applyFont="1" applyFill="1" applyAlignment="1">
      <alignment horizontal="right" vertical="center"/>
    </xf>
    <xf numFmtId="164" fontId="71" fillId="9" borderId="0" xfId="0" applyNumberFormat="1" applyFont="1" applyFill="1" applyAlignment="1">
      <alignment horizontal="right" vertical="center"/>
    </xf>
    <xf numFmtId="164" fontId="46" fillId="9" borderId="0" xfId="0" applyNumberFormat="1" applyFont="1" applyFill="1" applyAlignment="1">
      <alignment horizontal="right" vertical="center"/>
    </xf>
    <xf numFmtId="164" fontId="51" fillId="9" borderId="43" xfId="0" applyNumberFormat="1" applyFont="1" applyFill="1" applyBorder="1" applyAlignment="1">
      <alignment horizontal="right" vertical="center"/>
    </xf>
    <xf numFmtId="3" fontId="37" fillId="9" borderId="64" xfId="0" applyNumberFormat="1" applyFont="1" applyFill="1" applyBorder="1" applyAlignment="1">
      <alignment horizontal="right" vertical="center"/>
    </xf>
    <xf numFmtId="3" fontId="41" fillId="9" borderId="49" xfId="0" applyNumberFormat="1" applyFont="1" applyFill="1" applyBorder="1" applyAlignment="1">
      <alignment horizontal="right" vertical="center"/>
    </xf>
    <xf numFmtId="3" fontId="71" fillId="9" borderId="49" xfId="0" applyNumberFormat="1" applyFont="1" applyFill="1" applyBorder="1" applyAlignment="1">
      <alignment horizontal="right" vertical="center"/>
    </xf>
    <xf numFmtId="3" fontId="46" fillId="9" borderId="49" xfId="0" applyNumberFormat="1" applyFont="1" applyFill="1" applyBorder="1" applyAlignment="1">
      <alignment horizontal="right" vertical="center"/>
    </xf>
    <xf numFmtId="3" fontId="51" fillId="9" borderId="50" xfId="0" applyNumberFormat="1" applyFont="1" applyFill="1" applyBorder="1" applyAlignment="1">
      <alignment horizontal="right" vertical="center"/>
    </xf>
    <xf numFmtId="0" fontId="73" fillId="9" borderId="0" xfId="1" applyFont="1" applyFill="1" applyBorder="1" applyAlignment="1">
      <alignment vertical="center" wrapText="1"/>
    </xf>
    <xf numFmtId="0" fontId="74" fillId="9" borderId="0" xfId="1" applyFont="1" applyFill="1" applyBorder="1" applyAlignment="1">
      <alignment horizontal="center" vertical="center" wrapText="1"/>
    </xf>
    <xf numFmtId="164" fontId="28" fillId="7" borderId="0" xfId="0" applyNumberFormat="1" applyFont="1" applyFill="1" applyAlignment="1">
      <alignment horizontal="right"/>
    </xf>
    <xf numFmtId="164" fontId="28" fillId="7" borderId="0" xfId="0" applyNumberFormat="1" applyFont="1" applyFill="1"/>
    <xf numFmtId="3" fontId="24" fillId="7" borderId="0" xfId="0" applyNumberFormat="1" applyFont="1" applyFill="1" applyAlignment="1">
      <alignment horizontal="right"/>
    </xf>
    <xf numFmtId="0" fontId="22" fillId="7" borderId="57" xfId="0" applyFont="1" applyFill="1" applyBorder="1" applyAlignment="1">
      <alignment horizontal="center"/>
    </xf>
    <xf numFmtId="0" fontId="22" fillId="7" borderId="57" xfId="0" applyFont="1" applyFill="1" applyBorder="1" applyAlignment="1">
      <alignment horizontal="center" vertical="center" wrapText="1"/>
    </xf>
    <xf numFmtId="164" fontId="22" fillId="7" borderId="57" xfId="0" applyNumberFormat="1" applyFont="1" applyFill="1" applyBorder="1"/>
    <xf numFmtId="0" fontId="54" fillId="7" borderId="0" xfId="0" applyFont="1" applyFill="1" applyAlignment="1">
      <alignment horizontal="center"/>
    </xf>
    <xf numFmtId="164" fontId="54" fillId="7" borderId="0" xfId="0" applyNumberFormat="1" applyFont="1" applyFill="1"/>
    <xf numFmtId="0" fontId="54" fillId="7" borderId="0" xfId="0" applyFont="1" applyFill="1" applyAlignment="1">
      <alignment horizontal="center" vertical="center" wrapText="1"/>
    </xf>
    <xf numFmtId="0" fontId="67" fillId="7" borderId="57" xfId="0" applyFont="1" applyFill="1" applyBorder="1"/>
    <xf numFmtId="0" fontId="22" fillId="7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 vertical="center" wrapText="1"/>
    </xf>
    <xf numFmtId="164" fontId="22" fillId="7" borderId="43" xfId="0" applyNumberFormat="1" applyFont="1" applyFill="1" applyBorder="1"/>
    <xf numFmtId="164" fontId="53" fillId="7" borderId="43" xfId="0" applyNumberFormat="1" applyFont="1" applyFill="1" applyBorder="1"/>
    <xf numFmtId="3" fontId="54" fillId="7" borderId="49" xfId="0" applyNumberFormat="1" applyFont="1" applyFill="1" applyBorder="1" applyAlignment="1">
      <alignment horizontal="right"/>
    </xf>
    <xf numFmtId="3" fontId="22" fillId="7" borderId="50" xfId="0" applyNumberFormat="1" applyFont="1" applyFill="1" applyBorder="1" applyAlignment="1">
      <alignment horizontal="right"/>
    </xf>
    <xf numFmtId="0" fontId="1" fillId="0" borderId="39" xfId="0" applyFont="1" applyBorder="1"/>
    <xf numFmtId="3" fontId="1" fillId="0" borderId="39" xfId="0" applyNumberFormat="1" applyFont="1" applyBorder="1"/>
    <xf numFmtId="3" fontId="24" fillId="7" borderId="0" xfId="0" applyNumberFormat="1" applyFont="1" applyFill="1"/>
    <xf numFmtId="164" fontId="24" fillId="7" borderId="0" xfId="0" applyNumberFormat="1" applyFont="1" applyFill="1" applyAlignment="1">
      <alignment vertical="center"/>
    </xf>
    <xf numFmtId="3" fontId="28" fillId="7" borderId="39" xfId="0" applyNumberFormat="1" applyFont="1" applyFill="1" applyBorder="1" applyAlignment="1">
      <alignment vertical="center"/>
    </xf>
    <xf numFmtId="164" fontId="28" fillId="7" borderId="39" xfId="0" applyNumberFormat="1" applyFont="1" applyFill="1" applyBorder="1" applyAlignment="1">
      <alignment vertical="center"/>
    </xf>
    <xf numFmtId="165" fontId="28" fillId="7" borderId="39" xfId="0" applyNumberFormat="1" applyFont="1" applyFill="1" applyBorder="1"/>
    <xf numFmtId="3" fontId="28" fillId="7" borderId="39" xfId="0" applyNumberFormat="1" applyFont="1" applyFill="1" applyBorder="1"/>
    <xf numFmtId="0" fontId="28" fillId="7" borderId="39" xfId="0" applyFont="1" applyFill="1" applyBorder="1"/>
    <xf numFmtId="3" fontId="28" fillId="7" borderId="0" xfId="0" applyNumberFormat="1" applyFont="1" applyFill="1" applyAlignment="1">
      <alignment horizontal="right" vertical="center"/>
    </xf>
    <xf numFmtId="165" fontId="28" fillId="7" borderId="0" xfId="0" applyNumberFormat="1" applyFont="1" applyFill="1"/>
    <xf numFmtId="3" fontId="28" fillId="7" borderId="0" xfId="0" applyNumberFormat="1" applyFont="1" applyFill="1"/>
    <xf numFmtId="0" fontId="22" fillId="10" borderId="3" xfId="0" applyFont="1" applyFill="1" applyBorder="1" applyAlignment="1">
      <alignment horizontal="center" vertical="center" wrapText="1"/>
    </xf>
    <xf numFmtId="0" fontId="58" fillId="10" borderId="4" xfId="0" applyFont="1" applyFill="1" applyBorder="1" applyAlignment="1">
      <alignment horizontal="center" vertical="center"/>
    </xf>
    <xf numFmtId="0" fontId="58" fillId="10" borderId="4" xfId="0" applyFont="1" applyFill="1" applyBorder="1" applyAlignment="1">
      <alignment horizontal="center" vertical="center" wrapText="1"/>
    </xf>
    <xf numFmtId="0" fontId="58" fillId="10" borderId="5" xfId="0" applyFont="1" applyFill="1" applyBorder="1" applyAlignment="1">
      <alignment horizontal="center" vertical="center"/>
    </xf>
    <xf numFmtId="164" fontId="58" fillId="10" borderId="4" xfId="0" quotePrefix="1" applyNumberFormat="1" applyFont="1" applyFill="1" applyBorder="1" applyAlignment="1">
      <alignment horizontal="center" vertical="center"/>
    </xf>
    <xf numFmtId="164" fontId="58" fillId="10" borderId="4" xfId="0" applyNumberFormat="1" applyFont="1" applyFill="1" applyBorder="1" applyAlignment="1">
      <alignment horizontal="center" vertical="center"/>
    </xf>
    <xf numFmtId="164" fontId="58" fillId="10" borderId="5" xfId="0" applyNumberFormat="1" applyFont="1" applyFill="1" applyBorder="1" applyAlignment="1">
      <alignment horizontal="center" vertical="center"/>
    </xf>
    <xf numFmtId="164" fontId="58" fillId="10" borderId="6" xfId="0" applyNumberFormat="1" applyFont="1" applyFill="1" applyBorder="1" applyAlignment="1">
      <alignment horizontal="center" vertical="center"/>
    </xf>
    <xf numFmtId="165" fontId="22" fillId="10" borderId="7" xfId="0" applyNumberFormat="1" applyFont="1" applyFill="1" applyBorder="1" applyAlignment="1">
      <alignment horizontal="center" vertical="center" wrapText="1"/>
    </xf>
    <xf numFmtId="3" fontId="24" fillId="7" borderId="0" xfId="0" applyNumberFormat="1" applyFont="1" applyFill="1" applyAlignment="1">
      <alignment horizontal="center" vertical="center"/>
    </xf>
    <xf numFmtId="0" fontId="79" fillId="9" borderId="0" xfId="0" applyFont="1" applyFill="1" applyAlignment="1">
      <alignment horizontal="center" vertical="center"/>
    </xf>
    <xf numFmtId="164" fontId="79" fillId="9" borderId="0" xfId="0" applyNumberFormat="1" applyFont="1" applyFill="1" applyAlignment="1">
      <alignment horizontal="right" vertical="center"/>
    </xf>
    <xf numFmtId="3" fontId="79" fillId="9" borderId="49" xfId="0" applyNumberFormat="1" applyFont="1" applyFill="1" applyBorder="1" applyAlignment="1">
      <alignment horizontal="right" vertical="center"/>
    </xf>
    <xf numFmtId="0" fontId="34" fillId="9" borderId="8" xfId="0" applyFont="1" applyFill="1" applyBorder="1" applyAlignment="1">
      <alignment horizontal="center" vertical="center"/>
    </xf>
    <xf numFmtId="0" fontId="28" fillId="9" borderId="5" xfId="0" quotePrefix="1" applyFont="1" applyFill="1" applyBorder="1" applyAlignment="1">
      <alignment horizontal="center" vertical="center"/>
    </xf>
    <xf numFmtId="0" fontId="28" fillId="9" borderId="4" xfId="0" quotePrefix="1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left" vertical="center"/>
    </xf>
    <xf numFmtId="0" fontId="42" fillId="9" borderId="5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69" fillId="9" borderId="4" xfId="0" applyFont="1" applyFill="1" applyBorder="1" applyAlignment="1">
      <alignment horizontal="center" vertical="center"/>
    </xf>
    <xf numFmtId="165" fontId="28" fillId="9" borderId="7" xfId="0" quotePrefix="1" applyNumberFormat="1" applyFont="1" applyFill="1" applyBorder="1" applyAlignment="1">
      <alignment horizontal="right" vertical="center"/>
    </xf>
    <xf numFmtId="165" fontId="28" fillId="9" borderId="7" xfId="0" applyNumberFormat="1" applyFont="1" applyFill="1" applyBorder="1" applyAlignment="1">
      <alignment horizontal="left" vertical="center"/>
    </xf>
    <xf numFmtId="165" fontId="13" fillId="8" borderId="7" xfId="0" quotePrefix="1" applyNumberFormat="1" applyFont="1" applyFill="1" applyBorder="1" applyAlignment="1">
      <alignment horizontal="left" vertical="center"/>
    </xf>
    <xf numFmtId="0" fontId="57" fillId="18" borderId="24" xfId="0" applyFont="1" applyFill="1" applyBorder="1" applyAlignment="1">
      <alignment horizontal="center" vertical="center"/>
    </xf>
    <xf numFmtId="0" fontId="57" fillId="18" borderId="25" xfId="0" applyFont="1" applyFill="1" applyBorder="1" applyAlignment="1">
      <alignment horizontal="center" vertical="center"/>
    </xf>
    <xf numFmtId="0" fontId="57" fillId="18" borderId="26" xfId="0" applyFont="1" applyFill="1" applyBorder="1" applyAlignment="1">
      <alignment horizontal="center" vertical="center"/>
    </xf>
    <xf numFmtId="3" fontId="58" fillId="4" borderId="24" xfId="0" applyNumberFormat="1" applyFont="1" applyFill="1" applyBorder="1" applyAlignment="1">
      <alignment horizontal="center"/>
    </xf>
    <xf numFmtId="3" fontId="58" fillId="4" borderId="25" xfId="0" applyNumberFormat="1" applyFont="1" applyFill="1" applyBorder="1" applyAlignment="1">
      <alignment horizontal="center"/>
    </xf>
    <xf numFmtId="3" fontId="58" fillId="4" borderId="26" xfId="0" applyNumberFormat="1" applyFont="1" applyFill="1" applyBorder="1" applyAlignment="1">
      <alignment horizontal="center"/>
    </xf>
    <xf numFmtId="0" fontId="43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78" fillId="9" borderId="0" xfId="0" applyFont="1" applyFill="1" applyAlignment="1">
      <alignment horizontal="left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26" fillId="5" borderId="26" xfId="0" applyFont="1" applyFill="1" applyBorder="1" applyAlignment="1">
      <alignment horizontal="left" vertical="center" wrapText="1"/>
    </xf>
    <xf numFmtId="4" fontId="58" fillId="4" borderId="58" xfId="0" applyNumberFormat="1" applyFont="1" applyFill="1" applyBorder="1" applyAlignment="1">
      <alignment horizontal="center" vertical="center" wrapText="1"/>
    </xf>
    <xf numFmtId="4" fontId="58" fillId="4" borderId="59" xfId="0" applyNumberFormat="1" applyFont="1" applyFill="1" applyBorder="1" applyAlignment="1">
      <alignment horizontal="center" vertical="center" wrapText="1"/>
    </xf>
    <xf numFmtId="4" fontId="58" fillId="4" borderId="60" xfId="0" applyNumberFormat="1" applyFont="1" applyFill="1" applyBorder="1" applyAlignment="1">
      <alignment horizontal="center" vertical="center" wrapText="1"/>
    </xf>
    <xf numFmtId="4" fontId="58" fillId="4" borderId="58" xfId="0" applyNumberFormat="1" applyFont="1" applyFill="1" applyBorder="1" applyAlignment="1">
      <alignment horizontal="center" vertical="top" wrapText="1"/>
    </xf>
    <xf numFmtId="4" fontId="58" fillId="4" borderId="59" xfId="0" applyNumberFormat="1" applyFont="1" applyFill="1" applyBorder="1" applyAlignment="1">
      <alignment horizontal="center" vertical="top" wrapText="1"/>
    </xf>
    <xf numFmtId="4" fontId="58" fillId="4" borderId="60" xfId="0" applyNumberFormat="1" applyFont="1" applyFill="1" applyBorder="1" applyAlignment="1">
      <alignment horizontal="center" vertical="top" wrapText="1"/>
    </xf>
    <xf numFmtId="0" fontId="43" fillId="4" borderId="32" xfId="0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43" fillId="4" borderId="33" xfId="0" applyFont="1" applyFill="1" applyBorder="1" applyAlignment="1">
      <alignment horizontal="center"/>
    </xf>
    <xf numFmtId="0" fontId="47" fillId="4" borderId="36" xfId="1" applyFont="1" applyFill="1" applyBorder="1" applyAlignment="1">
      <alignment horizontal="center"/>
    </xf>
    <xf numFmtId="0" fontId="47" fillId="4" borderId="39" xfId="1" applyFont="1" applyFill="1" applyBorder="1" applyAlignment="1">
      <alignment horizontal="center"/>
    </xf>
    <xf numFmtId="0" fontId="47" fillId="4" borderId="37" xfId="1" applyFont="1" applyFill="1" applyBorder="1" applyAlignment="1">
      <alignment horizontal="center"/>
    </xf>
    <xf numFmtId="0" fontId="62" fillId="4" borderId="32" xfId="0" applyFont="1" applyFill="1" applyBorder="1" applyAlignment="1">
      <alignment horizontal="center" vertical="center" wrapText="1"/>
    </xf>
    <xf numFmtId="0" fontId="62" fillId="4" borderId="38" xfId="0" applyFont="1" applyFill="1" applyBorder="1" applyAlignment="1">
      <alignment horizontal="center" vertical="center" wrapText="1"/>
    </xf>
    <xf numFmtId="0" fontId="62" fillId="4" borderId="33" xfId="0" applyFont="1" applyFill="1" applyBorder="1" applyAlignment="1">
      <alignment horizontal="center" vertical="center" wrapText="1"/>
    </xf>
    <xf numFmtId="0" fontId="62" fillId="4" borderId="34" xfId="0" applyFont="1" applyFill="1" applyBorder="1" applyAlignment="1">
      <alignment horizontal="center" vertical="center" wrapText="1"/>
    </xf>
    <xf numFmtId="0" fontId="62" fillId="4" borderId="0" xfId="0" applyFont="1" applyFill="1" applyAlignment="1">
      <alignment horizontal="center" vertical="center" wrapText="1"/>
    </xf>
    <xf numFmtId="0" fontId="62" fillId="4" borderId="35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2" fillId="4" borderId="39" xfId="0" applyFont="1" applyFill="1" applyBorder="1" applyAlignment="1">
      <alignment horizontal="center" vertical="center" wrapText="1"/>
    </xf>
    <xf numFmtId="0" fontId="62" fillId="4" borderId="37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left" vertical="center" wrapText="1"/>
    </xf>
    <xf numFmtId="0" fontId="26" fillId="9" borderId="25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17" fillId="9" borderId="62" xfId="0" applyFont="1" applyFill="1" applyBorder="1" applyAlignment="1">
      <alignment horizontal="center"/>
    </xf>
    <xf numFmtId="0" fontId="17" fillId="9" borderId="63" xfId="0" applyFont="1" applyFill="1" applyBorder="1" applyAlignment="1">
      <alignment horizontal="center"/>
    </xf>
    <xf numFmtId="0" fontId="17" fillId="9" borderId="61" xfId="0" applyFont="1" applyFill="1" applyBorder="1" applyAlignment="1">
      <alignment horizontal="center"/>
    </xf>
    <xf numFmtId="0" fontId="67" fillId="9" borderId="62" xfId="0" applyFont="1" applyFill="1" applyBorder="1" applyAlignment="1">
      <alignment horizontal="center"/>
    </xf>
    <xf numFmtId="0" fontId="67" fillId="9" borderId="61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15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67" fillId="9" borderId="63" xfId="0" applyFont="1" applyFill="1" applyBorder="1" applyAlignment="1">
      <alignment horizontal="center"/>
    </xf>
    <xf numFmtId="0" fontId="67" fillId="7" borderId="62" xfId="0" applyFont="1" applyFill="1" applyBorder="1" applyAlignment="1">
      <alignment horizontal="center"/>
    </xf>
    <xf numFmtId="0" fontId="67" fillId="7" borderId="63" xfId="0" applyFont="1" applyFill="1" applyBorder="1" applyAlignment="1">
      <alignment horizontal="center"/>
    </xf>
    <xf numFmtId="0" fontId="67" fillId="7" borderId="61" xfId="0" applyFont="1" applyFill="1" applyBorder="1" applyAlignment="1">
      <alignment horizontal="center"/>
    </xf>
    <xf numFmtId="165" fontId="50" fillId="0" borderId="55" xfId="0" applyNumberFormat="1" applyFont="1" applyBorder="1" applyAlignment="1">
      <alignment horizontal="left" vertical="center" wrapText="1"/>
    </xf>
    <xf numFmtId="165" fontId="50" fillId="0" borderId="56" xfId="0" applyNumberFormat="1" applyFont="1" applyBorder="1" applyAlignment="1">
      <alignment horizontal="left" vertical="center" wrapText="1"/>
    </xf>
    <xf numFmtId="4" fontId="56" fillId="0" borderId="31" xfId="0" applyNumberFormat="1" applyFont="1" applyBorder="1" applyAlignment="1">
      <alignment horizontal="center"/>
    </xf>
    <xf numFmtId="4" fontId="56" fillId="0" borderId="30" xfId="0" applyNumberFormat="1" applyFont="1" applyBorder="1" applyAlignment="1">
      <alignment horizontal="center"/>
    </xf>
    <xf numFmtId="4" fontId="66" fillId="0" borderId="34" xfId="0" quotePrefix="1" applyNumberFormat="1" applyFont="1" applyBorder="1" applyAlignment="1">
      <alignment horizontal="center" vertical="center" wrapText="1"/>
    </xf>
    <xf numFmtId="4" fontId="66" fillId="0" borderId="0" xfId="0" quotePrefix="1" applyNumberFormat="1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164" fontId="48" fillId="9" borderId="32" xfId="0" applyNumberFormat="1" applyFont="1" applyFill="1" applyBorder="1" applyAlignment="1">
      <alignment horizontal="center" vertical="center" wrapText="1"/>
    </xf>
    <xf numFmtId="164" fontId="48" fillId="9" borderId="38" xfId="0" applyNumberFormat="1" applyFont="1" applyFill="1" applyBorder="1" applyAlignment="1">
      <alignment horizontal="center" vertical="center" wrapText="1"/>
    </xf>
    <xf numFmtId="164" fontId="48" fillId="9" borderId="34" xfId="0" applyNumberFormat="1" applyFont="1" applyFill="1" applyBorder="1" applyAlignment="1">
      <alignment horizontal="center" vertical="center" wrapText="1"/>
    </xf>
    <xf numFmtId="164" fontId="48" fillId="9" borderId="0" xfId="0" applyNumberFormat="1" applyFont="1" applyFill="1" applyAlignment="1">
      <alignment horizontal="center" vertical="center" wrapText="1"/>
    </xf>
    <xf numFmtId="164" fontId="48" fillId="9" borderId="36" xfId="0" applyNumberFormat="1" applyFont="1" applyFill="1" applyBorder="1" applyAlignment="1">
      <alignment horizontal="center" vertical="center" wrapText="1"/>
    </xf>
    <xf numFmtId="164" fontId="48" fillId="9" borderId="39" xfId="0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164" fontId="26" fillId="10" borderId="51" xfId="0" applyNumberFormat="1" applyFont="1" applyFill="1" applyBorder="1" applyAlignment="1">
      <alignment horizontal="left" vertical="center"/>
    </xf>
    <xf numFmtId="164" fontId="26" fillId="10" borderId="25" xfId="0" applyNumberFormat="1" applyFont="1" applyFill="1" applyBorder="1" applyAlignment="1">
      <alignment horizontal="left" vertical="center"/>
    </xf>
    <xf numFmtId="164" fontId="26" fillId="10" borderId="52" xfId="0" applyNumberFormat="1" applyFont="1" applyFill="1" applyBorder="1" applyAlignment="1">
      <alignment horizontal="left" vertical="center"/>
    </xf>
    <xf numFmtId="164" fontId="11" fillId="11" borderId="51" xfId="0" applyNumberFormat="1" applyFont="1" applyFill="1" applyBorder="1" applyAlignment="1">
      <alignment horizontal="left" vertical="center"/>
    </xf>
    <xf numFmtId="164" fontId="11" fillId="11" borderId="25" xfId="0" applyNumberFormat="1" applyFont="1" applyFill="1" applyBorder="1" applyAlignment="1">
      <alignment horizontal="left" vertical="center"/>
    </xf>
    <xf numFmtId="164" fontId="11" fillId="11" borderId="52" xfId="0" applyNumberFormat="1" applyFont="1" applyFill="1" applyBorder="1" applyAlignment="1">
      <alignment horizontal="left" vertical="center"/>
    </xf>
    <xf numFmtId="3" fontId="10" fillId="10" borderId="17" xfId="0" applyNumberFormat="1" applyFont="1" applyFill="1" applyBorder="1" applyAlignment="1">
      <alignment horizontal="center" vertical="center"/>
    </xf>
    <xf numFmtId="3" fontId="10" fillId="10" borderId="23" xfId="0" applyNumberFormat="1" applyFont="1" applyFill="1" applyBorder="1" applyAlignment="1">
      <alignment horizontal="center" vertical="center"/>
    </xf>
    <xf numFmtId="3" fontId="10" fillId="10" borderId="20" xfId="0" applyNumberFormat="1" applyFont="1" applyFill="1" applyBorder="1" applyAlignment="1">
      <alignment horizontal="center" vertical="center"/>
    </xf>
    <xf numFmtId="3" fontId="10" fillId="11" borderId="1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 wrapText="1"/>
    </xf>
    <xf numFmtId="164" fontId="11" fillId="10" borderId="18" xfId="0" applyNumberFormat="1" applyFont="1" applyFill="1" applyBorder="1" applyAlignment="1">
      <alignment horizontal="center" vertical="center"/>
    </xf>
    <xf numFmtId="164" fontId="11" fillId="10" borderId="12" xfId="0" applyNumberFormat="1" applyFont="1" applyFill="1" applyBorder="1" applyAlignment="1">
      <alignment horizontal="center" vertical="center"/>
    </xf>
    <xf numFmtId="164" fontId="11" fillId="10" borderId="42" xfId="0" applyNumberFormat="1" applyFont="1" applyFill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left" vertical="center"/>
    </xf>
    <xf numFmtId="164" fontId="11" fillId="10" borderId="12" xfId="0" applyNumberFormat="1" applyFont="1" applyFill="1" applyBorder="1" applyAlignment="1">
      <alignment horizontal="left" vertical="center"/>
    </xf>
    <xf numFmtId="164" fontId="11" fillId="10" borderId="19" xfId="0" applyNumberFormat="1" applyFont="1" applyFill="1" applyBorder="1" applyAlignment="1">
      <alignment horizontal="left" vertical="center"/>
    </xf>
    <xf numFmtId="164" fontId="11" fillId="11" borderId="21" xfId="0" applyNumberFormat="1" applyFont="1" applyFill="1" applyBorder="1" applyAlignment="1">
      <alignment horizontal="left" vertical="center"/>
    </xf>
    <xf numFmtId="164" fontId="11" fillId="11" borderId="47" xfId="0" applyNumberFormat="1" applyFont="1" applyFill="1" applyBorder="1" applyAlignment="1">
      <alignment horizontal="left" vertical="center"/>
    </xf>
    <xf numFmtId="164" fontId="11" fillId="11" borderId="22" xfId="0" applyNumberFormat="1" applyFont="1" applyFill="1" applyBorder="1" applyAlignment="1">
      <alignment horizontal="left" vertical="center"/>
    </xf>
    <xf numFmtId="164" fontId="11" fillId="11" borderId="18" xfId="0" applyNumberFormat="1" applyFont="1" applyFill="1" applyBorder="1" applyAlignment="1">
      <alignment horizontal="left" vertical="center"/>
    </xf>
    <xf numFmtId="164" fontId="11" fillId="11" borderId="12" xfId="0" applyNumberFormat="1" applyFont="1" applyFill="1" applyBorder="1" applyAlignment="1">
      <alignment horizontal="left" vertical="center"/>
    </xf>
    <xf numFmtId="164" fontId="11" fillId="11" borderId="19" xfId="0" applyNumberFormat="1" applyFont="1" applyFill="1" applyBorder="1" applyAlignment="1">
      <alignment horizontal="left" vertical="center"/>
    </xf>
    <xf numFmtId="164" fontId="11" fillId="10" borderId="6" xfId="0" applyNumberFormat="1" applyFont="1" applyFill="1" applyBorder="1" applyAlignment="1">
      <alignment horizontal="left" vertical="center"/>
    </xf>
    <xf numFmtId="164" fontId="11" fillId="10" borderId="15" xfId="0" applyNumberFormat="1" applyFont="1" applyFill="1" applyBorder="1" applyAlignment="1">
      <alignment horizontal="left" vertical="center"/>
    </xf>
    <xf numFmtId="164" fontId="11" fillId="10" borderId="4" xfId="0" applyNumberFormat="1" applyFont="1" applyFill="1" applyBorder="1" applyAlignment="1">
      <alignment horizontal="left" vertical="center"/>
    </xf>
    <xf numFmtId="164" fontId="11" fillId="10" borderId="21" xfId="0" applyNumberFormat="1" applyFont="1" applyFill="1" applyBorder="1" applyAlignment="1">
      <alignment horizontal="left" vertical="center"/>
    </xf>
    <xf numFmtId="164" fontId="11" fillId="10" borderId="47" xfId="0" applyNumberFormat="1" applyFont="1" applyFill="1" applyBorder="1" applyAlignment="1">
      <alignment horizontal="left" vertical="center"/>
    </xf>
    <xf numFmtId="164" fontId="11" fillId="10" borderId="22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57">
    <dxf>
      <font>
        <color rgb="FFFF0000"/>
      </font>
    </dxf>
    <dxf>
      <font>
        <color rgb="FFFF0000"/>
      </font>
    </dxf>
    <dxf>
      <font>
        <color rgb="FF00B05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rgb="FF000000"/>
          <bgColor rgb="FFDBDBDB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4BF00"/>
      <color rgb="FFFD23ED"/>
      <color rgb="FFD7D200"/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€</a:t>
            </a:r>
          </a:p>
        </c:rich>
      </c:tx>
      <c:layout>
        <c:manualLayout>
          <c:xMode val="edge"/>
          <c:yMode val="edge"/>
          <c:x val="4.0281046571650728E-2"/>
          <c:y val="1.325871769909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057786599713435"/>
        </c:manualLayout>
      </c:layout>
      <c:lineChart>
        <c:grouping val="standard"/>
        <c:varyColors val="0"/>
        <c:ser>
          <c:idx val="4"/>
          <c:order val="0"/>
          <c:tx>
            <c:v>€ Thorwal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Anleitung'!$N$58:$N$79</c:f>
              <c:numCache>
                <c:formatCode>#,##0\ "€"</c:formatCode>
                <c:ptCount val="22"/>
                <c:pt idx="0">
                  <c:v>0</c:v>
                </c:pt>
                <c:pt idx="2">
                  <c:v>65000</c:v>
                </c:pt>
                <c:pt idx="12">
                  <c:v>125000</c:v>
                </c:pt>
                <c:pt idx="21">
                  <c:v>266116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0-4E24-84D9-F27E1528FAC6}"/>
            </c:ext>
          </c:extLst>
        </c:ser>
        <c:ser>
          <c:idx val="5"/>
          <c:order val="1"/>
          <c:tx>
            <c:v>€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Anleitung'!$O$58:$O$79</c:f>
              <c:numCache>
                <c:formatCode>#,##0\ "€"</c:formatCode>
                <c:ptCount val="22"/>
                <c:pt idx="0">
                  <c:v>0</c:v>
                </c:pt>
                <c:pt idx="1">
                  <c:v>43437</c:v>
                </c:pt>
                <c:pt idx="2">
                  <c:v>49522</c:v>
                </c:pt>
                <c:pt idx="3">
                  <c:v>53901</c:v>
                </c:pt>
                <c:pt idx="4">
                  <c:v>59963</c:v>
                </c:pt>
                <c:pt idx="5">
                  <c:v>63115</c:v>
                </c:pt>
                <c:pt idx="6">
                  <c:v>65148</c:v>
                </c:pt>
                <c:pt idx="7">
                  <c:v>69623</c:v>
                </c:pt>
                <c:pt idx="8">
                  <c:v>72783</c:v>
                </c:pt>
                <c:pt idx="9">
                  <c:v>76597</c:v>
                </c:pt>
                <c:pt idx="10">
                  <c:v>81327</c:v>
                </c:pt>
                <c:pt idx="11">
                  <c:v>83062</c:v>
                </c:pt>
                <c:pt idx="12">
                  <c:v>86154</c:v>
                </c:pt>
                <c:pt idx="13">
                  <c:v>89062</c:v>
                </c:pt>
                <c:pt idx="14">
                  <c:v>93109</c:v>
                </c:pt>
                <c:pt idx="15">
                  <c:v>97466</c:v>
                </c:pt>
                <c:pt idx="16">
                  <c:v>103452</c:v>
                </c:pt>
                <c:pt idx="17">
                  <c:v>109547</c:v>
                </c:pt>
                <c:pt idx="18">
                  <c:v>115420</c:v>
                </c:pt>
                <c:pt idx="19">
                  <c:v>123542</c:v>
                </c:pt>
                <c:pt idx="20">
                  <c:v>130324</c:v>
                </c:pt>
                <c:pt idx="21">
                  <c:v>170701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0-4E24-84D9-F27E1528FAC6}"/>
            </c:ext>
          </c:extLst>
        </c:ser>
        <c:ser>
          <c:idx val="1"/>
          <c:order val="2"/>
          <c:tx>
            <c:v>€ Sonnenküste</c:v>
          </c:tx>
          <c:spPr>
            <a:ln w="28575" cap="rnd">
              <a:solidFill>
                <a:srgbClr val="C4B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Anleitung'!$P$58:$P$79</c:f>
              <c:numCache>
                <c:formatCode>#,##0\ "€"</c:formatCode>
                <c:ptCount val="22"/>
                <c:pt idx="0">
                  <c:v>0</c:v>
                </c:pt>
                <c:pt idx="1">
                  <c:v>89735</c:v>
                </c:pt>
                <c:pt idx="2">
                  <c:v>114003</c:v>
                </c:pt>
                <c:pt idx="3">
                  <c:v>122519</c:v>
                </c:pt>
                <c:pt idx="4">
                  <c:v>127604</c:v>
                </c:pt>
                <c:pt idx="5">
                  <c:v>131274</c:v>
                </c:pt>
                <c:pt idx="6">
                  <c:v>135593</c:v>
                </c:pt>
                <c:pt idx="7">
                  <c:v>147297</c:v>
                </c:pt>
                <c:pt idx="8">
                  <c:v>154154</c:v>
                </c:pt>
                <c:pt idx="9">
                  <c:v>158642</c:v>
                </c:pt>
                <c:pt idx="10">
                  <c:v>163194</c:v>
                </c:pt>
                <c:pt idx="11">
                  <c:v>166405</c:v>
                </c:pt>
                <c:pt idx="12">
                  <c:v>169780</c:v>
                </c:pt>
                <c:pt idx="13">
                  <c:v>172436</c:v>
                </c:pt>
                <c:pt idx="14">
                  <c:v>176629</c:v>
                </c:pt>
                <c:pt idx="15">
                  <c:v>188273</c:v>
                </c:pt>
                <c:pt idx="16">
                  <c:v>193264</c:v>
                </c:pt>
                <c:pt idx="17">
                  <c:v>198261</c:v>
                </c:pt>
                <c:pt idx="18">
                  <c:v>203119</c:v>
                </c:pt>
                <c:pt idx="19">
                  <c:v>212186</c:v>
                </c:pt>
                <c:pt idx="20">
                  <c:v>220897</c:v>
                </c:pt>
                <c:pt idx="21">
                  <c:v>239077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772-4CB5-9B41-96C9281176D7}"/>
            </c:ext>
          </c:extLst>
        </c:ser>
        <c:ser>
          <c:idx val="6"/>
          <c:order val="3"/>
          <c:tx>
            <c:v>€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Anleitung'!$Q$58:$Q$79</c:f>
              <c:numCache>
                <c:formatCode>#,##0\ "€"</c:formatCode>
                <c:ptCount val="22"/>
                <c:pt idx="0">
                  <c:v>0</c:v>
                </c:pt>
                <c:pt idx="1">
                  <c:v>82966</c:v>
                </c:pt>
                <c:pt idx="2">
                  <c:v>96328</c:v>
                </c:pt>
                <c:pt idx="3">
                  <c:v>115147</c:v>
                </c:pt>
                <c:pt idx="4">
                  <c:v>123834</c:v>
                </c:pt>
                <c:pt idx="5">
                  <c:v>132002</c:v>
                </c:pt>
                <c:pt idx="6">
                  <c:v>150957</c:v>
                </c:pt>
                <c:pt idx="7">
                  <c:v>164491</c:v>
                </c:pt>
                <c:pt idx="8">
                  <c:v>182858</c:v>
                </c:pt>
                <c:pt idx="9">
                  <c:v>195000</c:v>
                </c:pt>
                <c:pt idx="10">
                  <c:v>203877</c:v>
                </c:pt>
                <c:pt idx="11">
                  <c:v>212794</c:v>
                </c:pt>
                <c:pt idx="12">
                  <c:v>221864</c:v>
                </c:pt>
                <c:pt idx="13">
                  <c:v>229701</c:v>
                </c:pt>
                <c:pt idx="14">
                  <c:v>240791</c:v>
                </c:pt>
                <c:pt idx="15">
                  <c:v>249000</c:v>
                </c:pt>
                <c:pt idx="16">
                  <c:v>257666</c:v>
                </c:pt>
                <c:pt idx="17">
                  <c:v>268894</c:v>
                </c:pt>
                <c:pt idx="18">
                  <c:v>280832</c:v>
                </c:pt>
                <c:pt idx="19">
                  <c:v>299641</c:v>
                </c:pt>
                <c:pt idx="20">
                  <c:v>330836</c:v>
                </c:pt>
                <c:pt idx="21">
                  <c:v>390507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772-4CB5-9B41-96C9281176D7}"/>
            </c:ext>
          </c:extLst>
        </c:ser>
        <c:ser>
          <c:idx val="9"/>
          <c:order val="4"/>
          <c:tx>
            <c:v>€ Gunst der Göttin</c:v>
          </c:tx>
          <c:spPr>
            <a:ln w="28575" cap="rnd">
              <a:solidFill>
                <a:srgbClr val="FD23E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'Übersicht &amp; Anleitung'!$R$58:$R$79</c:f>
              <c:numCache>
                <c:formatCode>#,##0\ "€"</c:formatCode>
                <c:ptCount val="22"/>
                <c:pt idx="0">
                  <c:v>0</c:v>
                </c:pt>
                <c:pt idx="1">
                  <c:v>76466</c:v>
                </c:pt>
                <c:pt idx="2">
                  <c:v>100197</c:v>
                </c:pt>
                <c:pt idx="3">
                  <c:v>110488</c:v>
                </c:pt>
                <c:pt idx="4">
                  <c:v>117325</c:v>
                </c:pt>
                <c:pt idx="5">
                  <c:v>120368</c:v>
                </c:pt>
                <c:pt idx="6">
                  <c:v>123198</c:v>
                </c:pt>
                <c:pt idx="7">
                  <c:v>126713</c:v>
                </c:pt>
                <c:pt idx="8">
                  <c:v>130050</c:v>
                </c:pt>
                <c:pt idx="9">
                  <c:v>133215</c:v>
                </c:pt>
                <c:pt idx="10">
                  <c:v>136715</c:v>
                </c:pt>
                <c:pt idx="11">
                  <c:v>139670</c:v>
                </c:pt>
                <c:pt idx="12">
                  <c:v>143057</c:v>
                </c:pt>
                <c:pt idx="13">
                  <c:v>149744</c:v>
                </c:pt>
                <c:pt idx="14">
                  <c:v>155980</c:v>
                </c:pt>
                <c:pt idx="15">
                  <c:v>165152</c:v>
                </c:pt>
                <c:pt idx="16">
                  <c:v>174081</c:v>
                </c:pt>
                <c:pt idx="17">
                  <c:v>181054</c:v>
                </c:pt>
                <c:pt idx="18">
                  <c:v>187527</c:v>
                </c:pt>
                <c:pt idx="19">
                  <c:v>197700</c:v>
                </c:pt>
                <c:pt idx="20">
                  <c:v>205967</c:v>
                </c:pt>
                <c:pt idx="21">
                  <c:v>231430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772-4CB5-9B41-96C9281176D7}"/>
            </c:ext>
          </c:extLst>
        </c:ser>
        <c:ser>
          <c:idx val="10"/>
          <c:order val="5"/>
          <c:tx>
            <c:v>€ Winterwacht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Anleitung'!$S$58:$S$79</c:f>
              <c:numCache>
                <c:formatCode>#,##0\ "€"</c:formatCode>
                <c:ptCount val="22"/>
                <c:pt idx="0">
                  <c:v>0</c:v>
                </c:pt>
                <c:pt idx="1">
                  <c:v>97183</c:v>
                </c:pt>
                <c:pt idx="2">
                  <c:v>121393</c:v>
                </c:pt>
                <c:pt idx="3">
                  <c:v>143837</c:v>
                </c:pt>
                <c:pt idx="4">
                  <c:v>156839</c:v>
                </c:pt>
                <c:pt idx="5">
                  <c:v>166947</c:v>
                </c:pt>
                <c:pt idx="6">
                  <c:v>175946</c:v>
                </c:pt>
                <c:pt idx="7">
                  <c:v>184883</c:v>
                </c:pt>
                <c:pt idx="8">
                  <c:v>193287</c:v>
                </c:pt>
                <c:pt idx="9">
                  <c:v>202015</c:v>
                </c:pt>
                <c:pt idx="10">
                  <c:v>209016</c:v>
                </c:pt>
                <c:pt idx="11">
                  <c:v>214911</c:v>
                </c:pt>
                <c:pt idx="12">
                  <c:v>220698</c:v>
                </c:pt>
                <c:pt idx="13">
                  <c:v>224732</c:v>
                </c:pt>
                <c:pt idx="14">
                  <c:v>232641</c:v>
                </c:pt>
                <c:pt idx="15">
                  <c:v>242719</c:v>
                </c:pt>
                <c:pt idx="16">
                  <c:v>251181</c:v>
                </c:pt>
                <c:pt idx="17">
                  <c:v>258252</c:v>
                </c:pt>
                <c:pt idx="18">
                  <c:v>267342</c:v>
                </c:pt>
                <c:pt idx="19">
                  <c:v>279921</c:v>
                </c:pt>
                <c:pt idx="20">
                  <c:v>295660</c:v>
                </c:pt>
                <c:pt idx="21">
                  <c:v>324435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772-4CB5-9B41-96C9281176D7}"/>
            </c:ext>
          </c:extLst>
        </c:ser>
        <c:ser>
          <c:idx val="2"/>
          <c:order val="6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Anleitung'!$M$58:$M$79</c:f>
              <c:numCache>
                <c:formatCode>#,##0\ "€"</c:formatCode>
                <c:ptCount val="22"/>
                <c:pt idx="0">
                  <c:v>0</c:v>
                </c:pt>
                <c:pt idx="1">
                  <c:v>39596</c:v>
                </c:pt>
                <c:pt idx="2">
                  <c:v>55623</c:v>
                </c:pt>
                <c:pt idx="3">
                  <c:v>65490</c:v>
                </c:pt>
                <c:pt idx="4">
                  <c:v>69834</c:v>
                </c:pt>
                <c:pt idx="5">
                  <c:v>75135.274127884317</c:v>
                </c:pt>
                <c:pt idx="6">
                  <c:v>81374.021527974881</c:v>
                </c:pt>
                <c:pt idx="7">
                  <c:v>98280.31918267734</c:v>
                </c:pt>
                <c:pt idx="8">
                  <c:v>108185.17931752824</c:v>
                </c:pt>
                <c:pt idx="9">
                  <c:v>114668.04533549685</c:v>
                </c:pt>
                <c:pt idx="10">
                  <c:v>121243.35864070922</c:v>
                </c:pt>
                <c:pt idx="11">
                  <c:v>125881.61238039221</c:v>
                </c:pt>
                <c:pt idx="12">
                  <c:v>130756.76229363732</c:v>
                </c:pt>
                <c:pt idx="13">
                  <c:v>134593.32471425334</c:v>
                </c:pt>
                <c:pt idx="14">
                  <c:v>140650.06651758275</c:v>
                </c:pt>
                <c:pt idx="15">
                  <c:v>157469.69484049419</c:v>
                </c:pt>
                <c:pt idx="16">
                  <c:v>164679.13875664424</c:v>
                </c:pt>
                <c:pt idx="17">
                  <c:v>171897.24960597337</c:v>
                </c:pt>
                <c:pt idx="18">
                  <c:v>178914.57650331996</c:v>
                </c:pt>
                <c:pt idx="19">
                  <c:v>192011.7570258069</c:v>
                </c:pt>
                <c:pt idx="20">
                  <c:v>204594.69951300044</c:v>
                </c:pt>
                <c:pt idx="21">
                  <c:v>231015.84530949418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0-4E24-84D9-F27E1528FAC6}"/>
            </c:ext>
          </c:extLst>
        </c:ser>
        <c:ser>
          <c:idx val="3"/>
          <c:order val="7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Anleitung'!$L$58:$L$79</c:f>
              <c:numCache>
                <c:formatCode>#,##0\ "€"</c:formatCode>
                <c:ptCount val="22"/>
                <c:pt idx="0">
                  <c:v>0</c:v>
                </c:pt>
                <c:pt idx="1">
                  <c:v>39596</c:v>
                </c:pt>
                <c:pt idx="2">
                  <c:v>55623</c:v>
                </c:pt>
                <c:pt idx="3">
                  <c:v>65490</c:v>
                </c:pt>
                <c:pt idx="4">
                  <c:v>69834</c:v>
                </c:pt>
                <c:pt idx="5">
                  <c:v>70931.466713581918</c:v>
                </c:pt>
                <c:pt idx="6">
                  <c:v>73478.29354462323</c:v>
                </c:pt>
                <c:pt idx="7">
                  <c:v>75296.745369013253</c:v>
                </c:pt>
                <c:pt idx="8">
                  <c:v>77764.567495403957</c:v>
                </c:pt>
                <c:pt idx="9">
                  <c:v>79395.987774090507</c:v>
                </c:pt>
                <c:pt idx="10">
                  <c:v>80588.716963178013</c:v>
                </c:pt>
                <c:pt idx="11">
                  <c:v>81786.820621969644</c:v>
                </c:pt>
                <c:pt idx="12">
                  <c:v>83005.481627379544</c:v>
                </c:pt>
                <c:pt idx="13">
                  <c:v>84058.474604159856</c:v>
                </c:pt>
                <c:pt idx="14">
                  <c:v>85548.546329627963</c:v>
                </c:pt>
                <c:pt idx="15">
                  <c:v>86651.52187465661</c:v>
                </c:pt>
                <c:pt idx="16">
                  <c:v>87815.900736054871</c:v>
                </c:pt>
                <c:pt idx="17">
                  <c:v>89324.514382002206</c:v>
                </c:pt>
                <c:pt idx="18">
                  <c:v>90928.524865197731</c:v>
                </c:pt>
                <c:pt idx="19">
                  <c:v>93455.734881818993</c:v>
                </c:pt>
                <c:pt idx="20">
                  <c:v>97647.149442321941</c:v>
                </c:pt>
                <c:pt idx="21">
                  <c:v>105493.87521034156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0-4E24-84D9-F27E1528FAC6}"/>
            </c:ext>
          </c:extLst>
        </c:ser>
        <c:ser>
          <c:idx val="0"/>
          <c:order val="10"/>
          <c:tx>
            <c:v>€ Aktuelle Prognose</c:v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A0-4E24-84D9-F27E1528FAC6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A0-4E24-84D9-F27E1528FAC6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A0-4E24-84D9-F27E1528FAC6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A0-4E24-84D9-F27E1528FAC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A0-4E24-84D9-F27E1528FAC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A0-4E24-84D9-F27E1528FAC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A0-4E24-84D9-F27E1528FAC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A0-4E24-84D9-F27E1528FAC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A0-4E24-84D9-F27E1528FAC6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A0-4E24-84D9-F27E1528FAC6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A0-4E24-84D9-F27E1528FAC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A0-4E24-84D9-F27E1528FAC6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A0-4E24-84D9-F27E1528FAC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A0-4E24-84D9-F27E1528FAC6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A0-4E24-84D9-F27E1528FAC6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A0-4E24-84D9-F27E1528FA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A0-4E24-84D9-F27E1528FAC6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A0-4E24-84D9-F27E1528FAC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A0-4E24-84D9-F27E1528FAC6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A0-4E24-84D9-F27E1528FAC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A0-4E24-84D9-F27E1528FAC6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A0-4E24-84D9-F27E1528FAC6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A0-4E24-84D9-F27E1528FAC6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A0-4E24-84D9-F27E1528FAC6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0A0-4E24-84D9-F27E1528FAC6}"/>
              </c:ext>
            </c:extLst>
          </c:dPt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Anleitung'!$I$58:$I$79</c:f>
              <c:numCache>
                <c:formatCode>#,##0\ "€"</c:formatCode>
                <c:ptCount val="22"/>
                <c:pt idx="0">
                  <c:v>0</c:v>
                </c:pt>
                <c:pt idx="1">
                  <c:v>39596</c:v>
                </c:pt>
                <c:pt idx="2">
                  <c:v>55623</c:v>
                </c:pt>
                <c:pt idx="3">
                  <c:v>65490</c:v>
                </c:pt>
                <c:pt idx="4">
                  <c:v>69834</c:v>
                </c:pt>
                <c:pt idx="5">
                  <c:v>75551</c:v>
                </c:pt>
                <c:pt idx="6">
                  <c:v>85403</c:v>
                </c:pt>
                <c:pt idx="7">
                  <c:v>94449</c:v>
                </c:pt>
                <c:pt idx="8">
                  <c:v>103073</c:v>
                </c:pt>
                <c:pt idx="9">
                  <c:v>113149</c:v>
                </c:pt>
                <c:pt idx="10">
                  <c:v>120667</c:v>
                </c:pt>
                <c:pt idx="11">
                  <c:v>127353</c:v>
                </c:pt>
                <c:pt idx="12">
                  <c:v>134068</c:v>
                </c:pt>
                <c:pt idx="13">
                  <c:v>139930</c:v>
                </c:pt>
                <c:pt idx="14">
                  <c:v>148846</c:v>
                </c:pt>
                <c:pt idx="15">
                  <c:v>159815</c:v>
                </c:pt>
                <c:pt idx="16">
                  <c:v>167089</c:v>
                </c:pt>
                <c:pt idx="17">
                  <c:v>174268</c:v>
                </c:pt>
                <c:pt idx="18">
                  <c:v>180234</c:v>
                </c:pt>
                <c:pt idx="19">
                  <c:v>197561</c:v>
                </c:pt>
                <c:pt idx="20">
                  <c:v>214259</c:v>
                </c:pt>
                <c:pt idx="21">
                  <c:v>249219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0A0-4E24-84D9-F27E1528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7"/>
                <c:order val="8"/>
                <c:tx>
                  <c:v>€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Anleitung'!$K$58:$K$79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39596</c:v>
                      </c:pt>
                      <c:pt idx="2">
                        <c:v>55623</c:v>
                      </c:pt>
                      <c:pt idx="3">
                        <c:v>65490</c:v>
                      </c:pt>
                      <c:pt idx="4">
                        <c:v>69834</c:v>
                      </c:pt>
                      <c:pt idx="5">
                        <c:v>75551</c:v>
                      </c:pt>
                      <c:pt idx="6">
                        <c:v>85403</c:v>
                      </c:pt>
                      <c:pt idx="7">
                        <c:v>94449</c:v>
                      </c:pt>
                      <c:pt idx="8">
                        <c:v>103073</c:v>
                      </c:pt>
                      <c:pt idx="9">
                        <c:v>113149</c:v>
                      </c:pt>
                      <c:pt idx="10">
                        <c:v>120667</c:v>
                      </c:pt>
                      <c:pt idx="11">
                        <c:v>127353</c:v>
                      </c:pt>
                      <c:pt idx="12">
                        <c:v>134068</c:v>
                      </c:pt>
                      <c:pt idx="13">
                        <c:v>139930</c:v>
                      </c:pt>
                      <c:pt idx="14">
                        <c:v>148846</c:v>
                      </c:pt>
                      <c:pt idx="15">
                        <c:v>159815</c:v>
                      </c:pt>
                      <c:pt idx="16">
                        <c:v>167089</c:v>
                      </c:pt>
                      <c:pt idx="17">
                        <c:v>174268</c:v>
                      </c:pt>
                      <c:pt idx="18">
                        <c:v>180234</c:v>
                      </c:pt>
                      <c:pt idx="19">
                        <c:v>197561</c:v>
                      </c:pt>
                      <c:pt idx="20">
                        <c:v>214259</c:v>
                      </c:pt>
                      <c:pt idx="21">
                        <c:v>249219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8-80A0-4E24-84D9-F27E1528FAC6}"/>
                  </c:ext>
                </c:extLst>
              </c15:ser>
            </c15:filteredLineSeries>
            <c15:filteredLineSeries>
              <c15:ser>
                <c:idx val="8"/>
                <c:order val="9"/>
                <c:tx>
                  <c:v>€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Anleitung'!$J$58:$J$79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39596</c:v>
                      </c:pt>
                      <c:pt idx="2">
                        <c:v>55623</c:v>
                      </c:pt>
                      <c:pt idx="3">
                        <c:v>65490</c:v>
                      </c:pt>
                      <c:pt idx="4">
                        <c:v>69834</c:v>
                      </c:pt>
                      <c:pt idx="5">
                        <c:v>75551</c:v>
                      </c:pt>
                      <c:pt idx="6">
                        <c:v>85403</c:v>
                      </c:pt>
                      <c:pt idx="7">
                        <c:v>94449</c:v>
                      </c:pt>
                      <c:pt idx="8">
                        <c:v>103073</c:v>
                      </c:pt>
                      <c:pt idx="9">
                        <c:v>113149</c:v>
                      </c:pt>
                      <c:pt idx="10">
                        <c:v>120667</c:v>
                      </c:pt>
                      <c:pt idx="11">
                        <c:v>127353</c:v>
                      </c:pt>
                      <c:pt idx="12">
                        <c:v>134068</c:v>
                      </c:pt>
                      <c:pt idx="13">
                        <c:v>139930</c:v>
                      </c:pt>
                      <c:pt idx="14">
                        <c:v>148846</c:v>
                      </c:pt>
                      <c:pt idx="15">
                        <c:v>159815</c:v>
                      </c:pt>
                      <c:pt idx="16">
                        <c:v>167089</c:v>
                      </c:pt>
                      <c:pt idx="17">
                        <c:v>174268</c:v>
                      </c:pt>
                      <c:pt idx="18">
                        <c:v>180234</c:v>
                      </c:pt>
                      <c:pt idx="19">
                        <c:v>197561</c:v>
                      </c:pt>
                      <c:pt idx="20">
                        <c:v>214259</c:v>
                      </c:pt>
                      <c:pt idx="21">
                        <c:v>249219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0A0-4E24-84D9-F27E1528FAC6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1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60715970822713"/>
          <c:y val="1.5639151688508966E-2"/>
          <c:w val="0.68334014552439903"/>
          <c:h val="7.2668445659651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FF-48F1-94B4-F778400803DC}"/>
            </c:ext>
          </c:extLst>
        </c:ser>
        <c:ser>
          <c:idx val="3"/>
          <c:order val="1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EFF-48F1-94B4-F778400803DC}"/>
            </c:ext>
          </c:extLst>
        </c:ser>
        <c:ser>
          <c:idx val="5"/>
          <c:order val="2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EFF-48F1-94B4-F778400803DC}"/>
            </c:ext>
          </c:extLst>
        </c:ser>
        <c:ser>
          <c:idx val="7"/>
          <c:order val="3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EFF-48F1-94B4-F778400803DC}"/>
            </c:ext>
          </c:extLst>
        </c:ser>
        <c:ser>
          <c:idx val="9"/>
          <c:order val="4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EFF-48F1-94B4-F778400803DC}"/>
            </c:ext>
          </c:extLst>
        </c:ser>
        <c:ser>
          <c:idx val="11"/>
          <c:order val="5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EFF-48F1-94B4-F778400803DC}"/>
            </c:ext>
          </c:extLst>
        </c:ser>
        <c:ser>
          <c:idx val="14"/>
          <c:order val="6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EFF-48F1-94B4-F778400803DC}"/>
            </c:ext>
          </c:extLst>
        </c:ser>
        <c:ser>
          <c:idx val="0"/>
          <c:order val="7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FF-48F1-94B4-F778400803DC}"/>
            </c:ext>
          </c:extLst>
        </c:ser>
        <c:ser>
          <c:idx val="2"/>
          <c:order val="8"/>
          <c:tx>
            <c:v>SOK (€/kum)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FF-48F1-94B4-F778400803DC}"/>
            </c:ext>
          </c:extLst>
        </c:ser>
        <c:ser>
          <c:idx val="4"/>
          <c:order val="9"/>
          <c:tx>
            <c:v>SOK (B/kum)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FF-48F1-94B4-F778400803DC}"/>
            </c:ext>
          </c:extLst>
        </c:ser>
        <c:ser>
          <c:idx val="6"/>
          <c:order val="10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FF-48F1-94B4-F778400803DC}"/>
            </c:ext>
          </c:extLst>
        </c:ser>
        <c:ser>
          <c:idx val="8"/>
          <c:order val="11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FF-48F1-94B4-F778400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Backer</a:t>
            </a:r>
          </a:p>
        </c:rich>
      </c:tx>
      <c:layout>
        <c:manualLayout>
          <c:xMode val="edge"/>
          <c:yMode val="edge"/>
          <c:x val="3.0453674649409502E-2"/>
          <c:y val="8.91371342867660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492288813297134"/>
        </c:manualLayout>
      </c:layout>
      <c:lineChart>
        <c:grouping val="standard"/>
        <c:varyColors val="0"/>
        <c:ser>
          <c:idx val="4"/>
          <c:order val="0"/>
          <c:tx>
            <c:v>Backer Thorwal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Anleitung'!$N$87:$N$108</c:f>
              <c:numCache>
                <c:formatCode>#,##0</c:formatCode>
                <c:ptCount val="22"/>
                <c:pt idx="0">
                  <c:v>0</c:v>
                </c:pt>
                <c:pt idx="1">
                  <c:v>500</c:v>
                </c:pt>
                <c:pt idx="11">
                  <c:v>900</c:v>
                </c:pt>
                <c:pt idx="21">
                  <c:v>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0-4B47-B039-C2E9452AA03A}"/>
            </c:ext>
          </c:extLst>
        </c:ser>
        <c:ser>
          <c:idx val="5"/>
          <c:order val="1"/>
          <c:tx>
            <c:v>Backer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Anleitung'!$O$87:$O$108</c:f>
              <c:numCache>
                <c:formatCode>#,##0</c:formatCode>
                <c:ptCount val="22"/>
                <c:pt idx="0">
                  <c:v>0</c:v>
                </c:pt>
                <c:pt idx="1">
                  <c:v>179</c:v>
                </c:pt>
                <c:pt idx="2">
                  <c:v>206</c:v>
                </c:pt>
                <c:pt idx="3">
                  <c:v>224</c:v>
                </c:pt>
                <c:pt idx="4">
                  <c:v>247</c:v>
                </c:pt>
                <c:pt idx="5">
                  <c:v>264</c:v>
                </c:pt>
                <c:pt idx="6">
                  <c:v>274</c:v>
                </c:pt>
                <c:pt idx="7">
                  <c:v>295</c:v>
                </c:pt>
                <c:pt idx="8">
                  <c:v>308</c:v>
                </c:pt>
                <c:pt idx="9">
                  <c:v>329</c:v>
                </c:pt>
                <c:pt idx="10">
                  <c:v>350</c:v>
                </c:pt>
                <c:pt idx="11">
                  <c:v>356</c:v>
                </c:pt>
                <c:pt idx="12">
                  <c:v>371</c:v>
                </c:pt>
                <c:pt idx="13">
                  <c:v>386</c:v>
                </c:pt>
                <c:pt idx="14">
                  <c:v>403</c:v>
                </c:pt>
                <c:pt idx="15">
                  <c:v>422</c:v>
                </c:pt>
                <c:pt idx="16">
                  <c:v>445</c:v>
                </c:pt>
                <c:pt idx="17">
                  <c:v>471</c:v>
                </c:pt>
                <c:pt idx="18">
                  <c:v>501</c:v>
                </c:pt>
                <c:pt idx="19">
                  <c:v>537</c:v>
                </c:pt>
                <c:pt idx="20">
                  <c:v>576</c:v>
                </c:pt>
                <c:pt idx="2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0-4B47-B039-C2E9452AA03A}"/>
            </c:ext>
          </c:extLst>
        </c:ser>
        <c:ser>
          <c:idx val="1"/>
          <c:order val="2"/>
          <c:tx>
            <c:v>Backer Sonnenküste</c:v>
          </c:tx>
          <c:spPr>
            <a:ln w="28575" cap="rnd">
              <a:solidFill>
                <a:srgbClr val="C4B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Anleitung'!$P$87:$P$108</c:f>
              <c:numCache>
                <c:formatCode>#,##0</c:formatCode>
                <c:ptCount val="22"/>
                <c:pt idx="0">
                  <c:v>0</c:v>
                </c:pt>
                <c:pt idx="1">
                  <c:v>625</c:v>
                </c:pt>
                <c:pt idx="2">
                  <c:v>789</c:v>
                </c:pt>
                <c:pt idx="3">
                  <c:v>852</c:v>
                </c:pt>
                <c:pt idx="4">
                  <c:v>891</c:v>
                </c:pt>
                <c:pt idx="5">
                  <c:v>918</c:v>
                </c:pt>
                <c:pt idx="6">
                  <c:v>953</c:v>
                </c:pt>
                <c:pt idx="7">
                  <c:v>1044</c:v>
                </c:pt>
                <c:pt idx="8">
                  <c:v>1084</c:v>
                </c:pt>
                <c:pt idx="9">
                  <c:v>1112</c:v>
                </c:pt>
                <c:pt idx="10">
                  <c:v>1140</c:v>
                </c:pt>
                <c:pt idx="11">
                  <c:v>1163</c:v>
                </c:pt>
                <c:pt idx="12">
                  <c:v>1189</c:v>
                </c:pt>
                <c:pt idx="13">
                  <c:v>1205</c:v>
                </c:pt>
                <c:pt idx="14">
                  <c:v>1232</c:v>
                </c:pt>
                <c:pt idx="15">
                  <c:v>1313</c:v>
                </c:pt>
                <c:pt idx="16">
                  <c:v>1350</c:v>
                </c:pt>
                <c:pt idx="17">
                  <c:v>1384</c:v>
                </c:pt>
                <c:pt idx="18">
                  <c:v>1419</c:v>
                </c:pt>
                <c:pt idx="19">
                  <c:v>1483</c:v>
                </c:pt>
                <c:pt idx="20">
                  <c:v>1545</c:v>
                </c:pt>
                <c:pt idx="21">
                  <c:v>1664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13C-4DCF-A6E7-5437B880B125}"/>
            </c:ext>
          </c:extLst>
        </c:ser>
        <c:ser>
          <c:idx val="6"/>
          <c:order val="3"/>
          <c:tx>
            <c:v>Backer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Anleitung'!$Q$87:$Q$108</c:f>
              <c:numCache>
                <c:formatCode>#,##0</c:formatCode>
                <c:ptCount val="22"/>
                <c:pt idx="0">
                  <c:v>0</c:v>
                </c:pt>
                <c:pt idx="1">
                  <c:v>341</c:v>
                </c:pt>
                <c:pt idx="2">
                  <c:v>404</c:v>
                </c:pt>
                <c:pt idx="3">
                  <c:v>480</c:v>
                </c:pt>
                <c:pt idx="4">
                  <c:v>520</c:v>
                </c:pt>
                <c:pt idx="5">
                  <c:v>564</c:v>
                </c:pt>
                <c:pt idx="6">
                  <c:v>652</c:v>
                </c:pt>
                <c:pt idx="7">
                  <c:v>709</c:v>
                </c:pt>
                <c:pt idx="8">
                  <c:v>792</c:v>
                </c:pt>
                <c:pt idx="9">
                  <c:v>851</c:v>
                </c:pt>
                <c:pt idx="10">
                  <c:v>893</c:v>
                </c:pt>
                <c:pt idx="11">
                  <c:v>935</c:v>
                </c:pt>
                <c:pt idx="12">
                  <c:v>976</c:v>
                </c:pt>
                <c:pt idx="13">
                  <c:v>1011</c:v>
                </c:pt>
                <c:pt idx="14">
                  <c:v>1060</c:v>
                </c:pt>
                <c:pt idx="15">
                  <c:v>1096</c:v>
                </c:pt>
                <c:pt idx="16">
                  <c:v>1134</c:v>
                </c:pt>
                <c:pt idx="17">
                  <c:v>1160</c:v>
                </c:pt>
                <c:pt idx="18">
                  <c:v>1210</c:v>
                </c:pt>
                <c:pt idx="19">
                  <c:v>1290</c:v>
                </c:pt>
                <c:pt idx="20">
                  <c:v>1421</c:v>
                </c:pt>
                <c:pt idx="21">
                  <c:v>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13C-4DCF-A6E7-5437B880B125}"/>
            </c:ext>
          </c:extLst>
        </c:ser>
        <c:ser>
          <c:idx val="9"/>
          <c:order val="4"/>
          <c:tx>
            <c:v>Backer Gunst der Göttin</c:v>
          </c:tx>
          <c:spPr>
            <a:ln w="28575" cap="rnd">
              <a:solidFill>
                <a:srgbClr val="FD23E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'Übersicht &amp; Anleitung'!$R$87:$R$108</c:f>
              <c:numCache>
                <c:formatCode>#,##0</c:formatCode>
                <c:ptCount val="22"/>
                <c:pt idx="0">
                  <c:v>0</c:v>
                </c:pt>
                <c:pt idx="1">
                  <c:v>317</c:v>
                </c:pt>
                <c:pt idx="2">
                  <c:v>417</c:v>
                </c:pt>
                <c:pt idx="3">
                  <c:v>458</c:v>
                </c:pt>
                <c:pt idx="4">
                  <c:v>486</c:v>
                </c:pt>
                <c:pt idx="5">
                  <c:v>497</c:v>
                </c:pt>
                <c:pt idx="6">
                  <c:v>508</c:v>
                </c:pt>
                <c:pt idx="7">
                  <c:v>523</c:v>
                </c:pt>
                <c:pt idx="8">
                  <c:v>539</c:v>
                </c:pt>
                <c:pt idx="9">
                  <c:v>551</c:v>
                </c:pt>
                <c:pt idx="10">
                  <c:v>565</c:v>
                </c:pt>
                <c:pt idx="11">
                  <c:v>582</c:v>
                </c:pt>
                <c:pt idx="12">
                  <c:v>598</c:v>
                </c:pt>
                <c:pt idx="13">
                  <c:v>624</c:v>
                </c:pt>
                <c:pt idx="14">
                  <c:v>650</c:v>
                </c:pt>
                <c:pt idx="15">
                  <c:v>690</c:v>
                </c:pt>
                <c:pt idx="16">
                  <c:v>729</c:v>
                </c:pt>
                <c:pt idx="17">
                  <c:v>757</c:v>
                </c:pt>
                <c:pt idx="18">
                  <c:v>781</c:v>
                </c:pt>
                <c:pt idx="19">
                  <c:v>827</c:v>
                </c:pt>
                <c:pt idx="20">
                  <c:v>863</c:v>
                </c:pt>
                <c:pt idx="2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13C-4DCF-A6E7-5437B880B125}"/>
            </c:ext>
          </c:extLst>
        </c:ser>
        <c:ser>
          <c:idx val="10"/>
          <c:order val="5"/>
          <c:tx>
            <c:v>Backer Winterwacht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Anleitung'!$S$87:$S$108</c:f>
              <c:numCache>
                <c:formatCode>#,##0</c:formatCode>
                <c:ptCount val="22"/>
                <c:pt idx="0">
                  <c:v>0</c:v>
                </c:pt>
                <c:pt idx="1">
                  <c:v>489</c:v>
                </c:pt>
                <c:pt idx="2">
                  <c:v>618</c:v>
                </c:pt>
                <c:pt idx="3">
                  <c:v>731</c:v>
                </c:pt>
                <c:pt idx="4">
                  <c:v>797</c:v>
                </c:pt>
                <c:pt idx="5">
                  <c:v>847</c:v>
                </c:pt>
                <c:pt idx="6">
                  <c:v>901</c:v>
                </c:pt>
                <c:pt idx="7">
                  <c:v>953</c:v>
                </c:pt>
                <c:pt idx="8">
                  <c:v>994</c:v>
                </c:pt>
                <c:pt idx="9">
                  <c:v>1040</c:v>
                </c:pt>
                <c:pt idx="10">
                  <c:v>1073</c:v>
                </c:pt>
                <c:pt idx="11">
                  <c:v>1104</c:v>
                </c:pt>
                <c:pt idx="12">
                  <c:v>1137</c:v>
                </c:pt>
                <c:pt idx="13">
                  <c:v>1159</c:v>
                </c:pt>
                <c:pt idx="14">
                  <c:v>1207</c:v>
                </c:pt>
                <c:pt idx="15">
                  <c:v>1257</c:v>
                </c:pt>
                <c:pt idx="16">
                  <c:v>1301</c:v>
                </c:pt>
                <c:pt idx="17">
                  <c:v>1341</c:v>
                </c:pt>
                <c:pt idx="18">
                  <c:v>1386</c:v>
                </c:pt>
                <c:pt idx="19">
                  <c:v>1454</c:v>
                </c:pt>
                <c:pt idx="20">
                  <c:v>1533</c:v>
                </c:pt>
                <c:pt idx="21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D13C-4DCF-A6E7-5437B880B125}"/>
            </c:ext>
          </c:extLst>
        </c:ser>
        <c:ser>
          <c:idx val="2"/>
          <c:order val="6"/>
          <c:tx>
            <c:v>Backer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Anleitung'!$M$87:$M$108</c:f>
              <c:numCache>
                <c:formatCode>#,##0</c:formatCode>
                <c:ptCount val="22"/>
                <c:pt idx="0">
                  <c:v>0</c:v>
                </c:pt>
                <c:pt idx="1">
                  <c:v>180</c:v>
                </c:pt>
                <c:pt idx="2">
                  <c:v>256</c:v>
                </c:pt>
                <c:pt idx="3">
                  <c:v>301</c:v>
                </c:pt>
                <c:pt idx="4">
                  <c:v>323</c:v>
                </c:pt>
                <c:pt idx="5">
                  <c:v>353</c:v>
                </c:pt>
                <c:pt idx="6">
                  <c:v>392</c:v>
                </c:pt>
                <c:pt idx="7">
                  <c:v>493</c:v>
                </c:pt>
                <c:pt idx="8">
                  <c:v>537</c:v>
                </c:pt>
                <c:pt idx="9">
                  <c:v>568</c:v>
                </c:pt>
                <c:pt idx="10">
                  <c:v>599</c:v>
                </c:pt>
                <c:pt idx="11">
                  <c:v>624</c:v>
                </c:pt>
                <c:pt idx="12">
                  <c:v>653</c:v>
                </c:pt>
                <c:pt idx="13">
                  <c:v>671</c:v>
                </c:pt>
                <c:pt idx="14">
                  <c:v>701</c:v>
                </c:pt>
                <c:pt idx="15">
                  <c:v>791</c:v>
                </c:pt>
                <c:pt idx="16">
                  <c:v>832</c:v>
                </c:pt>
                <c:pt idx="17">
                  <c:v>870</c:v>
                </c:pt>
                <c:pt idx="18">
                  <c:v>909</c:v>
                </c:pt>
                <c:pt idx="19">
                  <c:v>980</c:v>
                </c:pt>
                <c:pt idx="20">
                  <c:v>1049</c:v>
                </c:pt>
                <c:pt idx="21">
                  <c:v>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0-4B47-B039-C2E9452AA03A}"/>
            </c:ext>
          </c:extLst>
        </c:ser>
        <c:ser>
          <c:idx val="3"/>
          <c:order val="7"/>
          <c:tx>
            <c:v>Backer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Anleitung'!$L$87:$L$108</c:f>
              <c:numCache>
                <c:formatCode>#,##0</c:formatCode>
                <c:ptCount val="22"/>
                <c:pt idx="0">
                  <c:v>0</c:v>
                </c:pt>
                <c:pt idx="1">
                  <c:v>180</c:v>
                </c:pt>
                <c:pt idx="2">
                  <c:v>256</c:v>
                </c:pt>
                <c:pt idx="3">
                  <c:v>301</c:v>
                </c:pt>
                <c:pt idx="4">
                  <c:v>323</c:v>
                </c:pt>
                <c:pt idx="5">
                  <c:v>329</c:v>
                </c:pt>
                <c:pt idx="6">
                  <c:v>341</c:v>
                </c:pt>
                <c:pt idx="7">
                  <c:v>349</c:v>
                </c:pt>
                <c:pt idx="8">
                  <c:v>360</c:v>
                </c:pt>
                <c:pt idx="9">
                  <c:v>368</c:v>
                </c:pt>
                <c:pt idx="10">
                  <c:v>374</c:v>
                </c:pt>
                <c:pt idx="11">
                  <c:v>380</c:v>
                </c:pt>
                <c:pt idx="12">
                  <c:v>386</c:v>
                </c:pt>
                <c:pt idx="13">
                  <c:v>391</c:v>
                </c:pt>
                <c:pt idx="14">
                  <c:v>398</c:v>
                </c:pt>
                <c:pt idx="15">
                  <c:v>403</c:v>
                </c:pt>
                <c:pt idx="16">
                  <c:v>408</c:v>
                </c:pt>
                <c:pt idx="17">
                  <c:v>412</c:v>
                </c:pt>
                <c:pt idx="18">
                  <c:v>419</c:v>
                </c:pt>
                <c:pt idx="19">
                  <c:v>430</c:v>
                </c:pt>
                <c:pt idx="20">
                  <c:v>448</c:v>
                </c:pt>
                <c:pt idx="2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0-4B47-B039-C2E9452AA03A}"/>
            </c:ext>
          </c:extLst>
        </c:ser>
        <c:ser>
          <c:idx val="0"/>
          <c:order val="10"/>
          <c:tx>
            <c:v>Backer Aktuelle Prognose</c:v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0-4B47-B039-C2E9452AA03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0-4B47-B039-C2E9452AA03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90-4B47-B039-C2E9452AA03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90-4B47-B039-C2E9452AA03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90-4B47-B039-C2E9452AA03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90-4B47-B039-C2E9452AA03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90-4B47-B039-C2E9452AA03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90-4B47-B039-C2E9452AA03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90-4B47-B039-C2E9452AA03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090-4B47-B039-C2E9452AA03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090-4B47-B039-C2E9452AA03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090-4B47-B039-C2E9452AA03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090-4B47-B039-C2E9452AA03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090-4B47-B039-C2E9452AA03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090-4B47-B039-C2E9452AA03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090-4B47-B039-C2E9452AA03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090-4B47-B039-C2E9452AA03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090-4B47-B039-C2E9452AA03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F090-4B47-B039-C2E9452AA03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F090-4B47-B039-C2E9452AA03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F090-4B47-B039-C2E9452AA03A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F090-4B47-B039-C2E9452AA03A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090-4B47-B039-C2E9452AA03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F090-4B47-B039-C2E9452AA03A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F090-4B47-B039-C2E9452AA03A}"/>
              </c:ext>
            </c:extLst>
          </c:dPt>
          <c:cat>
            <c:numRef>
              <c:f>'Übersicht &amp; Anleitung'!$G$58:$G$79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Anleitung'!$I$87:$I$108</c:f>
              <c:numCache>
                <c:formatCode>#,##0</c:formatCode>
                <c:ptCount val="22"/>
                <c:pt idx="0">
                  <c:v>0</c:v>
                </c:pt>
                <c:pt idx="1">
                  <c:v>180</c:v>
                </c:pt>
                <c:pt idx="2">
                  <c:v>256</c:v>
                </c:pt>
                <c:pt idx="3">
                  <c:v>301</c:v>
                </c:pt>
                <c:pt idx="4">
                  <c:v>323</c:v>
                </c:pt>
                <c:pt idx="5">
                  <c:v>351</c:v>
                </c:pt>
                <c:pt idx="6">
                  <c:v>395</c:v>
                </c:pt>
                <c:pt idx="7">
                  <c:v>435</c:v>
                </c:pt>
                <c:pt idx="8">
                  <c:v>476</c:v>
                </c:pt>
                <c:pt idx="9">
                  <c:v>524</c:v>
                </c:pt>
                <c:pt idx="10">
                  <c:v>564</c:v>
                </c:pt>
                <c:pt idx="11">
                  <c:v>596</c:v>
                </c:pt>
                <c:pt idx="12">
                  <c:v>624</c:v>
                </c:pt>
                <c:pt idx="13">
                  <c:v>656</c:v>
                </c:pt>
                <c:pt idx="14">
                  <c:v>696</c:v>
                </c:pt>
                <c:pt idx="15">
                  <c:v>727</c:v>
                </c:pt>
                <c:pt idx="16">
                  <c:v>758</c:v>
                </c:pt>
                <c:pt idx="17">
                  <c:v>790</c:v>
                </c:pt>
                <c:pt idx="18">
                  <c:v>821</c:v>
                </c:pt>
                <c:pt idx="19">
                  <c:v>900</c:v>
                </c:pt>
                <c:pt idx="20">
                  <c:v>985</c:v>
                </c:pt>
                <c:pt idx="21">
                  <c:v>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090-4B47-B039-C2E9452A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v>Backer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Anleitung'!$K$87:$K$108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180</c:v>
                      </c:pt>
                      <c:pt idx="2">
                        <c:v>256</c:v>
                      </c:pt>
                      <c:pt idx="3">
                        <c:v>301</c:v>
                      </c:pt>
                      <c:pt idx="4">
                        <c:v>323</c:v>
                      </c:pt>
                      <c:pt idx="5">
                        <c:v>351</c:v>
                      </c:pt>
                      <c:pt idx="6">
                        <c:v>395</c:v>
                      </c:pt>
                      <c:pt idx="7">
                        <c:v>435</c:v>
                      </c:pt>
                      <c:pt idx="8">
                        <c:v>476</c:v>
                      </c:pt>
                      <c:pt idx="9">
                        <c:v>524</c:v>
                      </c:pt>
                      <c:pt idx="10">
                        <c:v>564</c:v>
                      </c:pt>
                      <c:pt idx="11">
                        <c:v>596</c:v>
                      </c:pt>
                      <c:pt idx="12">
                        <c:v>624</c:v>
                      </c:pt>
                      <c:pt idx="13">
                        <c:v>656</c:v>
                      </c:pt>
                      <c:pt idx="14">
                        <c:v>696</c:v>
                      </c:pt>
                      <c:pt idx="15">
                        <c:v>727</c:v>
                      </c:pt>
                      <c:pt idx="16">
                        <c:v>758</c:v>
                      </c:pt>
                      <c:pt idx="17">
                        <c:v>790</c:v>
                      </c:pt>
                      <c:pt idx="18">
                        <c:v>821</c:v>
                      </c:pt>
                      <c:pt idx="19">
                        <c:v>900</c:v>
                      </c:pt>
                      <c:pt idx="20">
                        <c:v>985</c:v>
                      </c:pt>
                      <c:pt idx="21">
                        <c:v>1136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A-F090-4B47-B039-C2E9452AA03A}"/>
                  </c:ext>
                </c:extLst>
              </c15:ser>
            </c15:filteredLineSeries>
            <c15:filteredLineSeries>
              <c15:ser>
                <c:idx val="7"/>
                <c:order val="9"/>
                <c:tx>
                  <c:v>Backer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Anleitung'!$J$87:$J$108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180</c:v>
                      </c:pt>
                      <c:pt idx="2">
                        <c:v>256</c:v>
                      </c:pt>
                      <c:pt idx="3">
                        <c:v>301</c:v>
                      </c:pt>
                      <c:pt idx="4">
                        <c:v>323</c:v>
                      </c:pt>
                      <c:pt idx="5">
                        <c:v>351</c:v>
                      </c:pt>
                      <c:pt idx="6">
                        <c:v>395</c:v>
                      </c:pt>
                      <c:pt idx="7">
                        <c:v>435</c:v>
                      </c:pt>
                      <c:pt idx="8">
                        <c:v>476</c:v>
                      </c:pt>
                      <c:pt idx="9">
                        <c:v>524</c:v>
                      </c:pt>
                      <c:pt idx="10">
                        <c:v>564</c:v>
                      </c:pt>
                      <c:pt idx="11">
                        <c:v>596</c:v>
                      </c:pt>
                      <c:pt idx="12">
                        <c:v>624</c:v>
                      </c:pt>
                      <c:pt idx="13">
                        <c:v>656</c:v>
                      </c:pt>
                      <c:pt idx="14">
                        <c:v>696</c:v>
                      </c:pt>
                      <c:pt idx="15">
                        <c:v>727</c:v>
                      </c:pt>
                      <c:pt idx="16">
                        <c:v>758</c:v>
                      </c:pt>
                      <c:pt idx="17">
                        <c:v>790</c:v>
                      </c:pt>
                      <c:pt idx="18">
                        <c:v>821</c:v>
                      </c:pt>
                      <c:pt idx="19">
                        <c:v>900</c:v>
                      </c:pt>
                      <c:pt idx="20">
                        <c:v>985</c:v>
                      </c:pt>
                      <c:pt idx="21">
                        <c:v>1136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F090-4B47-B039-C2E9452AA03A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81968135006653"/>
          <c:y val="7.5604929793808831E-3"/>
          <c:w val="0.79816851393989996"/>
          <c:h val="9.310405916176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Vergleich!$C$3:$C$27</c:f>
              <c:numCache>
                <c:formatCode>#,##0</c:formatCode>
                <c:ptCount val="25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  <c:pt idx="23" formatCode="0%">
                  <c:v>0.2688908493062796</c:v>
                </c:pt>
                <c:pt idx="24" formatCode="0%">
                  <c:v>0.52629721709840405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Vergleich!$E$3:$E$27</c:f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Vergleich!$G$3:$G$27</c:f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8"/>
          <c:order val="7"/>
          <c:tx>
            <c:strRef>
              <c:f>Vergleich!$I$2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Vergleich!$I$3:$I$27</c:f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8"/>
          <c:tx>
            <c:strRef>
              <c:f>Vergleich!$K$2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Vergleich!$K$3:$K$27</c:f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ser>
          <c:idx val="12"/>
          <c:order val="10"/>
          <c:tx>
            <c:v>SOK norm (€)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Vergleich!$M$3:$M$27</c:f>
            </c:numRef>
          </c:val>
          <c:smooth val="0"/>
          <c:extLst>
            <c:ext xmlns:c16="http://schemas.microsoft.com/office/drawing/2014/chart" uri="{C3380CC4-5D6E-409C-BE32-E72D297353CC}">
              <c16:uniqueId val="{00000001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Vergleich!$D$3:$D$27</c:f>
              <c:numCache>
                <c:formatCode>#,##0</c:formatCode>
                <c:ptCount val="25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Vergleich!$F$3:$F$27</c:f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Vergleich!$H$3:$H$27</c:f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9"/>
          <c:order val="6"/>
          <c:tx>
            <c:strRef>
              <c:f>Vergleich!$J$2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Vergleich!$J$3:$J$27</c:f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9"/>
          <c:tx>
            <c:strRef>
              <c:f>Vergleich!$L$2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Vergleich!$L$3:$L$27</c:f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ser>
          <c:idx val="13"/>
          <c:order val="11"/>
          <c:tx>
            <c:v>SOK norm (Backer)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Vergleich!$N$3:$N$27</c:f>
            </c:numRef>
          </c:val>
          <c:smooth val="0"/>
          <c:extLst>
            <c:ext xmlns:c16="http://schemas.microsoft.com/office/drawing/2014/chart" uri="{C3380CC4-5D6E-409C-BE32-E72D297353CC}">
              <c16:uniqueId val="{00000002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gameontabletop.com/cf2211/die-schwarze-katze-refurbished.html" TargetMode="External"/><Relationship Id="rId5" Type="http://schemas.openxmlformats.org/officeDocument/2006/relationships/chart" Target="../charts/chart3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79904</xdr:colOff>
      <xdr:row>113</xdr:row>
      <xdr:rowOff>152133</xdr:rowOff>
    </xdr:from>
    <xdr:to>
      <xdr:col>6</xdr:col>
      <xdr:colOff>0</xdr:colOff>
      <xdr:row>123</xdr:row>
      <xdr:rowOff>114299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07A7500-30D6-4373-9CF2-4BED0A125177}"/>
            </a:ext>
          </a:extLst>
        </xdr:cNvPr>
        <xdr:cNvSpPr txBox="1"/>
      </xdr:nvSpPr>
      <xdr:spPr>
        <a:xfrm>
          <a:off x="79904" y="19078308"/>
          <a:ext cx="11578696" cy="19719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Guide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1400" b="1" baseline="0"/>
        </a:p>
        <a:p>
          <a:r>
            <a:rPr lang="de-DE" sz="1400" b="1" baseline="0"/>
            <a:t>Danke an Kai (4 Helden und 1 Schelm) für seinen großartigen Crawler :)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Gernot</a:t>
          </a:r>
          <a:r>
            <a:rPr lang="de-DE" sz="1400" b="1" baseline="0"/>
            <a:t> </a:t>
          </a:r>
          <a:r>
            <a:rPr lang="de-DE" sz="1400" b="1"/>
            <a:t>von Hinter dem Schwarzen Auge</a:t>
          </a:r>
          <a:r>
            <a:rPr lang="de-DE" sz="1400" b="1" baseline="0"/>
            <a:t> ...der DSA-Community-Podcast / DSA-Fantalk / DSA-Nachrichten in 2W20 Minuten / etc.    </a:t>
          </a:r>
          <a:r>
            <a:rPr lang="de-DE" sz="1400" b="1"/>
            <a:t>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55</xdr:row>
      <xdr:rowOff>57150</xdr:rowOff>
    </xdr:from>
    <xdr:to>
      <xdr:col>6</xdr:col>
      <xdr:colOff>0</xdr:colOff>
      <xdr:row>84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B2D0A86-C198-4204-9484-076D79831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83</xdr:col>
      <xdr:colOff>586978</xdr:colOff>
      <xdr:row>117</xdr:row>
      <xdr:rowOff>149224</xdr:rowOff>
    </xdr:from>
    <xdr:to>
      <xdr:col>99</xdr:col>
      <xdr:colOff>152400</xdr:colOff>
      <xdr:row>160</xdr:row>
      <xdr:rowOff>40481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6703695-3122-491C-9956-F1EBCE12E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321467</xdr:colOff>
      <xdr:row>3</xdr:row>
      <xdr:rowOff>57149</xdr:rowOff>
    </xdr:from>
    <xdr:to>
      <xdr:col>5</xdr:col>
      <xdr:colOff>3400424</xdr:colOff>
      <xdr:row>16</xdr:row>
      <xdr:rowOff>9822</xdr:rowOff>
    </xdr:to>
    <xdr:pic>
      <xdr:nvPicPr>
        <xdr:cNvPr id="11" name="Grafik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8A0318-7B66-4012-91D1-6B3CBC0C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42" y="666749"/>
          <a:ext cx="3078957" cy="284827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85</xdr:row>
      <xdr:rowOff>0</xdr:rowOff>
    </xdr:from>
    <xdr:to>
      <xdr:col>6</xdr:col>
      <xdr:colOff>0</xdr:colOff>
      <xdr:row>113</xdr:row>
      <xdr:rowOff>1323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80EF14B-9001-47D9-8E66-7A2FE928A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788849</xdr:colOff>
      <xdr:row>3</xdr:row>
      <xdr:rowOff>77155</xdr:rowOff>
    </xdr:from>
    <xdr:to>
      <xdr:col>3</xdr:col>
      <xdr:colOff>5011877</xdr:colOff>
      <xdr:row>15</xdr:row>
      <xdr:rowOff>244557</xdr:rowOff>
    </xdr:to>
    <xdr:pic>
      <xdr:nvPicPr>
        <xdr:cNvPr id="13" name="Grafik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64C3DA-CD53-43EB-8099-0CC07DD2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3324" y="686755"/>
          <a:ext cx="4223028" cy="281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68791</xdr:colOff>
      <xdr:row>3</xdr:row>
      <xdr:rowOff>3396</xdr:rowOff>
    </xdr:from>
    <xdr:ext cx="320386" cy="315864"/>
    <xdr:pic>
      <xdr:nvPicPr>
        <xdr:cNvPr id="22" name="Grafik 21" descr="Loddari">
          <a:extLst>
            <a:ext uri="{FF2B5EF4-FFF2-40B4-BE49-F238E27FC236}">
              <a16:creationId xmlns:a16="http://schemas.microsoft.com/office/drawing/2014/main" id="{4E4AD2F2-0C19-4299-BB79-557A49EA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66" y="755871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2214563</xdr:colOff>
      <xdr:row>98</xdr:row>
      <xdr:rowOff>171450</xdr:rowOff>
    </xdr:from>
    <xdr:ext cx="320386" cy="315864"/>
    <xdr:pic>
      <xdr:nvPicPr>
        <xdr:cNvPr id="47" name="Grafik 46" descr="Loddari">
          <a:extLst>
            <a:ext uri="{FF2B5EF4-FFF2-40B4-BE49-F238E27FC236}">
              <a16:creationId xmlns:a16="http://schemas.microsoft.com/office/drawing/2014/main" id="{07B648B9-19E8-4DDD-A72F-4354886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538" y="20631150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259291</xdr:colOff>
      <xdr:row>3</xdr:row>
      <xdr:rowOff>3397</xdr:rowOff>
    </xdr:from>
    <xdr:ext cx="324000" cy="324000"/>
    <xdr:pic>
      <xdr:nvPicPr>
        <xdr:cNvPr id="9" name="Grafik 8" descr="Loddari">
          <a:extLst>
            <a:ext uri="{FF2B5EF4-FFF2-40B4-BE49-F238E27FC236}">
              <a16:creationId xmlns:a16="http://schemas.microsoft.com/office/drawing/2014/main" id="{A60475BE-8504-41D9-B855-A86CBCA6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9966" y="755872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457198</xdr:colOff>
      <xdr:row>2</xdr:row>
      <xdr:rowOff>390524</xdr:rowOff>
    </xdr:from>
    <xdr:to>
      <xdr:col>14</xdr:col>
      <xdr:colOff>781198</xdr:colOff>
      <xdr:row>3</xdr:row>
      <xdr:rowOff>323999</xdr:rowOff>
    </xdr:to>
    <xdr:pic>
      <xdr:nvPicPr>
        <xdr:cNvPr id="2" name="Grafik 1" descr="campaign image 7">
          <a:extLst>
            <a:ext uri="{FF2B5EF4-FFF2-40B4-BE49-F238E27FC236}">
              <a16:creationId xmlns:a16="http://schemas.microsoft.com/office/drawing/2014/main" id="{AF35A838-D4AE-47E4-9D4E-7CF0F0FB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92573" y="752474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247650</xdr:colOff>
      <xdr:row>3</xdr:row>
      <xdr:rowOff>0</xdr:rowOff>
    </xdr:from>
    <xdr:ext cx="324000" cy="324000"/>
    <xdr:pic>
      <xdr:nvPicPr>
        <xdr:cNvPr id="3" name="Grafik 2" descr="Loddari">
          <a:extLst>
            <a:ext uri="{FF2B5EF4-FFF2-40B4-BE49-F238E27FC236}">
              <a16:creationId xmlns:a16="http://schemas.microsoft.com/office/drawing/2014/main" id="{397FE95D-682B-444B-9F08-379258C2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752475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59266</xdr:colOff>
      <xdr:row>3</xdr:row>
      <xdr:rowOff>3396</xdr:rowOff>
    </xdr:from>
    <xdr:ext cx="320386" cy="315864"/>
    <xdr:pic>
      <xdr:nvPicPr>
        <xdr:cNvPr id="4" name="Grafik 3" descr="Loddari">
          <a:extLst>
            <a:ext uri="{FF2B5EF4-FFF2-40B4-BE49-F238E27FC236}">
              <a16:creationId xmlns:a16="http://schemas.microsoft.com/office/drawing/2014/main" id="{D22445F1-BA19-44EE-9E90-A19A31A7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5966" y="755871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15</xdr:col>
      <xdr:colOff>447673</xdr:colOff>
      <xdr:row>2</xdr:row>
      <xdr:rowOff>390524</xdr:rowOff>
    </xdr:from>
    <xdr:to>
      <xdr:col>15</xdr:col>
      <xdr:colOff>771673</xdr:colOff>
      <xdr:row>3</xdr:row>
      <xdr:rowOff>323999</xdr:rowOff>
    </xdr:to>
    <xdr:pic>
      <xdr:nvPicPr>
        <xdr:cNvPr id="5" name="Grafik 4" descr="campaign image 7">
          <a:extLst>
            <a:ext uri="{FF2B5EF4-FFF2-40B4-BE49-F238E27FC236}">
              <a16:creationId xmlns:a16="http://schemas.microsoft.com/office/drawing/2014/main" id="{74E427D9-6399-436F-B164-81829D28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3" y="752474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2190750</xdr:colOff>
      <xdr:row>9</xdr:row>
      <xdr:rowOff>180975</xdr:rowOff>
    </xdr:from>
    <xdr:to>
      <xdr:col>2</xdr:col>
      <xdr:colOff>2514750</xdr:colOff>
      <xdr:row>11</xdr:row>
      <xdr:rowOff>47775</xdr:rowOff>
    </xdr:to>
    <xdr:pic>
      <xdr:nvPicPr>
        <xdr:cNvPr id="6" name="Grafik 5" descr="campaign image 7">
          <a:extLst>
            <a:ext uri="{FF2B5EF4-FFF2-40B4-BE49-F238E27FC236}">
              <a16:creationId xmlns:a16="http://schemas.microsoft.com/office/drawing/2014/main" id="{A9F63BC0-4EF4-4E92-A175-247AEF4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981325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35</xdr:row>
      <xdr:rowOff>33336</xdr:rowOff>
    </xdr:from>
    <xdr:to>
      <xdr:col>19</xdr:col>
      <xdr:colOff>714374</xdr:colOff>
      <xdr:row>60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8C96C-0DD2-4C9B-A41A-27CE2A14BCAE}" name="Tabelle24" displayName="Tabelle24" ref="AH3:AK24" totalsRowShown="0" headerRowDxfId="56" dataDxfId="55" tableBorderDxfId="54">
  <autoFilter ref="AH3:AK24" xr:uid="{7E5D117A-5BCD-41C7-9378-1146F36C69B4}"/>
  <sortState xmlns:xlrd2="http://schemas.microsoft.com/office/spreadsheetml/2017/richdata2" ref="AH4:AK24">
    <sortCondition descending="1" ref="AI3:AI24"/>
  </sortState>
  <tableColumns count="4">
    <tableColumn id="1" xr3:uid="{4EFEC5B8-0ADA-41C3-A6A5-BE5BF3794F91}" name="Tag" dataDxfId="53"/>
    <tableColumn id="2" xr3:uid="{B346A844-85E3-4729-8E45-6E86A502164F}" name="€" dataDxfId="52">
      <calculatedColumnFormula>VLOOKUP(AH4,$Y$59:$AI$79,11,FALSE)</calculatedColumnFormula>
    </tableColumn>
    <tableColumn id="5" xr3:uid="{BFCBC06F-0657-4D18-A8CA-BD9389A4934E}" name="Backer" dataDxfId="51">
      <calculatedColumnFormula>VLOOKUP(AH4,$Y$59:$AH$79,10,FALSE)</calculatedColumnFormula>
    </tableColumn>
    <tableColumn id="3" xr3:uid="{6BAC2503-C3A5-4652-A49E-1500DE882AED}" name="€/Backer" dataDxfId="50">
      <calculatedColumnFormula>IFERROR(Tabelle24[[#This Row],[€]]/Tabelle24[[#This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R24" totalsRowShown="0" headerRowDxfId="49">
  <autoFilter ref="B2:AR24" xr:uid="{27422959-90AD-4338-8C23-E3B9F7316881}"/>
  <tableColumns count="43">
    <tableColumn id="1" xr3:uid="{F20F49F8-6EB7-43C1-9922-F620A023E7F0}" name="Tag"/>
    <tableColumn id="2" xr3:uid="{6971CB83-29C8-475B-A31E-D387F03E1C07}" name="Nedime (€)" dataDxfId="48"/>
    <tableColumn id="3" xr3:uid="{F664882F-3BD9-41DE-A643-1C890FC1B073}" name="Nedime (Backer)" dataDxfId="47"/>
    <tableColumn id="4" xr3:uid="{6F8F036B-D5DC-4216-84F0-2BEBB08CBACA}" name="Thorwal norm (€)" dataDxfId="46"/>
    <tableColumn id="5" xr3:uid="{FD2FB521-94BA-46E4-A5EA-A7CEFF140F9A}" name="Thorwal norm (Backer)" dataDxfId="45"/>
    <tableColumn id="6" xr3:uid="{25BEFAD5-BE69-4A80-ABD3-5577E99AE16C}" name="Werkzeuge norm (€)" dataDxfId="44"/>
    <tableColumn id="7" xr3:uid="{AF4584B6-52C3-49C8-9E39-F43C0B8FEB14}" name="Werkzeuge norm (Backer)" dataDxfId="43"/>
    <tableColumn id="28" xr3:uid="{48AFB569-0998-4E2C-8C85-86F96730174E}" name="DSK norm (€)" dataDxfId="42"/>
    <tableColumn id="27" xr3:uid="{E47209D4-64AB-4094-A811-0DF73184FDC3}" name="DSK norm (Backer)" dataDxfId="41"/>
    <tableColumn id="30" xr3:uid="{1CA79BBE-302A-4822-AE79-917DFA78E074}" name="Mythen norm (€)" dataDxfId="40"/>
    <tableColumn id="31" xr3:uid="{6670A725-1507-4497-9A0C-43A65D0B6954}" name="Mythen norm (Backer)" dataDxfId="39"/>
    <tableColumn id="36" xr3:uid="{2953A814-9630-4F7F-9B69-5E63A7325641}" name="SOK norm (€)" dataDxfId="38"/>
    <tableColumn id="37" xr3:uid="{3770DD86-5295-4580-8942-09F337054C13}" name="SOK norm (Backer)" dataDxfId="37"/>
    <tableColumn id="44" xr3:uid="{3FFD3AC6-35A1-43A0-92E2-C690165FBD76}" name="Mythos (€)" dataDxfId="36"/>
    <tableColumn id="45" xr3:uid="{B6224B9A-94AB-4A48-A730-6D8A42666570}" name="Mythos (Backer)" dataDxfId="35"/>
    <tableColumn id="8" xr3:uid="{2114D7A1-DEA0-40EE-9B8B-0A668EFEB97B}" name="Thorwal (€)" dataDxfId="34"/>
    <tableColumn id="9" xr3:uid="{9A9EB59B-6CA6-4F08-B68D-0962E0D83338}" name="Thorwal (Backer)" dataDxfId="33"/>
    <tableColumn id="10" xr3:uid="{DF5363C3-935A-49F1-B72D-9DF733CE4302}" name="Werkzeuge (€)" dataDxfId="32"/>
    <tableColumn id="11" xr3:uid="{4CFD1B7C-52BE-49FD-B7F5-1D7A36D73889}" name="Werkzeuge (Backer)" dataDxfId="31"/>
    <tableColumn id="26" xr3:uid="{F4AEE733-FE50-4D43-B8B6-2CFA99AA7EE6}" name="DSK Fasar (€)" dataDxfId="30"/>
    <tableColumn id="29" xr3:uid="{519C5630-D167-4EFA-B84F-F9BC19E907B3}" name="DSK Fasar (Backer)" dataDxfId="29"/>
    <tableColumn id="20" xr3:uid="{C33B8766-778A-4CBA-B6CD-11F696D9BF3F}" name="Mythen (€)" dataDxfId="28"/>
    <tableColumn id="21" xr3:uid="{7FE9A82A-5A08-46A8-A0C2-586311B74BB6}" name="Mythen (Backer)" dataDxfId="27"/>
    <tableColumn id="34" xr3:uid="{ECB31B1D-5FD5-4EF9-871C-99A9FFBB4E6B}" name="SOK (€)" dataDxfId="26"/>
    <tableColumn id="35" xr3:uid="{1E34A881-32F6-48DB-8A12-F2F7F315C3B2}" name="SOK (Backer)" dataDxfId="25"/>
    <tableColumn id="32" xr3:uid="{E4B16DC1-4EE4-4038-B4B5-B981FD62F8EA}" name="RE (€)" dataDxfId="24"/>
    <tableColumn id="33" xr3:uid="{8EB42BB1-C038-48A6-A211-78A44E799A6C}" name="RE (Backer)" dataDxfId="23"/>
    <tableColumn id="40" xr3:uid="{B2000EDA-3E67-45D5-8ABE-A7E4CD713D4F}" name="DGG (€)" dataDxfId="22"/>
    <tableColumn id="41" xr3:uid="{545AC5E2-E4BD-4C28-A762-E9269E553E97}" name="DGG (Backer)" dataDxfId="21"/>
    <tableColumn id="42" xr3:uid="{D96E1501-FE3A-4B42-9A72-261BAD1904BA}" name="DSK SV (€)" dataDxfId="20"/>
    <tableColumn id="43" xr3:uid="{1BAF0051-85B5-4740-AFB6-EC165E373FD8}" name="DSK SV (Backer)" dataDxfId="19"/>
    <tableColumn id="18" xr3:uid="{B115F17F-0C3A-4787-8FAF-58A699789E37}" name="WW (€)" dataDxfId="18"/>
    <tableColumn id="19" xr3:uid="{11D07988-6567-452C-B145-7D8ECCC114D6}" name="WW (Backer)" dataDxfId="17"/>
    <tableColumn id="22" xr3:uid="{A4423EDA-72CD-40A4-8CEB-84584B2848A9}" name="DSK R (€)" dataDxfId="16"/>
    <tableColumn id="23" xr3:uid="{9FA4C8B1-E398-4CB3-AC74-77828F3D4343}" name="DSK R (Backer)" dataDxfId="15"/>
    <tableColumn id="38" xr3:uid="{1AF87199-875A-4AB9-9AC0-88E8D7A82669}" name="Ära (€)" dataDxfId="14"/>
    <tableColumn id="39" xr3:uid="{1B706C0D-84D1-42A8-B0AB-701DEC761DD3}" name="Ära (Backer)" dataDxfId="13"/>
    <tableColumn id="12" xr3:uid="{CE532E56-7537-4234-994D-EF5975A2D3B8}" name="Aventuria (€) %" dataDxfId="12">
      <calculatedColumnFormula>Tabelle3[[#This Row],[Nedime (€)]]/C$24</calculatedColumnFormula>
    </tableColumn>
    <tableColumn id="13" xr3:uid="{6E91BB61-A019-4B20-A7F5-D01EA616EE80}" name="Aventuria (Backer) %" dataDxfId="11">
      <calculatedColumnFormula>Tabelle3[[#This Row],[Nedime (Backer)]]/D$24</calculatedColumnFormula>
    </tableColumn>
    <tableColumn id="14" xr3:uid="{FBF481DA-2BF3-4C7F-8B01-5CB18A4093B2}" name="Thorwal (€) %" dataDxfId="10">
      <calculatedColumnFormula>Tabelle3[[#This Row],[Thorwal (€)]]/Q$24</calculatedColumnFormula>
    </tableColumn>
    <tableColumn id="15" xr3:uid="{B21023AA-7241-4A20-9F45-D78A9ACC5244}" name="Thorwal (Backer) %" dataDxfId="9">
      <calculatedColumnFormula>Tabelle3[[#This Row],[Thorwal (Backer)]]/R$24</calculatedColumnFormula>
    </tableColumn>
    <tableColumn id="16" xr3:uid="{DC7AD9E1-E99C-4261-9C20-A1E356A99AC0}" name="Werkzeuge (€) %" dataDxfId="8">
      <calculatedColumnFormula>Tabelle3[[#This Row],[Werkzeuge (€)]]/S$24</calculatedColumnFormula>
    </tableColumn>
    <tableColumn id="17" xr3:uid="{BB027685-5D11-4F55-81EA-63B2D41CE363}" name="Werkzeuge (Backer) %" dataDxfId="7">
      <calculatedColumnFormula>Tabelle3[[#This Row],[Werkzeuge (Backer)]]/T$24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hinter-dem-schwarzen-auge.de/support" TargetMode="External"/><Relationship Id="rId1" Type="http://schemas.openxmlformats.org/officeDocument/2006/relationships/hyperlink" Target="https://www.gameontabletop.com/cf2571/das-schwarze-auge-ara-des-goldenen-kaisers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3AF5-52E3-4D7D-8AFC-995B3E896D26}">
  <sheetPr codeName="Tabelle2">
    <tabColor rgb="FF00B0F0"/>
    <pageSetUpPr fitToPage="1"/>
  </sheetPr>
  <dimension ref="A1:DU173"/>
  <sheetViews>
    <sheetView showGridLines="0" tabSelected="1" zoomScaleNormal="100" workbookViewId="0">
      <pane ySplit="1" topLeftCell="A2" activePane="bottomLeft" state="frozen"/>
      <selection pane="bottomLeft" activeCell="B1" sqref="B1:F1"/>
    </sheetView>
  </sheetViews>
  <sheetFormatPr baseColWidth="10" defaultRowHeight="15" outlineLevelRow="1" outlineLevelCol="2" x14ac:dyDescent="0.3"/>
  <cols>
    <col min="1" max="1" width="1.28515625" style="144" customWidth="1"/>
    <col min="2" max="2" width="18.5703125" style="133" customWidth="1"/>
    <col min="3" max="3" width="2.85546875" style="134" customWidth="1"/>
    <col min="4" max="4" width="87.140625" style="79" customWidth="1"/>
    <col min="5" max="5" width="8.85546875" style="134" bestFit="1" customWidth="1"/>
    <col min="6" max="6" width="56.140625" style="134" customWidth="1"/>
    <col min="7" max="7" width="8.140625" style="134" customWidth="1"/>
    <col min="8" max="13" width="13" style="134" customWidth="1"/>
    <col min="14" max="19" width="13" style="135" customWidth="1"/>
    <col min="20" max="20" width="4.140625" style="39" customWidth="1" outlineLevel="1"/>
    <col min="21" max="23" width="13" style="426" hidden="1" customWidth="1" outlineLevel="2"/>
    <col min="24" max="24" width="3.140625" style="426" hidden="1" customWidth="1" outlineLevel="2"/>
    <col min="25" max="25" width="11.42578125" style="39" customWidth="1" outlineLevel="1" collapsed="1"/>
    <col min="26" max="28" width="11.42578125" style="39" customWidth="1" outlineLevel="1"/>
    <col min="29" max="29" width="13.140625" style="39" customWidth="1" outlineLevel="1"/>
    <col min="30" max="30" width="7.28515625" style="39" customWidth="1" outlineLevel="1"/>
    <col min="31" max="31" width="9.28515625" style="39" customWidth="1" outlineLevel="2"/>
    <col min="32" max="32" width="12.5703125" style="39" customWidth="1" outlineLevel="1"/>
    <col min="33" max="35" width="11.42578125" style="39" customWidth="1" outlineLevel="1"/>
    <col min="36" max="36" width="11.42578125" style="40" customWidth="1" outlineLevel="1"/>
    <col min="37" max="38" width="11.42578125" style="39" customWidth="1" outlineLevel="1"/>
    <col min="39" max="39" width="11.42578125" style="196" customWidth="1" outlineLevel="1"/>
    <col min="40" max="40" width="11.42578125" style="61" customWidth="1" outlineLevel="1"/>
    <col min="41" max="41" width="11.42578125" style="196" customWidth="1" outlineLevel="1"/>
    <col min="42" max="42" width="11.42578125" style="61" customWidth="1" outlineLevel="1"/>
    <col min="43" max="43" width="14" style="39" customWidth="1" outlineLevel="1"/>
    <col min="44" max="46" width="11.42578125" style="52" customWidth="1" outlineLevel="1"/>
    <col min="47" max="47" width="11.42578125" style="39" customWidth="1" outlineLevel="1"/>
    <col min="48" max="50" width="11.42578125" style="52" customWidth="1" outlineLevel="1"/>
    <col min="51" max="62" width="11.42578125" style="39" customWidth="1" outlineLevel="1"/>
    <col min="63" max="63" width="11.42578125" style="308" customWidth="1" outlineLevel="1"/>
    <col min="64" max="65" width="11.42578125" style="39" customWidth="1" outlineLevel="1"/>
    <col min="66" max="66" width="11.42578125" style="308" customWidth="1" outlineLevel="1"/>
    <col min="67" max="70" width="11.42578125" style="39" customWidth="1" outlineLevel="1"/>
    <col min="71" max="71" width="11.42578125" style="308" customWidth="1" outlineLevel="1"/>
    <col min="72" max="73" width="11.42578125" style="39" customWidth="1" outlineLevel="1"/>
    <col min="74" max="74" width="11.42578125" style="308" customWidth="1" outlineLevel="1"/>
    <col min="75" max="86" width="11.42578125" style="39" customWidth="1" outlineLevel="1"/>
    <col min="87" max="88" width="11.42578125" style="40" customWidth="1" outlineLevel="1"/>
    <col min="89" max="90" width="11.42578125" style="39" customWidth="1" outlineLevel="1"/>
    <col min="91" max="93" width="11.42578125" style="40" customWidth="1" outlineLevel="1"/>
    <col min="94" max="95" width="11.42578125" style="39" customWidth="1" outlineLevel="1"/>
    <col min="96" max="97" width="11.42578125" style="40" customWidth="1" outlineLevel="1"/>
    <col min="98" max="98" width="11.28515625" style="39" customWidth="1" outlineLevel="1"/>
    <col min="99" max="100" width="11.42578125" style="39" customWidth="1" outlineLevel="1"/>
    <col min="101" max="102" width="11.42578125" style="40" customWidth="1" outlineLevel="1"/>
    <col min="103" max="121" width="11.42578125" style="144"/>
    <col min="122" max="16384" width="11.42578125" style="79"/>
  </cols>
  <sheetData>
    <row r="1" spans="1:121" s="144" customFormat="1" ht="24.75" thickBot="1" x14ac:dyDescent="0.35">
      <c r="B1" s="504" t="s">
        <v>403</v>
      </c>
      <c r="C1" s="505"/>
      <c r="D1" s="505"/>
      <c r="E1" s="505"/>
      <c r="F1" s="506"/>
      <c r="G1" s="161"/>
      <c r="H1" s="161"/>
      <c r="I1" s="161"/>
      <c r="J1" s="161"/>
      <c r="K1" s="161"/>
      <c r="L1" s="159"/>
      <c r="M1" s="161"/>
      <c r="N1" s="161"/>
      <c r="O1" s="161"/>
      <c r="P1" s="161"/>
      <c r="Q1" s="161"/>
      <c r="R1" s="161"/>
      <c r="S1" s="161"/>
      <c r="T1" s="358" t="s">
        <v>251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235"/>
      <c r="AN1" s="70"/>
      <c r="AO1" s="235"/>
      <c r="AP1" s="70"/>
      <c r="AQ1" s="70"/>
      <c r="AR1" s="70"/>
      <c r="AS1" s="70"/>
      <c r="AT1" s="52"/>
      <c r="AU1" s="39"/>
      <c r="AV1" s="52"/>
      <c r="AW1" s="52"/>
      <c r="AX1" s="52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08"/>
      <c r="BL1" s="39"/>
      <c r="BM1" s="39"/>
      <c r="BN1" s="308"/>
      <c r="BO1" s="39"/>
      <c r="BP1" s="39"/>
      <c r="BQ1" s="39"/>
      <c r="BR1" s="39"/>
      <c r="BS1" s="308"/>
      <c r="BT1" s="39"/>
      <c r="BU1" s="39"/>
      <c r="BV1" s="308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40"/>
      <c r="CJ1" s="40"/>
      <c r="CK1" s="39"/>
      <c r="CL1" s="39"/>
      <c r="CM1" s="40"/>
      <c r="CN1" s="40"/>
      <c r="CO1" s="40"/>
      <c r="CP1" s="39"/>
      <c r="CQ1" s="39"/>
      <c r="CR1" s="40"/>
      <c r="CS1" s="40"/>
      <c r="CT1" s="39"/>
      <c r="CU1" s="39"/>
      <c r="CV1" s="39"/>
      <c r="CW1" s="40"/>
      <c r="CX1" s="40"/>
    </row>
    <row r="2" spans="1:121" s="2" customFormat="1" ht="4.5" customHeight="1" x14ac:dyDescent="0.3">
      <c r="A2" s="150"/>
      <c r="B2" s="144"/>
      <c r="C2" s="161"/>
      <c r="D2" s="144"/>
      <c r="E2" s="161"/>
      <c r="F2" s="161"/>
      <c r="G2" s="161"/>
      <c r="H2" s="161"/>
      <c r="I2" s="161"/>
      <c r="J2" s="161"/>
      <c r="K2" s="161"/>
      <c r="L2" s="159"/>
      <c r="M2" s="161"/>
      <c r="N2" s="161"/>
      <c r="O2" s="161"/>
      <c r="P2" s="161"/>
      <c r="Q2" s="161"/>
      <c r="R2" s="161"/>
      <c r="S2" s="161"/>
      <c r="T2" s="39"/>
      <c r="U2" s="39"/>
      <c r="V2" s="39"/>
      <c r="W2" s="39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</row>
    <row r="3" spans="1:121" s="2" customFormat="1" ht="19.5" thickBot="1" x14ac:dyDescent="0.35">
      <c r="A3" s="150"/>
      <c r="B3" s="144"/>
      <c r="C3" s="161"/>
      <c r="D3" s="320" t="s">
        <v>248</v>
      </c>
      <c r="E3" s="161"/>
      <c r="F3" s="325" t="s">
        <v>191</v>
      </c>
      <c r="G3" s="161"/>
      <c r="H3" s="325"/>
      <c r="I3" s="325"/>
      <c r="J3" s="325"/>
      <c r="K3" s="325"/>
      <c r="L3" s="325"/>
      <c r="M3" s="325"/>
      <c r="N3" s="161"/>
      <c r="O3" s="161"/>
      <c r="P3" s="161"/>
      <c r="Q3" s="161"/>
      <c r="R3" s="161"/>
      <c r="S3" s="161"/>
      <c r="T3" s="39"/>
      <c r="U3" s="39"/>
      <c r="V3" s="39"/>
      <c r="W3" s="39"/>
      <c r="X3" s="87"/>
      <c r="Y3" s="87"/>
      <c r="Z3" s="87"/>
      <c r="AA3" s="87"/>
      <c r="AB3" s="87"/>
      <c r="AC3" s="87"/>
      <c r="AD3" s="87"/>
      <c r="AE3" s="87"/>
      <c r="AF3" s="87"/>
      <c r="AG3" s="39"/>
      <c r="AH3" s="346" t="s">
        <v>32</v>
      </c>
      <c r="AI3" s="312" t="s">
        <v>17</v>
      </c>
      <c r="AJ3" s="312" t="s">
        <v>16</v>
      </c>
      <c r="AK3" s="347" t="s">
        <v>42</v>
      </c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</row>
    <row r="4" spans="1:121" s="2" customFormat="1" ht="15" customHeight="1" thickBot="1" x14ac:dyDescent="0.35">
      <c r="A4" s="150"/>
      <c r="B4" s="144"/>
      <c r="C4" s="161"/>
      <c r="D4" s="144"/>
      <c r="E4" s="161"/>
      <c r="F4" s="161"/>
      <c r="G4" s="161"/>
      <c r="H4" s="161"/>
      <c r="I4" s="161"/>
      <c r="J4" s="161"/>
      <c r="K4" s="161"/>
      <c r="L4" s="161"/>
      <c r="M4" s="161"/>
      <c r="N4" s="144"/>
      <c r="O4" s="144"/>
      <c r="P4" s="144"/>
      <c r="Q4" s="144"/>
      <c r="R4" s="144"/>
      <c r="S4" s="144"/>
      <c r="T4" s="39"/>
      <c r="U4" s="39"/>
      <c r="V4" s="39"/>
      <c r="W4" s="39"/>
      <c r="X4" s="87"/>
      <c r="Y4" s="336" t="s">
        <v>32</v>
      </c>
      <c r="Z4" s="329">
        <v>21</v>
      </c>
      <c r="AA4" s="87"/>
      <c r="AB4" s="87"/>
      <c r="AC4" s="87"/>
      <c r="AD4" s="87"/>
      <c r="AE4" s="87"/>
      <c r="AF4" s="87"/>
      <c r="AG4" s="108" t="s">
        <v>20</v>
      </c>
      <c r="AH4" s="348">
        <v>1</v>
      </c>
      <c r="AI4" s="57">
        <f t="shared" ref="AI4:AI24" si="0">VLOOKUP(AH4,$Y$59:$AI$79,11,FALSE)</f>
        <v>39596</v>
      </c>
      <c r="AJ4" s="57">
        <f t="shared" ref="AJ4:AJ24" si="1">VLOOKUP(AH4,$Y$59:$AH$79,10,FALSE)</f>
        <v>180</v>
      </c>
      <c r="AK4" s="349">
        <f>IFERROR(Tabelle24[[#This Row],[€]]/Tabelle24[[#This Row],[Backer]],"")</f>
        <v>219.97777777777779</v>
      </c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</row>
    <row r="5" spans="1:121" s="2" customFormat="1" ht="15" customHeight="1" x14ac:dyDescent="0.3">
      <c r="A5" s="150"/>
      <c r="B5" s="516" t="s">
        <v>247</v>
      </c>
      <c r="C5" s="322"/>
      <c r="D5" s="317"/>
      <c r="E5" s="322"/>
      <c r="F5" s="317"/>
      <c r="G5" s="161"/>
      <c r="H5" s="528" t="s">
        <v>255</v>
      </c>
      <c r="I5" s="529"/>
      <c r="J5" s="529"/>
      <c r="K5" s="529"/>
      <c r="L5" s="529"/>
      <c r="M5" s="529"/>
      <c r="N5" s="529"/>
      <c r="O5" s="530"/>
      <c r="P5" s="144"/>
      <c r="Q5" s="144"/>
      <c r="R5" s="144"/>
      <c r="S5" s="144"/>
      <c r="T5" s="39"/>
      <c r="U5" s="39"/>
      <c r="V5" s="39"/>
      <c r="W5" s="39"/>
      <c r="X5" s="39"/>
      <c r="Y5" s="337" t="s">
        <v>15</v>
      </c>
      <c r="Z5" s="330">
        <v>45273</v>
      </c>
      <c r="AA5" s="39"/>
      <c r="AB5" s="39"/>
      <c r="AC5" s="39"/>
      <c r="AD5" s="39"/>
      <c r="AE5" s="39"/>
      <c r="AF5" s="39"/>
      <c r="AG5" s="127" t="s">
        <v>21</v>
      </c>
      <c r="AH5" s="348">
        <v>21</v>
      </c>
      <c r="AI5" s="57">
        <f t="shared" si="0"/>
        <v>34960</v>
      </c>
      <c r="AJ5" s="57">
        <f t="shared" si="1"/>
        <v>151</v>
      </c>
      <c r="AK5" s="349">
        <f>IFERROR(Tabelle24[[#This Row],[€]]/Tabelle24[[#This Row],[Backer]],"")</f>
        <v>231.52317880794703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</row>
    <row r="6" spans="1:121" s="2" customFormat="1" ht="15" customHeight="1" thickBot="1" x14ac:dyDescent="0.3">
      <c r="A6" s="150"/>
      <c r="B6" s="517"/>
      <c r="C6" s="161"/>
      <c r="D6" s="144"/>
      <c r="E6" s="161"/>
      <c r="F6" s="161"/>
      <c r="G6" s="161"/>
      <c r="H6" s="531"/>
      <c r="I6" s="532"/>
      <c r="J6" s="532"/>
      <c r="K6" s="532"/>
      <c r="L6" s="532"/>
      <c r="M6" s="532"/>
      <c r="N6" s="532"/>
      <c r="O6" s="533"/>
      <c r="P6" s="144"/>
      <c r="Q6" s="144"/>
      <c r="R6" s="144"/>
      <c r="S6" s="144"/>
      <c r="T6" s="39"/>
      <c r="U6" s="39"/>
      <c r="V6" s="39"/>
      <c r="W6" s="39"/>
      <c r="X6" s="39"/>
      <c r="Y6" s="337" t="s">
        <v>35</v>
      </c>
      <c r="Z6" s="331" t="s">
        <v>449</v>
      </c>
      <c r="AA6" s="39"/>
      <c r="AB6" s="39"/>
      <c r="AC6" s="39"/>
      <c r="AD6" s="39"/>
      <c r="AE6" s="39"/>
      <c r="AF6" s="39"/>
      <c r="AG6" s="108" t="s">
        <v>23</v>
      </c>
      <c r="AH6" s="348">
        <v>19</v>
      </c>
      <c r="AI6" s="57">
        <f t="shared" si="0"/>
        <v>17327</v>
      </c>
      <c r="AJ6" s="57">
        <f t="shared" si="1"/>
        <v>79</v>
      </c>
      <c r="AK6" s="349">
        <f>IFERROR(Tabelle24[[#This Row],[€]]/Tabelle24[[#This Row],[Backer]],"")</f>
        <v>219.32911392405063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</row>
    <row r="7" spans="1:121" s="2" customFormat="1" ht="18.75" customHeight="1" thickBot="1" x14ac:dyDescent="0.3">
      <c r="A7" s="150"/>
      <c r="B7" s="517"/>
      <c r="C7" s="161"/>
      <c r="D7" s="144"/>
      <c r="E7" s="161"/>
      <c r="F7" s="161"/>
      <c r="G7" s="161"/>
      <c r="H7" s="531"/>
      <c r="I7" s="532"/>
      <c r="J7" s="532"/>
      <c r="K7" s="532"/>
      <c r="L7" s="532"/>
      <c r="M7" s="532"/>
      <c r="N7" s="532"/>
      <c r="O7" s="533"/>
      <c r="P7" s="144"/>
      <c r="Q7" s="144"/>
      <c r="R7" s="144"/>
      <c r="S7" s="144"/>
      <c r="T7" s="39"/>
      <c r="U7" s="39"/>
      <c r="V7" s="39"/>
      <c r="W7" s="39"/>
      <c r="X7" s="39"/>
      <c r="Y7" s="337" t="s">
        <v>18</v>
      </c>
      <c r="Z7" s="335">
        <v>21</v>
      </c>
      <c r="AA7" s="39"/>
      <c r="AB7" s="39"/>
      <c r="AC7" s="39"/>
      <c r="AD7" s="39"/>
      <c r="AE7" s="39"/>
      <c r="AF7" s="39"/>
      <c r="AG7" s="127" t="s">
        <v>84</v>
      </c>
      <c r="AH7" s="348">
        <v>20</v>
      </c>
      <c r="AI7" s="57">
        <f t="shared" si="0"/>
        <v>16698</v>
      </c>
      <c r="AJ7" s="57">
        <f t="shared" si="1"/>
        <v>85</v>
      </c>
      <c r="AK7" s="349">
        <f>IFERROR(Tabelle24[[#This Row],[€]]/Tabelle24[[#This Row],[Backer]],"")</f>
        <v>196.4470588235294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</row>
    <row r="8" spans="1:121" s="2" customFormat="1" ht="18.75" customHeight="1" x14ac:dyDescent="0.25">
      <c r="A8" s="150"/>
      <c r="B8" s="517"/>
      <c r="C8" s="161"/>
      <c r="D8" s="144"/>
      <c r="E8" s="161"/>
      <c r="F8" s="161"/>
      <c r="G8" s="161"/>
      <c r="H8" s="531"/>
      <c r="I8" s="532"/>
      <c r="J8" s="532"/>
      <c r="K8" s="532"/>
      <c r="L8" s="532"/>
      <c r="M8" s="532"/>
      <c r="N8" s="532"/>
      <c r="O8" s="533"/>
      <c r="P8" s="144"/>
      <c r="Q8" s="144"/>
      <c r="R8" s="144"/>
      <c r="S8" s="144"/>
      <c r="T8" s="39"/>
      <c r="U8" s="39"/>
      <c r="V8" s="39"/>
      <c r="W8" s="39"/>
      <c r="X8" s="39"/>
      <c r="Y8" s="337" t="s">
        <v>17</v>
      </c>
      <c r="Z8" s="56">
        <v>249219</v>
      </c>
      <c r="AA8" s="39"/>
      <c r="AB8" s="39"/>
      <c r="AC8" s="39"/>
      <c r="AD8" s="39"/>
      <c r="AE8" s="39"/>
      <c r="AF8" s="39"/>
      <c r="AG8" s="108" t="s">
        <v>22</v>
      </c>
      <c r="AH8" s="348">
        <v>2</v>
      </c>
      <c r="AI8" s="57">
        <f t="shared" si="0"/>
        <v>16027</v>
      </c>
      <c r="AJ8" s="57">
        <f t="shared" si="1"/>
        <v>76</v>
      </c>
      <c r="AK8" s="349">
        <f>IFERROR(Tabelle24[[#This Row],[€]]/Tabelle24[[#This Row],[Backer]],"")</f>
        <v>210.88157894736841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</row>
    <row r="9" spans="1:121" s="2" customFormat="1" ht="15" customHeight="1" thickBot="1" x14ac:dyDescent="0.3">
      <c r="A9" s="150"/>
      <c r="B9" s="517"/>
      <c r="C9" s="161"/>
      <c r="D9" s="144"/>
      <c r="E9" s="161"/>
      <c r="F9" s="161"/>
      <c r="G9" s="161"/>
      <c r="H9" s="531"/>
      <c r="I9" s="532"/>
      <c r="J9" s="532"/>
      <c r="K9" s="532"/>
      <c r="L9" s="532"/>
      <c r="M9" s="532"/>
      <c r="N9" s="532"/>
      <c r="O9" s="533"/>
      <c r="P9" s="144"/>
      <c r="Q9" s="144"/>
      <c r="R9" s="144"/>
      <c r="S9" s="144"/>
      <c r="T9" s="39"/>
      <c r="U9" s="39"/>
      <c r="V9" s="39"/>
      <c r="W9" s="39"/>
      <c r="X9" s="39"/>
      <c r="Y9" s="338" t="s">
        <v>19</v>
      </c>
      <c r="Z9" s="331" t="s">
        <v>5</v>
      </c>
      <c r="AA9" s="39"/>
      <c r="AB9" s="39"/>
      <c r="AC9" s="39"/>
      <c r="AD9" s="39"/>
      <c r="AE9" s="39"/>
      <c r="AF9" s="39"/>
      <c r="AG9" s="127" t="s">
        <v>85</v>
      </c>
      <c r="AH9" s="348">
        <v>15</v>
      </c>
      <c r="AI9" s="57">
        <f t="shared" si="0"/>
        <v>10969</v>
      </c>
      <c r="AJ9" s="57">
        <f t="shared" si="1"/>
        <v>31</v>
      </c>
      <c r="AK9" s="349">
        <f>IFERROR(Tabelle24[[#This Row],[€]]/Tabelle24[[#This Row],[Backer]],"")</f>
        <v>353.83870967741933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</row>
    <row r="10" spans="1:121" s="2" customFormat="1" ht="18.75" customHeight="1" thickBot="1" x14ac:dyDescent="0.3">
      <c r="A10" s="150"/>
      <c r="B10" s="517"/>
      <c r="C10" s="161"/>
      <c r="D10" s="144"/>
      <c r="E10" s="161"/>
      <c r="F10" s="161"/>
      <c r="G10" s="161"/>
      <c r="H10" s="534"/>
      <c r="I10" s="535"/>
      <c r="J10" s="535"/>
      <c r="K10" s="535"/>
      <c r="L10" s="535"/>
      <c r="M10" s="535"/>
      <c r="N10" s="535"/>
      <c r="O10" s="536"/>
      <c r="P10" s="144"/>
      <c r="Q10" s="144"/>
      <c r="R10" s="144"/>
      <c r="S10" s="144"/>
      <c r="T10" s="39"/>
      <c r="U10" s="39"/>
      <c r="V10" s="39"/>
      <c r="W10" s="39"/>
      <c r="X10" s="39"/>
      <c r="Y10" s="337" t="s">
        <v>16</v>
      </c>
      <c r="Z10" s="58">
        <v>1136</v>
      </c>
      <c r="AA10" s="39"/>
      <c r="AB10" s="39"/>
      <c r="AC10" s="39"/>
      <c r="AD10" s="39"/>
      <c r="AE10" s="39"/>
      <c r="AF10" s="39"/>
      <c r="AG10" s="108" t="s">
        <v>24</v>
      </c>
      <c r="AH10" s="348">
        <v>9</v>
      </c>
      <c r="AI10" s="57">
        <f t="shared" si="0"/>
        <v>10076</v>
      </c>
      <c r="AJ10" s="57">
        <f t="shared" si="1"/>
        <v>48</v>
      </c>
      <c r="AK10" s="349">
        <f>IFERROR(Tabelle24[[#This Row],[€]]/Tabelle24[[#This Row],[Backer]],"")</f>
        <v>209.91666666666666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</row>
    <row r="11" spans="1:121" s="2" customFormat="1" ht="15.75" customHeight="1" thickBot="1" x14ac:dyDescent="0.3">
      <c r="A11" s="150"/>
      <c r="B11" s="517"/>
      <c r="C11" s="161"/>
      <c r="D11" s="144"/>
      <c r="E11" s="161"/>
      <c r="F11" s="161"/>
      <c r="G11" s="161"/>
      <c r="H11" s="161"/>
      <c r="I11" s="161"/>
      <c r="J11" s="161"/>
      <c r="K11" s="161"/>
      <c r="L11" s="161"/>
      <c r="M11" s="161"/>
      <c r="N11" s="144"/>
      <c r="O11" s="144"/>
      <c r="P11" s="144"/>
      <c r="Q11" s="144"/>
      <c r="R11" s="144"/>
      <c r="S11" s="144"/>
      <c r="T11" s="39"/>
      <c r="U11" s="39"/>
      <c r="V11" s="39"/>
      <c r="W11" s="39"/>
      <c r="X11" s="39"/>
      <c r="Y11" s="337" t="s">
        <v>127</v>
      </c>
      <c r="Z11" s="60">
        <f>Z8/Z10</f>
        <v>219.38292253521126</v>
      </c>
      <c r="AA11" s="39"/>
      <c r="AB11" s="39"/>
      <c r="AC11" s="39"/>
      <c r="AD11" s="39"/>
      <c r="AE11" s="39"/>
      <c r="AF11" s="39"/>
      <c r="AG11" s="127" t="s">
        <v>86</v>
      </c>
      <c r="AH11" s="348">
        <v>3</v>
      </c>
      <c r="AI11" s="57">
        <f t="shared" si="0"/>
        <v>9867</v>
      </c>
      <c r="AJ11" s="57">
        <f t="shared" si="1"/>
        <v>45</v>
      </c>
      <c r="AK11" s="349">
        <f>IFERROR(Tabelle24[[#This Row],[€]]/Tabelle24[[#This Row],[Backer]],"")</f>
        <v>219.26666666666668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</row>
    <row r="12" spans="1:121" s="2" customFormat="1" ht="18.75" customHeight="1" x14ac:dyDescent="0.3">
      <c r="A12" s="150"/>
      <c r="B12" s="517"/>
      <c r="C12" s="161"/>
      <c r="D12" s="144"/>
      <c r="E12" s="161"/>
      <c r="F12" s="161"/>
      <c r="G12" s="161"/>
      <c r="H12" s="522" t="s">
        <v>189</v>
      </c>
      <c r="I12" s="523"/>
      <c r="J12" s="523"/>
      <c r="K12" s="523"/>
      <c r="L12" s="523"/>
      <c r="M12" s="523"/>
      <c r="N12" s="523"/>
      <c r="O12" s="524"/>
      <c r="P12" s="144"/>
      <c r="Q12" s="144"/>
      <c r="R12" s="144"/>
      <c r="S12" s="144"/>
      <c r="T12" s="39"/>
      <c r="U12" s="39"/>
      <c r="V12" s="39"/>
      <c r="W12" s="39"/>
      <c r="X12" s="39"/>
      <c r="Y12" s="336" t="s">
        <v>83</v>
      </c>
      <c r="Z12" s="67">
        <f>SUM('CF-Guide'!$H$5:$P$5)</f>
        <v>1142</v>
      </c>
      <c r="AA12" s="39"/>
      <c r="AB12" s="39"/>
      <c r="AC12" s="39"/>
      <c r="AD12" s="39"/>
      <c r="AE12" s="39"/>
      <c r="AF12" s="39"/>
      <c r="AG12" s="108" t="s">
        <v>26</v>
      </c>
      <c r="AH12" s="348">
        <v>6</v>
      </c>
      <c r="AI12" s="57">
        <f t="shared" si="0"/>
        <v>9852</v>
      </c>
      <c r="AJ12" s="57">
        <f t="shared" si="1"/>
        <v>44</v>
      </c>
      <c r="AK12" s="349">
        <f>IFERROR(Tabelle24[[#This Row],[€]]/Tabelle24[[#This Row],[Backer]],"")</f>
        <v>223.90909090909091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</row>
    <row r="13" spans="1:121" s="2" customFormat="1" ht="19.5" thickBot="1" x14ac:dyDescent="0.35">
      <c r="A13" s="150"/>
      <c r="B13" s="517"/>
      <c r="C13" s="161"/>
      <c r="D13" s="144"/>
      <c r="E13" s="161"/>
      <c r="F13" s="161"/>
      <c r="G13" s="161"/>
      <c r="H13" s="525" t="s">
        <v>190</v>
      </c>
      <c r="I13" s="526"/>
      <c r="J13" s="526"/>
      <c r="K13" s="526"/>
      <c r="L13" s="526"/>
      <c r="M13" s="526"/>
      <c r="N13" s="526"/>
      <c r="O13" s="527"/>
      <c r="P13" s="144"/>
      <c r="Q13" s="144"/>
      <c r="R13" s="144"/>
      <c r="S13" s="144"/>
      <c r="T13" s="39"/>
      <c r="U13" s="39"/>
      <c r="V13" s="39"/>
      <c r="W13" s="39"/>
      <c r="X13" s="39"/>
      <c r="Y13" s="339" t="s">
        <v>39</v>
      </c>
      <c r="Z13" s="187">
        <f>Z12-Z10</f>
        <v>6</v>
      </c>
      <c r="AA13" s="39"/>
      <c r="AB13" s="39"/>
      <c r="AC13" s="39"/>
      <c r="AD13" s="39"/>
      <c r="AE13" s="39"/>
      <c r="AF13" s="39"/>
      <c r="AG13" s="108" t="s">
        <v>25</v>
      </c>
      <c r="AH13" s="348">
        <v>7</v>
      </c>
      <c r="AI13" s="57">
        <f t="shared" si="0"/>
        <v>9046</v>
      </c>
      <c r="AJ13" s="57">
        <f t="shared" si="1"/>
        <v>40</v>
      </c>
      <c r="AK13" s="349">
        <f>IFERROR(Tabelle24[[#This Row],[€]]/Tabelle24[[#This Row],[Backer]],"")</f>
        <v>226.15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</row>
    <row r="14" spans="1:121" s="2" customFormat="1" ht="19.5" thickBot="1" x14ac:dyDescent="0.35">
      <c r="A14" s="150"/>
      <c r="B14" s="517"/>
      <c r="C14" s="161"/>
      <c r="D14" s="144"/>
      <c r="E14" s="161"/>
      <c r="F14" s="161"/>
      <c r="G14" s="161"/>
      <c r="H14" s="310"/>
      <c r="I14" s="310"/>
      <c r="J14" s="310"/>
      <c r="K14" s="161"/>
      <c r="L14" s="159"/>
      <c r="M14" s="161"/>
      <c r="N14" s="144"/>
      <c r="O14" s="144"/>
      <c r="P14" s="144"/>
      <c r="Q14" s="144"/>
      <c r="R14" s="144"/>
      <c r="S14" s="14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08" t="s">
        <v>27</v>
      </c>
      <c r="AH14" s="348">
        <v>14</v>
      </c>
      <c r="AI14" s="57">
        <f t="shared" si="0"/>
        <v>8916</v>
      </c>
      <c r="AJ14" s="57">
        <f t="shared" si="1"/>
        <v>40</v>
      </c>
      <c r="AK14" s="349">
        <f>IFERROR(Tabelle24[[#This Row],[€]]/Tabelle24[[#This Row],[Backer]],"")</f>
        <v>222.9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</row>
    <row r="15" spans="1:121" s="2" customFormat="1" ht="18.75" x14ac:dyDescent="0.3">
      <c r="A15" s="150"/>
      <c r="B15" s="517"/>
      <c r="C15" s="161"/>
      <c r="D15" s="144"/>
      <c r="E15" s="161"/>
      <c r="F15" s="161"/>
      <c r="G15" s="161"/>
      <c r="H15" s="310"/>
      <c r="I15" s="310"/>
      <c r="J15" s="310"/>
      <c r="K15" s="161"/>
      <c r="L15" s="159"/>
      <c r="M15" s="161"/>
      <c r="N15" s="144"/>
      <c r="O15" s="144"/>
      <c r="P15" s="144"/>
      <c r="Q15" s="144"/>
      <c r="R15" s="144"/>
      <c r="S15" s="144"/>
      <c r="T15" s="39"/>
      <c r="U15" s="39"/>
      <c r="V15" s="39"/>
      <c r="W15" s="39"/>
      <c r="X15" s="39"/>
      <c r="Y15" s="340" t="str">
        <f>'CF-Guide'!$H$3</f>
        <v>Neu in Aventurien</v>
      </c>
      <c r="Z15" s="56">
        <v>8</v>
      </c>
      <c r="AA15" s="39"/>
      <c r="AB15" s="39"/>
      <c r="AC15" s="39"/>
      <c r="AD15" s="39"/>
      <c r="AE15" s="39"/>
      <c r="AF15" s="39"/>
      <c r="AG15" s="108" t="s">
        <v>87</v>
      </c>
      <c r="AH15" s="348">
        <v>8</v>
      </c>
      <c r="AI15" s="57">
        <f t="shared" si="0"/>
        <v>8624</v>
      </c>
      <c r="AJ15" s="57">
        <f t="shared" si="1"/>
        <v>41</v>
      </c>
      <c r="AK15" s="349">
        <f>IFERROR(Tabelle24[[#This Row],[€]]/Tabelle24[[#This Row],[Backer]],"")</f>
        <v>210.34146341463415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</row>
    <row r="16" spans="1:121" s="2" customFormat="1" ht="19.5" thickBot="1" x14ac:dyDescent="0.35">
      <c r="A16" s="150"/>
      <c r="B16" s="518"/>
      <c r="C16" s="161"/>
      <c r="D16" s="144"/>
      <c r="E16" s="161"/>
      <c r="F16" s="161"/>
      <c r="G16" s="161"/>
      <c r="H16" s="310"/>
      <c r="I16" s="310"/>
      <c r="J16" s="310"/>
      <c r="K16" s="161"/>
      <c r="L16" s="159"/>
      <c r="M16" s="161"/>
      <c r="N16" s="144"/>
      <c r="O16" s="144"/>
      <c r="P16" s="144"/>
      <c r="Q16" s="144"/>
      <c r="R16" s="144"/>
      <c r="S16" s="144"/>
      <c r="T16" s="39"/>
      <c r="U16" s="39"/>
      <c r="V16" s="39"/>
      <c r="W16" s="39"/>
      <c r="X16" s="39"/>
      <c r="Y16" s="340" t="str">
        <f>'CF-Guide'!$I$3</f>
        <v>Ritterin</v>
      </c>
      <c r="Z16" s="332">
        <v>164</v>
      </c>
      <c r="AA16" s="39"/>
      <c r="AB16" s="39"/>
      <c r="AC16" s="39"/>
      <c r="AD16" s="39"/>
      <c r="AE16" s="39"/>
      <c r="AF16" s="39"/>
      <c r="AG16" s="108" t="s">
        <v>30</v>
      </c>
      <c r="AH16" s="348">
        <v>10</v>
      </c>
      <c r="AI16" s="57">
        <f t="shared" si="0"/>
        <v>7518</v>
      </c>
      <c r="AJ16" s="57">
        <f t="shared" si="1"/>
        <v>40</v>
      </c>
      <c r="AK16" s="349">
        <f>IFERROR(Tabelle24[[#This Row],[€]]/Tabelle24[[#This Row],[Backer]],"")</f>
        <v>187.95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</row>
    <row r="17" spans="1:125" s="2" customFormat="1" ht="18.75" customHeight="1" x14ac:dyDescent="0.3">
      <c r="A17" s="150"/>
      <c r="B17" s="144"/>
      <c r="C17" s="144"/>
      <c r="D17" s="318" t="s">
        <v>246</v>
      </c>
      <c r="E17" s="318"/>
      <c r="F17" s="321" t="s">
        <v>250</v>
      </c>
      <c r="G17" s="161"/>
      <c r="H17" s="310"/>
      <c r="I17" s="310"/>
      <c r="J17" s="310"/>
      <c r="K17" s="161"/>
      <c r="L17" s="159"/>
      <c r="M17" s="161"/>
      <c r="N17" s="144"/>
      <c r="O17" s="144"/>
      <c r="P17" s="144"/>
      <c r="Q17" s="144"/>
      <c r="R17" s="144"/>
      <c r="S17" s="144"/>
      <c r="T17" s="39"/>
      <c r="U17" s="39"/>
      <c r="V17" s="39"/>
      <c r="W17" s="39"/>
      <c r="X17" s="39"/>
      <c r="Y17" s="340" t="str">
        <f>'CF-Guide'!$J$3</f>
        <v>Baron</v>
      </c>
      <c r="Z17" s="332">
        <v>54</v>
      </c>
      <c r="AA17" s="39"/>
      <c r="AB17" s="39"/>
      <c r="AC17" s="39"/>
      <c r="AD17" s="39"/>
      <c r="AE17" s="39"/>
      <c r="AF17" s="39"/>
      <c r="AG17" s="108" t="s">
        <v>88</v>
      </c>
      <c r="AH17" s="348">
        <v>16</v>
      </c>
      <c r="AI17" s="57">
        <f t="shared" si="0"/>
        <v>7274</v>
      </c>
      <c r="AJ17" s="57">
        <f t="shared" si="1"/>
        <v>31</v>
      </c>
      <c r="AK17" s="349">
        <f>IFERROR(Tabelle24[[#This Row],[€]]/Tabelle24[[#This Row],[Backer]],"")</f>
        <v>234.64516129032259</v>
      </c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</row>
    <row r="18" spans="1:125" s="2" customFormat="1" ht="18.75" customHeight="1" x14ac:dyDescent="0.3">
      <c r="A18" s="150"/>
      <c r="B18" s="144"/>
      <c r="C18" s="144"/>
      <c r="D18" s="452" t="s">
        <v>256</v>
      </c>
      <c r="E18" s="451"/>
      <c r="F18" s="319" t="s">
        <v>173</v>
      </c>
      <c r="G18" s="161"/>
      <c r="H18" s="310"/>
      <c r="I18" s="310"/>
      <c r="J18" s="310"/>
      <c r="K18" s="161"/>
      <c r="L18" s="159"/>
      <c r="M18" s="161"/>
      <c r="N18" s="144"/>
      <c r="O18" s="144"/>
      <c r="P18" s="144"/>
      <c r="Q18" s="144"/>
      <c r="R18" s="144"/>
      <c r="S18" s="144"/>
      <c r="T18" s="39"/>
      <c r="U18" s="39"/>
      <c r="V18" s="39"/>
      <c r="W18" s="39"/>
      <c r="X18" s="39"/>
      <c r="Y18" s="340" t="str">
        <f>'CF-Guide'!$K$3</f>
        <v>Gräfin</v>
      </c>
      <c r="Z18" s="332">
        <v>204</v>
      </c>
      <c r="AA18" s="39"/>
      <c r="AB18" s="39"/>
      <c r="AC18" s="39"/>
      <c r="AD18" s="39"/>
      <c r="AE18" s="39"/>
      <c r="AF18" s="39"/>
      <c r="AG18" s="108" t="s">
        <v>31</v>
      </c>
      <c r="AH18" s="348">
        <v>17</v>
      </c>
      <c r="AI18" s="57">
        <f t="shared" si="0"/>
        <v>7179</v>
      </c>
      <c r="AJ18" s="57">
        <f t="shared" si="1"/>
        <v>32</v>
      </c>
      <c r="AK18" s="349">
        <f>IFERROR(Tabelle24[[#This Row],[€]]/Tabelle24[[#This Row],[Backer]],"")</f>
        <v>224.34375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</row>
    <row r="19" spans="1:125" s="2" customFormat="1" ht="19.5" collapsed="1" thickBot="1" x14ac:dyDescent="0.35">
      <c r="A19" s="150"/>
      <c r="B19" s="144"/>
      <c r="C19" s="161"/>
      <c r="D19" s="144"/>
      <c r="E19" s="144"/>
      <c r="F19" s="161"/>
      <c r="G19" s="161"/>
      <c r="H19" s="324"/>
      <c r="I19" s="324"/>
      <c r="J19" s="324"/>
      <c r="K19" s="161"/>
      <c r="L19" s="159"/>
      <c r="M19" s="161"/>
      <c r="N19" s="161"/>
      <c r="O19" s="161"/>
      <c r="P19" s="144"/>
      <c r="Q19" s="144"/>
      <c r="R19" s="144"/>
      <c r="S19" s="144"/>
      <c r="T19" s="39"/>
      <c r="U19" s="39"/>
      <c r="V19" s="39"/>
      <c r="W19" s="39"/>
      <c r="X19" s="39"/>
      <c r="Y19" s="340" t="str">
        <f>'CF-Guide'!$L$3</f>
        <v>Digitaler Fürst</v>
      </c>
      <c r="Z19" s="332">
        <v>119</v>
      </c>
      <c r="AA19" s="39"/>
      <c r="AB19" s="39"/>
      <c r="AC19" s="39"/>
      <c r="AD19" s="39"/>
      <c r="AE19" s="39"/>
      <c r="AF19" s="39"/>
      <c r="AG19" s="108" t="s">
        <v>89</v>
      </c>
      <c r="AH19" s="348">
        <v>12</v>
      </c>
      <c r="AI19" s="57">
        <f t="shared" si="0"/>
        <v>6715</v>
      </c>
      <c r="AJ19" s="57">
        <f t="shared" si="1"/>
        <v>28</v>
      </c>
      <c r="AK19" s="349">
        <f>IFERROR(Tabelle24[[#This Row],[€]]/Tabelle24[[#This Row],[Backer]],"")</f>
        <v>239.82142857142858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</row>
    <row r="20" spans="1:125" s="2" customFormat="1" ht="19.5" customHeight="1" x14ac:dyDescent="0.3">
      <c r="A20" s="150"/>
      <c r="B20" s="519" t="str">
        <f>"Finaler
Stand: 
"&amp;TEXT(Z5,"TT.MM.JJJJ")&amp;"
"&amp;Z6&amp;" Uhr"</f>
        <v>Finaler
Stand: 
13.12.2023
18:00 Uhr</v>
      </c>
      <c r="C20" s="328"/>
      <c r="D20" s="510" t="str">
        <f>"Finaler Stand: "&amp;TEXT(Z8,"#.##0")&amp;" € von "&amp;TEXT(Z10,"#.##0")&amp;" Unterstützern (Ø "&amp;TEXT(Z11,"#.##0,00")&amp;" €)"</f>
        <v>Finaler Stand: 249.219 € von 1.136 Unterstützern (Ø 219,38 €)</v>
      </c>
      <c r="E20" s="510"/>
      <c r="F20" s="510"/>
      <c r="G20" s="161"/>
      <c r="H20" s="326"/>
      <c r="I20" s="324"/>
      <c r="J20" s="324"/>
      <c r="K20" s="161"/>
      <c r="L20" s="159"/>
      <c r="M20" s="161"/>
      <c r="N20" s="161"/>
      <c r="O20" s="161"/>
      <c r="P20" s="144"/>
      <c r="Q20" s="144"/>
      <c r="R20" s="144"/>
      <c r="S20" s="144"/>
      <c r="T20" s="39"/>
      <c r="U20" s="39"/>
      <c r="V20" s="39"/>
      <c r="W20" s="39"/>
      <c r="X20" s="39"/>
      <c r="Y20" s="340">
        <f>'CF-Guide'!$M$3</f>
        <v>0</v>
      </c>
      <c r="Z20" s="332"/>
      <c r="AA20" s="39"/>
      <c r="AB20" s="39"/>
      <c r="AC20" s="39"/>
      <c r="AD20" s="39"/>
      <c r="AE20" s="39"/>
      <c r="AF20" s="39"/>
      <c r="AG20" s="108" t="s">
        <v>90</v>
      </c>
      <c r="AH20" s="348">
        <v>11</v>
      </c>
      <c r="AI20" s="57">
        <f t="shared" si="0"/>
        <v>6686</v>
      </c>
      <c r="AJ20" s="57">
        <f t="shared" si="1"/>
        <v>32</v>
      </c>
      <c r="AK20" s="349">
        <f>IFERROR(Tabelle24[[#This Row],[€]]/Tabelle24[[#This Row],[Backer]],"")</f>
        <v>208.9375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</row>
    <row r="21" spans="1:125" s="2" customFormat="1" ht="19.5" customHeight="1" x14ac:dyDescent="0.3">
      <c r="A21" s="144"/>
      <c r="B21" s="520"/>
      <c r="C21" s="328"/>
      <c r="D21" s="510"/>
      <c r="E21" s="510"/>
      <c r="F21" s="510"/>
      <c r="G21" s="161"/>
      <c r="H21" s="326"/>
      <c r="I21" s="324"/>
      <c r="J21" s="324"/>
      <c r="K21" s="161"/>
      <c r="L21" s="159"/>
      <c r="M21" s="161"/>
      <c r="N21" s="161"/>
      <c r="O21" s="161"/>
      <c r="P21" s="144"/>
      <c r="Q21" s="144"/>
      <c r="R21" s="144"/>
      <c r="S21" s="144"/>
      <c r="T21" s="39"/>
      <c r="U21" s="39"/>
      <c r="V21" s="39"/>
      <c r="W21" s="39"/>
      <c r="X21" s="39"/>
      <c r="Y21" s="340">
        <f>'CF-Guide'!$N$3</f>
        <v>0</v>
      </c>
      <c r="Z21" s="332"/>
      <c r="AA21" s="39"/>
      <c r="AB21" s="39"/>
      <c r="AC21" s="39"/>
      <c r="AD21" s="39"/>
      <c r="AE21" s="39"/>
      <c r="AF21" s="39"/>
      <c r="AG21" s="108" t="s">
        <v>91</v>
      </c>
      <c r="AH21" s="348">
        <v>18</v>
      </c>
      <c r="AI21" s="57">
        <f t="shared" si="0"/>
        <v>5966</v>
      </c>
      <c r="AJ21" s="57">
        <f t="shared" si="1"/>
        <v>31</v>
      </c>
      <c r="AK21" s="349">
        <f>IFERROR(Tabelle24[[#This Row],[€]]/Tabelle24[[#This Row],[Backer]],"")</f>
        <v>192.45161290322579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</row>
    <row r="22" spans="1:125" s="2" customFormat="1" ht="19.5" customHeight="1" x14ac:dyDescent="0.3">
      <c r="A22" s="144"/>
      <c r="B22" s="520"/>
      <c r="C22" s="327"/>
      <c r="D22" s="511" t="str">
        <f>"Erreichte Bonusziele: "&amp;Z7&amp;", bis: '"&amp;VLOOKUP(Z7,$C$32:$D$53,2,FALSE)&amp;"'"</f>
        <v>Erreichte Bonusziele: 21, bis: 'Extrablatt!'</v>
      </c>
      <c r="E22" s="511"/>
      <c r="F22" s="511"/>
      <c r="G22" s="161"/>
      <c r="H22" s="316"/>
      <c r="I22" s="324"/>
      <c r="J22" s="324"/>
      <c r="K22" s="161"/>
      <c r="L22" s="159"/>
      <c r="M22" s="161"/>
      <c r="N22" s="161"/>
      <c r="O22" s="161"/>
      <c r="P22" s="144"/>
      <c r="Q22" s="144"/>
      <c r="R22" s="144"/>
      <c r="S22" s="144"/>
      <c r="T22" s="39"/>
      <c r="U22" s="39"/>
      <c r="V22" s="39"/>
      <c r="W22" s="39"/>
      <c r="X22" s="39"/>
      <c r="Y22" s="340" t="str">
        <f>'CF-Guide'!$O$3</f>
        <v>Fürst</v>
      </c>
      <c r="Z22" s="332">
        <v>391</v>
      </c>
      <c r="AA22" s="39"/>
      <c r="AB22" s="39"/>
      <c r="AC22" s="39"/>
      <c r="AD22" s="39"/>
      <c r="AE22" s="39"/>
      <c r="AF22" s="55"/>
      <c r="AG22" s="108" t="s">
        <v>94</v>
      </c>
      <c r="AH22" s="348">
        <v>13</v>
      </c>
      <c r="AI22" s="57">
        <f t="shared" si="0"/>
        <v>5862</v>
      </c>
      <c r="AJ22" s="57">
        <f t="shared" si="1"/>
        <v>32</v>
      </c>
      <c r="AK22" s="349">
        <f>IFERROR(Tabelle24[[#This Row],[€]]/Tabelle24[[#This Row],[Backer]],"")</f>
        <v>183.1875</v>
      </c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</row>
    <row r="23" spans="1:125" s="62" customFormat="1" ht="19.5" thickBot="1" x14ac:dyDescent="0.35">
      <c r="A23" s="145"/>
      <c r="B23" s="521"/>
      <c r="C23" s="327"/>
      <c r="D23" s="512"/>
      <c r="E23" s="512"/>
      <c r="F23" s="512"/>
      <c r="G23" s="161"/>
      <c r="H23" s="315"/>
      <c r="I23" s="324"/>
      <c r="J23" s="324"/>
      <c r="K23" s="161"/>
      <c r="L23" s="159"/>
      <c r="M23" s="161"/>
      <c r="N23" s="161"/>
      <c r="O23" s="161"/>
      <c r="P23" s="161"/>
      <c r="Q23" s="161"/>
      <c r="R23" s="161"/>
      <c r="S23" s="161"/>
      <c r="T23" s="39"/>
      <c r="U23" s="39"/>
      <c r="V23" s="39"/>
      <c r="W23" s="39"/>
      <c r="X23" s="39"/>
      <c r="Y23" s="340" t="str">
        <f>'CF-Guide'!$P$3</f>
        <v>Herzogin</v>
      </c>
      <c r="Z23" s="58">
        <v>202</v>
      </c>
      <c r="AA23" s="39"/>
      <c r="AB23" s="39"/>
      <c r="AC23" s="39"/>
      <c r="AD23" s="39"/>
      <c r="AE23" s="39"/>
      <c r="AF23" s="55"/>
      <c r="AG23" s="108" t="s">
        <v>92</v>
      </c>
      <c r="AH23" s="348">
        <v>5</v>
      </c>
      <c r="AI23" s="57">
        <f t="shared" si="0"/>
        <v>5717</v>
      </c>
      <c r="AJ23" s="57">
        <f t="shared" si="1"/>
        <v>28</v>
      </c>
      <c r="AK23" s="349">
        <f>IFERROR(Tabelle24[[#This Row],[€]]/Tabelle24[[#This Row],[Backer]],"")</f>
        <v>204.17857142857142</v>
      </c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</row>
    <row r="24" spans="1:125" s="2" customFormat="1" ht="20.25" x14ac:dyDescent="0.3">
      <c r="A24" s="150"/>
      <c r="B24" s="323"/>
      <c r="C24" s="161"/>
      <c r="D24" s="144"/>
      <c r="E24" s="161"/>
      <c r="F24" s="161"/>
      <c r="G24" s="161"/>
      <c r="H24" s="324"/>
      <c r="I24" s="324"/>
      <c r="J24" s="324"/>
      <c r="K24" s="161"/>
      <c r="L24" s="159"/>
      <c r="M24" s="161"/>
      <c r="N24" s="161"/>
      <c r="O24" s="161"/>
      <c r="P24" s="161"/>
      <c r="Q24" s="161"/>
      <c r="R24" s="161"/>
      <c r="S24" s="161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108" t="s">
        <v>93</v>
      </c>
      <c r="AH24" s="348">
        <v>4</v>
      </c>
      <c r="AI24" s="57">
        <f t="shared" si="0"/>
        <v>4344</v>
      </c>
      <c r="AJ24" s="57">
        <f t="shared" si="1"/>
        <v>22</v>
      </c>
      <c r="AK24" s="349">
        <f>IFERROR(Tabelle24[[#This Row],[€]]/Tabelle24[[#This Row],[Backer]],"")</f>
        <v>197.45454545454547</v>
      </c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</row>
    <row r="25" spans="1:125" s="2" customFormat="1" ht="4.5" customHeight="1" thickBot="1" x14ac:dyDescent="0.35">
      <c r="A25" s="150"/>
      <c r="B25" s="144"/>
      <c r="C25" s="161"/>
      <c r="D25" s="144"/>
      <c r="E25" s="161"/>
      <c r="F25" s="161"/>
      <c r="G25" s="161"/>
      <c r="H25" s="324"/>
      <c r="I25" s="324"/>
      <c r="J25" s="324"/>
      <c r="K25" s="161"/>
      <c r="L25" s="159"/>
      <c r="M25" s="161"/>
      <c r="N25" s="161"/>
      <c r="O25" s="161"/>
      <c r="P25" s="161"/>
      <c r="Q25" s="161"/>
      <c r="R25" s="161"/>
      <c r="S25" s="161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</row>
    <row r="26" spans="1:125" s="2" customFormat="1" ht="30" customHeight="1" thickBot="1" x14ac:dyDescent="0.35">
      <c r="A26" s="150"/>
      <c r="B26" s="516" t="s">
        <v>249</v>
      </c>
      <c r="C26" s="161"/>
      <c r="D26" s="537" t="s">
        <v>421</v>
      </c>
      <c r="E26" s="538"/>
      <c r="F26" s="539"/>
      <c r="G26" s="161"/>
      <c r="H26" s="324"/>
      <c r="I26" s="324"/>
      <c r="J26" s="324"/>
      <c r="K26" s="161"/>
      <c r="L26" s="159"/>
      <c r="M26" s="161"/>
      <c r="N26" s="161"/>
      <c r="O26" s="161"/>
      <c r="P26" s="161"/>
      <c r="Q26" s="161"/>
      <c r="R26" s="161"/>
      <c r="S26" s="161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</row>
    <row r="27" spans="1:125" s="2" customFormat="1" ht="30" customHeight="1" thickBot="1" x14ac:dyDescent="0.35">
      <c r="A27" s="150"/>
      <c r="B27" s="517"/>
      <c r="C27" s="161"/>
      <c r="D27" s="540" t="s">
        <v>0</v>
      </c>
      <c r="E27" s="541"/>
      <c r="F27" s="542"/>
      <c r="G27" s="161"/>
      <c r="H27" s="324"/>
      <c r="I27" s="324"/>
      <c r="J27" s="324"/>
      <c r="K27" s="161"/>
      <c r="L27" s="159"/>
      <c r="M27" s="161"/>
      <c r="N27" s="161"/>
      <c r="O27" s="161"/>
      <c r="P27" s="161"/>
      <c r="Q27" s="161"/>
      <c r="R27" s="161"/>
      <c r="S27" s="161"/>
      <c r="T27" s="39"/>
      <c r="U27" s="39"/>
      <c r="V27" s="59"/>
      <c r="W27" s="59"/>
      <c r="X27" s="5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</row>
    <row r="28" spans="1:125" s="2" customFormat="1" ht="15.75" customHeight="1" thickBot="1" x14ac:dyDescent="0.35">
      <c r="A28" s="150"/>
      <c r="B28" s="517"/>
      <c r="C28" s="161"/>
      <c r="D28" s="513" t="s">
        <v>404</v>
      </c>
      <c r="E28" s="514"/>
      <c r="F28" s="515"/>
      <c r="G28" s="161"/>
      <c r="H28" s="324"/>
      <c r="I28" s="324"/>
      <c r="J28" s="324"/>
      <c r="K28" s="161"/>
      <c r="L28" s="159"/>
      <c r="M28" s="161"/>
      <c r="N28" s="161"/>
      <c r="O28" s="161"/>
      <c r="P28" s="161"/>
      <c r="Q28" s="161"/>
      <c r="R28" s="161"/>
      <c r="S28" s="161"/>
      <c r="T28" s="39"/>
      <c r="U28" s="59"/>
      <c r="V28" s="59"/>
      <c r="W28" s="59"/>
      <c r="X28" s="5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</row>
    <row r="29" spans="1:125" s="2" customFormat="1" ht="15" customHeight="1" thickBot="1" x14ac:dyDescent="0.35">
      <c r="A29" s="150"/>
      <c r="B29" s="517"/>
      <c r="C29" s="161"/>
      <c r="D29" s="513"/>
      <c r="E29" s="514"/>
      <c r="F29" s="515"/>
      <c r="G29" s="161"/>
      <c r="H29" s="324"/>
      <c r="I29" s="324"/>
      <c r="J29" s="324"/>
      <c r="K29" s="161"/>
      <c r="L29" s="159"/>
      <c r="M29" s="161"/>
      <c r="N29" s="161"/>
      <c r="O29" s="161"/>
      <c r="P29" s="161"/>
      <c r="Q29" s="161"/>
      <c r="R29" s="161"/>
      <c r="S29" s="161"/>
      <c r="T29" s="39"/>
      <c r="U29" s="59"/>
      <c r="V29" s="59"/>
      <c r="W29" s="59"/>
      <c r="X29" s="5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</row>
    <row r="30" spans="1:125" s="2" customFormat="1" ht="18" customHeight="1" thickBot="1" x14ac:dyDescent="0.35">
      <c r="A30" s="150"/>
      <c r="B30" s="518"/>
      <c r="C30" s="161"/>
      <c r="D30" s="513"/>
      <c r="E30" s="514"/>
      <c r="F30" s="515"/>
      <c r="G30" s="161"/>
      <c r="H30" s="324"/>
      <c r="I30" s="324"/>
      <c r="J30" s="324"/>
      <c r="K30" s="161"/>
      <c r="L30" s="159"/>
      <c r="M30" s="161"/>
      <c r="N30" s="161"/>
      <c r="O30" s="161"/>
      <c r="P30" s="161"/>
      <c r="Q30" s="161"/>
      <c r="R30" s="161"/>
      <c r="S30" s="161"/>
      <c r="T30" s="39"/>
      <c r="U30" s="59"/>
      <c r="V30" s="59"/>
      <c r="W30" s="59"/>
      <c r="X30" s="5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</row>
    <row r="31" spans="1:125" s="2" customFormat="1" ht="15" customHeight="1" x14ac:dyDescent="0.3">
      <c r="A31" s="150"/>
      <c r="B31" s="144"/>
      <c r="C31" s="161"/>
      <c r="D31" s="144"/>
      <c r="E31" s="161"/>
      <c r="F31" s="317"/>
      <c r="G31" s="161"/>
      <c r="H31" s="324"/>
      <c r="I31" s="324"/>
      <c r="J31" s="324"/>
      <c r="K31" s="161"/>
      <c r="L31" s="159"/>
      <c r="M31" s="161"/>
      <c r="N31" s="161"/>
      <c r="O31" s="161"/>
      <c r="P31" s="161"/>
      <c r="Q31" s="161"/>
      <c r="R31" s="161"/>
      <c r="S31" s="161"/>
      <c r="T31" s="39"/>
      <c r="U31" s="59"/>
      <c r="V31" s="59"/>
      <c r="W31" s="59"/>
      <c r="X31" s="5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</row>
    <row r="32" spans="1:125" s="217" customFormat="1" ht="18" hidden="1" customHeight="1" outlineLevel="1" x14ac:dyDescent="0.3">
      <c r="A32" s="215"/>
      <c r="B32" s="194"/>
      <c r="C32" s="69">
        <v>0</v>
      </c>
      <c r="D32" s="408" t="s">
        <v>257</v>
      </c>
      <c r="E32" s="409">
        <v>30000</v>
      </c>
      <c r="F32" s="410"/>
      <c r="G32" s="410"/>
      <c r="H32" s="410"/>
      <c r="I32" s="410"/>
      <c r="J32" s="410"/>
      <c r="K32" s="357"/>
      <c r="L32" s="411"/>
      <c r="M32" s="357"/>
      <c r="N32" s="357"/>
      <c r="O32" s="357"/>
      <c r="P32" s="357"/>
      <c r="Q32" s="357"/>
      <c r="R32" s="357"/>
      <c r="S32" s="357"/>
      <c r="T32" s="216"/>
      <c r="U32" s="357"/>
      <c r="V32" s="357"/>
      <c r="W32" s="357"/>
      <c r="X32" s="357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</row>
    <row r="33" spans="1:121" s="217" customFormat="1" ht="18" hidden="1" customHeight="1" outlineLevel="1" x14ac:dyDescent="0.3">
      <c r="A33" s="215"/>
      <c r="B33" s="194"/>
      <c r="C33" s="69">
        <v>1</v>
      </c>
      <c r="D33" s="408" t="s">
        <v>258</v>
      </c>
      <c r="E33" s="409">
        <f>E32+10000</f>
        <v>40000</v>
      </c>
      <c r="F33" s="410"/>
      <c r="G33" s="410"/>
      <c r="H33" s="410"/>
      <c r="I33" s="410"/>
      <c r="J33" s="410"/>
      <c r="K33" s="357"/>
      <c r="L33" s="411"/>
      <c r="M33" s="357"/>
      <c r="N33" s="357"/>
      <c r="O33" s="357"/>
      <c r="P33" s="357"/>
      <c r="Q33" s="357"/>
      <c r="R33" s="357"/>
      <c r="S33" s="357"/>
      <c r="T33" s="216"/>
      <c r="U33" s="357"/>
      <c r="V33" s="357"/>
      <c r="W33" s="357"/>
      <c r="X33" s="357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</row>
    <row r="34" spans="1:121" s="217" customFormat="1" ht="18" hidden="1" customHeight="1" outlineLevel="1" x14ac:dyDescent="0.3">
      <c r="A34" s="215"/>
      <c r="B34" s="194"/>
      <c r="C34" s="69">
        <v>2</v>
      </c>
      <c r="D34" s="408" t="s">
        <v>259</v>
      </c>
      <c r="E34" s="409">
        <f t="shared" ref="E34:E53" si="2">E33+10000</f>
        <v>50000</v>
      </c>
      <c r="F34" s="410"/>
      <c r="G34" s="410"/>
      <c r="H34" s="410"/>
      <c r="I34" s="410"/>
      <c r="J34" s="410"/>
      <c r="K34" s="357"/>
      <c r="L34" s="411"/>
      <c r="M34" s="357"/>
      <c r="N34" s="357"/>
      <c r="O34" s="357"/>
      <c r="P34" s="357"/>
      <c r="Q34" s="357"/>
      <c r="R34" s="357"/>
      <c r="S34" s="357"/>
      <c r="T34" s="216"/>
      <c r="U34" s="357"/>
      <c r="V34" s="357"/>
      <c r="W34" s="357"/>
      <c r="X34" s="357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</row>
    <row r="35" spans="1:121" s="217" customFormat="1" ht="18" hidden="1" customHeight="1" outlineLevel="1" x14ac:dyDescent="0.3">
      <c r="A35" s="215"/>
      <c r="B35" s="194"/>
      <c r="C35" s="69">
        <v>3</v>
      </c>
      <c r="D35" s="408" t="s">
        <v>260</v>
      </c>
      <c r="E35" s="409">
        <f t="shared" si="2"/>
        <v>60000</v>
      </c>
      <c r="F35" s="410"/>
      <c r="G35" s="410"/>
      <c r="H35" s="410"/>
      <c r="I35" s="410"/>
      <c r="J35" s="410"/>
      <c r="K35" s="357"/>
      <c r="L35" s="411"/>
      <c r="M35" s="357"/>
      <c r="N35" s="357"/>
      <c r="O35" s="357"/>
      <c r="P35" s="357"/>
      <c r="Q35" s="357"/>
      <c r="R35" s="357"/>
      <c r="S35" s="357"/>
      <c r="T35" s="194"/>
      <c r="U35" s="357"/>
      <c r="V35" s="357"/>
      <c r="W35" s="357"/>
      <c r="X35" s="357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</row>
    <row r="36" spans="1:121" s="217" customFormat="1" ht="18" hidden="1" customHeight="1" outlineLevel="1" x14ac:dyDescent="0.3">
      <c r="A36" s="215"/>
      <c r="B36" s="194"/>
      <c r="C36" s="69">
        <v>4</v>
      </c>
      <c r="D36" s="408" t="s">
        <v>261</v>
      </c>
      <c r="E36" s="409">
        <f t="shared" si="2"/>
        <v>70000</v>
      </c>
      <c r="F36" s="410"/>
      <c r="G36" s="410"/>
      <c r="H36" s="410"/>
      <c r="I36" s="410"/>
      <c r="J36" s="410"/>
      <c r="K36" s="357"/>
      <c r="L36" s="411"/>
      <c r="M36" s="357"/>
      <c r="N36" s="357"/>
      <c r="O36" s="357"/>
      <c r="P36" s="357"/>
      <c r="Q36" s="357"/>
      <c r="R36" s="357"/>
      <c r="S36" s="357"/>
      <c r="T36" s="194"/>
      <c r="U36" s="357"/>
      <c r="V36" s="357"/>
      <c r="W36" s="357"/>
      <c r="X36" s="357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</row>
    <row r="37" spans="1:121" s="217" customFormat="1" ht="18" hidden="1" customHeight="1" outlineLevel="1" x14ac:dyDescent="0.3">
      <c r="A37" s="215"/>
      <c r="B37" s="194"/>
      <c r="C37" s="69">
        <v>5</v>
      </c>
      <c r="D37" s="408" t="s">
        <v>262</v>
      </c>
      <c r="E37" s="409">
        <f t="shared" si="2"/>
        <v>80000</v>
      </c>
      <c r="F37" s="410"/>
      <c r="G37" s="410"/>
      <c r="H37" s="410"/>
      <c r="I37" s="410"/>
      <c r="J37" s="410"/>
      <c r="K37" s="357"/>
      <c r="L37" s="411"/>
      <c r="M37" s="357"/>
      <c r="N37" s="357"/>
      <c r="O37" s="357"/>
      <c r="P37" s="357"/>
      <c r="Q37" s="357"/>
      <c r="R37" s="357"/>
      <c r="S37" s="357"/>
      <c r="T37" s="194"/>
      <c r="U37" s="357"/>
      <c r="V37" s="357"/>
      <c r="W37" s="357"/>
      <c r="X37" s="357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</row>
    <row r="38" spans="1:121" s="217" customFormat="1" ht="18" hidden="1" customHeight="1" outlineLevel="1" x14ac:dyDescent="0.3">
      <c r="A38" s="215"/>
      <c r="B38" s="194"/>
      <c r="C38" s="69">
        <v>6</v>
      </c>
      <c r="D38" s="408" t="s">
        <v>396</v>
      </c>
      <c r="E38" s="409">
        <f t="shared" si="2"/>
        <v>90000</v>
      </c>
      <c r="F38" s="410"/>
      <c r="G38" s="410"/>
      <c r="H38" s="410"/>
      <c r="I38" s="410"/>
      <c r="J38" s="410"/>
      <c r="K38" s="357"/>
      <c r="L38" s="411"/>
      <c r="M38" s="357"/>
      <c r="N38" s="357"/>
      <c r="O38" s="357"/>
      <c r="P38" s="357"/>
      <c r="Q38" s="357"/>
      <c r="R38" s="357"/>
      <c r="S38" s="357"/>
      <c r="T38" s="194"/>
      <c r="U38" s="357"/>
      <c r="V38" s="357"/>
      <c r="W38" s="357"/>
      <c r="X38" s="357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</row>
    <row r="39" spans="1:121" s="217" customFormat="1" ht="18" hidden="1" customHeight="1" outlineLevel="1" x14ac:dyDescent="0.3">
      <c r="A39" s="215"/>
      <c r="B39" s="194"/>
      <c r="C39" s="69">
        <v>7</v>
      </c>
      <c r="D39" s="408" t="s">
        <v>408</v>
      </c>
      <c r="E39" s="409">
        <f t="shared" si="2"/>
        <v>100000</v>
      </c>
      <c r="F39" s="410"/>
      <c r="G39" s="410"/>
      <c r="H39" s="410"/>
      <c r="I39" s="410"/>
      <c r="J39" s="410"/>
      <c r="K39" s="357"/>
      <c r="L39" s="411"/>
      <c r="M39" s="357"/>
      <c r="N39" s="357"/>
      <c r="O39" s="357"/>
      <c r="P39" s="357"/>
      <c r="Q39" s="357"/>
      <c r="R39" s="357"/>
      <c r="S39" s="357"/>
      <c r="T39" s="194"/>
      <c r="U39" s="357"/>
      <c r="V39" s="357"/>
      <c r="W39" s="357"/>
      <c r="X39" s="357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</row>
    <row r="40" spans="1:121" s="217" customFormat="1" ht="18" hidden="1" customHeight="1" outlineLevel="1" x14ac:dyDescent="0.3">
      <c r="A40" s="215"/>
      <c r="B40" s="194"/>
      <c r="C40" s="69">
        <v>8</v>
      </c>
      <c r="D40" s="408" t="s">
        <v>409</v>
      </c>
      <c r="E40" s="409">
        <f t="shared" si="2"/>
        <v>110000</v>
      </c>
      <c r="F40" s="472"/>
      <c r="G40" s="472"/>
      <c r="H40" s="472"/>
      <c r="I40" s="472"/>
      <c r="J40" s="472"/>
      <c r="K40" s="357"/>
      <c r="L40" s="411"/>
      <c r="M40" s="357"/>
      <c r="N40" s="357"/>
      <c r="O40" s="357"/>
      <c r="P40" s="357"/>
      <c r="Q40" s="357"/>
      <c r="R40" s="357"/>
      <c r="S40" s="357"/>
      <c r="T40" s="194"/>
      <c r="U40" s="357"/>
      <c r="V40" s="357"/>
      <c r="W40" s="357"/>
      <c r="X40" s="357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</row>
    <row r="41" spans="1:121" s="217" customFormat="1" ht="18" hidden="1" customHeight="1" outlineLevel="1" x14ac:dyDescent="0.3">
      <c r="A41" s="215"/>
      <c r="B41" s="194"/>
      <c r="C41" s="69">
        <v>9</v>
      </c>
      <c r="D41" s="408" t="s">
        <v>416</v>
      </c>
      <c r="E41" s="409">
        <f t="shared" si="2"/>
        <v>120000</v>
      </c>
      <c r="F41" s="410"/>
      <c r="G41" s="410"/>
      <c r="H41" s="410"/>
      <c r="I41" s="410"/>
      <c r="J41" s="410"/>
      <c r="K41" s="357"/>
      <c r="L41" s="411"/>
      <c r="M41" s="357"/>
      <c r="N41" s="357"/>
      <c r="O41" s="357"/>
      <c r="P41" s="357"/>
      <c r="Q41" s="357"/>
      <c r="R41" s="357"/>
      <c r="S41" s="357"/>
      <c r="T41" s="194"/>
      <c r="U41" s="357"/>
      <c r="V41" s="357"/>
      <c r="W41" s="357"/>
      <c r="X41" s="357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</row>
    <row r="42" spans="1:121" s="217" customFormat="1" ht="18" hidden="1" customHeight="1" outlineLevel="1" x14ac:dyDescent="0.3">
      <c r="A42" s="215"/>
      <c r="B42" s="194"/>
      <c r="C42" s="69">
        <v>10</v>
      </c>
      <c r="D42" s="408" t="s">
        <v>424</v>
      </c>
      <c r="E42" s="409">
        <f t="shared" si="2"/>
        <v>130000</v>
      </c>
      <c r="F42" s="410"/>
      <c r="G42" s="410"/>
      <c r="H42" s="410"/>
      <c r="I42" s="410"/>
      <c r="J42" s="410"/>
      <c r="K42" s="357"/>
      <c r="L42" s="411"/>
      <c r="M42" s="357"/>
      <c r="N42" s="357"/>
      <c r="O42" s="357"/>
      <c r="P42" s="357"/>
      <c r="Q42" s="357"/>
      <c r="R42" s="357"/>
      <c r="S42" s="357"/>
      <c r="T42" s="194"/>
      <c r="U42" s="357"/>
      <c r="V42" s="357"/>
      <c r="W42" s="357"/>
      <c r="X42" s="357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</row>
    <row r="43" spans="1:121" s="217" customFormat="1" ht="18" hidden="1" customHeight="1" outlineLevel="1" x14ac:dyDescent="0.3">
      <c r="A43" s="215"/>
      <c r="B43" s="194"/>
      <c r="C43" s="69">
        <v>11</v>
      </c>
      <c r="D43" s="408" t="s">
        <v>426</v>
      </c>
      <c r="E43" s="409">
        <f t="shared" si="2"/>
        <v>140000</v>
      </c>
      <c r="F43" s="410"/>
      <c r="G43" s="410"/>
      <c r="H43" s="410"/>
      <c r="I43" s="410"/>
      <c r="J43" s="410"/>
      <c r="K43" s="357"/>
      <c r="L43" s="411"/>
      <c r="M43" s="357"/>
      <c r="N43" s="357"/>
      <c r="O43" s="357"/>
      <c r="P43" s="357"/>
      <c r="Q43" s="357"/>
      <c r="R43" s="357"/>
      <c r="S43" s="357"/>
      <c r="T43" s="194"/>
      <c r="U43" s="357"/>
      <c r="V43" s="357"/>
      <c r="W43" s="357"/>
      <c r="X43" s="357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</row>
    <row r="44" spans="1:121" s="217" customFormat="1" ht="18" hidden="1" customHeight="1" outlineLevel="1" x14ac:dyDescent="0.3">
      <c r="A44" s="215"/>
      <c r="B44" s="194"/>
      <c r="C44" s="69">
        <v>12</v>
      </c>
      <c r="D44" s="408" t="s">
        <v>427</v>
      </c>
      <c r="E44" s="409">
        <f t="shared" si="2"/>
        <v>150000</v>
      </c>
      <c r="F44" s="410"/>
      <c r="G44" s="410"/>
      <c r="H44" s="410"/>
      <c r="I44" s="410"/>
      <c r="J44" s="410"/>
      <c r="K44" s="357"/>
      <c r="L44" s="411"/>
      <c r="M44" s="357"/>
      <c r="N44" s="357"/>
      <c r="O44" s="357"/>
      <c r="P44" s="357"/>
      <c r="Q44" s="357"/>
      <c r="R44" s="357"/>
      <c r="S44" s="357"/>
      <c r="T44" s="194"/>
      <c r="U44" s="357"/>
      <c r="V44" s="357"/>
      <c r="W44" s="357"/>
      <c r="X44" s="357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</row>
    <row r="45" spans="1:121" s="217" customFormat="1" ht="18" hidden="1" customHeight="1" outlineLevel="1" x14ac:dyDescent="0.3">
      <c r="A45" s="215"/>
      <c r="B45" s="194"/>
      <c r="C45" s="69">
        <v>13</v>
      </c>
      <c r="D45" s="408" t="s">
        <v>430</v>
      </c>
      <c r="E45" s="409">
        <f t="shared" si="2"/>
        <v>160000</v>
      </c>
      <c r="F45" s="410"/>
      <c r="G45" s="410"/>
      <c r="H45" s="410"/>
      <c r="I45" s="410"/>
      <c r="J45" s="410"/>
      <c r="K45" s="357"/>
      <c r="L45" s="411"/>
      <c r="M45" s="357"/>
      <c r="N45" s="357"/>
      <c r="O45" s="357"/>
      <c r="P45" s="357"/>
      <c r="Q45" s="357"/>
      <c r="R45" s="357"/>
      <c r="S45" s="357"/>
      <c r="T45" s="194"/>
      <c r="U45" s="357"/>
      <c r="V45" s="357"/>
      <c r="W45" s="357"/>
      <c r="X45" s="357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</row>
    <row r="46" spans="1:121" s="217" customFormat="1" ht="18" hidden="1" customHeight="1" outlineLevel="1" x14ac:dyDescent="0.3">
      <c r="A46" s="215"/>
      <c r="B46" s="194"/>
      <c r="C46" s="69">
        <v>14</v>
      </c>
      <c r="D46" s="408" t="s">
        <v>432</v>
      </c>
      <c r="E46" s="409">
        <f t="shared" si="2"/>
        <v>170000</v>
      </c>
      <c r="F46" s="410"/>
      <c r="G46" s="410"/>
      <c r="H46" s="410"/>
      <c r="I46" s="410"/>
      <c r="J46" s="410"/>
      <c r="K46" s="357"/>
      <c r="L46" s="411"/>
      <c r="M46" s="357"/>
      <c r="N46" s="357"/>
      <c r="O46" s="357"/>
      <c r="P46" s="357"/>
      <c r="Q46" s="357"/>
      <c r="R46" s="357"/>
      <c r="S46" s="357"/>
      <c r="T46" s="194"/>
      <c r="U46" s="357"/>
      <c r="V46" s="357"/>
      <c r="W46" s="357"/>
      <c r="X46" s="357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</row>
    <row r="47" spans="1:121" s="217" customFormat="1" ht="18" hidden="1" customHeight="1" outlineLevel="1" x14ac:dyDescent="0.3">
      <c r="A47" s="215"/>
      <c r="B47" s="194"/>
      <c r="C47" s="69">
        <v>15</v>
      </c>
      <c r="D47" s="408" t="s">
        <v>436</v>
      </c>
      <c r="E47" s="409">
        <f t="shared" si="2"/>
        <v>180000</v>
      </c>
      <c r="F47" s="410"/>
      <c r="G47" s="410"/>
      <c r="H47" s="410"/>
      <c r="I47" s="410"/>
      <c r="J47" s="410"/>
      <c r="K47" s="357"/>
      <c r="L47" s="411"/>
      <c r="M47" s="357"/>
      <c r="N47" s="357"/>
      <c r="O47" s="357"/>
      <c r="P47" s="357"/>
      <c r="Q47" s="357"/>
      <c r="R47" s="357"/>
      <c r="S47" s="357"/>
      <c r="T47" s="194"/>
      <c r="U47" s="357"/>
      <c r="V47" s="357"/>
      <c r="W47" s="357"/>
      <c r="X47" s="357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</row>
    <row r="48" spans="1:121" s="217" customFormat="1" ht="18" hidden="1" customHeight="1" outlineLevel="1" x14ac:dyDescent="0.3">
      <c r="A48" s="215"/>
      <c r="B48" s="194"/>
      <c r="C48" s="69">
        <v>16</v>
      </c>
      <c r="D48" s="408" t="s">
        <v>439</v>
      </c>
      <c r="E48" s="409">
        <f t="shared" si="2"/>
        <v>190000</v>
      </c>
      <c r="F48" s="410"/>
      <c r="G48" s="410"/>
      <c r="H48" s="410"/>
      <c r="I48" s="410"/>
      <c r="J48" s="410"/>
      <c r="K48" s="357"/>
      <c r="L48" s="411"/>
      <c r="M48" s="357"/>
      <c r="N48" s="357"/>
      <c r="O48" s="357"/>
      <c r="P48" s="357"/>
      <c r="Q48" s="357"/>
      <c r="R48" s="357"/>
      <c r="S48" s="357"/>
      <c r="T48" s="194"/>
      <c r="U48" s="357"/>
      <c r="V48" s="357"/>
      <c r="W48" s="357"/>
      <c r="X48" s="357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</row>
    <row r="49" spans="1:121" s="217" customFormat="1" hidden="1" outlineLevel="1" x14ac:dyDescent="0.3">
      <c r="A49" s="215"/>
      <c r="B49" s="194"/>
      <c r="C49" s="69">
        <v>17</v>
      </c>
      <c r="D49" s="408" t="s">
        <v>443</v>
      </c>
      <c r="E49" s="409">
        <f t="shared" si="2"/>
        <v>200000</v>
      </c>
      <c r="F49" s="410"/>
      <c r="G49" s="410"/>
      <c r="H49" s="410"/>
      <c r="I49" s="410"/>
      <c r="J49" s="410"/>
      <c r="K49" s="357"/>
      <c r="L49" s="411"/>
      <c r="M49" s="357"/>
      <c r="N49" s="357"/>
      <c r="O49" s="357"/>
      <c r="P49" s="357"/>
      <c r="Q49" s="357"/>
      <c r="R49" s="357"/>
      <c r="S49" s="357"/>
      <c r="T49" s="194"/>
      <c r="U49" s="357"/>
      <c r="V49" s="357"/>
      <c r="W49" s="357"/>
      <c r="X49" s="357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</row>
    <row r="50" spans="1:121" s="217" customFormat="1" ht="18" hidden="1" customHeight="1" outlineLevel="1" x14ac:dyDescent="0.3">
      <c r="A50" s="215"/>
      <c r="B50" s="194"/>
      <c r="C50" s="69">
        <v>18</v>
      </c>
      <c r="D50" s="408" t="s">
        <v>444</v>
      </c>
      <c r="E50" s="409">
        <f t="shared" si="2"/>
        <v>210000</v>
      </c>
      <c r="F50" s="410"/>
      <c r="G50" s="410"/>
      <c r="H50" s="410"/>
      <c r="I50" s="410"/>
      <c r="J50" s="410"/>
      <c r="K50" s="357"/>
      <c r="L50" s="411"/>
      <c r="M50" s="357"/>
      <c r="N50" s="357"/>
      <c r="O50" s="357"/>
      <c r="P50" s="357"/>
      <c r="Q50" s="357"/>
      <c r="R50" s="357"/>
      <c r="S50" s="357"/>
      <c r="T50" s="194"/>
      <c r="U50" s="357"/>
      <c r="V50" s="357"/>
      <c r="W50" s="357"/>
      <c r="X50" s="357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</row>
    <row r="51" spans="1:121" s="217" customFormat="1" ht="18" hidden="1" customHeight="1" outlineLevel="1" x14ac:dyDescent="0.3">
      <c r="A51" s="215"/>
      <c r="B51" s="194"/>
      <c r="C51" s="69">
        <v>19</v>
      </c>
      <c r="D51" s="408" t="s">
        <v>446</v>
      </c>
      <c r="E51" s="409">
        <f t="shared" si="2"/>
        <v>220000</v>
      </c>
      <c r="F51" s="410"/>
      <c r="G51" s="410"/>
      <c r="H51" s="410"/>
      <c r="I51" s="410"/>
      <c r="J51" s="410"/>
      <c r="K51" s="357"/>
      <c r="L51" s="411"/>
      <c r="M51" s="357"/>
      <c r="N51" s="357"/>
      <c r="O51" s="357"/>
      <c r="P51" s="357"/>
      <c r="Q51" s="357"/>
      <c r="R51" s="357"/>
      <c r="S51" s="357"/>
      <c r="T51" s="194"/>
      <c r="U51" s="357"/>
      <c r="V51" s="357"/>
      <c r="W51" s="357"/>
      <c r="X51" s="357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</row>
    <row r="52" spans="1:121" s="217" customFormat="1" ht="18" hidden="1" customHeight="1" outlineLevel="1" x14ac:dyDescent="0.3">
      <c r="A52" s="215"/>
      <c r="B52" s="194"/>
      <c r="C52" s="69">
        <v>20</v>
      </c>
      <c r="D52" s="408" t="s">
        <v>447</v>
      </c>
      <c r="E52" s="409">
        <f t="shared" si="2"/>
        <v>230000</v>
      </c>
      <c r="F52" s="410"/>
      <c r="G52" s="410"/>
      <c r="H52" s="410"/>
      <c r="I52" s="410"/>
      <c r="J52" s="410"/>
      <c r="K52" s="357"/>
      <c r="L52" s="411"/>
      <c r="M52" s="357"/>
      <c r="N52" s="357"/>
      <c r="O52" s="357"/>
      <c r="P52" s="357"/>
      <c r="Q52" s="357"/>
      <c r="R52" s="357"/>
      <c r="S52" s="357"/>
      <c r="T52" s="194"/>
      <c r="U52" s="357"/>
      <c r="V52" s="357"/>
      <c r="W52" s="357"/>
      <c r="X52" s="357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</row>
    <row r="53" spans="1:121" s="217" customFormat="1" ht="18" hidden="1" customHeight="1" outlineLevel="1" x14ac:dyDescent="0.3">
      <c r="A53" s="215"/>
      <c r="B53" s="194"/>
      <c r="C53" s="69">
        <v>21</v>
      </c>
      <c r="D53" s="408" t="s">
        <v>448</v>
      </c>
      <c r="E53" s="409">
        <f t="shared" si="2"/>
        <v>240000</v>
      </c>
      <c r="F53" s="410"/>
      <c r="G53" s="410"/>
      <c r="H53" s="410"/>
      <c r="I53" s="410"/>
      <c r="J53" s="410"/>
      <c r="K53" s="357"/>
      <c r="L53" s="411"/>
      <c r="M53" s="357"/>
      <c r="N53" s="357"/>
      <c r="O53" s="357"/>
      <c r="P53" s="357"/>
      <c r="Q53" s="357"/>
      <c r="R53" s="357"/>
      <c r="S53" s="357"/>
      <c r="T53" s="194"/>
      <c r="U53" s="357"/>
      <c r="V53" s="357"/>
      <c r="W53" s="357"/>
      <c r="X53" s="357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</row>
    <row r="54" spans="1:121" s="2" customFormat="1" ht="4.5" customHeight="1" collapsed="1" thickBot="1" x14ac:dyDescent="0.35">
      <c r="A54" s="150"/>
      <c r="B54" s="144"/>
      <c r="C54" s="161"/>
      <c r="D54" s="144"/>
      <c r="E54" s="144"/>
      <c r="F54" s="161"/>
      <c r="G54" s="161"/>
      <c r="H54" s="324"/>
      <c r="I54" s="324"/>
      <c r="J54" s="324"/>
      <c r="K54" s="161"/>
      <c r="L54" s="159"/>
      <c r="M54" s="161"/>
      <c r="N54" s="161"/>
      <c r="O54" s="161"/>
      <c r="P54" s="161"/>
      <c r="Q54" s="161"/>
      <c r="R54" s="161"/>
      <c r="S54" s="161"/>
      <c r="T54" s="39"/>
      <c r="U54" s="59"/>
      <c r="V54" s="59"/>
      <c r="W54" s="59"/>
      <c r="X54" s="5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</row>
    <row r="55" spans="1:121" s="2" customFormat="1" ht="19.5" thickBot="1" x14ac:dyDescent="0.35">
      <c r="A55" s="150"/>
      <c r="B55" s="507" t="s">
        <v>176</v>
      </c>
      <c r="C55" s="508"/>
      <c r="D55" s="508"/>
      <c r="E55" s="508"/>
      <c r="F55" s="509"/>
      <c r="G55" s="161"/>
      <c r="H55" s="324"/>
      <c r="I55" s="547" t="s">
        <v>252</v>
      </c>
      <c r="J55" s="548"/>
      <c r="K55" s="549"/>
      <c r="L55" s="550" t="s">
        <v>253</v>
      </c>
      <c r="M55" s="551"/>
      <c r="N55" s="550" t="s">
        <v>254</v>
      </c>
      <c r="O55" s="558"/>
      <c r="P55" s="558"/>
      <c r="Q55" s="558"/>
      <c r="R55" s="558"/>
      <c r="S55" s="551"/>
      <c r="T55" s="39"/>
      <c r="U55" s="559" t="s">
        <v>254</v>
      </c>
      <c r="V55" s="560"/>
      <c r="W55" s="561"/>
      <c r="X55" s="462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</row>
    <row r="56" spans="1:121" s="2" customFormat="1" ht="18.75" x14ac:dyDescent="0.3">
      <c r="A56" s="150"/>
      <c r="B56" s="144"/>
      <c r="C56" s="161"/>
      <c r="D56" s="144"/>
      <c r="E56" s="161"/>
      <c r="F56" s="161"/>
      <c r="G56" s="161"/>
      <c r="H56" s="324"/>
      <c r="I56" s="437" t="s">
        <v>17</v>
      </c>
      <c r="J56" s="365" t="s">
        <v>178</v>
      </c>
      <c r="K56" s="366" t="s">
        <v>177</v>
      </c>
      <c r="L56" s="380" t="s">
        <v>178</v>
      </c>
      <c r="M56" s="366" t="s">
        <v>177</v>
      </c>
      <c r="N56" s="432" t="s">
        <v>17</v>
      </c>
      <c r="O56" s="433" t="s">
        <v>17</v>
      </c>
      <c r="P56" s="491" t="s">
        <v>17</v>
      </c>
      <c r="Q56" s="434" t="s">
        <v>17</v>
      </c>
      <c r="R56" s="435" t="s">
        <v>17</v>
      </c>
      <c r="S56" s="436" t="s">
        <v>17</v>
      </c>
      <c r="T56" s="39"/>
      <c r="U56" s="413" t="s">
        <v>17</v>
      </c>
      <c r="V56" s="459" t="s">
        <v>17</v>
      </c>
      <c r="W56" s="463" t="s">
        <v>17</v>
      </c>
      <c r="X56" s="456"/>
      <c r="Y56" s="39"/>
      <c r="Z56" s="39"/>
      <c r="AA56" s="39"/>
      <c r="AB56" s="39"/>
      <c r="AC56" s="39"/>
      <c r="AD56" s="39"/>
      <c r="AE56" s="39"/>
      <c r="AF56" s="552" t="s">
        <v>110</v>
      </c>
      <c r="AG56" s="552"/>
      <c r="AH56" s="39"/>
      <c r="AI56" s="39"/>
      <c r="AJ56" s="39"/>
      <c r="AK56" s="39"/>
      <c r="AL56" s="39"/>
      <c r="AM56" s="553" t="s">
        <v>174</v>
      </c>
      <c r="AN56" s="553"/>
      <c r="AO56" s="554" t="s">
        <v>175</v>
      </c>
      <c r="AP56" s="554"/>
      <c r="AQ56" s="555" t="s">
        <v>107</v>
      </c>
      <c r="AR56" s="556"/>
      <c r="AS56" s="556"/>
      <c r="AT56" s="557"/>
      <c r="AU56" s="555" t="s">
        <v>108</v>
      </c>
      <c r="AV56" s="556"/>
      <c r="AW56" s="556"/>
      <c r="AX56" s="557"/>
      <c r="AY56" s="39"/>
      <c r="AZ56" s="39"/>
      <c r="BA56" s="543" t="s">
        <v>236</v>
      </c>
      <c r="BB56" s="543"/>
      <c r="BC56" s="543"/>
      <c r="BD56" s="543"/>
      <c r="BE56" s="543"/>
      <c r="BF56" s="543"/>
      <c r="BG56" s="543"/>
      <c r="BH56" s="543"/>
      <c r="BI56" s="544" t="s">
        <v>237</v>
      </c>
      <c r="BJ56" s="545"/>
      <c r="BK56" s="545"/>
      <c r="BL56" s="545"/>
      <c r="BM56" s="545"/>
      <c r="BN56" s="545"/>
      <c r="BO56" s="545"/>
      <c r="BP56" s="546"/>
      <c r="BQ56" s="544" t="s">
        <v>154</v>
      </c>
      <c r="BR56" s="545"/>
      <c r="BS56" s="545"/>
      <c r="BT56" s="545"/>
      <c r="BU56" s="545"/>
      <c r="BV56" s="545"/>
      <c r="BW56" s="545"/>
      <c r="BX56" s="546"/>
      <c r="BY56" s="544" t="s">
        <v>143</v>
      </c>
      <c r="BZ56" s="545"/>
      <c r="CA56" s="545"/>
      <c r="CB56" s="545"/>
      <c r="CC56" s="545"/>
      <c r="CD56" s="545"/>
      <c r="CE56" s="545"/>
      <c r="CF56" s="546"/>
      <c r="CG56" s="544" t="s">
        <v>101</v>
      </c>
      <c r="CH56" s="545"/>
      <c r="CI56" s="545"/>
      <c r="CJ56" s="546"/>
      <c r="CK56" s="544" t="s">
        <v>48</v>
      </c>
      <c r="CL56" s="545"/>
      <c r="CM56" s="545"/>
      <c r="CN56" s="546"/>
      <c r="CO56" s="544" t="s">
        <v>50</v>
      </c>
      <c r="CP56" s="545"/>
      <c r="CQ56" s="545"/>
      <c r="CR56" s="545"/>
      <c r="CS56" s="546"/>
      <c r="CT56" s="543" t="s">
        <v>49</v>
      </c>
      <c r="CU56" s="543"/>
      <c r="CV56" s="543"/>
      <c r="CW56" s="543"/>
      <c r="CX56" s="543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</row>
    <row r="57" spans="1:121" s="86" customFormat="1" ht="30" x14ac:dyDescent="0.3">
      <c r="A57" s="151"/>
      <c r="B57" s="159"/>
      <c r="C57" s="159"/>
      <c r="D57" s="159"/>
      <c r="E57" s="159"/>
      <c r="F57" s="159"/>
      <c r="G57" s="345" t="s">
        <v>32</v>
      </c>
      <c r="H57" s="345" t="s">
        <v>15</v>
      </c>
      <c r="I57" s="438" t="s">
        <v>81</v>
      </c>
      <c r="J57" s="367" t="s">
        <v>81</v>
      </c>
      <c r="K57" s="368" t="s">
        <v>81</v>
      </c>
      <c r="L57" s="381" t="s">
        <v>253</v>
      </c>
      <c r="M57" s="368" t="s">
        <v>253</v>
      </c>
      <c r="N57" s="432" t="s">
        <v>398</v>
      </c>
      <c r="O57" s="433" t="s">
        <v>399</v>
      </c>
      <c r="P57" s="491" t="s">
        <v>400</v>
      </c>
      <c r="Q57" s="434" t="s">
        <v>154</v>
      </c>
      <c r="R57" s="435" t="s">
        <v>401</v>
      </c>
      <c r="S57" s="436" t="s">
        <v>402</v>
      </c>
      <c r="T57" s="87"/>
      <c r="U57" s="414" t="s">
        <v>225</v>
      </c>
      <c r="V57" s="461" t="s">
        <v>226</v>
      </c>
      <c r="W57" s="464" t="s">
        <v>236</v>
      </c>
      <c r="X57" s="457"/>
      <c r="Y57" s="83" t="s">
        <v>32</v>
      </c>
      <c r="Z57" s="83" t="s">
        <v>33</v>
      </c>
      <c r="AA57" s="83" t="s">
        <v>15</v>
      </c>
      <c r="AB57" s="83" t="s">
        <v>35</v>
      </c>
      <c r="AC57" s="83" t="s">
        <v>34</v>
      </c>
      <c r="AD57" s="83" t="s">
        <v>36</v>
      </c>
      <c r="AE57" s="83" t="s">
        <v>37</v>
      </c>
      <c r="AF57" s="83" t="s">
        <v>38</v>
      </c>
      <c r="AG57" s="83" t="s">
        <v>41</v>
      </c>
      <c r="AH57" s="83" t="s">
        <v>45</v>
      </c>
      <c r="AI57" s="83" t="s">
        <v>40</v>
      </c>
      <c r="AJ57" s="84" t="s">
        <v>42</v>
      </c>
      <c r="AK57" s="83" t="s">
        <v>47</v>
      </c>
      <c r="AL57" s="83" t="s">
        <v>46</v>
      </c>
      <c r="AM57" s="236" t="s">
        <v>109</v>
      </c>
      <c r="AN57" s="272" t="s">
        <v>41</v>
      </c>
      <c r="AO57" s="237" t="s">
        <v>109</v>
      </c>
      <c r="AP57" s="273" t="s">
        <v>41</v>
      </c>
      <c r="AQ57" s="83" t="s">
        <v>109</v>
      </c>
      <c r="AR57" s="85" t="s">
        <v>39</v>
      </c>
      <c r="AS57" s="83" t="s">
        <v>41</v>
      </c>
      <c r="AT57" s="85" t="s">
        <v>39</v>
      </c>
      <c r="AU57" s="83" t="s">
        <v>109</v>
      </c>
      <c r="AV57" s="85" t="s">
        <v>39</v>
      </c>
      <c r="AW57" s="83" t="s">
        <v>41</v>
      </c>
      <c r="AX57" s="85" t="s">
        <v>39</v>
      </c>
      <c r="AY57" s="83" t="s">
        <v>43</v>
      </c>
      <c r="AZ57" s="83" t="s">
        <v>44</v>
      </c>
      <c r="BA57" s="83" t="s">
        <v>17</v>
      </c>
      <c r="BB57" s="83" t="s">
        <v>16</v>
      </c>
      <c r="BC57" s="83"/>
      <c r="BD57" s="83"/>
      <c r="BE57" s="83" t="s">
        <v>17</v>
      </c>
      <c r="BF57" s="83" t="s">
        <v>79</v>
      </c>
      <c r="BG57" s="84" t="s">
        <v>16</v>
      </c>
      <c r="BH57" s="84" t="s">
        <v>80</v>
      </c>
      <c r="BI57" s="83" t="s">
        <v>17</v>
      </c>
      <c r="BJ57" s="83" t="s">
        <v>16</v>
      </c>
      <c r="BK57" s="83"/>
      <c r="BL57" s="83" t="s">
        <v>17</v>
      </c>
      <c r="BM57" s="83" t="s">
        <v>79</v>
      </c>
      <c r="BN57" s="83"/>
      <c r="BO57" s="84" t="s">
        <v>16</v>
      </c>
      <c r="BP57" s="84" t="s">
        <v>80</v>
      </c>
      <c r="BQ57" s="83" t="s">
        <v>17</v>
      </c>
      <c r="BR57" s="83" t="s">
        <v>16</v>
      </c>
      <c r="BS57" s="83"/>
      <c r="BT57" s="83" t="s">
        <v>17</v>
      </c>
      <c r="BU57" s="83" t="s">
        <v>79</v>
      </c>
      <c r="BV57" s="83"/>
      <c r="BW57" s="84" t="s">
        <v>16</v>
      </c>
      <c r="BX57" s="84" t="s">
        <v>80</v>
      </c>
      <c r="BY57" s="83" t="s">
        <v>17</v>
      </c>
      <c r="BZ57" s="83" t="s">
        <v>16</v>
      </c>
      <c r="CA57" s="83"/>
      <c r="CB57" s="83" t="s">
        <v>17</v>
      </c>
      <c r="CC57" s="83" t="s">
        <v>79</v>
      </c>
      <c r="CD57" s="83"/>
      <c r="CE57" s="84" t="s">
        <v>16</v>
      </c>
      <c r="CF57" s="84" t="s">
        <v>80</v>
      </c>
      <c r="CG57" s="83" t="s">
        <v>17</v>
      </c>
      <c r="CH57" s="83" t="s">
        <v>79</v>
      </c>
      <c r="CI57" s="84" t="s">
        <v>16</v>
      </c>
      <c r="CJ57" s="84" t="s">
        <v>80</v>
      </c>
      <c r="CK57" s="83" t="s">
        <v>17</v>
      </c>
      <c r="CL57" s="83" t="s">
        <v>79</v>
      </c>
      <c r="CM57" s="84" t="s">
        <v>16</v>
      </c>
      <c r="CN57" s="84" t="s">
        <v>80</v>
      </c>
      <c r="CO57" s="83" t="s">
        <v>17</v>
      </c>
      <c r="CP57" s="83" t="s">
        <v>17</v>
      </c>
      <c r="CQ57" s="83" t="s">
        <v>79</v>
      </c>
      <c r="CR57" s="84" t="s">
        <v>16</v>
      </c>
      <c r="CS57" s="84" t="s">
        <v>80</v>
      </c>
      <c r="CT57" s="83" t="s">
        <v>102</v>
      </c>
      <c r="CU57" s="83" t="s">
        <v>17</v>
      </c>
      <c r="CV57" s="83" t="s">
        <v>79</v>
      </c>
      <c r="CW57" s="84" t="s">
        <v>16</v>
      </c>
      <c r="CX57" s="84" t="s">
        <v>80</v>
      </c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</row>
    <row r="58" spans="1:121" s="101" customFormat="1" x14ac:dyDescent="0.3">
      <c r="A58" s="152"/>
      <c r="B58" s="160"/>
      <c r="C58" s="242"/>
      <c r="D58" s="160"/>
      <c r="E58" s="242"/>
      <c r="F58" s="242"/>
      <c r="G58" s="156">
        <v>0</v>
      </c>
      <c r="H58" s="185">
        <f>AC58</f>
        <v>45252.75</v>
      </c>
      <c r="I58" s="369">
        <f>AF58</f>
        <v>0</v>
      </c>
      <c r="J58" s="370">
        <f>AM58</f>
        <v>0</v>
      </c>
      <c r="K58" s="371">
        <f>AO58</f>
        <v>0</v>
      </c>
      <c r="L58" s="382">
        <f>AQ58</f>
        <v>0</v>
      </c>
      <c r="M58" s="383">
        <f>AU58</f>
        <v>0</v>
      </c>
      <c r="N58" s="382">
        <v>0</v>
      </c>
      <c r="O58" s="429">
        <v>0</v>
      </c>
      <c r="P58" s="429">
        <v>0</v>
      </c>
      <c r="Q58" s="429">
        <v>0</v>
      </c>
      <c r="R58" s="429">
        <v>0</v>
      </c>
      <c r="S58" s="383">
        <v>0</v>
      </c>
      <c r="T58" s="69"/>
      <c r="U58" s="415">
        <v>0</v>
      </c>
      <c r="V58" s="453">
        <v>0</v>
      </c>
      <c r="W58" s="416">
        <v>0</v>
      </c>
      <c r="X58" s="415"/>
      <c r="Y58" s="106">
        <v>0</v>
      </c>
      <c r="Z58" s="88">
        <f>WEEKDAY(AA58)</f>
        <v>4</v>
      </c>
      <c r="AA58" s="89">
        <v>45252</v>
      </c>
      <c r="AB58" s="90">
        <v>0.75</v>
      </c>
      <c r="AC58" s="91">
        <f>AA58+AB58</f>
        <v>45252.75</v>
      </c>
      <c r="AD58" s="92"/>
      <c r="AE58" s="92"/>
      <c r="AF58" s="93">
        <v>0</v>
      </c>
      <c r="AG58" s="57">
        <v>0</v>
      </c>
      <c r="AH58" s="94"/>
      <c r="AI58" s="95"/>
      <c r="AJ58" s="96"/>
      <c r="AK58" s="97"/>
      <c r="AL58" s="96"/>
      <c r="AM58" s="343">
        <f>AF58</f>
        <v>0</v>
      </c>
      <c r="AN58" s="344">
        <f>AG58</f>
        <v>0</v>
      </c>
      <c r="AO58" s="343">
        <f>AF58</f>
        <v>0</v>
      </c>
      <c r="AP58" s="344">
        <f>AG58</f>
        <v>0</v>
      </c>
      <c r="AQ58" s="95">
        <f>AV58</f>
        <v>0</v>
      </c>
      <c r="AR58" s="98"/>
      <c r="AS58" s="71"/>
      <c r="AT58" s="80"/>
      <c r="AU58" s="95"/>
      <c r="AV58" s="98"/>
      <c r="AW58" s="71"/>
      <c r="AX58" s="80"/>
      <c r="AY58" s="95"/>
      <c r="AZ58" s="95"/>
      <c r="BA58" s="93">
        <v>0</v>
      </c>
      <c r="BB58" s="57">
        <v>0</v>
      </c>
      <c r="BC58" s="105"/>
      <c r="BD58" s="105"/>
      <c r="BE58" s="95"/>
      <c r="BF58" s="95"/>
      <c r="BG58" s="95"/>
      <c r="BH58" s="95"/>
      <c r="BI58" s="93">
        <v>0</v>
      </c>
      <c r="BJ58" s="57">
        <v>0</v>
      </c>
      <c r="BK58" s="192"/>
      <c r="BL58" s="95"/>
      <c r="BM58" s="95"/>
      <c r="BN58" s="192"/>
      <c r="BO58" s="95"/>
      <c r="BP58" s="95"/>
      <c r="BQ58" s="93">
        <v>0</v>
      </c>
      <c r="BR58" s="57">
        <v>0</v>
      </c>
      <c r="BS58" s="192"/>
      <c r="BT58" s="95"/>
      <c r="BU58" s="95"/>
      <c r="BV58" s="192"/>
      <c r="BW58" s="95"/>
      <c r="BX58" s="95"/>
      <c r="BY58" s="93">
        <v>0</v>
      </c>
      <c r="BZ58" s="57">
        <v>0</v>
      </c>
      <c r="CA58" s="105"/>
      <c r="CB58" s="95"/>
      <c r="CC58" s="95"/>
      <c r="CD58" s="105"/>
      <c r="CE58" s="95"/>
      <c r="CF58" s="95"/>
      <c r="CG58" s="99">
        <v>0</v>
      </c>
      <c r="CH58" s="99">
        <v>0</v>
      </c>
      <c r="CI58" s="100">
        <v>0</v>
      </c>
      <c r="CJ58" s="100"/>
      <c r="CK58" s="99">
        <v>0</v>
      </c>
      <c r="CL58" s="99">
        <v>0</v>
      </c>
      <c r="CM58" s="100">
        <v>0</v>
      </c>
      <c r="CN58" s="100"/>
      <c r="CO58" s="353"/>
      <c r="CP58" s="99">
        <f>AY58/$AF$79</f>
        <v>0</v>
      </c>
      <c r="CQ58" s="99">
        <f>CP58</f>
        <v>0</v>
      </c>
      <c r="CR58" s="356">
        <f>CG58/$AG$91</f>
        <v>0</v>
      </c>
      <c r="CS58" s="356"/>
      <c r="CT58" s="93">
        <f>Vergleich!C3</f>
        <v>0</v>
      </c>
      <c r="CU58" s="63"/>
      <c r="CV58" s="99">
        <f t="shared" ref="CV58" si="3">CT58/$CT$79</f>
        <v>0</v>
      </c>
      <c r="CW58" s="356"/>
      <c r="CX58" s="356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</row>
    <row r="59" spans="1:121" s="101" customFormat="1" x14ac:dyDescent="0.3">
      <c r="A59" s="152"/>
      <c r="B59" s="160"/>
      <c r="C59" s="242"/>
      <c r="D59" s="160"/>
      <c r="E59" s="242"/>
      <c r="F59" s="242"/>
      <c r="G59" s="156">
        <v>1</v>
      </c>
      <c r="H59" s="185">
        <f t="shared" ref="H59:H79" si="4">AC59</f>
        <v>45253.75</v>
      </c>
      <c r="I59" s="369">
        <f t="shared" ref="I59:I79" si="5">AF59</f>
        <v>39596</v>
      </c>
      <c r="J59" s="370">
        <f t="shared" ref="J59:J79" si="6">AM59</f>
        <v>39596</v>
      </c>
      <c r="K59" s="371">
        <f t="shared" ref="K59:K79" si="7">AO59</f>
        <v>39596</v>
      </c>
      <c r="L59" s="382">
        <f t="shared" ref="L59:L78" si="8">AQ59</f>
        <v>39596</v>
      </c>
      <c r="M59" s="383">
        <f t="shared" ref="M59:M79" si="9">AU59</f>
        <v>39596</v>
      </c>
      <c r="N59" s="389"/>
      <c r="O59" s="370">
        <v>43437</v>
      </c>
      <c r="P59" s="370">
        <v>89735</v>
      </c>
      <c r="Q59" s="370">
        <v>82966</v>
      </c>
      <c r="R59" s="370">
        <v>76466</v>
      </c>
      <c r="S59" s="371">
        <v>97183</v>
      </c>
      <c r="T59" s="69"/>
      <c r="U59" s="417">
        <v>36402</v>
      </c>
      <c r="V59" s="454">
        <v>26725</v>
      </c>
      <c r="W59" s="418">
        <v>8357</v>
      </c>
      <c r="X59" s="417"/>
      <c r="Y59" s="106">
        <v>1</v>
      </c>
      <c r="Z59" s="88" t="s">
        <v>14</v>
      </c>
      <c r="AA59" s="89">
        <f>AA58+1</f>
        <v>45253</v>
      </c>
      <c r="AB59" s="90">
        <v>0.75</v>
      </c>
      <c r="AC59" s="91">
        <f t="shared" ref="AC59:AC79" si="10">AA59+AB59</f>
        <v>45253.75</v>
      </c>
      <c r="AD59" s="92">
        <f t="shared" ref="AD59:AD79" si="11">AC59-$AC$58</f>
        <v>1</v>
      </c>
      <c r="AE59" s="92">
        <f>AD59-AD58</f>
        <v>1</v>
      </c>
      <c r="AF59" s="102">
        <v>39596</v>
      </c>
      <c r="AG59" s="103">
        <v>180</v>
      </c>
      <c r="AH59" s="104">
        <f t="shared" ref="AH59:AH79" si="12">AG59-AG58</f>
        <v>180</v>
      </c>
      <c r="AI59" s="95">
        <f>AF59-AF58</f>
        <v>39596</v>
      </c>
      <c r="AJ59" s="96">
        <f t="shared" ref="AJ59:AJ79" si="13">AF59/AG59</f>
        <v>219.97777777777779</v>
      </c>
      <c r="AK59" s="97">
        <f>(AI59-AF58)/(AH59-AG58)</f>
        <v>219.97777777777779</v>
      </c>
      <c r="AL59" s="97">
        <f>SUM(AI59:AI59)/SUM(AH59:AH59)</f>
        <v>219.97777777777779</v>
      </c>
      <c r="AM59" s="102">
        <f t="shared" ref="AM59:AN60" si="14">AF59</f>
        <v>39596</v>
      </c>
      <c r="AN59" s="103">
        <f t="shared" si="14"/>
        <v>180</v>
      </c>
      <c r="AO59" s="102">
        <f t="shared" ref="AO59:AP60" si="15">AF59</f>
        <v>39596</v>
      </c>
      <c r="AP59" s="103">
        <f t="shared" si="15"/>
        <v>180</v>
      </c>
      <c r="AQ59" s="95">
        <f>AF59</f>
        <v>39596</v>
      </c>
      <c r="AR59" s="98">
        <f>AF59-AQ59</f>
        <v>0</v>
      </c>
      <c r="AS59" s="105">
        <f>AH59</f>
        <v>180</v>
      </c>
      <c r="AT59" s="80">
        <f t="shared" ref="AT59:AT79" si="16">AG59-AS59</f>
        <v>0</v>
      </c>
      <c r="AU59" s="95">
        <f>AQ59</f>
        <v>39596</v>
      </c>
      <c r="AV59" s="98">
        <f t="shared" ref="AV59:AV79" si="17">AF59-AU59</f>
        <v>0</v>
      </c>
      <c r="AW59" s="105">
        <f>AS59</f>
        <v>180</v>
      </c>
      <c r="AX59" s="80">
        <f t="shared" ref="AX59:AX79" si="18">AG59-AW59</f>
        <v>0</v>
      </c>
      <c r="AY59" s="95">
        <f t="shared" ref="AY59:AY79" si="19">AI59/AE59</f>
        <v>39596</v>
      </c>
      <c r="AZ59" s="95">
        <f t="shared" ref="AZ59:AZ79" si="20">AF59/AD59</f>
        <v>39596</v>
      </c>
      <c r="BA59" s="102">
        <f t="shared" ref="BA59:BD79" si="21">AF59</f>
        <v>39596</v>
      </c>
      <c r="BB59" s="103">
        <f t="shared" si="21"/>
        <v>180</v>
      </c>
      <c r="BC59" s="192">
        <f t="shared" si="21"/>
        <v>180</v>
      </c>
      <c r="BD59" s="192">
        <f t="shared" si="21"/>
        <v>39596</v>
      </c>
      <c r="BE59" s="99">
        <f>BD59/$BA$79</f>
        <v>0.15888034218899844</v>
      </c>
      <c r="BF59" s="99">
        <f>BA59/$BA$79</f>
        <v>0.15888034218899844</v>
      </c>
      <c r="BG59" s="100">
        <f>BC59/$BB$79</f>
        <v>0.15845070422535212</v>
      </c>
      <c r="BH59" s="100">
        <f>BG59</f>
        <v>0.15845070422535212</v>
      </c>
      <c r="BI59" s="102">
        <v>26725</v>
      </c>
      <c r="BJ59" s="103">
        <v>136</v>
      </c>
      <c r="BK59" s="192">
        <f>BI59-BI58</f>
        <v>26725</v>
      </c>
      <c r="BL59" s="99">
        <f t="shared" ref="BL59" si="22">BK59/$BI$79</f>
        <v>0.23202812988366037</v>
      </c>
      <c r="BM59" s="99">
        <f>BL59</f>
        <v>0.23202812988366037</v>
      </c>
      <c r="BN59" s="192">
        <f>BJ59-BJ58</f>
        <v>136</v>
      </c>
      <c r="BO59" s="100">
        <f>BN59/$BJ$79</f>
        <v>0.21085271317829457</v>
      </c>
      <c r="BP59" s="100">
        <f>BO59</f>
        <v>0.21085271317829457</v>
      </c>
      <c r="BQ59" s="102">
        <v>82966</v>
      </c>
      <c r="BR59" s="103">
        <v>341</v>
      </c>
      <c r="BS59" s="192">
        <f>BQ59-BQ58</f>
        <v>82966</v>
      </c>
      <c r="BT59" s="99">
        <f>BS59/$BQ$79</f>
        <v>0.21315089046234162</v>
      </c>
      <c r="BU59" s="99">
        <f t="shared" ref="BU59:BU79" si="23">BQ59/$BQ$79</f>
        <v>0.21315089046234162</v>
      </c>
      <c r="BV59" s="192">
        <f>BR59-BR58</f>
        <v>341</v>
      </c>
      <c r="BW59" s="100">
        <f t="shared" ref="BW59:BW79" si="24">BV59/$BR$79</f>
        <v>0.20591787439613526</v>
      </c>
      <c r="BX59" s="100">
        <f>BW59</f>
        <v>0.20591787439613526</v>
      </c>
      <c r="BY59" s="102">
        <v>89735</v>
      </c>
      <c r="BZ59" s="103">
        <v>625</v>
      </c>
      <c r="CA59" s="192">
        <f>BY59-BY58</f>
        <v>89735</v>
      </c>
      <c r="CB59" s="99">
        <f>CA59/$BY$79</f>
        <v>0.37516514206398316</v>
      </c>
      <c r="CC59" s="99">
        <f t="shared" ref="CC59:CC79" si="25">BY59/$BY$79</f>
        <v>0.37516514206398316</v>
      </c>
      <c r="CD59" s="192">
        <f>BZ59-BZ58</f>
        <v>625</v>
      </c>
      <c r="CE59" s="100">
        <f t="shared" ref="CE59:CE79" si="26">CD59/$BZ$79</f>
        <v>0.37560096153846156</v>
      </c>
      <c r="CF59" s="100">
        <f>CE59</f>
        <v>0.37560096153846156</v>
      </c>
      <c r="CG59" s="99">
        <v>0.217908689903446</v>
      </c>
      <c r="CH59" s="99">
        <v>0.21790868990344553</v>
      </c>
      <c r="CI59" s="100">
        <v>0.23279352226720648</v>
      </c>
      <c r="CJ59" s="100">
        <v>0.23279352226720648</v>
      </c>
      <c r="CK59" s="99">
        <v>4.9561783997210986E-2</v>
      </c>
      <c r="CL59" s="99">
        <v>0.29513300524561986</v>
      </c>
      <c r="CM59" s="100">
        <v>5.657492354740061E-2</v>
      </c>
      <c r="CN59" s="100">
        <v>0.29816513761467889</v>
      </c>
      <c r="CO59" s="354"/>
      <c r="CP59" s="99">
        <v>5.1641540743868043E-2</v>
      </c>
      <c r="CQ59" s="99" t="e">
        <f>CO59/$CO$79</f>
        <v>#DIV/0!</v>
      </c>
      <c r="CR59" s="356">
        <v>5.2910052910052907E-2</v>
      </c>
      <c r="CS59" s="356">
        <f>SUM(CR$58:CR59)</f>
        <v>5.2910052910052907E-2</v>
      </c>
      <c r="CT59" s="102">
        <f>Vergleich!C4</f>
        <v>14771</v>
      </c>
      <c r="CU59" s="99">
        <v>3.0331221429144267E-2</v>
      </c>
      <c r="CV59" s="99">
        <f>CT59/$CT$79</f>
        <v>0.23692357045472773</v>
      </c>
      <c r="CW59" s="356">
        <v>3.7463976945244948E-2</v>
      </c>
      <c r="CX59" s="356">
        <f>SUM(CW$58:CW59)</f>
        <v>3.7463976945244948E-2</v>
      </c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</row>
    <row r="60" spans="1:121" s="101" customFormat="1" x14ac:dyDescent="0.3">
      <c r="A60" s="152"/>
      <c r="B60" s="160"/>
      <c r="C60" s="242"/>
      <c r="D60" s="160"/>
      <c r="E60" s="242"/>
      <c r="F60" s="242"/>
      <c r="G60" s="156">
        <v>2</v>
      </c>
      <c r="H60" s="185">
        <f t="shared" si="4"/>
        <v>45254.75</v>
      </c>
      <c r="I60" s="369">
        <f t="shared" si="5"/>
        <v>55623</v>
      </c>
      <c r="J60" s="370">
        <f t="shared" si="6"/>
        <v>55623</v>
      </c>
      <c r="K60" s="371">
        <f t="shared" si="7"/>
        <v>55623</v>
      </c>
      <c r="L60" s="382">
        <f t="shared" si="8"/>
        <v>55623</v>
      </c>
      <c r="M60" s="383">
        <f t="shared" si="9"/>
        <v>55623</v>
      </c>
      <c r="N60" s="389">
        <v>65000</v>
      </c>
      <c r="O60" s="370">
        <v>49522</v>
      </c>
      <c r="P60" s="370">
        <v>114003</v>
      </c>
      <c r="Q60" s="370">
        <v>96328</v>
      </c>
      <c r="R60" s="370">
        <v>100197</v>
      </c>
      <c r="S60" s="371">
        <v>121393</v>
      </c>
      <c r="T60" s="69"/>
      <c r="U60" s="417">
        <v>42659</v>
      </c>
      <c r="V60" s="454">
        <v>32416</v>
      </c>
      <c r="W60" s="418">
        <v>11433</v>
      </c>
      <c r="X60" s="417"/>
      <c r="Y60" s="106">
        <v>2</v>
      </c>
      <c r="Z60" s="88">
        <f t="shared" ref="Z60:Z79" si="27">WEEKDAY(AA60)</f>
        <v>6</v>
      </c>
      <c r="AA60" s="89">
        <f t="shared" ref="AA60:AA79" si="28">AA59+1</f>
        <v>45254</v>
      </c>
      <c r="AB60" s="90">
        <v>0.75</v>
      </c>
      <c r="AC60" s="91">
        <f t="shared" si="10"/>
        <v>45254.75</v>
      </c>
      <c r="AD60" s="92">
        <f t="shared" si="11"/>
        <v>2</v>
      </c>
      <c r="AE60" s="92">
        <f t="shared" ref="AE60:AE79" si="29">AD60-AD59</f>
        <v>1</v>
      </c>
      <c r="AF60" s="102">
        <v>55623</v>
      </c>
      <c r="AG60" s="103">
        <v>256</v>
      </c>
      <c r="AH60" s="104">
        <f t="shared" si="12"/>
        <v>76</v>
      </c>
      <c r="AI60" s="95">
        <f t="shared" ref="AI60:AI79" si="30">AF60-AF59</f>
        <v>16027</v>
      </c>
      <c r="AJ60" s="96">
        <f t="shared" si="13"/>
        <v>217.27734375</v>
      </c>
      <c r="AK60" s="97">
        <f t="shared" ref="AK60:AK85" si="31">AI60/AH60</f>
        <v>210.88157894736841</v>
      </c>
      <c r="AL60" s="97">
        <f>SUM(AI59:AI60)/SUM(AH59:AH60)</f>
        <v>217.27734375</v>
      </c>
      <c r="AM60" s="102">
        <f t="shared" si="14"/>
        <v>55623</v>
      </c>
      <c r="AN60" s="103">
        <f t="shared" si="14"/>
        <v>256</v>
      </c>
      <c r="AO60" s="102">
        <f t="shared" si="15"/>
        <v>55623</v>
      </c>
      <c r="AP60" s="103">
        <f t="shared" si="15"/>
        <v>256</v>
      </c>
      <c r="AQ60" s="95">
        <f>AM60</f>
        <v>55623</v>
      </c>
      <c r="AR60" s="98">
        <f t="shared" ref="AR60:AR79" si="32">AF60-AQ60</f>
        <v>0</v>
      </c>
      <c r="AS60" s="105">
        <f>AN60</f>
        <v>256</v>
      </c>
      <c r="AT60" s="80">
        <f t="shared" si="16"/>
        <v>0</v>
      </c>
      <c r="AU60" s="95">
        <f>AO60</f>
        <v>55623</v>
      </c>
      <c r="AV60" s="98">
        <f t="shared" si="17"/>
        <v>0</v>
      </c>
      <c r="AW60" s="105">
        <f>AP60</f>
        <v>256</v>
      </c>
      <c r="AX60" s="80">
        <f t="shared" si="18"/>
        <v>0</v>
      </c>
      <c r="AY60" s="95">
        <f t="shared" si="19"/>
        <v>16027</v>
      </c>
      <c r="AZ60" s="95">
        <f t="shared" si="20"/>
        <v>27811.5</v>
      </c>
      <c r="BA60" s="102">
        <f t="shared" si="21"/>
        <v>55623</v>
      </c>
      <c r="BB60" s="103">
        <f t="shared" si="21"/>
        <v>256</v>
      </c>
      <c r="BC60" s="192">
        <f t="shared" si="21"/>
        <v>76</v>
      </c>
      <c r="BD60" s="192">
        <f t="shared" si="21"/>
        <v>16027</v>
      </c>
      <c r="BE60" s="99">
        <f t="shared" ref="BE60:BE79" si="33">BD60/$BA$79</f>
        <v>6.4308901006745078E-2</v>
      </c>
      <c r="BF60" s="99">
        <f t="shared" ref="BF60:BF79" si="34">BA60/$BA$79</f>
        <v>0.22318924319574351</v>
      </c>
      <c r="BG60" s="100">
        <f t="shared" ref="BG60:BG79" si="35">BC60/$BB$79</f>
        <v>6.6901408450704219E-2</v>
      </c>
      <c r="BH60" s="100">
        <f>BH59+BG60</f>
        <v>0.22535211267605634</v>
      </c>
      <c r="BI60" s="102">
        <v>32416</v>
      </c>
      <c r="BJ60" s="103">
        <v>172</v>
      </c>
      <c r="BK60" s="192">
        <f t="shared" ref="BK60:BK79" si="36">BI60-BI59</f>
        <v>5691</v>
      </c>
      <c r="BL60" s="99">
        <f>BK60/$BI$79</f>
        <v>4.9409619725646815E-2</v>
      </c>
      <c r="BM60" s="99">
        <f>BM59+BL60</f>
        <v>0.28143774960930718</v>
      </c>
      <c r="BN60" s="192">
        <f t="shared" ref="BN60:BN79" si="37">BJ60-BJ59</f>
        <v>36</v>
      </c>
      <c r="BO60" s="100">
        <f t="shared" ref="BO60:BO79" si="38">BN60/$BJ$79</f>
        <v>5.5813953488372092E-2</v>
      </c>
      <c r="BP60" s="100">
        <f>BP59+BO60</f>
        <v>0.26666666666666666</v>
      </c>
      <c r="BQ60" s="102">
        <v>96328</v>
      </c>
      <c r="BR60" s="103">
        <v>404</v>
      </c>
      <c r="BS60" s="192">
        <f t="shared" ref="BS60:BS79" si="39">BQ60-BQ59</f>
        <v>13362</v>
      </c>
      <c r="BT60" s="99">
        <f t="shared" ref="BT60:BT79" si="40">BS60/$BQ$79</f>
        <v>3.4328787676371146E-2</v>
      </c>
      <c r="BU60" s="99">
        <f t="shared" si="23"/>
        <v>0.24747967813871277</v>
      </c>
      <c r="BV60" s="192">
        <f t="shared" ref="BV60:BV79" si="41">BR60-BR59</f>
        <v>63</v>
      </c>
      <c r="BW60" s="100">
        <f t="shared" si="24"/>
        <v>3.8043478260869568E-2</v>
      </c>
      <c r="BX60" s="100">
        <f>BX59+BW60</f>
        <v>0.24396135265700483</v>
      </c>
      <c r="BY60" s="102">
        <v>114003</v>
      </c>
      <c r="BZ60" s="103">
        <v>789</v>
      </c>
      <c r="CA60" s="192">
        <f t="shared" ref="CA60:CA79" si="42">BY60-BY59</f>
        <v>24268</v>
      </c>
      <c r="CB60" s="99">
        <f t="shared" ref="CB60:CB79" si="43">CA60/$BY$79</f>
        <v>0.10145993946184591</v>
      </c>
      <c r="CC60" s="99">
        <f t="shared" si="25"/>
        <v>0.47662508152582905</v>
      </c>
      <c r="CD60" s="192">
        <f t="shared" ref="CD60:CD79" si="44">BZ60-BZ59</f>
        <v>164</v>
      </c>
      <c r="CE60" s="100">
        <f t="shared" si="26"/>
        <v>9.8557692307692304E-2</v>
      </c>
      <c r="CF60" s="100">
        <f>CF59+CE60</f>
        <v>0.47415865384615385</v>
      </c>
      <c r="CG60" s="99">
        <v>5.4666059266008156E-2</v>
      </c>
      <c r="CH60" s="99">
        <v>0.27257474916945368</v>
      </c>
      <c r="CI60" s="100">
        <v>6.0728744939271252E-2</v>
      </c>
      <c r="CJ60" s="100">
        <v>0.29352226720647773</v>
      </c>
      <c r="CK60" s="99">
        <v>5.0729278990765438E-2</v>
      </c>
      <c r="CL60" s="99">
        <v>0.34586228423638532</v>
      </c>
      <c r="CM60" s="100">
        <v>5.8103975535168197E-2</v>
      </c>
      <c r="CN60" s="100">
        <v>0.35626911314984711</v>
      </c>
      <c r="CO60" s="354"/>
      <c r="CP60" s="99">
        <v>3.5680569481825498E-2</v>
      </c>
      <c r="CQ60" s="99" t="e">
        <f t="shared" ref="CQ60:CQ79" si="45">CO60/$CO$79</f>
        <v>#DIV/0!</v>
      </c>
      <c r="CR60" s="356">
        <v>3.5714285714285712E-2</v>
      </c>
      <c r="CS60" s="356">
        <f>SUM(CR$58:CR60)</f>
        <v>8.8624338624338619E-2</v>
      </c>
      <c r="CT60" s="102">
        <f>Vergleich!C5</f>
        <v>16764</v>
      </c>
      <c r="CU60" s="99">
        <v>3.1967278851551872E-2</v>
      </c>
      <c r="CV60" s="99">
        <f t="shared" ref="CV60:CV79" si="46">CT60/$CT$79</f>
        <v>0.2688908493062796</v>
      </c>
      <c r="CW60" s="356">
        <v>2.5936599423631135E-2</v>
      </c>
      <c r="CX60" s="356">
        <f>SUM(CW$58:CW60)</f>
        <v>6.3400576368876083E-2</v>
      </c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</row>
    <row r="61" spans="1:121" s="101" customFormat="1" x14ac:dyDescent="0.3">
      <c r="A61" s="152"/>
      <c r="B61" s="160"/>
      <c r="C61" s="242"/>
      <c r="D61" s="160"/>
      <c r="E61" s="242"/>
      <c r="F61" s="242"/>
      <c r="G61" s="156">
        <v>3</v>
      </c>
      <c r="H61" s="185">
        <f t="shared" si="4"/>
        <v>45255.75</v>
      </c>
      <c r="I61" s="369">
        <f t="shared" si="5"/>
        <v>65490</v>
      </c>
      <c r="J61" s="370">
        <f t="shared" si="6"/>
        <v>65490</v>
      </c>
      <c r="K61" s="371">
        <f t="shared" si="7"/>
        <v>65490</v>
      </c>
      <c r="L61" s="382">
        <f t="shared" si="8"/>
        <v>65490</v>
      </c>
      <c r="M61" s="383">
        <f t="shared" si="9"/>
        <v>65490</v>
      </c>
      <c r="N61" s="389"/>
      <c r="O61" s="370">
        <v>53901</v>
      </c>
      <c r="P61" s="370">
        <v>122519</v>
      </c>
      <c r="Q61" s="370">
        <v>115147</v>
      </c>
      <c r="R61" s="370">
        <v>110488</v>
      </c>
      <c r="S61" s="371">
        <v>143837</v>
      </c>
      <c r="T61" s="69"/>
      <c r="U61" s="417">
        <v>45273</v>
      </c>
      <c r="V61" s="454">
        <v>38191</v>
      </c>
      <c r="W61" s="418">
        <v>13158</v>
      </c>
      <c r="X61" s="417"/>
      <c r="Y61" s="106">
        <v>3</v>
      </c>
      <c r="Z61" s="88">
        <f t="shared" si="27"/>
        <v>7</v>
      </c>
      <c r="AA61" s="89">
        <f t="shared" si="28"/>
        <v>45255</v>
      </c>
      <c r="AB61" s="90">
        <v>0.75</v>
      </c>
      <c r="AC61" s="91">
        <f t="shared" si="10"/>
        <v>45255.75</v>
      </c>
      <c r="AD61" s="92">
        <f t="shared" si="11"/>
        <v>3</v>
      </c>
      <c r="AE61" s="92">
        <f t="shared" si="29"/>
        <v>1</v>
      </c>
      <c r="AF61" s="102">
        <v>65490</v>
      </c>
      <c r="AG61" s="103">
        <v>301</v>
      </c>
      <c r="AH61" s="104">
        <f t="shared" si="12"/>
        <v>45</v>
      </c>
      <c r="AI61" s="95">
        <f t="shared" si="30"/>
        <v>9867</v>
      </c>
      <c r="AJ61" s="96">
        <f t="shared" si="13"/>
        <v>217.5747508305648</v>
      </c>
      <c r="AK61" s="97">
        <f t="shared" si="31"/>
        <v>219.26666666666668</v>
      </c>
      <c r="AL61" s="97">
        <f>SUM(AI59:AI61)/SUM(AH59:AH61)</f>
        <v>217.5747508305648</v>
      </c>
      <c r="AM61" s="102">
        <f t="shared" ref="AM61" si="47">AF61</f>
        <v>65490</v>
      </c>
      <c r="AN61" s="103">
        <f t="shared" ref="AN61" si="48">AG61</f>
        <v>301</v>
      </c>
      <c r="AO61" s="102">
        <f t="shared" ref="AO61" si="49">AF61</f>
        <v>65490</v>
      </c>
      <c r="AP61" s="103">
        <f t="shared" ref="AP61" si="50">AG61</f>
        <v>301</v>
      </c>
      <c r="AQ61" s="95">
        <f>AM61</f>
        <v>65490</v>
      </c>
      <c r="AR61" s="98">
        <f t="shared" si="32"/>
        <v>0</v>
      </c>
      <c r="AS61" s="105">
        <f>AN61</f>
        <v>301</v>
      </c>
      <c r="AT61" s="80">
        <f t="shared" si="16"/>
        <v>0</v>
      </c>
      <c r="AU61" s="95">
        <f>AO61</f>
        <v>65490</v>
      </c>
      <c r="AV61" s="98">
        <f t="shared" si="17"/>
        <v>0</v>
      </c>
      <c r="AW61" s="105">
        <f>AP61</f>
        <v>301</v>
      </c>
      <c r="AX61" s="80">
        <f t="shared" si="18"/>
        <v>0</v>
      </c>
      <c r="AY61" s="95">
        <f t="shared" si="19"/>
        <v>9867</v>
      </c>
      <c r="AZ61" s="95">
        <f t="shared" si="20"/>
        <v>21830</v>
      </c>
      <c r="BA61" s="102">
        <f t="shared" si="21"/>
        <v>65490</v>
      </c>
      <c r="BB61" s="103">
        <f t="shared" si="21"/>
        <v>301</v>
      </c>
      <c r="BC61" s="192">
        <f t="shared" si="21"/>
        <v>45</v>
      </c>
      <c r="BD61" s="192">
        <f t="shared" si="21"/>
        <v>9867</v>
      </c>
      <c r="BE61" s="99">
        <f t="shared" si="33"/>
        <v>3.9591684422134746E-2</v>
      </c>
      <c r="BF61" s="99">
        <f t="shared" si="34"/>
        <v>0.26278092761787825</v>
      </c>
      <c r="BG61" s="100">
        <f t="shared" si="35"/>
        <v>3.9612676056338031E-2</v>
      </c>
      <c r="BH61" s="100">
        <f t="shared" ref="BH61:BH79" si="51">BH60+BG61</f>
        <v>0.26496478873239437</v>
      </c>
      <c r="BI61" s="102">
        <v>38191</v>
      </c>
      <c r="BJ61" s="103">
        <v>199</v>
      </c>
      <c r="BK61" s="192">
        <f t="shared" si="36"/>
        <v>5775</v>
      </c>
      <c r="BL61" s="99">
        <f t="shared" ref="BL61:BL79" si="52">BK61/$BI$79</f>
        <v>5.013891300573016E-2</v>
      </c>
      <c r="BM61" s="99">
        <f t="shared" ref="BM61:BM79" si="53">BM60+BL61</f>
        <v>0.33157666261503732</v>
      </c>
      <c r="BN61" s="192">
        <f t="shared" si="37"/>
        <v>27</v>
      </c>
      <c r="BO61" s="100">
        <f t="shared" si="38"/>
        <v>4.1860465116279069E-2</v>
      </c>
      <c r="BP61" s="100">
        <f t="shared" ref="BP61:BP79" si="54">BP60+BO61</f>
        <v>0.30852713178294572</v>
      </c>
      <c r="BQ61" s="102">
        <v>115147</v>
      </c>
      <c r="BR61" s="103">
        <v>480</v>
      </c>
      <c r="BS61" s="192">
        <f t="shared" si="39"/>
        <v>18819</v>
      </c>
      <c r="BT61" s="99">
        <f t="shared" si="40"/>
        <v>4.8348559742675393E-2</v>
      </c>
      <c r="BU61" s="99">
        <f t="shared" si="23"/>
        <v>0.29582823788138818</v>
      </c>
      <c r="BV61" s="192">
        <f t="shared" si="41"/>
        <v>76</v>
      </c>
      <c r="BW61" s="100">
        <f t="shared" si="24"/>
        <v>4.5893719806763288E-2</v>
      </c>
      <c r="BX61" s="100">
        <f t="shared" ref="BX61:BX79" si="55">BX60+BW61</f>
        <v>0.28985507246376813</v>
      </c>
      <c r="BY61" s="102">
        <v>122519</v>
      </c>
      <c r="BZ61" s="103">
        <v>852</v>
      </c>
      <c r="CA61" s="192">
        <f t="shared" si="42"/>
        <v>8516</v>
      </c>
      <c r="CB61" s="99">
        <f t="shared" si="43"/>
        <v>3.5603792832416339E-2</v>
      </c>
      <c r="CC61" s="99">
        <f t="shared" si="25"/>
        <v>0.51222887435824538</v>
      </c>
      <c r="CD61" s="192">
        <f t="shared" si="44"/>
        <v>63</v>
      </c>
      <c r="CE61" s="100">
        <f t="shared" si="26"/>
        <v>3.786057692307692E-2</v>
      </c>
      <c r="CF61" s="100">
        <f t="shared" ref="CF61:CF79" si="56">CF60+CE61</f>
        <v>0.51201923076923073</v>
      </c>
      <c r="CG61" s="99">
        <v>3.4877390251219428E-2</v>
      </c>
      <c r="CH61" s="99">
        <v>0.30745213942067312</v>
      </c>
      <c r="CI61" s="100">
        <v>3.4412955465587043E-2</v>
      </c>
      <c r="CJ61" s="100">
        <v>0.32793522267206476</v>
      </c>
      <c r="CK61" s="99">
        <v>2.1193277174662115E-2</v>
      </c>
      <c r="CL61" s="99">
        <v>0.36705556141104745</v>
      </c>
      <c r="CM61" s="100">
        <v>2.2935779816513763E-2</v>
      </c>
      <c r="CN61" s="100">
        <v>0.37920489296636084</v>
      </c>
      <c r="CO61" s="354"/>
      <c r="CP61" s="99">
        <v>2.5677109903190436E-2</v>
      </c>
      <c r="CQ61" s="99" t="e">
        <f t="shared" si="45"/>
        <v>#DIV/0!</v>
      </c>
      <c r="CR61" s="356">
        <v>2.3809523809523808E-2</v>
      </c>
      <c r="CS61" s="356">
        <f>SUM(CR$58:CR61)</f>
        <v>0.11243386243386243</v>
      </c>
      <c r="CT61" s="102">
        <f>Vergleich!C6</f>
        <v>17674</v>
      </c>
      <c r="CU61" s="99">
        <v>3.3956211404282621E-2</v>
      </c>
      <c r="CV61" s="99">
        <f t="shared" si="46"/>
        <v>0.2834870478787393</v>
      </c>
      <c r="CW61" s="356">
        <v>3.746397694524492E-2</v>
      </c>
      <c r="CX61" s="356">
        <f>SUM(CW$58:CW61)</f>
        <v>0.100864553314121</v>
      </c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</row>
    <row r="62" spans="1:121" s="101" customFormat="1" x14ac:dyDescent="0.3">
      <c r="A62" s="152"/>
      <c r="B62" s="160"/>
      <c r="C62" s="242"/>
      <c r="D62" s="160"/>
      <c r="E62" s="242"/>
      <c r="F62" s="242"/>
      <c r="G62" s="156">
        <v>4</v>
      </c>
      <c r="H62" s="185">
        <f t="shared" si="4"/>
        <v>45256.75</v>
      </c>
      <c r="I62" s="369">
        <f t="shared" si="5"/>
        <v>69834</v>
      </c>
      <c r="J62" s="370">
        <f t="shared" si="6"/>
        <v>69834</v>
      </c>
      <c r="K62" s="371">
        <f t="shared" si="7"/>
        <v>69834</v>
      </c>
      <c r="L62" s="382">
        <f t="shared" si="8"/>
        <v>69834</v>
      </c>
      <c r="M62" s="383">
        <f t="shared" si="9"/>
        <v>69834</v>
      </c>
      <c r="N62" s="389"/>
      <c r="O62" s="370">
        <v>59963</v>
      </c>
      <c r="P62" s="370">
        <v>127604</v>
      </c>
      <c r="Q62" s="370">
        <v>123834</v>
      </c>
      <c r="R62" s="370">
        <v>117325</v>
      </c>
      <c r="S62" s="371">
        <v>156839</v>
      </c>
      <c r="T62" s="69"/>
      <c r="U62" s="417">
        <v>47957</v>
      </c>
      <c r="V62" s="454">
        <v>41597</v>
      </c>
      <c r="W62" s="418">
        <v>14235</v>
      </c>
      <c r="X62" s="417"/>
      <c r="Y62" s="106">
        <v>4</v>
      </c>
      <c r="Z62" s="412">
        <f t="shared" si="27"/>
        <v>1</v>
      </c>
      <c r="AA62" s="89">
        <f t="shared" si="28"/>
        <v>45256</v>
      </c>
      <c r="AB62" s="90">
        <v>0.75</v>
      </c>
      <c r="AC62" s="91">
        <f t="shared" si="10"/>
        <v>45256.75</v>
      </c>
      <c r="AD62" s="92">
        <f t="shared" si="11"/>
        <v>4</v>
      </c>
      <c r="AE62" s="92">
        <f t="shared" si="29"/>
        <v>1</v>
      </c>
      <c r="AF62" s="102">
        <v>69834</v>
      </c>
      <c r="AG62" s="103">
        <v>323</v>
      </c>
      <c r="AH62" s="104">
        <f t="shared" si="12"/>
        <v>22</v>
      </c>
      <c r="AI62" s="95">
        <f t="shared" si="30"/>
        <v>4344</v>
      </c>
      <c r="AJ62" s="96">
        <f t="shared" si="13"/>
        <v>216.20433436532508</v>
      </c>
      <c r="AK62" s="97">
        <f t="shared" si="31"/>
        <v>197.45454545454547</v>
      </c>
      <c r="AL62" s="97">
        <f t="shared" ref="AL62" si="57">SUM(AI59:AI62)/SUM(AH59:AH62)</f>
        <v>216.20433436532508</v>
      </c>
      <c r="AM62" s="102">
        <f t="shared" ref="AM62" si="58">AF62</f>
        <v>69834</v>
      </c>
      <c r="AN62" s="103">
        <f t="shared" ref="AN62" si="59">AG62</f>
        <v>323</v>
      </c>
      <c r="AO62" s="102">
        <f t="shared" ref="AO62" si="60">AF62</f>
        <v>69834</v>
      </c>
      <c r="AP62" s="103">
        <f t="shared" ref="AP62" si="61">AG62</f>
        <v>323</v>
      </c>
      <c r="AQ62" s="95">
        <f>AM62</f>
        <v>69834</v>
      </c>
      <c r="AR62" s="98">
        <f t="shared" ref="AR62" si="62">AF62-AQ62</f>
        <v>0</v>
      </c>
      <c r="AS62" s="105">
        <f>AN62</f>
        <v>323</v>
      </c>
      <c r="AT62" s="80">
        <f t="shared" ref="AT62" si="63">AG62-AS62</f>
        <v>0</v>
      </c>
      <c r="AU62" s="95">
        <f>AO62</f>
        <v>69834</v>
      </c>
      <c r="AV62" s="98">
        <f t="shared" ref="AV62" si="64">AF62-AU62</f>
        <v>0</v>
      </c>
      <c r="AW62" s="105">
        <f>AP62</f>
        <v>323</v>
      </c>
      <c r="AX62" s="80">
        <f t="shared" ref="AX62" si="65">AG62-AW62</f>
        <v>0</v>
      </c>
      <c r="AY62" s="95">
        <f t="shared" si="19"/>
        <v>4344</v>
      </c>
      <c r="AZ62" s="95">
        <f t="shared" si="20"/>
        <v>17458.5</v>
      </c>
      <c r="BA62" s="93">
        <f t="shared" si="21"/>
        <v>69834</v>
      </c>
      <c r="BB62" s="57">
        <f t="shared" si="21"/>
        <v>323</v>
      </c>
      <c r="BC62" s="192">
        <f t="shared" si="21"/>
        <v>22</v>
      </c>
      <c r="BD62" s="192">
        <f t="shared" si="21"/>
        <v>4344</v>
      </c>
      <c r="BE62" s="99">
        <f t="shared" si="33"/>
        <v>1.7430452734342086E-2</v>
      </c>
      <c r="BF62" s="99">
        <f t="shared" si="34"/>
        <v>0.28021138035222032</v>
      </c>
      <c r="BG62" s="100">
        <f t="shared" si="35"/>
        <v>1.936619718309859E-2</v>
      </c>
      <c r="BH62" s="100">
        <f t="shared" si="51"/>
        <v>0.28433098591549294</v>
      </c>
      <c r="BI62" s="93">
        <v>41597</v>
      </c>
      <c r="BJ62" s="57">
        <v>218</v>
      </c>
      <c r="BK62" s="192">
        <f t="shared" si="36"/>
        <v>3406</v>
      </c>
      <c r="BL62" s="99">
        <f t="shared" si="52"/>
        <v>2.9571106094808126E-2</v>
      </c>
      <c r="BM62" s="99">
        <f t="shared" si="53"/>
        <v>0.36114776870984544</v>
      </c>
      <c r="BN62" s="192">
        <f t="shared" si="37"/>
        <v>19</v>
      </c>
      <c r="BO62" s="100">
        <f t="shared" si="38"/>
        <v>2.9457364341085271E-2</v>
      </c>
      <c r="BP62" s="100">
        <f t="shared" si="54"/>
        <v>0.33798449612403098</v>
      </c>
      <c r="BQ62" s="93">
        <v>123834</v>
      </c>
      <c r="BR62" s="57">
        <v>520</v>
      </c>
      <c r="BS62" s="192">
        <f t="shared" si="39"/>
        <v>8687</v>
      </c>
      <c r="BT62" s="99">
        <f t="shared" si="40"/>
        <v>2.231807951987997E-2</v>
      </c>
      <c r="BU62" s="99">
        <f t="shared" si="23"/>
        <v>0.31814631740126814</v>
      </c>
      <c r="BV62" s="192">
        <f t="shared" si="41"/>
        <v>40</v>
      </c>
      <c r="BW62" s="100">
        <f t="shared" si="24"/>
        <v>2.4154589371980676E-2</v>
      </c>
      <c r="BX62" s="100">
        <f t="shared" si="55"/>
        <v>0.3140096618357488</v>
      </c>
      <c r="BY62" s="93">
        <v>127604</v>
      </c>
      <c r="BZ62" s="57">
        <v>891</v>
      </c>
      <c r="CA62" s="192">
        <f t="shared" si="42"/>
        <v>5085</v>
      </c>
      <c r="CB62" s="99">
        <f t="shared" si="43"/>
        <v>2.125942773048815E-2</v>
      </c>
      <c r="CC62" s="99">
        <f t="shared" si="25"/>
        <v>0.53348830208873355</v>
      </c>
      <c r="CD62" s="192">
        <f t="shared" si="44"/>
        <v>39</v>
      </c>
      <c r="CE62" s="100">
        <f t="shared" si="26"/>
        <v>2.34375E-2</v>
      </c>
      <c r="CF62" s="100">
        <f t="shared" si="56"/>
        <v>0.53545673076923073</v>
      </c>
      <c r="CG62" s="99">
        <v>2.9477450250552772E-2</v>
      </c>
      <c r="CH62" s="99">
        <v>0.33692958967122588</v>
      </c>
      <c r="CI62" s="100">
        <v>3.2388663967611336E-2</v>
      </c>
      <c r="CJ62" s="100">
        <v>0.36032388663967607</v>
      </c>
      <c r="CK62" s="99">
        <v>2.176080946319553E-2</v>
      </c>
      <c r="CL62" s="99">
        <v>0.38881637087424298</v>
      </c>
      <c r="CM62" s="100">
        <v>2.4464831804281346E-2</v>
      </c>
      <c r="CN62" s="100">
        <v>0.40366972477064217</v>
      </c>
      <c r="CO62" s="353"/>
      <c r="CP62" s="99">
        <v>3.5545704551984567E-2</v>
      </c>
      <c r="CQ62" s="99" t="e">
        <f t="shared" si="45"/>
        <v>#DIV/0!</v>
      </c>
      <c r="CR62" s="100">
        <v>3.0423280423280422E-2</v>
      </c>
      <c r="CS62" s="100">
        <f>SUM(CR$58:CR62)</f>
        <v>0.14285714285714285</v>
      </c>
      <c r="CT62" s="93">
        <f>Vergleich!C7</f>
        <v>18881</v>
      </c>
      <c r="CU62" s="99">
        <v>2.7524260165209702E-2</v>
      </c>
      <c r="CV62" s="99">
        <f t="shared" si="46"/>
        <v>0.30284706071056222</v>
      </c>
      <c r="CW62" s="100">
        <v>2.8818443804034588E-2</v>
      </c>
      <c r="CX62" s="100">
        <f>SUM(CW$58:CW62)</f>
        <v>0.12968299711815559</v>
      </c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</row>
    <row r="63" spans="1:121" s="101" customFormat="1" x14ac:dyDescent="0.3">
      <c r="A63" s="152"/>
      <c r="B63" s="160"/>
      <c r="C63" s="242"/>
      <c r="D63" s="160"/>
      <c r="E63" s="242"/>
      <c r="F63" s="242"/>
      <c r="G63" s="156">
        <v>5</v>
      </c>
      <c r="H63" s="185">
        <f t="shared" si="4"/>
        <v>45257.75</v>
      </c>
      <c r="I63" s="369">
        <f t="shared" si="5"/>
        <v>75551</v>
      </c>
      <c r="J63" s="370">
        <f t="shared" si="6"/>
        <v>75551</v>
      </c>
      <c r="K63" s="371">
        <f t="shared" si="7"/>
        <v>75551</v>
      </c>
      <c r="L63" s="382">
        <f t="shared" si="8"/>
        <v>70931.466713581918</v>
      </c>
      <c r="M63" s="383">
        <f t="shared" si="9"/>
        <v>75135.274127884317</v>
      </c>
      <c r="N63" s="389"/>
      <c r="O63" s="370">
        <v>63115</v>
      </c>
      <c r="P63" s="370">
        <v>131274</v>
      </c>
      <c r="Q63" s="370">
        <v>132002</v>
      </c>
      <c r="R63" s="370">
        <v>120368</v>
      </c>
      <c r="S63" s="371">
        <v>166947</v>
      </c>
      <c r="T63" s="69"/>
      <c r="U63" s="417">
        <v>50763</v>
      </c>
      <c r="V63" s="454">
        <v>44358</v>
      </c>
      <c r="W63" s="418">
        <v>15015</v>
      </c>
      <c r="X63" s="417"/>
      <c r="Y63" s="106">
        <v>5</v>
      </c>
      <c r="Z63" s="412">
        <f t="shared" si="27"/>
        <v>2</v>
      </c>
      <c r="AA63" s="89">
        <f t="shared" si="28"/>
        <v>45257</v>
      </c>
      <c r="AB63" s="90">
        <v>0.75</v>
      </c>
      <c r="AC63" s="91">
        <f t="shared" si="10"/>
        <v>45257.75</v>
      </c>
      <c r="AD63" s="92">
        <f t="shared" si="11"/>
        <v>5</v>
      </c>
      <c r="AE63" s="92">
        <f t="shared" si="29"/>
        <v>1</v>
      </c>
      <c r="AF63" s="102">
        <v>75551</v>
      </c>
      <c r="AG63" s="103">
        <v>351</v>
      </c>
      <c r="AH63" s="104">
        <f t="shared" si="12"/>
        <v>28</v>
      </c>
      <c r="AI63" s="95">
        <f t="shared" si="30"/>
        <v>5717</v>
      </c>
      <c r="AJ63" s="96">
        <f t="shared" si="13"/>
        <v>215.24501424501423</v>
      </c>
      <c r="AK63" s="97">
        <f t="shared" si="31"/>
        <v>204.17857142857142</v>
      </c>
      <c r="AL63" s="97">
        <f>SUM(AI59:AI63)/SUM(AH59:AH63)</f>
        <v>215.24501424501423</v>
      </c>
      <c r="AM63" s="102">
        <f t="shared" ref="AM63" si="66">AF63</f>
        <v>75551</v>
      </c>
      <c r="AN63" s="103">
        <f t="shared" ref="AN63" si="67">AG63</f>
        <v>351</v>
      </c>
      <c r="AO63" s="102">
        <f t="shared" ref="AO63" si="68">AF63</f>
        <v>75551</v>
      </c>
      <c r="AP63" s="103">
        <f t="shared" ref="AP63" si="69">AG63</f>
        <v>351</v>
      </c>
      <c r="AQ63" s="95">
        <f>AQ62+(AQ$93-$AQ$62)*BT92</f>
        <v>70931.466713581918</v>
      </c>
      <c r="AR63" s="98">
        <f t="shared" si="32"/>
        <v>4619.5332864180818</v>
      </c>
      <c r="AS63" s="105">
        <f>ROUND(AS62+(AS$93-$AS$62)*BW92,)</f>
        <v>329</v>
      </c>
      <c r="AT63" s="80">
        <f t="shared" si="16"/>
        <v>22</v>
      </c>
      <c r="AU63" s="95">
        <f>AU62+(AU$93-$AU$62)*CB92</f>
        <v>75135.274127884317</v>
      </c>
      <c r="AV63" s="98">
        <f t="shared" si="17"/>
        <v>415.72587211568316</v>
      </c>
      <c r="AW63" s="105">
        <f>ROUND(AW62+(AW$93-$AW$62)*CE92,)</f>
        <v>353</v>
      </c>
      <c r="AX63" s="80">
        <f t="shared" si="18"/>
        <v>-2</v>
      </c>
      <c r="AY63" s="95">
        <f t="shared" si="19"/>
        <v>5717</v>
      </c>
      <c r="AZ63" s="95">
        <f t="shared" si="20"/>
        <v>15110.2</v>
      </c>
      <c r="BA63" s="93">
        <f t="shared" si="21"/>
        <v>75551</v>
      </c>
      <c r="BB63" s="57">
        <f t="shared" si="21"/>
        <v>351</v>
      </c>
      <c r="BC63" s="105">
        <f t="shared" si="21"/>
        <v>28</v>
      </c>
      <c r="BD63" s="105">
        <f t="shared" si="21"/>
        <v>5717</v>
      </c>
      <c r="BE63" s="99">
        <f t="shared" si="33"/>
        <v>2.2939663508801496E-2</v>
      </c>
      <c r="BF63" s="99">
        <f t="shared" si="34"/>
        <v>0.30315104386102182</v>
      </c>
      <c r="BG63" s="100">
        <f t="shared" si="35"/>
        <v>2.464788732394366E-2</v>
      </c>
      <c r="BH63" s="100">
        <f t="shared" si="51"/>
        <v>0.30897887323943662</v>
      </c>
      <c r="BI63" s="93">
        <v>44358</v>
      </c>
      <c r="BJ63" s="57">
        <v>235</v>
      </c>
      <c r="BK63" s="192">
        <f t="shared" si="36"/>
        <v>2761</v>
      </c>
      <c r="BL63" s="99">
        <f t="shared" si="52"/>
        <v>2.3971175551310991E-2</v>
      </c>
      <c r="BM63" s="99">
        <f t="shared" si="53"/>
        <v>0.38511894426115645</v>
      </c>
      <c r="BN63" s="192">
        <f t="shared" si="37"/>
        <v>17</v>
      </c>
      <c r="BO63" s="100">
        <f t="shared" si="38"/>
        <v>2.6356589147286821E-2</v>
      </c>
      <c r="BP63" s="100">
        <f t="shared" si="54"/>
        <v>0.36434108527131781</v>
      </c>
      <c r="BQ63" s="93">
        <v>132002</v>
      </c>
      <c r="BR63" s="57">
        <v>564</v>
      </c>
      <c r="BS63" s="192">
        <f t="shared" si="39"/>
        <v>8168</v>
      </c>
      <c r="BT63" s="99">
        <f t="shared" si="40"/>
        <v>2.098469822935186E-2</v>
      </c>
      <c r="BU63" s="99">
        <f t="shared" si="23"/>
        <v>0.33913101563061998</v>
      </c>
      <c r="BV63" s="192">
        <f t="shared" si="41"/>
        <v>44</v>
      </c>
      <c r="BW63" s="100">
        <f t="shared" si="24"/>
        <v>2.6570048309178744E-2</v>
      </c>
      <c r="BX63" s="100">
        <f t="shared" si="55"/>
        <v>0.34057971014492755</v>
      </c>
      <c r="BY63" s="93">
        <v>131274</v>
      </c>
      <c r="BZ63" s="57">
        <v>918</v>
      </c>
      <c r="CA63" s="105">
        <f t="shared" si="42"/>
        <v>3670</v>
      </c>
      <c r="CB63" s="99">
        <f t="shared" si="43"/>
        <v>1.5343579109319865E-2</v>
      </c>
      <c r="CC63" s="99">
        <f t="shared" si="25"/>
        <v>0.54883188119805337</v>
      </c>
      <c r="CD63" s="105">
        <f t="shared" si="44"/>
        <v>27</v>
      </c>
      <c r="CE63" s="100">
        <f t="shared" si="26"/>
        <v>1.622596153846154E-2</v>
      </c>
      <c r="CF63" s="100">
        <f t="shared" si="56"/>
        <v>0.55168269230769229</v>
      </c>
      <c r="CG63" s="99">
        <v>2.5521938645126165E-2</v>
      </c>
      <c r="CH63" s="99">
        <v>0.36245152831635202</v>
      </c>
      <c r="CI63" s="100">
        <v>2.6315789473684209E-2</v>
      </c>
      <c r="CJ63" s="100">
        <v>0.38663967611336025</v>
      </c>
      <c r="CK63" s="99">
        <v>2.2749937166068056E-2</v>
      </c>
      <c r="CL63" s="99">
        <v>0.41156630804031102</v>
      </c>
      <c r="CM63" s="100">
        <v>2.4464831804281346E-2</v>
      </c>
      <c r="CN63" s="100">
        <v>0.4281345565749235</v>
      </c>
      <c r="CO63" s="353"/>
      <c r="CP63" s="99">
        <v>1.8482359080807548E-2</v>
      </c>
      <c r="CQ63" s="99" t="e">
        <f t="shared" si="45"/>
        <v>#DIV/0!</v>
      </c>
      <c r="CR63" s="100">
        <v>2.2486772486772486E-2</v>
      </c>
      <c r="CS63" s="100">
        <f>SUM(CR$58:CR63)</f>
        <v>0.16534391534391535</v>
      </c>
      <c r="CT63" s="93">
        <f>Vergleich!C8</f>
        <v>21886</v>
      </c>
      <c r="CU63" s="99">
        <v>2.0675274681209388E-2</v>
      </c>
      <c r="CV63" s="99">
        <f t="shared" si="46"/>
        <v>0.35104659555698131</v>
      </c>
      <c r="CW63" s="100">
        <v>1.7291066282420775E-2</v>
      </c>
      <c r="CX63" s="100">
        <f>SUM(CW$58:CW63)</f>
        <v>0.14697406340057637</v>
      </c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</row>
    <row r="64" spans="1:121" s="101" customFormat="1" x14ac:dyDescent="0.3">
      <c r="A64" s="152"/>
      <c r="B64" s="160"/>
      <c r="C64" s="242"/>
      <c r="D64" s="160"/>
      <c r="E64" s="242"/>
      <c r="F64" s="242"/>
      <c r="G64" s="156">
        <v>6</v>
      </c>
      <c r="H64" s="185">
        <f t="shared" si="4"/>
        <v>45258.75</v>
      </c>
      <c r="I64" s="369">
        <f t="shared" si="5"/>
        <v>85403</v>
      </c>
      <c r="J64" s="370">
        <f t="shared" si="6"/>
        <v>85403</v>
      </c>
      <c r="K64" s="371">
        <f t="shared" si="7"/>
        <v>85403</v>
      </c>
      <c r="L64" s="382">
        <f t="shared" si="8"/>
        <v>73478.29354462323</v>
      </c>
      <c r="M64" s="383">
        <f t="shared" si="9"/>
        <v>81374.021527974881</v>
      </c>
      <c r="N64" s="389"/>
      <c r="O64" s="370">
        <v>65148</v>
      </c>
      <c r="P64" s="370">
        <v>135593</v>
      </c>
      <c r="Q64" s="370">
        <v>150957</v>
      </c>
      <c r="R64" s="370">
        <v>123198</v>
      </c>
      <c r="S64" s="371">
        <v>175946</v>
      </c>
      <c r="T64" s="69"/>
      <c r="U64" s="417">
        <v>53829</v>
      </c>
      <c r="V64" s="454">
        <v>45558</v>
      </c>
      <c r="W64" s="418">
        <v>16237</v>
      </c>
      <c r="X64" s="417"/>
      <c r="Y64" s="106">
        <v>6</v>
      </c>
      <c r="Z64" s="412">
        <f t="shared" si="27"/>
        <v>3</v>
      </c>
      <c r="AA64" s="89">
        <f t="shared" si="28"/>
        <v>45258</v>
      </c>
      <c r="AB64" s="90">
        <v>0.75</v>
      </c>
      <c r="AC64" s="91">
        <f t="shared" si="10"/>
        <v>45258.75</v>
      </c>
      <c r="AD64" s="92">
        <f t="shared" si="11"/>
        <v>6</v>
      </c>
      <c r="AE64" s="92">
        <f t="shared" si="29"/>
        <v>1</v>
      </c>
      <c r="AF64" s="102">
        <v>85403</v>
      </c>
      <c r="AG64" s="103">
        <v>395</v>
      </c>
      <c r="AH64" s="104">
        <f t="shared" si="12"/>
        <v>44</v>
      </c>
      <c r="AI64" s="95">
        <f t="shared" si="30"/>
        <v>9852</v>
      </c>
      <c r="AJ64" s="96">
        <f t="shared" si="13"/>
        <v>216.21012658227849</v>
      </c>
      <c r="AK64" s="97">
        <f t="shared" si="31"/>
        <v>223.90909090909091</v>
      </c>
      <c r="AL64" s="97">
        <f>SUM(AI60:AI64)/SUM(AH60:AH64)</f>
        <v>213.05581395348838</v>
      </c>
      <c r="AM64" s="102">
        <f t="shared" ref="AM64" si="70">AF64</f>
        <v>85403</v>
      </c>
      <c r="AN64" s="103">
        <f t="shared" ref="AN64" si="71">AG64</f>
        <v>395</v>
      </c>
      <c r="AO64" s="102">
        <f t="shared" ref="AO64" si="72">AF64</f>
        <v>85403</v>
      </c>
      <c r="AP64" s="103">
        <f t="shared" ref="AP64" si="73">AG64</f>
        <v>395</v>
      </c>
      <c r="AQ64" s="95">
        <f t="shared" ref="AQ64:AQ79" si="74">AQ63+(AQ$93-$AQ$62)*BT93</f>
        <v>73478.29354462323</v>
      </c>
      <c r="AR64" s="98">
        <f t="shared" si="32"/>
        <v>11924.70645537677</v>
      </c>
      <c r="AS64" s="105">
        <f t="shared" ref="AS64:AS79" si="75">ROUND(AS63+(AS$93-$AS$62)*BW93,)</f>
        <v>341</v>
      </c>
      <c r="AT64" s="80">
        <f t="shared" si="16"/>
        <v>54</v>
      </c>
      <c r="AU64" s="95">
        <f t="shared" ref="AU64:AU79" si="76">AU63+(AU$93-$AU$62)*CB93</f>
        <v>81374.021527974881</v>
      </c>
      <c r="AV64" s="98">
        <f t="shared" si="17"/>
        <v>4028.9784720251191</v>
      </c>
      <c r="AW64" s="105">
        <f t="shared" ref="AW64:AW79" si="77">ROUND(AW63+(AW$93-$AW$62)*CE93,)</f>
        <v>392</v>
      </c>
      <c r="AX64" s="80">
        <f t="shared" si="18"/>
        <v>3</v>
      </c>
      <c r="AY64" s="95">
        <f t="shared" si="19"/>
        <v>9852</v>
      </c>
      <c r="AZ64" s="95">
        <f t="shared" si="20"/>
        <v>14233.833333333334</v>
      </c>
      <c r="BA64" s="93">
        <f t="shared" si="21"/>
        <v>85403</v>
      </c>
      <c r="BB64" s="57">
        <f t="shared" si="21"/>
        <v>395</v>
      </c>
      <c r="BC64" s="105">
        <f t="shared" si="21"/>
        <v>44</v>
      </c>
      <c r="BD64" s="105">
        <f t="shared" si="21"/>
        <v>9852</v>
      </c>
      <c r="BE64" s="99">
        <f t="shared" si="33"/>
        <v>3.9531496394737159E-2</v>
      </c>
      <c r="BF64" s="99">
        <f t="shared" si="34"/>
        <v>0.34268254025575901</v>
      </c>
      <c r="BG64" s="100">
        <f t="shared" si="35"/>
        <v>3.873239436619718E-2</v>
      </c>
      <c r="BH64" s="100">
        <f t="shared" si="51"/>
        <v>0.34771126760563381</v>
      </c>
      <c r="BI64" s="93">
        <v>45558</v>
      </c>
      <c r="BJ64" s="57">
        <v>241</v>
      </c>
      <c r="BK64" s="192">
        <f t="shared" si="36"/>
        <v>1200</v>
      </c>
      <c r="BL64" s="99">
        <f t="shared" si="52"/>
        <v>1.0418475429762111E-2</v>
      </c>
      <c r="BM64" s="99">
        <f t="shared" si="53"/>
        <v>0.39553741969091855</v>
      </c>
      <c r="BN64" s="192">
        <f t="shared" si="37"/>
        <v>6</v>
      </c>
      <c r="BO64" s="100">
        <f t="shared" si="38"/>
        <v>9.3023255813953487E-3</v>
      </c>
      <c r="BP64" s="100">
        <f t="shared" si="54"/>
        <v>0.37364341085271313</v>
      </c>
      <c r="BQ64" s="93">
        <v>150957</v>
      </c>
      <c r="BR64" s="57">
        <v>652</v>
      </c>
      <c r="BS64" s="192">
        <f t="shared" si="39"/>
        <v>18955</v>
      </c>
      <c r="BT64" s="99">
        <f t="shared" si="40"/>
        <v>4.8697962161773321E-2</v>
      </c>
      <c r="BU64" s="99">
        <f t="shared" si="23"/>
        <v>0.38782897779239328</v>
      </c>
      <c r="BV64" s="192">
        <f t="shared" si="41"/>
        <v>88</v>
      </c>
      <c r="BW64" s="100">
        <f t="shared" si="24"/>
        <v>5.3140096618357488E-2</v>
      </c>
      <c r="BX64" s="100">
        <f t="shared" si="55"/>
        <v>0.39371980676328505</v>
      </c>
      <c r="BY64" s="93">
        <v>135593</v>
      </c>
      <c r="BZ64" s="57">
        <v>953</v>
      </c>
      <c r="CA64" s="105">
        <f t="shared" si="42"/>
        <v>4319</v>
      </c>
      <c r="CB64" s="99">
        <f t="shared" si="43"/>
        <v>1.8056925932739099E-2</v>
      </c>
      <c r="CC64" s="99">
        <f t="shared" si="25"/>
        <v>0.56688880713079248</v>
      </c>
      <c r="CD64" s="105">
        <f t="shared" si="44"/>
        <v>35</v>
      </c>
      <c r="CE64" s="100">
        <f t="shared" si="26"/>
        <v>2.1033653846153848E-2</v>
      </c>
      <c r="CF64" s="100">
        <f t="shared" si="56"/>
        <v>0.57271634615384615</v>
      </c>
      <c r="CG64" s="99">
        <v>5.3999400006666594E-2</v>
      </c>
      <c r="CH64" s="99">
        <v>0.41645092832301861</v>
      </c>
      <c r="CI64" s="100">
        <v>5.8704453441295545E-2</v>
      </c>
      <c r="CJ64" s="100">
        <v>0.4453441295546558</v>
      </c>
      <c r="CK64" s="99">
        <v>2.4857914237763599E-2</v>
      </c>
      <c r="CL64" s="99">
        <v>0.43642422227807465</v>
      </c>
      <c r="CM64" s="100">
        <v>2.1406727828746176E-2</v>
      </c>
      <c r="CN64" s="100">
        <v>0.44954128440366969</v>
      </c>
      <c r="CO64" s="353"/>
      <c r="CP64" s="99">
        <v>1.1920887059416798E-2</v>
      </c>
      <c r="CQ64" s="99" t="e">
        <f t="shared" si="45"/>
        <v>#DIV/0!</v>
      </c>
      <c r="CR64" s="100">
        <v>1.3227513227513227E-2</v>
      </c>
      <c r="CS64" s="100">
        <f>SUM(CR$58:CR64)</f>
        <v>0.17857142857142858</v>
      </c>
      <c r="CT64" s="93">
        <f>Vergleich!C9</f>
        <v>22571</v>
      </c>
      <c r="CU64" s="99">
        <v>1.0987248375972425E-2</v>
      </c>
      <c r="CV64" s="99">
        <f t="shared" si="46"/>
        <v>0.36203384393295374</v>
      </c>
      <c r="CW64" s="100">
        <v>1.1527377521613813E-2</v>
      </c>
      <c r="CX64" s="100">
        <f>SUM(CW$58:CW64)</f>
        <v>0.15850144092219018</v>
      </c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</row>
    <row r="65" spans="1:121" s="101" customFormat="1" x14ac:dyDescent="0.3">
      <c r="A65" s="152"/>
      <c r="B65" s="160"/>
      <c r="C65" s="242"/>
      <c r="D65" s="160"/>
      <c r="E65" s="242"/>
      <c r="F65" s="242"/>
      <c r="G65" s="156">
        <v>7</v>
      </c>
      <c r="H65" s="185">
        <f t="shared" si="4"/>
        <v>45259.75</v>
      </c>
      <c r="I65" s="369">
        <f t="shared" si="5"/>
        <v>94449</v>
      </c>
      <c r="J65" s="370">
        <f t="shared" si="6"/>
        <v>94449</v>
      </c>
      <c r="K65" s="371">
        <f t="shared" si="7"/>
        <v>94449</v>
      </c>
      <c r="L65" s="382">
        <f t="shared" si="8"/>
        <v>75296.745369013253</v>
      </c>
      <c r="M65" s="383">
        <f t="shared" si="9"/>
        <v>98280.31918267734</v>
      </c>
      <c r="N65" s="389"/>
      <c r="O65" s="370">
        <v>69623</v>
      </c>
      <c r="P65" s="370">
        <v>147297</v>
      </c>
      <c r="Q65" s="370">
        <v>164491</v>
      </c>
      <c r="R65" s="370">
        <v>126713</v>
      </c>
      <c r="S65" s="371">
        <v>184883</v>
      </c>
      <c r="T65" s="69"/>
      <c r="U65" s="417">
        <v>55981</v>
      </c>
      <c r="V65" s="454">
        <v>50019</v>
      </c>
      <c r="W65" s="418">
        <v>16727</v>
      </c>
      <c r="X65" s="417"/>
      <c r="Y65" s="106">
        <v>7</v>
      </c>
      <c r="Z65" s="412">
        <f t="shared" si="27"/>
        <v>4</v>
      </c>
      <c r="AA65" s="89">
        <f t="shared" si="28"/>
        <v>45259</v>
      </c>
      <c r="AB65" s="90">
        <v>0.75</v>
      </c>
      <c r="AC65" s="91">
        <f t="shared" si="10"/>
        <v>45259.75</v>
      </c>
      <c r="AD65" s="92">
        <f t="shared" si="11"/>
        <v>7</v>
      </c>
      <c r="AE65" s="92">
        <f t="shared" si="29"/>
        <v>1</v>
      </c>
      <c r="AF65" s="102">
        <v>94449</v>
      </c>
      <c r="AG65" s="103">
        <v>435</v>
      </c>
      <c r="AH65" s="104">
        <f t="shared" si="12"/>
        <v>40</v>
      </c>
      <c r="AI65" s="95">
        <f t="shared" si="30"/>
        <v>9046</v>
      </c>
      <c r="AJ65" s="96">
        <f t="shared" si="13"/>
        <v>217.12413793103448</v>
      </c>
      <c r="AK65" s="97">
        <f t="shared" si="31"/>
        <v>226.15</v>
      </c>
      <c r="AL65" s="97">
        <f t="shared" ref="AL65:AL79" si="78">SUM(AI61:AI65)/SUM(AH61:AH65)</f>
        <v>216.90502793296091</v>
      </c>
      <c r="AM65" s="102">
        <f t="shared" ref="AM65" si="79">AF65</f>
        <v>94449</v>
      </c>
      <c r="AN65" s="103">
        <f t="shared" ref="AN65" si="80">AG65</f>
        <v>435</v>
      </c>
      <c r="AO65" s="102">
        <f t="shared" ref="AO65" si="81">AF65</f>
        <v>94449</v>
      </c>
      <c r="AP65" s="103">
        <f t="shared" ref="AP65" si="82">AG65</f>
        <v>435</v>
      </c>
      <c r="AQ65" s="95">
        <f t="shared" si="74"/>
        <v>75296.745369013253</v>
      </c>
      <c r="AR65" s="98">
        <f t="shared" si="32"/>
        <v>19152.254630986747</v>
      </c>
      <c r="AS65" s="105">
        <f t="shared" si="75"/>
        <v>349</v>
      </c>
      <c r="AT65" s="80">
        <f t="shared" si="16"/>
        <v>86</v>
      </c>
      <c r="AU65" s="95">
        <f t="shared" si="76"/>
        <v>98280.31918267734</v>
      </c>
      <c r="AV65" s="98">
        <f t="shared" si="17"/>
        <v>-3831.31918267734</v>
      </c>
      <c r="AW65" s="105">
        <f t="shared" si="77"/>
        <v>493</v>
      </c>
      <c r="AX65" s="80">
        <f t="shared" si="18"/>
        <v>-58</v>
      </c>
      <c r="AY65" s="95">
        <f t="shared" si="19"/>
        <v>9046</v>
      </c>
      <c r="AZ65" s="95">
        <f t="shared" si="20"/>
        <v>13492.714285714286</v>
      </c>
      <c r="BA65" s="93">
        <f t="shared" si="21"/>
        <v>94449</v>
      </c>
      <c r="BB65" s="57">
        <f t="shared" si="21"/>
        <v>435</v>
      </c>
      <c r="BC65" s="105">
        <f t="shared" si="21"/>
        <v>40</v>
      </c>
      <c r="BD65" s="105">
        <f t="shared" si="21"/>
        <v>9046</v>
      </c>
      <c r="BE65" s="99">
        <f t="shared" si="33"/>
        <v>3.6297393055906652E-2</v>
      </c>
      <c r="BF65" s="99">
        <f t="shared" si="34"/>
        <v>0.37897993331166563</v>
      </c>
      <c r="BG65" s="100">
        <f t="shared" si="35"/>
        <v>3.5211267605633804E-2</v>
      </c>
      <c r="BH65" s="100">
        <f t="shared" si="51"/>
        <v>0.38292253521126762</v>
      </c>
      <c r="BI65" s="93">
        <v>50019</v>
      </c>
      <c r="BJ65" s="57">
        <v>262</v>
      </c>
      <c r="BK65" s="192">
        <f t="shared" si="36"/>
        <v>4461</v>
      </c>
      <c r="BL65" s="99">
        <f t="shared" si="52"/>
        <v>3.8730682410140646E-2</v>
      </c>
      <c r="BM65" s="99">
        <f t="shared" si="53"/>
        <v>0.43426810210105921</v>
      </c>
      <c r="BN65" s="192">
        <f t="shared" si="37"/>
        <v>21</v>
      </c>
      <c r="BO65" s="100">
        <f t="shared" si="38"/>
        <v>3.255813953488372E-2</v>
      </c>
      <c r="BP65" s="100">
        <f t="shared" si="54"/>
        <v>0.40620155038759687</v>
      </c>
      <c r="BQ65" s="93">
        <v>164491</v>
      </c>
      <c r="BR65" s="57">
        <v>709</v>
      </c>
      <c r="BS65" s="192">
        <f t="shared" si="39"/>
        <v>13534</v>
      </c>
      <c r="BT65" s="99">
        <f t="shared" si="40"/>
        <v>3.4770678971112641E-2</v>
      </c>
      <c r="BU65" s="99">
        <f t="shared" si="23"/>
        <v>0.42259965676350597</v>
      </c>
      <c r="BV65" s="192">
        <f t="shared" si="41"/>
        <v>57</v>
      </c>
      <c r="BW65" s="100">
        <f t="shared" si="24"/>
        <v>3.4420289855072464E-2</v>
      </c>
      <c r="BX65" s="100">
        <f t="shared" si="55"/>
        <v>0.4281400966183575</v>
      </c>
      <c r="BY65" s="93">
        <v>147297</v>
      </c>
      <c r="BZ65" s="57">
        <v>1044</v>
      </c>
      <c r="CA65" s="105">
        <f t="shared" si="42"/>
        <v>11704</v>
      </c>
      <c r="CB65" s="99">
        <f t="shared" si="43"/>
        <v>4.893222067996722E-2</v>
      </c>
      <c r="CC65" s="99">
        <f t="shared" si="25"/>
        <v>0.61582102781075976</v>
      </c>
      <c r="CD65" s="105">
        <f t="shared" si="44"/>
        <v>91</v>
      </c>
      <c r="CE65" s="100">
        <f t="shared" si="26"/>
        <v>5.46875E-2</v>
      </c>
      <c r="CF65" s="100">
        <f t="shared" si="56"/>
        <v>0.62740384615384615</v>
      </c>
      <c r="CG65" s="99">
        <v>3.0466328151909423E-2</v>
      </c>
      <c r="CH65" s="99">
        <v>0.44691725647492803</v>
      </c>
      <c r="CI65" s="100">
        <v>3.2388663967611336E-2</v>
      </c>
      <c r="CJ65" s="100">
        <v>0.47773279352226716</v>
      </c>
      <c r="CK65" s="99">
        <v>1.7447564070341575E-2</v>
      </c>
      <c r="CL65" s="99">
        <v>0.45387178634841624</v>
      </c>
      <c r="CM65" s="100">
        <v>2.1406727828746176E-2</v>
      </c>
      <c r="CN65" s="100">
        <v>0.47094801223241589</v>
      </c>
      <c r="CO65" s="353"/>
      <c r="CP65" s="99">
        <v>2.6240024392961223E-2</v>
      </c>
      <c r="CQ65" s="99" t="e">
        <f t="shared" si="45"/>
        <v>#DIV/0!</v>
      </c>
      <c r="CR65" s="100">
        <v>2.7777777777777776E-2</v>
      </c>
      <c r="CS65" s="100">
        <f>SUM(CR$58:CR65)</f>
        <v>0.20634920634920634</v>
      </c>
      <c r="CT65" s="93">
        <f>Vergleich!C10</f>
        <v>24180</v>
      </c>
      <c r="CU65" s="99">
        <v>2.5808003849546846E-2</v>
      </c>
      <c r="CV65" s="99">
        <f t="shared" si="46"/>
        <v>0.38784184778250058</v>
      </c>
      <c r="CW65" s="100">
        <v>2.5936599423631135E-2</v>
      </c>
      <c r="CX65" s="100">
        <f>SUM(CW$58:CW65)</f>
        <v>0.18443804034582131</v>
      </c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</row>
    <row r="66" spans="1:121" s="101" customFormat="1" x14ac:dyDescent="0.3">
      <c r="A66" s="152"/>
      <c r="B66" s="160"/>
      <c r="C66" s="242"/>
      <c r="D66" s="160"/>
      <c r="E66" s="242"/>
      <c r="F66" s="242"/>
      <c r="G66" s="156">
        <v>8</v>
      </c>
      <c r="H66" s="185">
        <f t="shared" si="4"/>
        <v>45260.75</v>
      </c>
      <c r="I66" s="369">
        <f t="shared" si="5"/>
        <v>103073</v>
      </c>
      <c r="J66" s="370">
        <f t="shared" si="6"/>
        <v>103073</v>
      </c>
      <c r="K66" s="371">
        <f t="shared" si="7"/>
        <v>103073</v>
      </c>
      <c r="L66" s="382">
        <f t="shared" si="8"/>
        <v>77764.567495403957</v>
      </c>
      <c r="M66" s="383">
        <f t="shared" si="9"/>
        <v>108185.17931752824</v>
      </c>
      <c r="N66" s="389"/>
      <c r="O66" s="370">
        <v>72783</v>
      </c>
      <c r="P66" s="370">
        <v>154154</v>
      </c>
      <c r="Q66" s="370">
        <v>182858</v>
      </c>
      <c r="R66" s="370">
        <v>130050</v>
      </c>
      <c r="S66" s="371">
        <v>193287</v>
      </c>
      <c r="T66" s="69"/>
      <c r="U66" s="417">
        <v>58795</v>
      </c>
      <c r="V66" s="454">
        <v>54482</v>
      </c>
      <c r="W66" s="418">
        <v>17672</v>
      </c>
      <c r="X66" s="417"/>
      <c r="Y66" s="106">
        <v>8</v>
      </c>
      <c r="Z66" s="412">
        <f t="shared" si="27"/>
        <v>5</v>
      </c>
      <c r="AA66" s="89">
        <f t="shared" si="28"/>
        <v>45260</v>
      </c>
      <c r="AB66" s="90">
        <v>0.75</v>
      </c>
      <c r="AC66" s="91">
        <f t="shared" si="10"/>
        <v>45260.75</v>
      </c>
      <c r="AD66" s="92">
        <f t="shared" si="11"/>
        <v>8</v>
      </c>
      <c r="AE66" s="92">
        <f t="shared" si="29"/>
        <v>1</v>
      </c>
      <c r="AF66" s="102">
        <v>103073</v>
      </c>
      <c r="AG66" s="103">
        <v>476</v>
      </c>
      <c r="AH66" s="104">
        <f t="shared" si="12"/>
        <v>41</v>
      </c>
      <c r="AI66" s="95">
        <f t="shared" si="30"/>
        <v>8624</v>
      </c>
      <c r="AJ66" s="96">
        <f t="shared" si="13"/>
        <v>216.53991596638656</v>
      </c>
      <c r="AK66" s="97">
        <f t="shared" si="31"/>
        <v>210.34146341463415</v>
      </c>
      <c r="AL66" s="97">
        <f t="shared" si="78"/>
        <v>214.76</v>
      </c>
      <c r="AM66" s="102">
        <f t="shared" ref="AM66" si="83">AF66</f>
        <v>103073</v>
      </c>
      <c r="AN66" s="103">
        <f t="shared" ref="AN66" si="84">AG66</f>
        <v>476</v>
      </c>
      <c r="AO66" s="102">
        <f t="shared" ref="AO66" si="85">AF66</f>
        <v>103073</v>
      </c>
      <c r="AP66" s="103">
        <f t="shared" ref="AP66" si="86">AG66</f>
        <v>476</v>
      </c>
      <c r="AQ66" s="95">
        <f t="shared" si="74"/>
        <v>77764.567495403957</v>
      </c>
      <c r="AR66" s="98">
        <f t="shared" si="32"/>
        <v>25308.432504596043</v>
      </c>
      <c r="AS66" s="105">
        <f t="shared" si="75"/>
        <v>360</v>
      </c>
      <c r="AT66" s="80">
        <f t="shared" si="16"/>
        <v>116</v>
      </c>
      <c r="AU66" s="95">
        <f t="shared" si="76"/>
        <v>108185.17931752824</v>
      </c>
      <c r="AV66" s="98">
        <f t="shared" si="17"/>
        <v>-5112.1793175282364</v>
      </c>
      <c r="AW66" s="105">
        <f t="shared" si="77"/>
        <v>537</v>
      </c>
      <c r="AX66" s="80">
        <f t="shared" si="18"/>
        <v>-61</v>
      </c>
      <c r="AY66" s="95">
        <f t="shared" si="19"/>
        <v>8624</v>
      </c>
      <c r="AZ66" s="95">
        <f t="shared" si="20"/>
        <v>12884.125</v>
      </c>
      <c r="BA66" s="93">
        <f t="shared" si="21"/>
        <v>103073</v>
      </c>
      <c r="BB66" s="57">
        <f t="shared" si="21"/>
        <v>476</v>
      </c>
      <c r="BC66" s="105">
        <f t="shared" si="21"/>
        <v>41</v>
      </c>
      <c r="BD66" s="105">
        <f t="shared" si="21"/>
        <v>8624</v>
      </c>
      <c r="BE66" s="99">
        <f t="shared" si="33"/>
        <v>3.4604103218454453E-2</v>
      </c>
      <c r="BF66" s="99">
        <f t="shared" si="34"/>
        <v>0.4135840365301201</v>
      </c>
      <c r="BG66" s="100">
        <f t="shared" si="35"/>
        <v>3.6091549295774648E-2</v>
      </c>
      <c r="BH66" s="100">
        <f t="shared" si="51"/>
        <v>0.41901408450704225</v>
      </c>
      <c r="BI66" s="93">
        <v>54482</v>
      </c>
      <c r="BJ66" s="57">
        <v>287</v>
      </c>
      <c r="BK66" s="192">
        <f t="shared" si="36"/>
        <v>4463</v>
      </c>
      <c r="BL66" s="99">
        <f t="shared" si="52"/>
        <v>3.8748046535856923E-2</v>
      </c>
      <c r="BM66" s="99">
        <f t="shared" si="53"/>
        <v>0.4730161486369161</v>
      </c>
      <c r="BN66" s="192">
        <f t="shared" si="37"/>
        <v>25</v>
      </c>
      <c r="BO66" s="100">
        <f t="shared" si="38"/>
        <v>3.875968992248062E-2</v>
      </c>
      <c r="BP66" s="100">
        <f t="shared" si="54"/>
        <v>0.4449612403100775</v>
      </c>
      <c r="BQ66" s="93">
        <v>182858</v>
      </c>
      <c r="BR66" s="57">
        <v>792</v>
      </c>
      <c r="BS66" s="192">
        <f t="shared" si="39"/>
        <v>18367</v>
      </c>
      <c r="BT66" s="99">
        <f t="shared" si="40"/>
        <v>4.7187310526261704E-2</v>
      </c>
      <c r="BU66" s="99">
        <f t="shared" si="23"/>
        <v>0.46978696728976765</v>
      </c>
      <c r="BV66" s="192">
        <f t="shared" si="41"/>
        <v>83</v>
      </c>
      <c r="BW66" s="100">
        <f t="shared" si="24"/>
        <v>5.0120772946859904E-2</v>
      </c>
      <c r="BX66" s="100">
        <f t="shared" si="55"/>
        <v>0.47826086956521741</v>
      </c>
      <c r="BY66" s="93">
        <v>154154</v>
      </c>
      <c r="BZ66" s="57">
        <v>1084</v>
      </c>
      <c r="CA66" s="105">
        <f t="shared" si="42"/>
        <v>6857</v>
      </c>
      <c r="CB66" s="99">
        <f t="shared" si="43"/>
        <v>2.8667826145124337E-2</v>
      </c>
      <c r="CC66" s="99">
        <f t="shared" si="25"/>
        <v>0.64448885395588407</v>
      </c>
      <c r="CD66" s="105">
        <f t="shared" si="44"/>
        <v>40</v>
      </c>
      <c r="CE66" s="100">
        <f t="shared" si="26"/>
        <v>2.403846153846154E-2</v>
      </c>
      <c r="CF66" s="100">
        <f t="shared" si="56"/>
        <v>0.65144230769230771</v>
      </c>
      <c r="CG66" s="99">
        <v>3.9366229264119285E-2</v>
      </c>
      <c r="CH66" s="99">
        <v>0.48628348573904734</v>
      </c>
      <c r="CI66" s="100">
        <v>3.4412955465587043E-2</v>
      </c>
      <c r="CJ66" s="100">
        <v>0.51214574898785425</v>
      </c>
      <c r="CK66" s="99">
        <v>2.2814797999043304E-2</v>
      </c>
      <c r="CL66" s="99">
        <v>0.47668658434745953</v>
      </c>
      <c r="CM66" s="100">
        <v>2.5993883792048929E-2</v>
      </c>
      <c r="CN66" s="100">
        <v>0.49694189602446481</v>
      </c>
      <c r="CO66" s="353"/>
      <c r="CP66" s="99">
        <v>1.852926862162178E-2</v>
      </c>
      <c r="CQ66" s="99" t="e">
        <f t="shared" si="45"/>
        <v>#DIV/0!</v>
      </c>
      <c r="CR66" s="100">
        <v>1.7195767195767195E-2</v>
      </c>
      <c r="CS66" s="100">
        <f>SUM(CR$58:CR66)</f>
        <v>0.22354497354497355</v>
      </c>
      <c r="CT66" s="93">
        <f>Vergleich!C11</f>
        <v>26679</v>
      </c>
      <c r="CU66" s="99">
        <v>4.0083406848985481E-2</v>
      </c>
      <c r="CV66" s="99">
        <f t="shared" si="46"/>
        <v>0.42792525463148606</v>
      </c>
      <c r="CW66" s="100">
        <v>3.4582132564841495E-2</v>
      </c>
      <c r="CX66" s="100">
        <f>SUM(CW$58:CW66)</f>
        <v>0.21902017291066281</v>
      </c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</row>
    <row r="67" spans="1:121" s="101" customFormat="1" x14ac:dyDescent="0.3">
      <c r="A67" s="152"/>
      <c r="B67" s="160"/>
      <c r="C67" s="242"/>
      <c r="D67" s="160"/>
      <c r="E67" s="242"/>
      <c r="F67" s="242"/>
      <c r="G67" s="156">
        <v>9</v>
      </c>
      <c r="H67" s="185">
        <f t="shared" si="4"/>
        <v>45261.75</v>
      </c>
      <c r="I67" s="369">
        <f t="shared" si="5"/>
        <v>113149</v>
      </c>
      <c r="J67" s="370">
        <f t="shared" si="6"/>
        <v>113149</v>
      </c>
      <c r="K67" s="371">
        <f t="shared" si="7"/>
        <v>113149</v>
      </c>
      <c r="L67" s="382">
        <f t="shared" si="8"/>
        <v>79395.987774090507</v>
      </c>
      <c r="M67" s="383">
        <f t="shared" si="9"/>
        <v>114668.04533549685</v>
      </c>
      <c r="N67" s="389"/>
      <c r="O67" s="370">
        <v>76597</v>
      </c>
      <c r="P67" s="370">
        <v>158642</v>
      </c>
      <c r="Q67" s="370">
        <v>195000</v>
      </c>
      <c r="R67" s="370">
        <v>133215</v>
      </c>
      <c r="S67" s="371">
        <v>202015</v>
      </c>
      <c r="T67" s="69"/>
      <c r="U67" s="417">
        <v>63300</v>
      </c>
      <c r="V67" s="454">
        <v>60464</v>
      </c>
      <c r="W67" s="418">
        <v>17982</v>
      </c>
      <c r="X67" s="417"/>
      <c r="Y67" s="106">
        <v>9</v>
      </c>
      <c r="Z67" s="412">
        <f t="shared" si="27"/>
        <v>6</v>
      </c>
      <c r="AA67" s="89">
        <f t="shared" si="28"/>
        <v>45261</v>
      </c>
      <c r="AB67" s="90">
        <v>0.75</v>
      </c>
      <c r="AC67" s="91">
        <f t="shared" si="10"/>
        <v>45261.75</v>
      </c>
      <c r="AD67" s="92">
        <f t="shared" si="11"/>
        <v>9</v>
      </c>
      <c r="AE67" s="92">
        <f t="shared" si="29"/>
        <v>1</v>
      </c>
      <c r="AF67" s="102">
        <v>113149</v>
      </c>
      <c r="AG67" s="103">
        <v>524</v>
      </c>
      <c r="AH67" s="104">
        <f t="shared" si="12"/>
        <v>48</v>
      </c>
      <c r="AI67" s="95">
        <f t="shared" si="30"/>
        <v>10076</v>
      </c>
      <c r="AJ67" s="96">
        <f t="shared" si="13"/>
        <v>215.93320610687022</v>
      </c>
      <c r="AK67" s="97">
        <f t="shared" si="31"/>
        <v>209.91666666666666</v>
      </c>
      <c r="AL67" s="97">
        <f t="shared" si="78"/>
        <v>215.49751243781094</v>
      </c>
      <c r="AM67" s="102">
        <f t="shared" ref="AM67:AM68" si="87">AF67</f>
        <v>113149</v>
      </c>
      <c r="AN67" s="103">
        <f t="shared" ref="AN67:AN68" si="88">AG67</f>
        <v>524</v>
      </c>
      <c r="AO67" s="102">
        <f t="shared" ref="AO67:AO68" si="89">AF67</f>
        <v>113149</v>
      </c>
      <c r="AP67" s="103">
        <f t="shared" ref="AP67:AP68" si="90">AG67</f>
        <v>524</v>
      </c>
      <c r="AQ67" s="95">
        <f t="shared" si="74"/>
        <v>79395.987774090507</v>
      </c>
      <c r="AR67" s="98">
        <f t="shared" si="32"/>
        <v>33753.012225909493</v>
      </c>
      <c r="AS67" s="105">
        <f t="shared" si="75"/>
        <v>368</v>
      </c>
      <c r="AT67" s="80">
        <f t="shared" si="16"/>
        <v>156</v>
      </c>
      <c r="AU67" s="95">
        <f t="shared" si="76"/>
        <v>114668.04533549685</v>
      </c>
      <c r="AV67" s="98">
        <f t="shared" si="17"/>
        <v>-1519.0453354968486</v>
      </c>
      <c r="AW67" s="105">
        <f t="shared" si="77"/>
        <v>568</v>
      </c>
      <c r="AX67" s="80">
        <f t="shared" si="18"/>
        <v>-44</v>
      </c>
      <c r="AY67" s="95">
        <f t="shared" si="19"/>
        <v>10076</v>
      </c>
      <c r="AZ67" s="95">
        <f t="shared" si="20"/>
        <v>12572.111111111111</v>
      </c>
      <c r="BA67" s="93">
        <f t="shared" si="21"/>
        <v>113149</v>
      </c>
      <c r="BB67" s="57">
        <f t="shared" si="21"/>
        <v>524</v>
      </c>
      <c r="BC67" s="105">
        <f t="shared" si="21"/>
        <v>48</v>
      </c>
      <c r="BD67" s="105">
        <f t="shared" si="21"/>
        <v>10076</v>
      </c>
      <c r="BE67" s="99">
        <f t="shared" si="33"/>
        <v>4.0430304270541173E-2</v>
      </c>
      <c r="BF67" s="99">
        <f t="shared" si="34"/>
        <v>0.45401434080066128</v>
      </c>
      <c r="BG67" s="100">
        <f t="shared" si="35"/>
        <v>4.2253521126760563E-2</v>
      </c>
      <c r="BH67" s="100">
        <f t="shared" si="51"/>
        <v>0.46126760563380281</v>
      </c>
      <c r="BI67" s="93">
        <v>60464</v>
      </c>
      <c r="BJ67" s="57">
        <v>324</v>
      </c>
      <c r="BK67" s="192">
        <f t="shared" si="36"/>
        <v>5982</v>
      </c>
      <c r="BL67" s="99">
        <f t="shared" si="52"/>
        <v>5.1936100017364123E-2</v>
      </c>
      <c r="BM67" s="99">
        <f t="shared" si="53"/>
        <v>0.52495224865428025</v>
      </c>
      <c r="BN67" s="192">
        <f t="shared" si="37"/>
        <v>37</v>
      </c>
      <c r="BO67" s="100">
        <f t="shared" si="38"/>
        <v>5.7364341085271317E-2</v>
      </c>
      <c r="BP67" s="100">
        <f t="shared" si="54"/>
        <v>0.50232558139534877</v>
      </c>
      <c r="BQ67" s="93">
        <v>195000</v>
      </c>
      <c r="BR67" s="57">
        <v>851</v>
      </c>
      <c r="BS67" s="192">
        <f t="shared" si="39"/>
        <v>12142</v>
      </c>
      <c r="BT67" s="99">
        <f t="shared" si="40"/>
        <v>3.1194442446227995E-2</v>
      </c>
      <c r="BU67" s="99">
        <f t="shared" si="23"/>
        <v>0.5009814097359957</v>
      </c>
      <c r="BV67" s="192">
        <f t="shared" si="41"/>
        <v>59</v>
      </c>
      <c r="BW67" s="100">
        <f t="shared" si="24"/>
        <v>3.5628019323671496E-2</v>
      </c>
      <c r="BX67" s="100">
        <f t="shared" si="55"/>
        <v>0.51388888888888895</v>
      </c>
      <c r="BY67" s="93">
        <v>158642</v>
      </c>
      <c r="BZ67" s="57">
        <v>1112</v>
      </c>
      <c r="CA67" s="105">
        <f t="shared" si="42"/>
        <v>4488</v>
      </c>
      <c r="CB67" s="99">
        <f t="shared" si="43"/>
        <v>1.8763483117882167E-2</v>
      </c>
      <c r="CC67" s="99">
        <f t="shared" si="25"/>
        <v>0.6632523370737663</v>
      </c>
      <c r="CD67" s="105">
        <f t="shared" si="44"/>
        <v>28</v>
      </c>
      <c r="CE67" s="100">
        <f t="shared" si="26"/>
        <v>1.6826923076923076E-2</v>
      </c>
      <c r="CF67" s="100">
        <f t="shared" si="56"/>
        <v>0.66826923076923084</v>
      </c>
      <c r="CG67" s="99">
        <v>2.4499727780802436E-2</v>
      </c>
      <c r="CH67" s="99">
        <v>0.51078321351984979</v>
      </c>
      <c r="CI67" s="100">
        <v>2.8340080971659919E-2</v>
      </c>
      <c r="CJ67" s="100">
        <v>0.54048582995951422</v>
      </c>
      <c r="CK67" s="99">
        <v>3.6524756569186238E-2</v>
      </c>
      <c r="CL67" s="99">
        <v>0.51321134091664578</v>
      </c>
      <c r="CM67" s="100">
        <v>3.82262996941896E-2</v>
      </c>
      <c r="CN67" s="100">
        <v>0.53516819571865437</v>
      </c>
      <c r="CO67" s="353"/>
      <c r="CP67" s="99">
        <v>2.2364123583185274E-2</v>
      </c>
      <c r="CQ67" s="99" t="e">
        <f t="shared" si="45"/>
        <v>#DIV/0!</v>
      </c>
      <c r="CR67" s="100">
        <v>2.7777777777777776E-2</v>
      </c>
      <c r="CS67" s="100">
        <f>SUM(CR$58:CR67)</f>
        <v>0.25132275132275134</v>
      </c>
      <c r="CT67" s="93">
        <f>Vergleich!C12</f>
        <v>27868</v>
      </c>
      <c r="CU67" s="99">
        <v>1.9071296816103978E-2</v>
      </c>
      <c r="CV67" s="99">
        <f t="shared" si="46"/>
        <v>0.44699655144759004</v>
      </c>
      <c r="CW67" s="100">
        <v>1.7291066282420775E-2</v>
      </c>
      <c r="CX67" s="100">
        <f>SUM(CW$58:CW67)</f>
        <v>0.23631123919308358</v>
      </c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</row>
    <row r="68" spans="1:121" s="101" customFormat="1" x14ac:dyDescent="0.3">
      <c r="A68" s="152"/>
      <c r="B68" s="160"/>
      <c r="C68" s="242"/>
      <c r="D68" s="160"/>
      <c r="E68" s="242"/>
      <c r="F68" s="242"/>
      <c r="G68" s="156">
        <v>10</v>
      </c>
      <c r="H68" s="185">
        <f t="shared" si="4"/>
        <v>45262.75</v>
      </c>
      <c r="I68" s="369">
        <f t="shared" si="5"/>
        <v>120667</v>
      </c>
      <c r="J68" s="370">
        <f t="shared" si="6"/>
        <v>120667</v>
      </c>
      <c r="K68" s="371">
        <f t="shared" si="7"/>
        <v>120667</v>
      </c>
      <c r="L68" s="382">
        <f t="shared" si="8"/>
        <v>80588.716963178013</v>
      </c>
      <c r="M68" s="383">
        <f t="shared" si="9"/>
        <v>121243.35864070922</v>
      </c>
      <c r="N68" s="389"/>
      <c r="O68" s="370">
        <v>81327</v>
      </c>
      <c r="P68" s="370">
        <v>163194</v>
      </c>
      <c r="Q68" s="370">
        <v>203877</v>
      </c>
      <c r="R68" s="370">
        <v>136715</v>
      </c>
      <c r="S68" s="371">
        <v>209016</v>
      </c>
      <c r="T68" s="69"/>
      <c r="U68" s="417">
        <v>66650</v>
      </c>
      <c r="V68" s="454">
        <v>62608</v>
      </c>
      <c r="W68" s="418">
        <v>18530</v>
      </c>
      <c r="X68" s="417"/>
      <c r="Y68" s="106">
        <v>10</v>
      </c>
      <c r="Z68" s="412">
        <f t="shared" si="27"/>
        <v>7</v>
      </c>
      <c r="AA68" s="89">
        <f t="shared" si="28"/>
        <v>45262</v>
      </c>
      <c r="AB68" s="90">
        <v>0.75</v>
      </c>
      <c r="AC68" s="91">
        <f t="shared" si="10"/>
        <v>45262.75</v>
      </c>
      <c r="AD68" s="92">
        <f t="shared" si="11"/>
        <v>10</v>
      </c>
      <c r="AE68" s="92">
        <f t="shared" si="29"/>
        <v>1</v>
      </c>
      <c r="AF68" s="102">
        <v>120667</v>
      </c>
      <c r="AG68" s="103">
        <v>564</v>
      </c>
      <c r="AH68" s="104">
        <f t="shared" si="12"/>
        <v>40</v>
      </c>
      <c r="AI68" s="95">
        <f t="shared" si="30"/>
        <v>7518</v>
      </c>
      <c r="AJ68" s="96">
        <f t="shared" si="13"/>
        <v>213.94858156028369</v>
      </c>
      <c r="AK68" s="97">
        <f t="shared" si="31"/>
        <v>187.95</v>
      </c>
      <c r="AL68" s="97">
        <f t="shared" si="78"/>
        <v>211.81220657276995</v>
      </c>
      <c r="AM68" s="102">
        <f t="shared" si="87"/>
        <v>120667</v>
      </c>
      <c r="AN68" s="103">
        <f t="shared" si="88"/>
        <v>564</v>
      </c>
      <c r="AO68" s="102">
        <f t="shared" si="89"/>
        <v>120667</v>
      </c>
      <c r="AP68" s="103">
        <f t="shared" si="90"/>
        <v>564</v>
      </c>
      <c r="AQ68" s="95">
        <f t="shared" si="74"/>
        <v>80588.716963178013</v>
      </c>
      <c r="AR68" s="98">
        <f t="shared" si="32"/>
        <v>40078.283036821987</v>
      </c>
      <c r="AS68" s="105">
        <f t="shared" si="75"/>
        <v>374</v>
      </c>
      <c r="AT68" s="80">
        <f t="shared" si="16"/>
        <v>190</v>
      </c>
      <c r="AU68" s="95">
        <f t="shared" si="76"/>
        <v>121243.35864070922</v>
      </c>
      <c r="AV68" s="98">
        <f t="shared" si="17"/>
        <v>-576.35864070922253</v>
      </c>
      <c r="AW68" s="105">
        <f t="shared" si="77"/>
        <v>599</v>
      </c>
      <c r="AX68" s="80">
        <f t="shared" si="18"/>
        <v>-35</v>
      </c>
      <c r="AY68" s="95">
        <f t="shared" si="19"/>
        <v>7518</v>
      </c>
      <c r="AZ68" s="95">
        <f t="shared" si="20"/>
        <v>12066.7</v>
      </c>
      <c r="BA68" s="93">
        <f t="shared" si="21"/>
        <v>120667</v>
      </c>
      <c r="BB68" s="57">
        <f t="shared" si="21"/>
        <v>564</v>
      </c>
      <c r="BC68" s="105">
        <f t="shared" si="21"/>
        <v>40</v>
      </c>
      <c r="BD68" s="105">
        <f t="shared" si="21"/>
        <v>7518</v>
      </c>
      <c r="BE68" s="99">
        <f t="shared" si="33"/>
        <v>3.0166239331672142E-2</v>
      </c>
      <c r="BF68" s="99">
        <f t="shared" si="34"/>
        <v>0.48418058013233339</v>
      </c>
      <c r="BG68" s="100">
        <f t="shared" si="35"/>
        <v>3.5211267605633804E-2</v>
      </c>
      <c r="BH68" s="100">
        <f t="shared" si="51"/>
        <v>0.49647887323943662</v>
      </c>
      <c r="BI68" s="93">
        <v>62608</v>
      </c>
      <c r="BJ68" s="57">
        <v>336</v>
      </c>
      <c r="BK68" s="192">
        <f t="shared" si="36"/>
        <v>2144</v>
      </c>
      <c r="BL68" s="99">
        <f t="shared" si="52"/>
        <v>1.861434276784164E-2</v>
      </c>
      <c r="BM68" s="99">
        <f t="shared" si="53"/>
        <v>0.54356659142212194</v>
      </c>
      <c r="BN68" s="192">
        <f t="shared" si="37"/>
        <v>12</v>
      </c>
      <c r="BO68" s="100">
        <f t="shared" si="38"/>
        <v>1.8604651162790697E-2</v>
      </c>
      <c r="BP68" s="100">
        <f t="shared" si="54"/>
        <v>0.52093023255813953</v>
      </c>
      <c r="BQ68" s="93">
        <v>203877</v>
      </c>
      <c r="BR68" s="57">
        <v>893</v>
      </c>
      <c r="BS68" s="192">
        <f t="shared" si="39"/>
        <v>8877</v>
      </c>
      <c r="BT68" s="99">
        <f t="shared" si="40"/>
        <v>2.2806215252443248E-2</v>
      </c>
      <c r="BU68" s="99">
        <f t="shared" si="23"/>
        <v>0.52378762498843889</v>
      </c>
      <c r="BV68" s="192">
        <f t="shared" si="41"/>
        <v>42</v>
      </c>
      <c r="BW68" s="100">
        <f t="shared" si="24"/>
        <v>2.5362318840579712E-2</v>
      </c>
      <c r="BX68" s="100">
        <f t="shared" si="55"/>
        <v>0.53925120772946866</v>
      </c>
      <c r="BY68" s="93">
        <v>163194</v>
      </c>
      <c r="BZ68" s="57">
        <v>1140</v>
      </c>
      <c r="CA68" s="105">
        <f t="shared" si="42"/>
        <v>4552</v>
      </c>
      <c r="CB68" s="99">
        <f t="shared" si="43"/>
        <v>1.9031055069652324E-2</v>
      </c>
      <c r="CC68" s="99">
        <f t="shared" si="25"/>
        <v>0.6822833921434186</v>
      </c>
      <c r="CD68" s="105">
        <f t="shared" si="44"/>
        <v>28</v>
      </c>
      <c r="CE68" s="100">
        <f t="shared" si="26"/>
        <v>1.6826923076923076E-2</v>
      </c>
      <c r="CF68" s="100">
        <f t="shared" si="56"/>
        <v>0.68509615384615397</v>
      </c>
      <c r="CG68" s="99">
        <v>3.2021866423706406E-2</v>
      </c>
      <c r="CH68" s="99">
        <v>0.5428050799435562</v>
      </c>
      <c r="CI68" s="100">
        <v>3.0364372469635626E-2</v>
      </c>
      <c r="CJ68" s="100">
        <v>0.57085020242914986</v>
      </c>
      <c r="CK68" s="99">
        <v>2.7160473808384884E-2</v>
      </c>
      <c r="CL68" s="99">
        <v>0.54037181472503071</v>
      </c>
      <c r="CM68" s="100">
        <v>2.9051987767584098E-2</v>
      </c>
      <c r="CN68" s="100">
        <v>0.56422018348623848</v>
      </c>
      <c r="CO68" s="353"/>
      <c r="CP68" s="99">
        <v>2.7735266006414881E-2</v>
      </c>
      <c r="CQ68" s="99" t="e">
        <f t="shared" si="45"/>
        <v>#DIV/0!</v>
      </c>
      <c r="CR68" s="100">
        <v>2.7777777777777776E-2</v>
      </c>
      <c r="CS68" s="100">
        <f>SUM(CR$58:CR68)</f>
        <v>0.27910052910052913</v>
      </c>
      <c r="CT68" s="93">
        <f>Vergleich!C13</f>
        <v>31587</v>
      </c>
      <c r="CU68" s="99">
        <v>5.9651936803272132E-2</v>
      </c>
      <c r="CV68" s="99">
        <f t="shared" si="46"/>
        <v>0.50664848825086217</v>
      </c>
      <c r="CW68" s="100">
        <v>5.4755043227665667E-2</v>
      </c>
      <c r="CX68" s="100">
        <f>SUM(CW$58:CW68)</f>
        <v>0.29106628242074928</v>
      </c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</row>
    <row r="69" spans="1:121" s="101" customFormat="1" x14ac:dyDescent="0.3">
      <c r="A69" s="152"/>
      <c r="B69" s="160"/>
      <c r="C69" s="242"/>
      <c r="D69" s="160"/>
      <c r="E69" s="242"/>
      <c r="F69" s="242"/>
      <c r="G69" s="156">
        <v>11</v>
      </c>
      <c r="H69" s="185">
        <f t="shared" si="4"/>
        <v>45263.75</v>
      </c>
      <c r="I69" s="369">
        <f t="shared" si="5"/>
        <v>127353</v>
      </c>
      <c r="J69" s="370">
        <f t="shared" si="6"/>
        <v>127353</v>
      </c>
      <c r="K69" s="371">
        <f t="shared" si="7"/>
        <v>127353</v>
      </c>
      <c r="L69" s="382">
        <f t="shared" si="8"/>
        <v>81786.820621969644</v>
      </c>
      <c r="M69" s="383">
        <f t="shared" si="9"/>
        <v>125881.61238039221</v>
      </c>
      <c r="N69" s="389"/>
      <c r="O69" s="370">
        <v>83062</v>
      </c>
      <c r="P69" s="370">
        <v>166405</v>
      </c>
      <c r="Q69" s="370">
        <v>212794</v>
      </c>
      <c r="R69" s="370">
        <v>139670</v>
      </c>
      <c r="S69" s="371">
        <v>214911</v>
      </c>
      <c r="T69" s="69"/>
      <c r="U69" s="417">
        <v>69668</v>
      </c>
      <c r="V69" s="454">
        <v>63707</v>
      </c>
      <c r="W69" s="418">
        <v>19542</v>
      </c>
      <c r="X69" s="417"/>
      <c r="Y69" s="106">
        <v>11</v>
      </c>
      <c r="Z69" s="412">
        <f t="shared" si="27"/>
        <v>1</v>
      </c>
      <c r="AA69" s="89">
        <f t="shared" si="28"/>
        <v>45263</v>
      </c>
      <c r="AB69" s="90">
        <v>0.75</v>
      </c>
      <c r="AC69" s="91">
        <f t="shared" si="10"/>
        <v>45263.75</v>
      </c>
      <c r="AD69" s="92">
        <f t="shared" si="11"/>
        <v>11</v>
      </c>
      <c r="AE69" s="92">
        <f t="shared" si="29"/>
        <v>1</v>
      </c>
      <c r="AF69" s="102">
        <v>127353</v>
      </c>
      <c r="AG69" s="103">
        <v>596</v>
      </c>
      <c r="AH69" s="104">
        <f t="shared" si="12"/>
        <v>32</v>
      </c>
      <c r="AI69" s="95">
        <f t="shared" si="30"/>
        <v>6686</v>
      </c>
      <c r="AJ69" s="96">
        <f t="shared" si="13"/>
        <v>213.67953020134229</v>
      </c>
      <c r="AK69" s="97">
        <f t="shared" si="31"/>
        <v>208.9375</v>
      </c>
      <c r="AL69" s="97">
        <f t="shared" si="78"/>
        <v>208.70646766169153</v>
      </c>
      <c r="AM69" s="102">
        <f t="shared" ref="AM69" si="91">AF69</f>
        <v>127353</v>
      </c>
      <c r="AN69" s="103">
        <f t="shared" ref="AN69" si="92">AG69</f>
        <v>596</v>
      </c>
      <c r="AO69" s="102">
        <f t="shared" ref="AO69" si="93">AF69</f>
        <v>127353</v>
      </c>
      <c r="AP69" s="103">
        <f t="shared" ref="AP69" si="94">AG69</f>
        <v>596</v>
      </c>
      <c r="AQ69" s="95">
        <f t="shared" si="74"/>
        <v>81786.820621969644</v>
      </c>
      <c r="AR69" s="95">
        <f t="shared" si="32"/>
        <v>45566.179378030356</v>
      </c>
      <c r="AS69" s="105">
        <f t="shared" si="75"/>
        <v>380</v>
      </c>
      <c r="AT69" s="71">
        <f t="shared" si="16"/>
        <v>216</v>
      </c>
      <c r="AU69" s="95">
        <f t="shared" si="76"/>
        <v>125881.61238039221</v>
      </c>
      <c r="AV69" s="95">
        <f t="shared" si="17"/>
        <v>1471.3876196077908</v>
      </c>
      <c r="AW69" s="105">
        <f t="shared" si="77"/>
        <v>624</v>
      </c>
      <c r="AX69" s="71">
        <f t="shared" si="18"/>
        <v>-28</v>
      </c>
      <c r="AY69" s="95">
        <f t="shared" si="19"/>
        <v>6686</v>
      </c>
      <c r="AZ69" s="95">
        <f t="shared" si="20"/>
        <v>11577.545454545454</v>
      </c>
      <c r="BA69" s="93">
        <f t="shared" si="21"/>
        <v>127353</v>
      </c>
      <c r="BB69" s="57">
        <f t="shared" si="21"/>
        <v>596</v>
      </c>
      <c r="BC69" s="105">
        <f t="shared" si="21"/>
        <v>32</v>
      </c>
      <c r="BD69" s="105">
        <f t="shared" si="21"/>
        <v>6686</v>
      </c>
      <c r="BE69" s="99">
        <f t="shared" si="33"/>
        <v>2.6827810078685815E-2</v>
      </c>
      <c r="BF69" s="99">
        <f t="shared" si="34"/>
        <v>0.51100839021101918</v>
      </c>
      <c r="BG69" s="100">
        <f t="shared" si="35"/>
        <v>2.8169014084507043E-2</v>
      </c>
      <c r="BH69" s="100">
        <f t="shared" si="51"/>
        <v>0.52464788732394363</v>
      </c>
      <c r="BI69" s="93">
        <v>63707</v>
      </c>
      <c r="BJ69" s="57">
        <v>345</v>
      </c>
      <c r="BK69" s="192">
        <f t="shared" si="36"/>
        <v>1099</v>
      </c>
      <c r="BL69" s="99">
        <f t="shared" si="52"/>
        <v>9.5415870810904666E-3</v>
      </c>
      <c r="BM69" s="99">
        <f t="shared" si="53"/>
        <v>0.55310817850321237</v>
      </c>
      <c r="BN69" s="192">
        <f t="shared" si="37"/>
        <v>9</v>
      </c>
      <c r="BO69" s="100">
        <f t="shared" si="38"/>
        <v>1.3953488372093023E-2</v>
      </c>
      <c r="BP69" s="100">
        <f t="shared" si="54"/>
        <v>0.53488372093023251</v>
      </c>
      <c r="BQ69" s="93">
        <v>212794</v>
      </c>
      <c r="BR69" s="57">
        <v>935</v>
      </c>
      <c r="BS69" s="192">
        <f t="shared" si="39"/>
        <v>8917</v>
      </c>
      <c r="BT69" s="99">
        <f t="shared" si="40"/>
        <v>2.290898066982499E-2</v>
      </c>
      <c r="BU69" s="99">
        <f t="shared" si="23"/>
        <v>0.54669660565826383</v>
      </c>
      <c r="BV69" s="192">
        <f t="shared" si="41"/>
        <v>42</v>
      </c>
      <c r="BW69" s="100">
        <f t="shared" si="24"/>
        <v>2.5362318840579712E-2</v>
      </c>
      <c r="BX69" s="100">
        <f t="shared" si="55"/>
        <v>0.56461352657004837</v>
      </c>
      <c r="BY69" s="93">
        <v>166405</v>
      </c>
      <c r="BZ69" s="57">
        <v>1163</v>
      </c>
      <c r="CA69" s="105">
        <f t="shared" si="42"/>
        <v>3211</v>
      </c>
      <c r="CB69" s="99">
        <f t="shared" si="43"/>
        <v>1.342458651771828E-2</v>
      </c>
      <c r="CC69" s="99">
        <f t="shared" si="25"/>
        <v>0.69570797866113687</v>
      </c>
      <c r="CD69" s="105">
        <f t="shared" si="44"/>
        <v>23</v>
      </c>
      <c r="CE69" s="100">
        <f t="shared" si="26"/>
        <v>1.3822115384615384E-2</v>
      </c>
      <c r="CF69" s="100">
        <f t="shared" si="56"/>
        <v>0.69891826923076938</v>
      </c>
      <c r="CG69" s="99">
        <v>1.5899823335296274E-2</v>
      </c>
      <c r="CH69" s="99">
        <v>0.55870490327885247</v>
      </c>
      <c r="CI69" s="100">
        <v>1.8218623481781375E-2</v>
      </c>
      <c r="CJ69" s="100">
        <v>0.58906882591093124</v>
      </c>
      <c r="CK69" s="99">
        <v>2.4468749239912112E-2</v>
      </c>
      <c r="CL69" s="99">
        <v>0.56484056396494287</v>
      </c>
      <c r="CM69" s="100">
        <v>2.5993883792048929E-2</v>
      </c>
      <c r="CN69" s="100">
        <v>0.5902140672782874</v>
      </c>
      <c r="CO69" s="353"/>
      <c r="CP69" s="99">
        <v>1.0173506664086642E-2</v>
      </c>
      <c r="CQ69" s="99" t="e">
        <f t="shared" si="45"/>
        <v>#DIV/0!</v>
      </c>
      <c r="CR69" s="100">
        <v>7.9365079365079361E-3</v>
      </c>
      <c r="CS69" s="100">
        <f>SUM(CR$58:CR69)</f>
        <v>0.28703703703703709</v>
      </c>
      <c r="CT69" s="93">
        <f>Vergleich!C14</f>
        <v>34703</v>
      </c>
      <c r="CU69" s="99">
        <v>4.9979950276686114E-2</v>
      </c>
      <c r="CV69" s="99">
        <f t="shared" si="46"/>
        <v>0.55662843852754829</v>
      </c>
      <c r="CW69" s="100">
        <v>4.8991354466858816E-2</v>
      </c>
      <c r="CX69" s="100">
        <f>SUM(CW$58:CW69)</f>
        <v>0.34005763688760809</v>
      </c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</row>
    <row r="70" spans="1:121" s="101" customFormat="1" x14ac:dyDescent="0.3">
      <c r="A70" s="152"/>
      <c r="B70" s="160"/>
      <c r="C70" s="242"/>
      <c r="D70" s="160"/>
      <c r="E70" s="242"/>
      <c r="F70" s="242"/>
      <c r="G70" s="156">
        <v>12</v>
      </c>
      <c r="H70" s="185">
        <f t="shared" si="4"/>
        <v>45264.75</v>
      </c>
      <c r="I70" s="369">
        <f t="shared" si="5"/>
        <v>134068</v>
      </c>
      <c r="J70" s="370">
        <f t="shared" si="6"/>
        <v>134068</v>
      </c>
      <c r="K70" s="371">
        <f t="shared" si="7"/>
        <v>134068</v>
      </c>
      <c r="L70" s="382">
        <f t="shared" si="8"/>
        <v>83005.481627379544</v>
      </c>
      <c r="M70" s="383">
        <f t="shared" si="9"/>
        <v>130756.76229363732</v>
      </c>
      <c r="N70" s="389">
        <v>125000</v>
      </c>
      <c r="O70" s="370">
        <v>86154</v>
      </c>
      <c r="P70" s="370">
        <v>169780</v>
      </c>
      <c r="Q70" s="370">
        <v>221864</v>
      </c>
      <c r="R70" s="370">
        <v>143057</v>
      </c>
      <c r="S70" s="371">
        <v>220698</v>
      </c>
      <c r="T70" s="69"/>
      <c r="U70" s="417">
        <v>71286</v>
      </c>
      <c r="V70" s="454">
        <v>66094</v>
      </c>
      <c r="W70" s="418">
        <v>20594</v>
      </c>
      <c r="X70" s="417"/>
      <c r="Y70" s="106">
        <v>12</v>
      </c>
      <c r="Z70" s="412">
        <f t="shared" si="27"/>
        <v>2</v>
      </c>
      <c r="AA70" s="89">
        <f t="shared" si="28"/>
        <v>45264</v>
      </c>
      <c r="AB70" s="90">
        <v>0.75</v>
      </c>
      <c r="AC70" s="91">
        <f t="shared" si="10"/>
        <v>45264.75</v>
      </c>
      <c r="AD70" s="92">
        <f t="shared" si="11"/>
        <v>12</v>
      </c>
      <c r="AE70" s="92">
        <f t="shared" si="29"/>
        <v>1</v>
      </c>
      <c r="AF70" s="102">
        <v>134068</v>
      </c>
      <c r="AG70" s="103">
        <v>624</v>
      </c>
      <c r="AH70" s="104">
        <f t="shared" si="12"/>
        <v>28</v>
      </c>
      <c r="AI70" s="95">
        <f t="shared" si="30"/>
        <v>6715</v>
      </c>
      <c r="AJ70" s="96">
        <f t="shared" si="13"/>
        <v>214.85256410256412</v>
      </c>
      <c r="AK70" s="97">
        <f t="shared" si="31"/>
        <v>239.82142857142858</v>
      </c>
      <c r="AL70" s="97">
        <f t="shared" si="78"/>
        <v>209.62433862433863</v>
      </c>
      <c r="AM70" s="102">
        <f t="shared" ref="AM70" si="95">AF70</f>
        <v>134068</v>
      </c>
      <c r="AN70" s="103">
        <f t="shared" ref="AN70" si="96">AG70</f>
        <v>624</v>
      </c>
      <c r="AO70" s="102">
        <f t="shared" ref="AO70" si="97">AF70</f>
        <v>134068</v>
      </c>
      <c r="AP70" s="103">
        <f t="shared" ref="AP70" si="98">AG70</f>
        <v>624</v>
      </c>
      <c r="AQ70" s="95">
        <f t="shared" si="74"/>
        <v>83005.481627379544</v>
      </c>
      <c r="AR70" s="95">
        <f t="shared" si="32"/>
        <v>51062.518372620456</v>
      </c>
      <c r="AS70" s="105">
        <f t="shared" si="75"/>
        <v>386</v>
      </c>
      <c r="AT70" s="71">
        <f t="shared" si="16"/>
        <v>238</v>
      </c>
      <c r="AU70" s="95">
        <f t="shared" si="76"/>
        <v>130756.76229363732</v>
      </c>
      <c r="AV70" s="95">
        <f t="shared" si="17"/>
        <v>3311.2377063626773</v>
      </c>
      <c r="AW70" s="105">
        <f t="shared" si="77"/>
        <v>653</v>
      </c>
      <c r="AX70" s="71">
        <f t="shared" si="18"/>
        <v>-29</v>
      </c>
      <c r="AY70" s="95">
        <f t="shared" si="19"/>
        <v>6715</v>
      </c>
      <c r="AZ70" s="95">
        <f t="shared" si="20"/>
        <v>11172.333333333334</v>
      </c>
      <c r="BA70" s="93">
        <f t="shared" si="21"/>
        <v>134068</v>
      </c>
      <c r="BB70" s="57">
        <f t="shared" si="21"/>
        <v>624</v>
      </c>
      <c r="BC70" s="105">
        <f t="shared" si="21"/>
        <v>28</v>
      </c>
      <c r="BD70" s="105">
        <f t="shared" si="21"/>
        <v>6715</v>
      </c>
      <c r="BE70" s="99">
        <f t="shared" si="33"/>
        <v>2.6944173598321155E-2</v>
      </c>
      <c r="BF70" s="99">
        <f t="shared" si="34"/>
        <v>0.53795256380934042</v>
      </c>
      <c r="BG70" s="100">
        <f t="shared" si="35"/>
        <v>2.464788732394366E-2</v>
      </c>
      <c r="BH70" s="100">
        <f t="shared" si="51"/>
        <v>0.54929577464788726</v>
      </c>
      <c r="BI70" s="93">
        <v>66094</v>
      </c>
      <c r="BJ70" s="57">
        <v>361</v>
      </c>
      <c r="BK70" s="192">
        <f t="shared" si="36"/>
        <v>2387</v>
      </c>
      <c r="BL70" s="99">
        <f t="shared" si="52"/>
        <v>2.0724084042368467E-2</v>
      </c>
      <c r="BM70" s="99">
        <f t="shared" si="53"/>
        <v>0.57383226254558084</v>
      </c>
      <c r="BN70" s="192">
        <f t="shared" si="37"/>
        <v>16</v>
      </c>
      <c r="BO70" s="100">
        <f t="shared" si="38"/>
        <v>2.4806201550387597E-2</v>
      </c>
      <c r="BP70" s="100">
        <f t="shared" si="54"/>
        <v>0.55968992248062011</v>
      </c>
      <c r="BQ70" s="93">
        <v>221864</v>
      </c>
      <c r="BR70" s="57">
        <v>976</v>
      </c>
      <c r="BS70" s="192">
        <f t="shared" si="39"/>
        <v>9070</v>
      </c>
      <c r="BT70" s="99">
        <f t="shared" si="40"/>
        <v>2.3302058391310155E-2</v>
      </c>
      <c r="BU70" s="99">
        <f t="shared" si="23"/>
        <v>0.569998664049574</v>
      </c>
      <c r="BV70" s="192">
        <f t="shared" si="41"/>
        <v>41</v>
      </c>
      <c r="BW70" s="100">
        <f t="shared" si="24"/>
        <v>2.4758454106280192E-2</v>
      </c>
      <c r="BX70" s="100">
        <f t="shared" si="55"/>
        <v>0.58937198067632857</v>
      </c>
      <c r="BY70" s="93">
        <v>169780</v>
      </c>
      <c r="BZ70" s="57">
        <v>1189</v>
      </c>
      <c r="CA70" s="105">
        <f t="shared" si="42"/>
        <v>3375</v>
      </c>
      <c r="CB70" s="99">
        <f t="shared" si="43"/>
        <v>1.4110239644129304E-2</v>
      </c>
      <c r="CC70" s="99">
        <f t="shared" si="25"/>
        <v>0.70981821830526615</v>
      </c>
      <c r="CD70" s="105">
        <f t="shared" si="44"/>
        <v>26</v>
      </c>
      <c r="CE70" s="100">
        <f t="shared" si="26"/>
        <v>1.5625E-2</v>
      </c>
      <c r="CF70" s="100">
        <f t="shared" si="56"/>
        <v>0.71454326923076938</v>
      </c>
      <c r="CG70" s="99">
        <v>4.371062543749514E-2</v>
      </c>
      <c r="CH70" s="99">
        <v>0.60241552871634763</v>
      </c>
      <c r="CI70" s="100">
        <v>4.048582995951417E-2</v>
      </c>
      <c r="CJ70" s="100">
        <v>0.62955465587044546</v>
      </c>
      <c r="CK70" s="99">
        <v>1.3118103469243804E-2</v>
      </c>
      <c r="CL70" s="99">
        <v>0.57795866743418667</v>
      </c>
      <c r="CM70" s="100">
        <v>1.3761467889908258E-2</v>
      </c>
      <c r="CN70" s="100">
        <v>0.60397553516819569</v>
      </c>
      <c r="CO70" s="353"/>
      <c r="CP70" s="99">
        <v>1.8130537524700806E-2</v>
      </c>
      <c r="CQ70" s="99" t="e">
        <f t="shared" si="45"/>
        <v>#DIV/0!</v>
      </c>
      <c r="CR70" s="100">
        <v>1.984126984126984E-2</v>
      </c>
      <c r="CS70" s="100">
        <f>SUM(CR$58:CR70)</f>
        <v>0.30687830687830692</v>
      </c>
      <c r="CT70" s="93">
        <f>Vergleich!C15</f>
        <v>36986</v>
      </c>
      <c r="CU70" s="99">
        <v>3.6618814660357768E-2</v>
      </c>
      <c r="CV70" s="99">
        <f t="shared" si="46"/>
        <v>0.59324725318790605</v>
      </c>
      <c r="CW70" s="100">
        <v>4.3227665706051854E-2</v>
      </c>
      <c r="CX70" s="100">
        <f>SUM(CW$58:CW70)</f>
        <v>0.38328530259365995</v>
      </c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</row>
    <row r="71" spans="1:121" s="101" customFormat="1" x14ac:dyDescent="0.3">
      <c r="A71" s="152"/>
      <c r="B71" s="160"/>
      <c r="C71" s="242"/>
      <c r="D71" s="160"/>
      <c r="E71" s="242"/>
      <c r="F71" s="242"/>
      <c r="G71" s="156">
        <v>13</v>
      </c>
      <c r="H71" s="185">
        <f t="shared" si="4"/>
        <v>45265.75</v>
      </c>
      <c r="I71" s="369">
        <f t="shared" si="5"/>
        <v>139930</v>
      </c>
      <c r="J71" s="370">
        <f t="shared" si="6"/>
        <v>139930</v>
      </c>
      <c r="K71" s="371">
        <f t="shared" si="7"/>
        <v>139930</v>
      </c>
      <c r="L71" s="382">
        <f t="shared" si="8"/>
        <v>84058.474604159856</v>
      </c>
      <c r="M71" s="383">
        <f t="shared" si="9"/>
        <v>134593.32471425334</v>
      </c>
      <c r="N71" s="389"/>
      <c r="O71" s="370">
        <v>89062</v>
      </c>
      <c r="P71" s="370">
        <v>172436</v>
      </c>
      <c r="Q71" s="370">
        <v>229701</v>
      </c>
      <c r="R71" s="370">
        <v>149744</v>
      </c>
      <c r="S71" s="371">
        <v>224732</v>
      </c>
      <c r="T71" s="69"/>
      <c r="U71" s="417">
        <v>74079</v>
      </c>
      <c r="V71" s="454">
        <v>68288</v>
      </c>
      <c r="W71" s="418">
        <v>20809</v>
      </c>
      <c r="X71" s="417"/>
      <c r="Y71" s="106">
        <v>13</v>
      </c>
      <c r="Z71" s="412">
        <f t="shared" si="27"/>
        <v>3</v>
      </c>
      <c r="AA71" s="89">
        <f t="shared" si="28"/>
        <v>45265</v>
      </c>
      <c r="AB71" s="90">
        <v>0.75</v>
      </c>
      <c r="AC71" s="91">
        <f t="shared" si="10"/>
        <v>45265.75</v>
      </c>
      <c r="AD71" s="92">
        <f t="shared" si="11"/>
        <v>13</v>
      </c>
      <c r="AE71" s="92">
        <f t="shared" si="29"/>
        <v>1</v>
      </c>
      <c r="AF71" s="102">
        <v>139930</v>
      </c>
      <c r="AG71" s="103">
        <v>656</v>
      </c>
      <c r="AH71" s="104">
        <f t="shared" si="12"/>
        <v>32</v>
      </c>
      <c r="AI71" s="95">
        <f t="shared" si="30"/>
        <v>5862</v>
      </c>
      <c r="AJ71" s="96">
        <f t="shared" si="13"/>
        <v>213.3079268292683</v>
      </c>
      <c r="AK71" s="97">
        <f t="shared" si="31"/>
        <v>183.1875</v>
      </c>
      <c r="AL71" s="97">
        <f t="shared" si="78"/>
        <v>204.76111111111112</v>
      </c>
      <c r="AM71" s="102">
        <f t="shared" ref="AM71" si="99">AF71</f>
        <v>139930</v>
      </c>
      <c r="AN71" s="103">
        <f t="shared" ref="AN71" si="100">AG71</f>
        <v>656</v>
      </c>
      <c r="AO71" s="102">
        <f t="shared" ref="AO71" si="101">AF71</f>
        <v>139930</v>
      </c>
      <c r="AP71" s="103">
        <f t="shared" ref="AP71" si="102">AG71</f>
        <v>656</v>
      </c>
      <c r="AQ71" s="95">
        <f t="shared" si="74"/>
        <v>84058.474604159856</v>
      </c>
      <c r="AR71" s="95">
        <f t="shared" si="32"/>
        <v>55871.525395840144</v>
      </c>
      <c r="AS71" s="105">
        <f t="shared" si="75"/>
        <v>391</v>
      </c>
      <c r="AT71" s="71">
        <f t="shared" si="16"/>
        <v>265</v>
      </c>
      <c r="AU71" s="95">
        <f t="shared" si="76"/>
        <v>134593.32471425334</v>
      </c>
      <c r="AV71" s="95">
        <f t="shared" si="17"/>
        <v>5336.6752857466636</v>
      </c>
      <c r="AW71" s="105">
        <f t="shared" si="77"/>
        <v>671</v>
      </c>
      <c r="AX71" s="71">
        <f t="shared" si="18"/>
        <v>-15</v>
      </c>
      <c r="AY71" s="95">
        <f t="shared" si="19"/>
        <v>5862</v>
      </c>
      <c r="AZ71" s="95">
        <f t="shared" si="20"/>
        <v>10763.846153846154</v>
      </c>
      <c r="BA71" s="93">
        <f t="shared" si="21"/>
        <v>139930</v>
      </c>
      <c r="BB71" s="57">
        <f t="shared" si="21"/>
        <v>656</v>
      </c>
      <c r="BC71" s="105">
        <f t="shared" si="21"/>
        <v>32</v>
      </c>
      <c r="BD71" s="105">
        <f t="shared" si="21"/>
        <v>5862</v>
      </c>
      <c r="BE71" s="99">
        <f t="shared" si="33"/>
        <v>2.3521481106978201E-2</v>
      </c>
      <c r="BF71" s="99">
        <f t="shared" si="34"/>
        <v>0.56147404491631858</v>
      </c>
      <c r="BG71" s="100">
        <f t="shared" si="35"/>
        <v>2.8169014084507043E-2</v>
      </c>
      <c r="BH71" s="100">
        <f t="shared" si="51"/>
        <v>0.57746478873239426</v>
      </c>
      <c r="BI71" s="93">
        <v>68288</v>
      </c>
      <c r="BJ71" s="57">
        <v>375</v>
      </c>
      <c r="BK71" s="192">
        <f t="shared" si="36"/>
        <v>2194</v>
      </c>
      <c r="BL71" s="99">
        <f t="shared" si="52"/>
        <v>1.9048445910748394E-2</v>
      </c>
      <c r="BM71" s="99">
        <f t="shared" si="53"/>
        <v>0.59288070845632923</v>
      </c>
      <c r="BN71" s="192">
        <f t="shared" si="37"/>
        <v>14</v>
      </c>
      <c r="BO71" s="100">
        <f t="shared" si="38"/>
        <v>2.1705426356589147E-2</v>
      </c>
      <c r="BP71" s="100">
        <f t="shared" si="54"/>
        <v>0.58139534883720922</v>
      </c>
      <c r="BQ71" s="93">
        <v>229701</v>
      </c>
      <c r="BR71" s="57">
        <v>1011</v>
      </c>
      <c r="BS71" s="192">
        <f t="shared" si="39"/>
        <v>7837</v>
      </c>
      <c r="BT71" s="99">
        <f t="shared" si="40"/>
        <v>2.0134314400517939E-2</v>
      </c>
      <c r="BU71" s="99">
        <f t="shared" si="23"/>
        <v>0.59013297845009194</v>
      </c>
      <c r="BV71" s="192">
        <f t="shared" si="41"/>
        <v>35</v>
      </c>
      <c r="BW71" s="100">
        <f t="shared" si="24"/>
        <v>2.1135265700483092E-2</v>
      </c>
      <c r="BX71" s="100">
        <f t="shared" si="55"/>
        <v>0.61050724637681164</v>
      </c>
      <c r="BY71" s="93">
        <v>172436</v>
      </c>
      <c r="BZ71" s="57">
        <v>1205</v>
      </c>
      <c r="CA71" s="105">
        <f t="shared" si="42"/>
        <v>2656</v>
      </c>
      <c r="CB71" s="99">
        <f t="shared" si="43"/>
        <v>1.1104235998461462E-2</v>
      </c>
      <c r="CC71" s="99">
        <f t="shared" si="25"/>
        <v>0.72092245430372759</v>
      </c>
      <c r="CD71" s="105">
        <f t="shared" si="44"/>
        <v>16</v>
      </c>
      <c r="CE71" s="100">
        <f t="shared" si="26"/>
        <v>9.6153846153846159E-3</v>
      </c>
      <c r="CF71" s="100">
        <f t="shared" si="56"/>
        <v>0.72415865384615397</v>
      </c>
      <c r="CG71" s="99">
        <v>1.518872012533194E-2</v>
      </c>
      <c r="CH71" s="99">
        <v>0.61760424884167953</v>
      </c>
      <c r="CI71" s="100">
        <v>1.6194331983805668E-2</v>
      </c>
      <c r="CJ71" s="100">
        <v>0.64574898785425117</v>
      </c>
      <c r="CK71" s="99">
        <v>2.2644538312483278E-2</v>
      </c>
      <c r="CL71" s="99">
        <v>0.60060320574666992</v>
      </c>
      <c r="CM71" s="100">
        <v>2.2935779816513763E-2</v>
      </c>
      <c r="CN71" s="100">
        <v>0.62691131498470942</v>
      </c>
      <c r="CO71" s="353"/>
      <c r="CP71" s="99">
        <v>1.7051618085973462E-2</v>
      </c>
      <c r="CQ71" s="99" t="e">
        <f t="shared" si="45"/>
        <v>#DIV/0!</v>
      </c>
      <c r="CR71" s="100">
        <v>1.984126984126984E-2</v>
      </c>
      <c r="CS71" s="100">
        <f>SUM(CR$58:CR71)</f>
        <v>0.32671957671957674</v>
      </c>
      <c r="CT71" s="93">
        <f>Vergleich!C16</f>
        <v>37704</v>
      </c>
      <c r="CU71" s="99">
        <v>1.1516561071457154E-2</v>
      </c>
      <c r="CV71" s="99">
        <f t="shared" si="46"/>
        <v>0.60476381425936321</v>
      </c>
      <c r="CW71" s="100">
        <v>1.1527377521613813E-2</v>
      </c>
      <c r="CX71" s="100">
        <f>SUM(CW$58:CW71)</f>
        <v>0.39481268011527376</v>
      </c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</row>
    <row r="72" spans="1:121" s="101" customFormat="1" x14ac:dyDescent="0.3">
      <c r="A72" s="152"/>
      <c r="B72" s="160"/>
      <c r="C72" s="242"/>
      <c r="D72" s="160"/>
      <c r="E72" s="242"/>
      <c r="F72" s="242"/>
      <c r="G72" s="156">
        <v>14</v>
      </c>
      <c r="H72" s="185">
        <f t="shared" si="4"/>
        <v>45266.75</v>
      </c>
      <c r="I72" s="369">
        <f t="shared" si="5"/>
        <v>148846</v>
      </c>
      <c r="J72" s="370">
        <f t="shared" si="6"/>
        <v>148846</v>
      </c>
      <c r="K72" s="371">
        <f t="shared" si="7"/>
        <v>148846</v>
      </c>
      <c r="L72" s="382">
        <f t="shared" si="8"/>
        <v>85548.546329627963</v>
      </c>
      <c r="M72" s="383">
        <f t="shared" si="9"/>
        <v>140650.06651758275</v>
      </c>
      <c r="N72" s="389"/>
      <c r="O72" s="370">
        <v>93109</v>
      </c>
      <c r="P72" s="370">
        <v>176629</v>
      </c>
      <c r="Q72" s="370">
        <v>240791</v>
      </c>
      <c r="R72" s="370">
        <v>155980</v>
      </c>
      <c r="S72" s="371">
        <v>232641</v>
      </c>
      <c r="T72" s="69"/>
      <c r="U72" s="417">
        <v>75411</v>
      </c>
      <c r="V72" s="454">
        <v>71648</v>
      </c>
      <c r="W72" s="418">
        <v>21426</v>
      </c>
      <c r="X72" s="417"/>
      <c r="Y72" s="106">
        <v>14</v>
      </c>
      <c r="Z72" s="412">
        <f t="shared" si="27"/>
        <v>4</v>
      </c>
      <c r="AA72" s="89">
        <f t="shared" si="28"/>
        <v>45266</v>
      </c>
      <c r="AB72" s="90">
        <v>0.75</v>
      </c>
      <c r="AC72" s="91">
        <f t="shared" si="10"/>
        <v>45266.75</v>
      </c>
      <c r="AD72" s="92">
        <f t="shared" si="11"/>
        <v>14</v>
      </c>
      <c r="AE72" s="92">
        <f t="shared" si="29"/>
        <v>1</v>
      </c>
      <c r="AF72" s="102">
        <v>148846</v>
      </c>
      <c r="AG72" s="103">
        <v>696</v>
      </c>
      <c r="AH72" s="104">
        <f t="shared" si="12"/>
        <v>40</v>
      </c>
      <c r="AI72" s="95">
        <f t="shared" si="30"/>
        <v>8916</v>
      </c>
      <c r="AJ72" s="96">
        <f t="shared" si="13"/>
        <v>213.85919540229884</v>
      </c>
      <c r="AK72" s="97">
        <f t="shared" si="31"/>
        <v>222.9</v>
      </c>
      <c r="AL72" s="97">
        <f t="shared" si="78"/>
        <v>207.5406976744186</v>
      </c>
      <c r="AM72" s="102">
        <f t="shared" ref="AM72" si="103">AF72</f>
        <v>148846</v>
      </c>
      <c r="AN72" s="103">
        <f t="shared" ref="AN72" si="104">AG72</f>
        <v>696</v>
      </c>
      <c r="AO72" s="102">
        <f t="shared" ref="AO72" si="105">AF72</f>
        <v>148846</v>
      </c>
      <c r="AP72" s="103">
        <f t="shared" ref="AP72" si="106">AG72</f>
        <v>696</v>
      </c>
      <c r="AQ72" s="95">
        <f t="shared" si="74"/>
        <v>85548.546329627963</v>
      </c>
      <c r="AR72" s="95">
        <f t="shared" si="32"/>
        <v>63297.453670372037</v>
      </c>
      <c r="AS72" s="105">
        <f t="shared" si="75"/>
        <v>398</v>
      </c>
      <c r="AT72" s="71">
        <f t="shared" si="16"/>
        <v>298</v>
      </c>
      <c r="AU72" s="95">
        <f t="shared" si="76"/>
        <v>140650.06651758275</v>
      </c>
      <c r="AV72" s="95">
        <f t="shared" si="17"/>
        <v>8195.9334824172547</v>
      </c>
      <c r="AW72" s="105">
        <f t="shared" si="77"/>
        <v>701</v>
      </c>
      <c r="AX72" s="71">
        <f t="shared" si="18"/>
        <v>-5</v>
      </c>
      <c r="AY72" s="95">
        <f t="shared" si="19"/>
        <v>8916</v>
      </c>
      <c r="AZ72" s="95">
        <f t="shared" si="20"/>
        <v>10631.857142857143</v>
      </c>
      <c r="BA72" s="93">
        <f t="shared" si="21"/>
        <v>148846</v>
      </c>
      <c r="BB72" s="57">
        <f t="shared" si="21"/>
        <v>696</v>
      </c>
      <c r="BC72" s="105">
        <f t="shared" si="21"/>
        <v>40</v>
      </c>
      <c r="BD72" s="105">
        <f t="shared" si="21"/>
        <v>8916</v>
      </c>
      <c r="BE72" s="99">
        <f t="shared" si="33"/>
        <v>3.5775763485127537E-2</v>
      </c>
      <c r="BF72" s="99">
        <f t="shared" si="34"/>
        <v>0.59724980840144615</v>
      </c>
      <c r="BG72" s="100">
        <f t="shared" si="35"/>
        <v>3.5211267605633804E-2</v>
      </c>
      <c r="BH72" s="100">
        <f t="shared" si="51"/>
        <v>0.61267605633802802</v>
      </c>
      <c r="BI72" s="93">
        <v>71648</v>
      </c>
      <c r="BJ72" s="57">
        <v>395</v>
      </c>
      <c r="BK72" s="192">
        <f t="shared" si="36"/>
        <v>3360</v>
      </c>
      <c r="BL72" s="99">
        <f t="shared" si="52"/>
        <v>2.9171731203333912E-2</v>
      </c>
      <c r="BM72" s="99">
        <f t="shared" si="53"/>
        <v>0.62205243965966317</v>
      </c>
      <c r="BN72" s="192">
        <f t="shared" si="37"/>
        <v>20</v>
      </c>
      <c r="BO72" s="100">
        <f t="shared" si="38"/>
        <v>3.1007751937984496E-2</v>
      </c>
      <c r="BP72" s="100">
        <f t="shared" si="54"/>
        <v>0.61240310077519378</v>
      </c>
      <c r="BQ72" s="93">
        <v>240791</v>
      </c>
      <c r="BR72" s="57">
        <v>1060</v>
      </c>
      <c r="BS72" s="192">
        <f t="shared" si="39"/>
        <v>11090</v>
      </c>
      <c r="BT72" s="99">
        <f t="shared" si="40"/>
        <v>2.8491711969088163E-2</v>
      </c>
      <c r="BU72" s="99">
        <f t="shared" si="23"/>
        <v>0.61862469041918011</v>
      </c>
      <c r="BV72" s="192">
        <f t="shared" si="41"/>
        <v>49</v>
      </c>
      <c r="BW72" s="100">
        <f t="shared" si="24"/>
        <v>2.9589371980676328E-2</v>
      </c>
      <c r="BX72" s="100">
        <f t="shared" si="55"/>
        <v>0.64009661835748799</v>
      </c>
      <c r="BY72" s="93">
        <v>176629</v>
      </c>
      <c r="BZ72" s="57">
        <v>1232</v>
      </c>
      <c r="CA72" s="105">
        <f t="shared" si="42"/>
        <v>4193</v>
      </c>
      <c r="CB72" s="99">
        <f t="shared" si="43"/>
        <v>1.7530143652691607E-2</v>
      </c>
      <c r="CC72" s="99">
        <f t="shared" si="25"/>
        <v>0.73845259795641927</v>
      </c>
      <c r="CD72" s="105">
        <f t="shared" si="44"/>
        <v>27</v>
      </c>
      <c r="CE72" s="100">
        <f t="shared" si="26"/>
        <v>1.622596153846154E-2</v>
      </c>
      <c r="CF72" s="100">
        <f t="shared" si="56"/>
        <v>0.74038461538461553</v>
      </c>
      <c r="CG72" s="99">
        <v>2.3033077410250999E-2</v>
      </c>
      <c r="CH72" s="99">
        <v>0.64063732625193048</v>
      </c>
      <c r="CI72" s="100">
        <v>2.2267206477732792E-2</v>
      </c>
      <c r="CJ72" s="100">
        <v>0.668016194331984</v>
      </c>
      <c r="CK72" s="99">
        <v>1.0799328690378706E-2</v>
      </c>
      <c r="CL72" s="99">
        <v>0.61140253443704862</v>
      </c>
      <c r="CM72" s="100">
        <v>1.0703363914373088E-2</v>
      </c>
      <c r="CN72" s="100">
        <v>0.63761467889908252</v>
      </c>
      <c r="CO72" s="353"/>
      <c r="CP72" s="99">
        <v>2.3730363959399793E-2</v>
      </c>
      <c r="CQ72" s="99" t="e">
        <f t="shared" si="45"/>
        <v>#DIV/0!</v>
      </c>
      <c r="CR72" s="100">
        <v>2.2486772486772486E-2</v>
      </c>
      <c r="CS72" s="100">
        <f>SUM(CR$58:CR72)</f>
        <v>0.34920634920634924</v>
      </c>
      <c r="CT72" s="93">
        <f>Vergleich!C17</f>
        <v>38541</v>
      </c>
      <c r="CU72" s="99">
        <v>1.342529473093268E-2</v>
      </c>
      <c r="CV72" s="99">
        <f t="shared" si="46"/>
        <v>0.61818910899029589</v>
      </c>
      <c r="CW72" s="100">
        <v>2.3054755043227737E-2</v>
      </c>
      <c r="CX72" s="100">
        <f>SUM(CW$58:CW72)</f>
        <v>0.4178674351585015</v>
      </c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</row>
    <row r="73" spans="1:121" s="101" customFormat="1" x14ac:dyDescent="0.3">
      <c r="A73" s="152"/>
      <c r="B73" s="160"/>
      <c r="C73" s="242"/>
      <c r="D73" s="160"/>
      <c r="E73" s="242"/>
      <c r="F73" s="242"/>
      <c r="G73" s="156">
        <v>15</v>
      </c>
      <c r="H73" s="185">
        <f t="shared" si="4"/>
        <v>45267.75</v>
      </c>
      <c r="I73" s="369">
        <f t="shared" si="5"/>
        <v>159815</v>
      </c>
      <c r="J73" s="370">
        <f t="shared" si="6"/>
        <v>159815</v>
      </c>
      <c r="K73" s="371">
        <f t="shared" si="7"/>
        <v>159815</v>
      </c>
      <c r="L73" s="382">
        <f t="shared" si="8"/>
        <v>86651.52187465661</v>
      </c>
      <c r="M73" s="383">
        <f t="shared" si="9"/>
        <v>157469.69484049419</v>
      </c>
      <c r="N73" s="389"/>
      <c r="O73" s="370">
        <v>97466</v>
      </c>
      <c r="P73" s="370">
        <v>188273</v>
      </c>
      <c r="Q73" s="370">
        <v>249000</v>
      </c>
      <c r="R73" s="370">
        <v>165152</v>
      </c>
      <c r="S73" s="371">
        <v>242719</v>
      </c>
      <c r="T73" s="69"/>
      <c r="U73" s="417">
        <v>77016</v>
      </c>
      <c r="V73" s="454">
        <v>75191</v>
      </c>
      <c r="W73" s="418">
        <v>22523</v>
      </c>
      <c r="X73" s="417"/>
      <c r="Y73" s="106">
        <v>15</v>
      </c>
      <c r="Z73" s="412">
        <f t="shared" si="27"/>
        <v>5</v>
      </c>
      <c r="AA73" s="89">
        <f t="shared" si="28"/>
        <v>45267</v>
      </c>
      <c r="AB73" s="90">
        <v>0.75</v>
      </c>
      <c r="AC73" s="91">
        <f t="shared" si="10"/>
        <v>45267.75</v>
      </c>
      <c r="AD73" s="92">
        <f t="shared" si="11"/>
        <v>15</v>
      </c>
      <c r="AE73" s="92">
        <f t="shared" si="29"/>
        <v>1</v>
      </c>
      <c r="AF73" s="102">
        <v>159815</v>
      </c>
      <c r="AG73" s="103">
        <v>727</v>
      </c>
      <c r="AH73" s="104">
        <f t="shared" si="12"/>
        <v>31</v>
      </c>
      <c r="AI73" s="95">
        <f t="shared" si="30"/>
        <v>10969</v>
      </c>
      <c r="AJ73" s="96">
        <f t="shared" si="13"/>
        <v>219.82806052269601</v>
      </c>
      <c r="AK73" s="97">
        <f t="shared" si="31"/>
        <v>353.83870967741933</v>
      </c>
      <c r="AL73" s="97">
        <f t="shared" si="78"/>
        <v>240.17177914110428</v>
      </c>
      <c r="AM73" s="102">
        <f t="shared" ref="AM73" si="107">AF73</f>
        <v>159815</v>
      </c>
      <c r="AN73" s="103">
        <f t="shared" ref="AN73" si="108">AG73</f>
        <v>727</v>
      </c>
      <c r="AO73" s="102">
        <f t="shared" ref="AO73" si="109">AF73</f>
        <v>159815</v>
      </c>
      <c r="AP73" s="103">
        <f t="shared" ref="AP73" si="110">AG73</f>
        <v>727</v>
      </c>
      <c r="AQ73" s="95">
        <f t="shared" si="74"/>
        <v>86651.52187465661</v>
      </c>
      <c r="AR73" s="95">
        <f t="shared" si="32"/>
        <v>73163.47812534339</v>
      </c>
      <c r="AS73" s="105">
        <f t="shared" si="75"/>
        <v>403</v>
      </c>
      <c r="AT73" s="71">
        <f t="shared" si="16"/>
        <v>324</v>
      </c>
      <c r="AU73" s="95">
        <f t="shared" si="76"/>
        <v>157469.69484049419</v>
      </c>
      <c r="AV73" s="95">
        <f t="shared" si="17"/>
        <v>2345.3051595058059</v>
      </c>
      <c r="AW73" s="105">
        <f t="shared" si="77"/>
        <v>791</v>
      </c>
      <c r="AX73" s="71">
        <f t="shared" si="18"/>
        <v>-64</v>
      </c>
      <c r="AY73" s="95">
        <f t="shared" si="19"/>
        <v>10969</v>
      </c>
      <c r="AZ73" s="95">
        <f t="shared" si="20"/>
        <v>10654.333333333334</v>
      </c>
      <c r="BA73" s="93">
        <f t="shared" si="21"/>
        <v>159815</v>
      </c>
      <c r="BB73" s="57">
        <f t="shared" si="21"/>
        <v>727</v>
      </c>
      <c r="BC73" s="105">
        <f t="shared" si="21"/>
        <v>31</v>
      </c>
      <c r="BD73" s="105">
        <f t="shared" si="21"/>
        <v>10969</v>
      </c>
      <c r="BE73" s="99">
        <f t="shared" si="33"/>
        <v>4.4013498168277702E-2</v>
      </c>
      <c r="BF73" s="99">
        <f t="shared" si="34"/>
        <v>0.64126330656972386</v>
      </c>
      <c r="BG73" s="100">
        <f t="shared" si="35"/>
        <v>2.7288732394366196E-2</v>
      </c>
      <c r="BH73" s="100">
        <f t="shared" si="51"/>
        <v>0.63996478873239426</v>
      </c>
      <c r="BI73" s="93">
        <v>75191</v>
      </c>
      <c r="BJ73" s="57">
        <v>415</v>
      </c>
      <c r="BK73" s="192">
        <f t="shared" si="36"/>
        <v>3543</v>
      </c>
      <c r="BL73" s="99">
        <f t="shared" si="52"/>
        <v>3.0760548706372633E-2</v>
      </c>
      <c r="BM73" s="99">
        <f t="shared" si="53"/>
        <v>0.65281298836603585</v>
      </c>
      <c r="BN73" s="192">
        <f t="shared" si="37"/>
        <v>20</v>
      </c>
      <c r="BO73" s="100">
        <f t="shared" si="38"/>
        <v>3.1007751937984496E-2</v>
      </c>
      <c r="BP73" s="100">
        <f t="shared" si="54"/>
        <v>0.64341085271317833</v>
      </c>
      <c r="BQ73" s="93">
        <v>249000</v>
      </c>
      <c r="BR73" s="57">
        <v>1096</v>
      </c>
      <c r="BS73" s="192">
        <f t="shared" si="39"/>
        <v>8209</v>
      </c>
      <c r="BT73" s="99">
        <f t="shared" si="40"/>
        <v>2.1090032782168144E-2</v>
      </c>
      <c r="BU73" s="99">
        <f t="shared" si="23"/>
        <v>0.63971472320134826</v>
      </c>
      <c r="BV73" s="192">
        <f t="shared" si="41"/>
        <v>36</v>
      </c>
      <c r="BW73" s="100">
        <f t="shared" si="24"/>
        <v>2.1739130434782608E-2</v>
      </c>
      <c r="BX73" s="100">
        <f t="shared" si="55"/>
        <v>0.66183574879227058</v>
      </c>
      <c r="BY73" s="93">
        <v>188273</v>
      </c>
      <c r="BZ73" s="57">
        <v>1313</v>
      </c>
      <c r="CA73" s="105">
        <f t="shared" si="42"/>
        <v>11644</v>
      </c>
      <c r="CB73" s="99">
        <f t="shared" si="43"/>
        <v>4.86813719751827E-2</v>
      </c>
      <c r="CC73" s="99">
        <f t="shared" si="25"/>
        <v>0.7871339699316019</v>
      </c>
      <c r="CD73" s="105">
        <f t="shared" si="44"/>
        <v>81</v>
      </c>
      <c r="CE73" s="100">
        <f t="shared" si="26"/>
        <v>4.8677884615384616E-2</v>
      </c>
      <c r="CF73" s="100">
        <f t="shared" si="56"/>
        <v>0.78906250000000011</v>
      </c>
      <c r="CG73" s="99">
        <v>1.6622037532916301E-2</v>
      </c>
      <c r="CH73" s="99">
        <v>0.65725936378484673</v>
      </c>
      <c r="CI73" s="100">
        <v>1.417004048582996E-2</v>
      </c>
      <c r="CJ73" s="100">
        <v>0.68218623481781393</v>
      </c>
      <c r="CK73" s="99">
        <v>1.3012704615659027E-2</v>
      </c>
      <c r="CL73" s="99">
        <v>0.62441523905270768</v>
      </c>
      <c r="CM73" s="100">
        <v>1.5290519877675841E-2</v>
      </c>
      <c r="CN73" s="100">
        <v>0.65290519877675834</v>
      </c>
      <c r="CO73" s="353"/>
      <c r="CP73" s="99">
        <v>2.5548108665951298E-2</v>
      </c>
      <c r="CQ73" s="99" t="e">
        <f t="shared" si="45"/>
        <v>#DIV/0!</v>
      </c>
      <c r="CR73" s="100">
        <v>2.5132275132275131E-2</v>
      </c>
      <c r="CS73" s="100">
        <f>SUM(CR$58:CR73)</f>
        <v>0.37433862433862436</v>
      </c>
      <c r="CT73" s="93">
        <f>Vergleich!C18</f>
        <v>40401</v>
      </c>
      <c r="CU73" s="99">
        <v>2.9833988290961622E-2</v>
      </c>
      <c r="CV73" s="99">
        <f t="shared" si="46"/>
        <v>0.64802309728125751</v>
      </c>
      <c r="CW73" s="100">
        <v>2.5936599423631135E-2</v>
      </c>
      <c r="CX73" s="100">
        <f>SUM(CW$58:CW73)</f>
        <v>0.44380403458213263</v>
      </c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</row>
    <row r="74" spans="1:121" s="101" customFormat="1" x14ac:dyDescent="0.3">
      <c r="A74" s="152"/>
      <c r="B74" s="160"/>
      <c r="C74" s="242"/>
      <c r="D74" s="160"/>
      <c r="E74" s="242"/>
      <c r="F74" s="242"/>
      <c r="G74" s="156">
        <v>16</v>
      </c>
      <c r="H74" s="185">
        <f t="shared" si="4"/>
        <v>45268.75</v>
      </c>
      <c r="I74" s="369">
        <f t="shared" si="5"/>
        <v>167089</v>
      </c>
      <c r="J74" s="370">
        <f t="shared" si="6"/>
        <v>167089</v>
      </c>
      <c r="K74" s="371">
        <f t="shared" si="7"/>
        <v>167089</v>
      </c>
      <c r="L74" s="382">
        <f t="shared" si="8"/>
        <v>87815.900736054871</v>
      </c>
      <c r="M74" s="383">
        <f t="shared" si="9"/>
        <v>164679.13875664424</v>
      </c>
      <c r="N74" s="389"/>
      <c r="O74" s="370">
        <v>103452</v>
      </c>
      <c r="P74" s="370">
        <v>193264</v>
      </c>
      <c r="Q74" s="370">
        <v>257666</v>
      </c>
      <c r="R74" s="370">
        <v>174081</v>
      </c>
      <c r="S74" s="371">
        <v>251181</v>
      </c>
      <c r="T74" s="69"/>
      <c r="U74" s="417">
        <v>80049</v>
      </c>
      <c r="V74" s="454">
        <v>78668</v>
      </c>
      <c r="W74" s="418">
        <v>23503</v>
      </c>
      <c r="X74" s="417"/>
      <c r="Y74" s="106">
        <v>16</v>
      </c>
      <c r="Z74" s="412">
        <f t="shared" si="27"/>
        <v>6</v>
      </c>
      <c r="AA74" s="89">
        <f t="shared" si="28"/>
        <v>45268</v>
      </c>
      <c r="AB74" s="90">
        <v>0.75</v>
      </c>
      <c r="AC74" s="91">
        <f t="shared" si="10"/>
        <v>45268.75</v>
      </c>
      <c r="AD74" s="92">
        <f t="shared" si="11"/>
        <v>16</v>
      </c>
      <c r="AE74" s="92">
        <f t="shared" si="29"/>
        <v>1</v>
      </c>
      <c r="AF74" s="102">
        <v>167089</v>
      </c>
      <c r="AG74" s="103">
        <v>758</v>
      </c>
      <c r="AH74" s="104">
        <f t="shared" si="12"/>
        <v>31</v>
      </c>
      <c r="AI74" s="95">
        <f t="shared" si="30"/>
        <v>7274</v>
      </c>
      <c r="AJ74" s="96">
        <f t="shared" si="13"/>
        <v>220.43403693931398</v>
      </c>
      <c r="AK74" s="97">
        <f t="shared" si="31"/>
        <v>234.64516129032259</v>
      </c>
      <c r="AL74" s="97">
        <f t="shared" si="78"/>
        <v>245.28395061728395</v>
      </c>
      <c r="AM74" s="102">
        <f t="shared" ref="AM74" si="111">AF74</f>
        <v>167089</v>
      </c>
      <c r="AN74" s="103">
        <f t="shared" ref="AN74" si="112">AG74</f>
        <v>758</v>
      </c>
      <c r="AO74" s="102">
        <f t="shared" ref="AO74" si="113">AF74</f>
        <v>167089</v>
      </c>
      <c r="AP74" s="103">
        <f t="shared" ref="AP74" si="114">AG74</f>
        <v>758</v>
      </c>
      <c r="AQ74" s="95">
        <f t="shared" si="74"/>
        <v>87815.900736054871</v>
      </c>
      <c r="AR74" s="95">
        <f t="shared" si="32"/>
        <v>79273.099263945129</v>
      </c>
      <c r="AS74" s="105">
        <f t="shared" si="75"/>
        <v>408</v>
      </c>
      <c r="AT74" s="71">
        <f t="shared" si="16"/>
        <v>350</v>
      </c>
      <c r="AU74" s="95">
        <f t="shared" si="76"/>
        <v>164679.13875664424</v>
      </c>
      <c r="AV74" s="95">
        <f t="shared" si="17"/>
        <v>2409.8612433557573</v>
      </c>
      <c r="AW74" s="105">
        <f t="shared" si="77"/>
        <v>832</v>
      </c>
      <c r="AX74" s="71">
        <f t="shared" si="18"/>
        <v>-74</v>
      </c>
      <c r="AY74" s="95">
        <f t="shared" si="19"/>
        <v>7274</v>
      </c>
      <c r="AZ74" s="95">
        <f t="shared" si="20"/>
        <v>10443.0625</v>
      </c>
      <c r="BA74" s="93">
        <f t="shared" si="21"/>
        <v>167089</v>
      </c>
      <c r="BB74" s="57">
        <f t="shared" si="21"/>
        <v>758</v>
      </c>
      <c r="BC74" s="105">
        <f t="shared" si="21"/>
        <v>31</v>
      </c>
      <c r="BD74" s="105">
        <f t="shared" si="21"/>
        <v>7274</v>
      </c>
      <c r="BE74" s="99">
        <f t="shared" si="33"/>
        <v>2.9187180752671345E-2</v>
      </c>
      <c r="BF74" s="99">
        <f t="shared" si="34"/>
        <v>0.67045048732239521</v>
      </c>
      <c r="BG74" s="100">
        <f t="shared" si="35"/>
        <v>2.7288732394366196E-2</v>
      </c>
      <c r="BH74" s="100">
        <f t="shared" si="51"/>
        <v>0.66725352112676051</v>
      </c>
      <c r="BI74" s="93">
        <v>78668</v>
      </c>
      <c r="BJ74" s="57">
        <v>438</v>
      </c>
      <c r="BK74" s="192">
        <f t="shared" si="36"/>
        <v>3477</v>
      </c>
      <c r="BL74" s="99">
        <f t="shared" si="52"/>
        <v>3.0187532557735718E-2</v>
      </c>
      <c r="BM74" s="99">
        <f t="shared" si="53"/>
        <v>0.68300052092377161</v>
      </c>
      <c r="BN74" s="192">
        <f t="shared" si="37"/>
        <v>23</v>
      </c>
      <c r="BO74" s="100">
        <f t="shared" si="38"/>
        <v>3.565891472868217E-2</v>
      </c>
      <c r="BP74" s="100">
        <f t="shared" si="54"/>
        <v>0.67906976744186054</v>
      </c>
      <c r="BQ74" s="93">
        <v>257666</v>
      </c>
      <c r="BR74" s="57">
        <v>1134</v>
      </c>
      <c r="BS74" s="192">
        <f t="shared" si="39"/>
        <v>8666</v>
      </c>
      <c r="BT74" s="99">
        <f t="shared" si="40"/>
        <v>2.2264127675754555E-2</v>
      </c>
      <c r="BU74" s="99">
        <f t="shared" si="23"/>
        <v>0.66197885087710284</v>
      </c>
      <c r="BV74" s="192">
        <f t="shared" si="41"/>
        <v>38</v>
      </c>
      <c r="BW74" s="100">
        <f t="shared" si="24"/>
        <v>2.2946859903381644E-2</v>
      </c>
      <c r="BX74" s="100">
        <f t="shared" si="55"/>
        <v>0.68478260869565222</v>
      </c>
      <c r="BY74" s="93">
        <v>193264</v>
      </c>
      <c r="BZ74" s="57">
        <v>1350</v>
      </c>
      <c r="CA74" s="105">
        <f t="shared" si="42"/>
        <v>4991</v>
      </c>
      <c r="CB74" s="99">
        <f t="shared" si="43"/>
        <v>2.0866431426325736E-2</v>
      </c>
      <c r="CC74" s="99">
        <f t="shared" si="25"/>
        <v>0.80800040135792761</v>
      </c>
      <c r="CD74" s="105">
        <f t="shared" si="44"/>
        <v>37</v>
      </c>
      <c r="CE74" s="100">
        <f t="shared" si="26"/>
        <v>2.2235576923076924E-2</v>
      </c>
      <c r="CF74" s="100">
        <f t="shared" si="56"/>
        <v>0.81129807692307698</v>
      </c>
      <c r="CG74" s="99">
        <v>2.9866334818502017E-2</v>
      </c>
      <c r="CH74" s="99">
        <v>0.68712569860334871</v>
      </c>
      <c r="CI74" s="100">
        <v>2.4291497975708502E-2</v>
      </c>
      <c r="CJ74" s="100">
        <v>0.70647773279352244</v>
      </c>
      <c r="CK74" s="99">
        <v>2.4590363301740702E-2</v>
      </c>
      <c r="CL74" s="99">
        <v>0.64900560235444837</v>
      </c>
      <c r="CM74" s="100">
        <v>2.5993883792048929E-2</v>
      </c>
      <c r="CN74" s="100">
        <v>0.67889908256880727</v>
      </c>
      <c r="CO74" s="353"/>
      <c r="CP74" s="99">
        <v>3.5100063914249358E-2</v>
      </c>
      <c r="CQ74" s="99" t="e">
        <f t="shared" si="45"/>
        <v>#DIV/0!</v>
      </c>
      <c r="CR74" s="100">
        <v>3.0423280423280422E-2</v>
      </c>
      <c r="CS74" s="100">
        <f>SUM(CR$58:CR74)</f>
        <v>0.40476190476190477</v>
      </c>
      <c r="CT74" s="93">
        <f>Vergleich!C19</f>
        <v>42277</v>
      </c>
      <c r="CU74" s="99">
        <v>3.0090624749378514E-2</v>
      </c>
      <c r="CV74" s="99">
        <f t="shared" si="46"/>
        <v>0.67811372203063602</v>
      </c>
      <c r="CW74" s="100">
        <v>2.8818443804034533E-2</v>
      </c>
      <c r="CX74" s="100">
        <f>SUM(CW$58:CW74)</f>
        <v>0.47262247838616717</v>
      </c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</row>
    <row r="75" spans="1:121" s="101" customFormat="1" x14ac:dyDescent="0.3">
      <c r="A75" s="152"/>
      <c r="B75" s="160"/>
      <c r="C75" s="242"/>
      <c r="D75" s="160"/>
      <c r="E75" s="242"/>
      <c r="F75" s="242"/>
      <c r="G75" s="156">
        <v>17</v>
      </c>
      <c r="H75" s="185">
        <f t="shared" si="4"/>
        <v>45269.75</v>
      </c>
      <c r="I75" s="369">
        <f t="shared" si="5"/>
        <v>174268</v>
      </c>
      <c r="J75" s="370">
        <f t="shared" si="6"/>
        <v>174268</v>
      </c>
      <c r="K75" s="371">
        <f t="shared" si="7"/>
        <v>174268</v>
      </c>
      <c r="L75" s="382">
        <f t="shared" si="8"/>
        <v>89324.514382002206</v>
      </c>
      <c r="M75" s="383">
        <f t="shared" si="9"/>
        <v>171897.24960597337</v>
      </c>
      <c r="N75" s="389"/>
      <c r="O75" s="370">
        <v>109547</v>
      </c>
      <c r="P75" s="370">
        <v>198261</v>
      </c>
      <c r="Q75" s="370">
        <v>268894</v>
      </c>
      <c r="R75" s="370">
        <v>181054</v>
      </c>
      <c r="S75" s="371">
        <v>258252</v>
      </c>
      <c r="T75" s="69"/>
      <c r="U75" s="417">
        <v>86833</v>
      </c>
      <c r="V75" s="454">
        <v>83940</v>
      </c>
      <c r="W75" s="418">
        <v>23945</v>
      </c>
      <c r="X75" s="417"/>
      <c r="Y75" s="106">
        <v>17</v>
      </c>
      <c r="Z75" s="412">
        <f t="shared" si="27"/>
        <v>7</v>
      </c>
      <c r="AA75" s="89">
        <f t="shared" si="28"/>
        <v>45269</v>
      </c>
      <c r="AB75" s="90">
        <v>0.75</v>
      </c>
      <c r="AC75" s="91">
        <f t="shared" si="10"/>
        <v>45269.75</v>
      </c>
      <c r="AD75" s="92">
        <f t="shared" si="11"/>
        <v>17</v>
      </c>
      <c r="AE75" s="92">
        <f t="shared" si="29"/>
        <v>1</v>
      </c>
      <c r="AF75" s="102">
        <v>174268</v>
      </c>
      <c r="AG75" s="103">
        <v>790</v>
      </c>
      <c r="AH75" s="104">
        <f t="shared" si="12"/>
        <v>32</v>
      </c>
      <c r="AI75" s="95">
        <f t="shared" si="30"/>
        <v>7179</v>
      </c>
      <c r="AJ75" s="96">
        <f t="shared" si="13"/>
        <v>220.59240506329115</v>
      </c>
      <c r="AK75" s="97">
        <f t="shared" si="31"/>
        <v>224.34375</v>
      </c>
      <c r="AL75" s="97">
        <f t="shared" si="78"/>
        <v>242.16867469879517</v>
      </c>
      <c r="AM75" s="102">
        <f t="shared" ref="AM75" si="115">AF75</f>
        <v>174268</v>
      </c>
      <c r="AN75" s="103">
        <f t="shared" ref="AN75" si="116">AG75</f>
        <v>790</v>
      </c>
      <c r="AO75" s="102">
        <f t="shared" ref="AO75" si="117">AF75</f>
        <v>174268</v>
      </c>
      <c r="AP75" s="103">
        <f t="shared" ref="AP75" si="118">AG75</f>
        <v>790</v>
      </c>
      <c r="AQ75" s="95">
        <f t="shared" si="74"/>
        <v>89324.514382002206</v>
      </c>
      <c r="AR75" s="95">
        <f t="shared" si="32"/>
        <v>84943.485617997794</v>
      </c>
      <c r="AS75" s="105">
        <f t="shared" si="75"/>
        <v>412</v>
      </c>
      <c r="AT75" s="71">
        <f t="shared" si="16"/>
        <v>378</v>
      </c>
      <c r="AU75" s="95">
        <f t="shared" si="76"/>
        <v>171897.24960597337</v>
      </c>
      <c r="AV75" s="95">
        <f t="shared" si="17"/>
        <v>2370.7503940266324</v>
      </c>
      <c r="AW75" s="105">
        <f t="shared" si="77"/>
        <v>870</v>
      </c>
      <c r="AX75" s="71">
        <f t="shared" si="18"/>
        <v>-80</v>
      </c>
      <c r="AY75" s="95">
        <f t="shared" si="19"/>
        <v>7179</v>
      </c>
      <c r="AZ75" s="95">
        <f t="shared" si="20"/>
        <v>10251.058823529413</v>
      </c>
      <c r="BA75" s="93">
        <f t="shared" si="21"/>
        <v>174268</v>
      </c>
      <c r="BB75" s="57">
        <f t="shared" si="21"/>
        <v>790</v>
      </c>
      <c r="BC75" s="105">
        <f t="shared" si="21"/>
        <v>32</v>
      </c>
      <c r="BD75" s="105">
        <f t="shared" si="21"/>
        <v>7179</v>
      </c>
      <c r="BE75" s="99">
        <f t="shared" si="33"/>
        <v>2.8805989912486608E-2</v>
      </c>
      <c r="BF75" s="99">
        <f t="shared" si="34"/>
        <v>0.69925647723488182</v>
      </c>
      <c r="BG75" s="100">
        <f t="shared" si="35"/>
        <v>2.8169014084507043E-2</v>
      </c>
      <c r="BH75" s="100">
        <f t="shared" si="51"/>
        <v>0.69542253521126751</v>
      </c>
      <c r="BI75" s="93">
        <v>83940</v>
      </c>
      <c r="BJ75" s="57">
        <v>471</v>
      </c>
      <c r="BK75" s="192">
        <f t="shared" si="36"/>
        <v>5272</v>
      </c>
      <c r="BL75" s="99">
        <f t="shared" si="52"/>
        <v>4.5771835388088211E-2</v>
      </c>
      <c r="BM75" s="99">
        <f t="shared" si="53"/>
        <v>0.72877235631185977</v>
      </c>
      <c r="BN75" s="192">
        <f t="shared" si="37"/>
        <v>33</v>
      </c>
      <c r="BO75" s="100">
        <f t="shared" si="38"/>
        <v>5.1162790697674418E-2</v>
      </c>
      <c r="BP75" s="100">
        <f t="shared" si="54"/>
        <v>0.73023255813953492</v>
      </c>
      <c r="BQ75" s="93">
        <v>268894</v>
      </c>
      <c r="BR75" s="57">
        <v>1160</v>
      </c>
      <c r="BS75" s="192">
        <f t="shared" si="39"/>
        <v>11228</v>
      </c>
      <c r="BT75" s="99">
        <f t="shared" si="40"/>
        <v>2.8846252659055174E-2</v>
      </c>
      <c r="BU75" s="99">
        <f t="shared" si="23"/>
        <v>0.690825103536158</v>
      </c>
      <c r="BV75" s="192">
        <f t="shared" si="41"/>
        <v>26</v>
      </c>
      <c r="BW75" s="100">
        <f t="shared" si="24"/>
        <v>1.570048309178744E-2</v>
      </c>
      <c r="BX75" s="100">
        <f t="shared" si="55"/>
        <v>0.70048309178743962</v>
      </c>
      <c r="BY75" s="93">
        <v>198261</v>
      </c>
      <c r="BZ75" s="57">
        <v>1384</v>
      </c>
      <c r="CA75" s="105">
        <f t="shared" si="42"/>
        <v>4997</v>
      </c>
      <c r="CB75" s="99">
        <f t="shared" si="43"/>
        <v>2.0891516296804188E-2</v>
      </c>
      <c r="CC75" s="99">
        <f t="shared" si="25"/>
        <v>0.8288919176547318</v>
      </c>
      <c r="CD75" s="105">
        <f t="shared" si="44"/>
        <v>34</v>
      </c>
      <c r="CE75" s="100">
        <f t="shared" si="26"/>
        <v>2.0432692307692308E-2</v>
      </c>
      <c r="CF75" s="100">
        <f t="shared" si="56"/>
        <v>0.83173076923076927</v>
      </c>
      <c r="CG75" s="99">
        <v>2.6844146176153598E-2</v>
      </c>
      <c r="CH75" s="99">
        <v>0.71396984477950232</v>
      </c>
      <c r="CI75" s="100">
        <v>2.8340080971659919E-2</v>
      </c>
      <c r="CJ75" s="100">
        <v>0.7348178137651824</v>
      </c>
      <c r="CK75" s="99">
        <v>5.5001986363009868E-2</v>
      </c>
      <c r="CL75" s="99">
        <v>0.70400758871745828</v>
      </c>
      <c r="CM75" s="100">
        <v>6.5749235474006115E-2</v>
      </c>
      <c r="CN75" s="100">
        <v>0.7446483180428134</v>
      </c>
      <c r="CO75" s="353"/>
      <c r="CP75" s="99">
        <v>3.5739206407843276E-2</v>
      </c>
      <c r="CQ75" s="99" t="e">
        <f t="shared" si="45"/>
        <v>#DIV/0!</v>
      </c>
      <c r="CR75" s="100">
        <v>3.439153439153439E-2</v>
      </c>
      <c r="CS75" s="100">
        <f>SUM(CR60:CR75)</f>
        <v>0.38624338624338628</v>
      </c>
      <c r="CT75" s="93">
        <f>Vergleich!C20</f>
        <v>44039</v>
      </c>
      <c r="CU75" s="99">
        <v>2.8262089983158156E-2</v>
      </c>
      <c r="CV75" s="99">
        <f t="shared" si="46"/>
        <v>0.70637581201379418</v>
      </c>
      <c r="CW75" s="100">
        <v>2.5936599423631135E-2</v>
      </c>
      <c r="CX75" s="100">
        <f>SUM(CW60:CW75)</f>
        <v>0.46109510086455335</v>
      </c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</row>
    <row r="76" spans="1:121" s="101" customFormat="1" x14ac:dyDescent="0.3">
      <c r="A76" s="152"/>
      <c r="B76" s="160"/>
      <c r="C76" s="242"/>
      <c r="D76" s="160"/>
      <c r="E76" s="242"/>
      <c r="F76" s="242"/>
      <c r="G76" s="156">
        <v>18</v>
      </c>
      <c r="H76" s="185">
        <f t="shared" si="4"/>
        <v>45270.75</v>
      </c>
      <c r="I76" s="369">
        <f t="shared" si="5"/>
        <v>180234</v>
      </c>
      <c r="J76" s="370">
        <f t="shared" si="6"/>
        <v>180234</v>
      </c>
      <c r="K76" s="371">
        <f t="shared" si="7"/>
        <v>180234</v>
      </c>
      <c r="L76" s="382">
        <f t="shared" si="8"/>
        <v>90928.524865197731</v>
      </c>
      <c r="M76" s="383">
        <f t="shared" si="9"/>
        <v>178914.57650331996</v>
      </c>
      <c r="N76" s="389"/>
      <c r="O76" s="370">
        <v>115420</v>
      </c>
      <c r="P76" s="370">
        <v>203119</v>
      </c>
      <c r="Q76" s="370">
        <v>280832</v>
      </c>
      <c r="R76" s="370">
        <v>187527</v>
      </c>
      <c r="S76" s="371">
        <v>267342</v>
      </c>
      <c r="T76" s="69"/>
      <c r="U76" s="417">
        <v>91974</v>
      </c>
      <c r="V76" s="454">
        <v>87091</v>
      </c>
      <c r="W76" s="418">
        <v>25263</v>
      </c>
      <c r="X76" s="417"/>
      <c r="Y76" s="106">
        <v>18</v>
      </c>
      <c r="Z76" s="412">
        <f t="shared" si="27"/>
        <v>1</v>
      </c>
      <c r="AA76" s="89">
        <f t="shared" si="28"/>
        <v>45270</v>
      </c>
      <c r="AB76" s="90">
        <v>0.75</v>
      </c>
      <c r="AC76" s="91">
        <f t="shared" si="10"/>
        <v>45270.75</v>
      </c>
      <c r="AD76" s="92">
        <f t="shared" si="11"/>
        <v>18</v>
      </c>
      <c r="AE76" s="92">
        <f t="shared" si="29"/>
        <v>1</v>
      </c>
      <c r="AF76" s="102">
        <v>180234</v>
      </c>
      <c r="AG76" s="103">
        <v>821</v>
      </c>
      <c r="AH76" s="104">
        <f t="shared" si="12"/>
        <v>31</v>
      </c>
      <c r="AI76" s="95">
        <f t="shared" si="30"/>
        <v>5966</v>
      </c>
      <c r="AJ76" s="96">
        <f t="shared" si="13"/>
        <v>219.52984165651645</v>
      </c>
      <c r="AK76" s="97">
        <f t="shared" si="31"/>
        <v>192.45161290322579</v>
      </c>
      <c r="AL76" s="97">
        <f t="shared" si="78"/>
        <v>244.26666666666668</v>
      </c>
      <c r="AM76" s="102">
        <f t="shared" ref="AM76" si="119">AF76</f>
        <v>180234</v>
      </c>
      <c r="AN76" s="103">
        <f t="shared" ref="AN76" si="120">AG76</f>
        <v>821</v>
      </c>
      <c r="AO76" s="102">
        <f t="shared" ref="AO76" si="121">AF76</f>
        <v>180234</v>
      </c>
      <c r="AP76" s="103">
        <f t="shared" ref="AP76" si="122">AG76</f>
        <v>821</v>
      </c>
      <c r="AQ76" s="95">
        <f t="shared" si="74"/>
        <v>90928.524865197731</v>
      </c>
      <c r="AR76" s="95">
        <f t="shared" si="32"/>
        <v>89305.475134802269</v>
      </c>
      <c r="AS76" s="105">
        <f t="shared" si="75"/>
        <v>419</v>
      </c>
      <c r="AT76" s="71">
        <f t="shared" si="16"/>
        <v>402</v>
      </c>
      <c r="AU76" s="95">
        <f t="shared" si="76"/>
        <v>178914.57650331996</v>
      </c>
      <c r="AV76" s="95">
        <f t="shared" si="17"/>
        <v>1319.4234966800432</v>
      </c>
      <c r="AW76" s="105">
        <f t="shared" si="77"/>
        <v>909</v>
      </c>
      <c r="AX76" s="71">
        <f t="shared" si="18"/>
        <v>-88</v>
      </c>
      <c r="AY76" s="95">
        <f t="shared" si="19"/>
        <v>5966</v>
      </c>
      <c r="AZ76" s="95">
        <f t="shared" si="20"/>
        <v>10013</v>
      </c>
      <c r="BA76" s="93">
        <f t="shared" si="21"/>
        <v>180234</v>
      </c>
      <c r="BB76" s="57">
        <f t="shared" si="21"/>
        <v>821</v>
      </c>
      <c r="BC76" s="105">
        <f t="shared" si="21"/>
        <v>31</v>
      </c>
      <c r="BD76" s="105">
        <f t="shared" si="21"/>
        <v>5966</v>
      </c>
      <c r="BE76" s="99">
        <f t="shared" si="33"/>
        <v>2.3938784763601492E-2</v>
      </c>
      <c r="BF76" s="99">
        <f t="shared" si="34"/>
        <v>0.72319526199848327</v>
      </c>
      <c r="BG76" s="100">
        <f t="shared" si="35"/>
        <v>2.7288732394366196E-2</v>
      </c>
      <c r="BH76" s="100">
        <f t="shared" si="51"/>
        <v>0.72271126760563376</v>
      </c>
      <c r="BI76" s="93">
        <v>87091</v>
      </c>
      <c r="BJ76" s="57">
        <v>491</v>
      </c>
      <c r="BK76" s="192">
        <f t="shared" si="36"/>
        <v>3151</v>
      </c>
      <c r="BL76" s="99">
        <f t="shared" si="52"/>
        <v>2.7357180065983679E-2</v>
      </c>
      <c r="BM76" s="99">
        <f t="shared" si="53"/>
        <v>0.75612953637784341</v>
      </c>
      <c r="BN76" s="192">
        <f t="shared" si="37"/>
        <v>20</v>
      </c>
      <c r="BO76" s="100">
        <f t="shared" si="38"/>
        <v>3.1007751937984496E-2</v>
      </c>
      <c r="BP76" s="100">
        <f t="shared" si="54"/>
        <v>0.76124031007751936</v>
      </c>
      <c r="BQ76" s="93">
        <v>280832</v>
      </c>
      <c r="BR76" s="57">
        <v>1210</v>
      </c>
      <c r="BS76" s="192">
        <f t="shared" si="39"/>
        <v>11938</v>
      </c>
      <c r="BT76" s="99">
        <f t="shared" si="40"/>
        <v>3.0670338817581109E-2</v>
      </c>
      <c r="BU76" s="99">
        <f t="shared" si="23"/>
        <v>0.72149544235373908</v>
      </c>
      <c r="BV76" s="192">
        <f t="shared" si="41"/>
        <v>50</v>
      </c>
      <c r="BW76" s="100">
        <f t="shared" si="24"/>
        <v>3.0193236714975844E-2</v>
      </c>
      <c r="BX76" s="100">
        <f t="shared" si="55"/>
        <v>0.73067632850241548</v>
      </c>
      <c r="BY76" s="93">
        <v>203119</v>
      </c>
      <c r="BZ76" s="57">
        <v>1419</v>
      </c>
      <c r="CA76" s="105">
        <f t="shared" si="42"/>
        <v>4858</v>
      </c>
      <c r="CB76" s="99">
        <f t="shared" si="43"/>
        <v>2.031038346405338E-2</v>
      </c>
      <c r="CC76" s="99">
        <f t="shared" si="25"/>
        <v>0.84920230111878525</v>
      </c>
      <c r="CD76" s="105">
        <f t="shared" si="44"/>
        <v>35</v>
      </c>
      <c r="CE76" s="100">
        <f t="shared" si="26"/>
        <v>2.1033653846153848E-2</v>
      </c>
      <c r="CF76" s="100">
        <f t="shared" si="56"/>
        <v>0.85276442307692313</v>
      </c>
      <c r="CG76" s="99">
        <v>2.7677470250330551E-2</v>
      </c>
      <c r="CH76" s="99">
        <v>0.74164731502983283</v>
      </c>
      <c r="CI76" s="100">
        <v>2.8340080971659919E-2</v>
      </c>
      <c r="CJ76" s="100">
        <v>0.76315789473684237</v>
      </c>
      <c r="CK76" s="99">
        <v>4.1681192790718413E-2</v>
      </c>
      <c r="CL76" s="99">
        <v>0.74568878150817675</v>
      </c>
      <c r="CM76" s="100">
        <v>4.1284403669724773E-2</v>
      </c>
      <c r="CN76" s="100">
        <v>0.78593272171253814</v>
      </c>
      <c r="CO76" s="353"/>
      <c r="CP76" s="99">
        <v>3.4437466650248327E-2</v>
      </c>
      <c r="CQ76" s="99" t="e">
        <f t="shared" si="45"/>
        <v>#DIV/0!</v>
      </c>
      <c r="CR76" s="100">
        <v>3.968253968253968E-2</v>
      </c>
      <c r="CS76" s="100">
        <f>SUM(CR$58:CR76)</f>
        <v>0.47883597883597884</v>
      </c>
      <c r="CT76" s="93">
        <f>Vergleich!C21</f>
        <v>46661</v>
      </c>
      <c r="CU76" s="99">
        <v>4.205629962306523E-2</v>
      </c>
      <c r="CV76" s="99">
        <f t="shared" si="46"/>
        <v>0.74843211163685941</v>
      </c>
      <c r="CW76" s="100">
        <v>4.8991354466858761E-2</v>
      </c>
      <c r="CX76" s="100">
        <f>SUM(CW$58:CW76)</f>
        <v>0.54755043227665712</v>
      </c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</row>
    <row r="77" spans="1:121" s="101" customFormat="1" x14ac:dyDescent="0.3">
      <c r="A77" s="152"/>
      <c r="B77" s="160"/>
      <c r="C77" s="242"/>
      <c r="D77" s="160"/>
      <c r="E77" s="242"/>
      <c r="F77" s="242"/>
      <c r="G77" s="156">
        <v>19</v>
      </c>
      <c r="H77" s="185">
        <f t="shared" si="4"/>
        <v>45271.75</v>
      </c>
      <c r="I77" s="369">
        <f t="shared" si="5"/>
        <v>197561</v>
      </c>
      <c r="J77" s="370">
        <f t="shared" si="6"/>
        <v>197561</v>
      </c>
      <c r="K77" s="371">
        <f t="shared" si="7"/>
        <v>197561</v>
      </c>
      <c r="L77" s="382">
        <f t="shared" si="8"/>
        <v>93455.734881818993</v>
      </c>
      <c r="M77" s="383">
        <f t="shared" si="9"/>
        <v>192011.7570258069</v>
      </c>
      <c r="N77" s="389"/>
      <c r="O77" s="370">
        <v>123542</v>
      </c>
      <c r="P77" s="370">
        <v>212186</v>
      </c>
      <c r="Q77" s="370">
        <v>299641</v>
      </c>
      <c r="R77" s="370">
        <v>197700</v>
      </c>
      <c r="S77" s="371">
        <v>279921</v>
      </c>
      <c r="T77" s="69"/>
      <c r="U77" s="417">
        <v>101170</v>
      </c>
      <c r="V77" s="454">
        <v>91598</v>
      </c>
      <c r="W77" s="418">
        <v>26708</v>
      </c>
      <c r="X77" s="417"/>
      <c r="Y77" s="106">
        <v>19</v>
      </c>
      <c r="Z77" s="412">
        <f t="shared" si="27"/>
        <v>2</v>
      </c>
      <c r="AA77" s="89">
        <f t="shared" si="28"/>
        <v>45271</v>
      </c>
      <c r="AB77" s="90">
        <v>0.75</v>
      </c>
      <c r="AC77" s="91">
        <f t="shared" si="10"/>
        <v>45271.75</v>
      </c>
      <c r="AD77" s="92">
        <f t="shared" si="11"/>
        <v>19</v>
      </c>
      <c r="AE77" s="92">
        <f t="shared" si="29"/>
        <v>1</v>
      </c>
      <c r="AF77" s="102">
        <v>197561</v>
      </c>
      <c r="AG77" s="103">
        <v>900</v>
      </c>
      <c r="AH77" s="104">
        <f t="shared" si="12"/>
        <v>79</v>
      </c>
      <c r="AI77" s="95">
        <f t="shared" si="30"/>
        <v>17327</v>
      </c>
      <c r="AJ77" s="96">
        <f t="shared" si="13"/>
        <v>219.51222222222222</v>
      </c>
      <c r="AK77" s="97">
        <f t="shared" si="31"/>
        <v>219.32911392405063</v>
      </c>
      <c r="AL77" s="97">
        <f t="shared" si="78"/>
        <v>238.79901960784315</v>
      </c>
      <c r="AM77" s="102">
        <f t="shared" ref="AM77" si="123">AF77</f>
        <v>197561</v>
      </c>
      <c r="AN77" s="103">
        <f t="shared" ref="AN77" si="124">AG77</f>
        <v>900</v>
      </c>
      <c r="AO77" s="102">
        <f t="shared" ref="AO77" si="125">AF77</f>
        <v>197561</v>
      </c>
      <c r="AP77" s="103">
        <f t="shared" ref="AP77" si="126">AG77</f>
        <v>900</v>
      </c>
      <c r="AQ77" s="95">
        <f t="shared" si="74"/>
        <v>93455.734881818993</v>
      </c>
      <c r="AR77" s="95">
        <f t="shared" si="32"/>
        <v>104105.26511818101</v>
      </c>
      <c r="AS77" s="105">
        <f t="shared" si="75"/>
        <v>430</v>
      </c>
      <c r="AT77" s="71">
        <f t="shared" si="16"/>
        <v>470</v>
      </c>
      <c r="AU77" s="95">
        <f t="shared" si="76"/>
        <v>192011.7570258069</v>
      </c>
      <c r="AV77" s="95">
        <f t="shared" si="17"/>
        <v>5549.2429741930973</v>
      </c>
      <c r="AW77" s="105">
        <f t="shared" si="77"/>
        <v>980</v>
      </c>
      <c r="AX77" s="71">
        <f t="shared" si="18"/>
        <v>-80</v>
      </c>
      <c r="AY77" s="95">
        <f t="shared" si="19"/>
        <v>17327</v>
      </c>
      <c r="AZ77" s="95">
        <f t="shared" si="20"/>
        <v>10397.947368421053</v>
      </c>
      <c r="BA77" s="93">
        <f t="shared" si="21"/>
        <v>197561</v>
      </c>
      <c r="BB77" s="57">
        <f t="shared" si="21"/>
        <v>900</v>
      </c>
      <c r="BC77" s="105">
        <f t="shared" si="21"/>
        <v>79</v>
      </c>
      <c r="BD77" s="105">
        <f t="shared" si="21"/>
        <v>17327</v>
      </c>
      <c r="BE77" s="99">
        <f t="shared" si="33"/>
        <v>6.9525196714536205E-2</v>
      </c>
      <c r="BF77" s="99">
        <f t="shared" si="34"/>
        <v>0.79272045871301944</v>
      </c>
      <c r="BG77" s="100">
        <f t="shared" si="35"/>
        <v>6.9542253521126765E-2</v>
      </c>
      <c r="BH77" s="100">
        <f t="shared" si="51"/>
        <v>0.79225352112676051</v>
      </c>
      <c r="BI77" s="93">
        <v>91598</v>
      </c>
      <c r="BJ77" s="57">
        <v>519</v>
      </c>
      <c r="BK77" s="192">
        <f t="shared" si="36"/>
        <v>4507</v>
      </c>
      <c r="BL77" s="99">
        <f t="shared" si="52"/>
        <v>3.9130057301614861E-2</v>
      </c>
      <c r="BM77" s="99">
        <f t="shared" si="53"/>
        <v>0.79525959367945831</v>
      </c>
      <c r="BN77" s="192">
        <f t="shared" si="37"/>
        <v>28</v>
      </c>
      <c r="BO77" s="100">
        <f t="shared" si="38"/>
        <v>4.3410852713178294E-2</v>
      </c>
      <c r="BP77" s="100">
        <f t="shared" si="54"/>
        <v>0.80465116279069759</v>
      </c>
      <c r="BQ77" s="93">
        <v>299641</v>
      </c>
      <c r="BR77" s="57">
        <v>1290</v>
      </c>
      <c r="BS77" s="192">
        <f t="shared" si="39"/>
        <v>18809</v>
      </c>
      <c r="BT77" s="99">
        <f t="shared" si="40"/>
        <v>4.8322868388329956E-2</v>
      </c>
      <c r="BU77" s="99">
        <f t="shared" si="23"/>
        <v>0.76981831074206908</v>
      </c>
      <c r="BV77" s="192">
        <f t="shared" si="41"/>
        <v>80</v>
      </c>
      <c r="BW77" s="100">
        <f t="shared" si="24"/>
        <v>4.8309178743961352E-2</v>
      </c>
      <c r="BX77" s="100">
        <f t="shared" si="55"/>
        <v>0.77898550724637683</v>
      </c>
      <c r="BY77" s="93">
        <v>212186</v>
      </c>
      <c r="BZ77" s="57">
        <v>1483</v>
      </c>
      <c r="CA77" s="105">
        <f t="shared" si="42"/>
        <v>9067</v>
      </c>
      <c r="CB77" s="99">
        <f t="shared" si="43"/>
        <v>3.7907420104687527E-2</v>
      </c>
      <c r="CC77" s="99">
        <f t="shared" si="25"/>
        <v>0.88710972122347276</v>
      </c>
      <c r="CD77" s="105">
        <f t="shared" si="44"/>
        <v>64</v>
      </c>
      <c r="CE77" s="100">
        <f t="shared" si="26"/>
        <v>3.8461538461538464E-2</v>
      </c>
      <c r="CF77" s="100">
        <f t="shared" si="56"/>
        <v>0.89122596153846156</v>
      </c>
      <c r="CG77" s="99">
        <v>5.2043866179264674E-2</v>
      </c>
      <c r="CH77" s="99">
        <v>0.79369118120909754</v>
      </c>
      <c r="CI77" s="100">
        <v>4.8582995951417005E-2</v>
      </c>
      <c r="CJ77" s="100">
        <v>0.81174089068825939</v>
      </c>
      <c r="CK77" s="99">
        <v>7.4557527505046989E-2</v>
      </c>
      <c r="CL77" s="99">
        <v>0.82024630901322371</v>
      </c>
      <c r="CM77" s="100">
        <v>5.3516819571865444E-2</v>
      </c>
      <c r="CN77" s="100">
        <v>0.83944954128440363</v>
      </c>
      <c r="CO77" s="353"/>
      <c r="CP77" s="99">
        <v>4.76249113116494E-2</v>
      </c>
      <c r="CQ77" s="99" t="e">
        <f t="shared" si="45"/>
        <v>#DIV/0!</v>
      </c>
      <c r="CR77" s="100">
        <v>4.7619047619047616E-2</v>
      </c>
      <c r="CS77" s="100">
        <f>SUM(CR$58:CR77)</f>
        <v>0.52645502645502651</v>
      </c>
      <c r="CT77" s="93">
        <f>Vergleich!C22</f>
        <v>49576</v>
      </c>
      <c r="CU77" s="99">
        <v>4.6755954767824237E-2</v>
      </c>
      <c r="CV77" s="99">
        <f t="shared" si="46"/>
        <v>0.79518806640468365</v>
      </c>
      <c r="CW77" s="100">
        <v>4.8991354466858761E-2</v>
      </c>
      <c r="CX77" s="100">
        <f>SUM(CW$58:CW77)</f>
        <v>0.59654178674351588</v>
      </c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</row>
    <row r="78" spans="1:121" s="101" customFormat="1" x14ac:dyDescent="0.3">
      <c r="A78" s="152"/>
      <c r="B78" s="160"/>
      <c r="C78" s="242"/>
      <c r="D78" s="160"/>
      <c r="E78" s="242"/>
      <c r="F78" s="242"/>
      <c r="G78" s="156">
        <v>20</v>
      </c>
      <c r="H78" s="185">
        <f t="shared" si="4"/>
        <v>45272.75</v>
      </c>
      <c r="I78" s="369">
        <f t="shared" si="5"/>
        <v>214259</v>
      </c>
      <c r="J78" s="370">
        <f t="shared" si="6"/>
        <v>214259</v>
      </c>
      <c r="K78" s="371">
        <f t="shared" si="7"/>
        <v>214259</v>
      </c>
      <c r="L78" s="382">
        <f t="shared" si="8"/>
        <v>97647.149442321941</v>
      </c>
      <c r="M78" s="383">
        <f t="shared" si="9"/>
        <v>204594.69951300044</v>
      </c>
      <c r="N78" s="389"/>
      <c r="O78" s="370">
        <v>130324</v>
      </c>
      <c r="P78" s="370">
        <v>220897</v>
      </c>
      <c r="Q78" s="370">
        <v>330836</v>
      </c>
      <c r="R78" s="370">
        <v>205967</v>
      </c>
      <c r="S78" s="371">
        <v>295660</v>
      </c>
      <c r="T78" s="69"/>
      <c r="U78" s="417">
        <v>108862</v>
      </c>
      <c r="V78" s="454">
        <v>99702</v>
      </c>
      <c r="W78" s="418">
        <v>30138</v>
      </c>
      <c r="X78" s="417"/>
      <c r="Y78" s="106">
        <v>20</v>
      </c>
      <c r="Z78" s="412">
        <f t="shared" si="27"/>
        <v>3</v>
      </c>
      <c r="AA78" s="89">
        <f t="shared" si="28"/>
        <v>45272</v>
      </c>
      <c r="AB78" s="90">
        <v>0.75</v>
      </c>
      <c r="AC78" s="91">
        <f t="shared" si="10"/>
        <v>45272.75</v>
      </c>
      <c r="AD78" s="92">
        <f t="shared" si="11"/>
        <v>20</v>
      </c>
      <c r="AE78" s="92">
        <f t="shared" si="29"/>
        <v>1</v>
      </c>
      <c r="AF78" s="102">
        <v>214259</v>
      </c>
      <c r="AG78" s="103">
        <v>985</v>
      </c>
      <c r="AH78" s="104">
        <f t="shared" si="12"/>
        <v>85</v>
      </c>
      <c r="AI78" s="95">
        <f t="shared" si="30"/>
        <v>16698</v>
      </c>
      <c r="AJ78" s="96">
        <f t="shared" si="13"/>
        <v>217.52182741116752</v>
      </c>
      <c r="AK78" s="97">
        <f t="shared" si="31"/>
        <v>196.4470588235294</v>
      </c>
      <c r="AL78" s="97">
        <f t="shared" si="78"/>
        <v>211.02325581395348</v>
      </c>
      <c r="AM78" s="102">
        <f t="shared" ref="AM78" si="127">AF78</f>
        <v>214259</v>
      </c>
      <c r="AN78" s="103">
        <f t="shared" ref="AN78" si="128">AG78</f>
        <v>985</v>
      </c>
      <c r="AO78" s="102">
        <f t="shared" ref="AO78" si="129">AF78</f>
        <v>214259</v>
      </c>
      <c r="AP78" s="103">
        <f t="shared" ref="AP78" si="130">AG78</f>
        <v>985</v>
      </c>
      <c r="AQ78" s="95">
        <f t="shared" si="74"/>
        <v>97647.149442321941</v>
      </c>
      <c r="AR78" s="95">
        <f t="shared" si="32"/>
        <v>116611.85055767806</v>
      </c>
      <c r="AS78" s="105">
        <f t="shared" si="75"/>
        <v>448</v>
      </c>
      <c r="AT78" s="71">
        <f t="shared" si="16"/>
        <v>537</v>
      </c>
      <c r="AU78" s="95">
        <f t="shared" si="76"/>
        <v>204594.69951300044</v>
      </c>
      <c r="AV78" s="95">
        <f t="shared" si="17"/>
        <v>9664.3004869995639</v>
      </c>
      <c r="AW78" s="105">
        <f t="shared" si="77"/>
        <v>1049</v>
      </c>
      <c r="AX78" s="71">
        <f t="shared" si="18"/>
        <v>-64</v>
      </c>
      <c r="AY78" s="95">
        <f t="shared" si="19"/>
        <v>16698</v>
      </c>
      <c r="AZ78" s="95">
        <f t="shared" si="20"/>
        <v>10712.95</v>
      </c>
      <c r="BA78" s="93">
        <f t="shared" si="21"/>
        <v>214259</v>
      </c>
      <c r="BB78" s="57">
        <f t="shared" si="21"/>
        <v>985</v>
      </c>
      <c r="BC78" s="105">
        <f t="shared" si="21"/>
        <v>85</v>
      </c>
      <c r="BD78" s="105">
        <f t="shared" si="21"/>
        <v>16698</v>
      </c>
      <c r="BE78" s="99">
        <f t="shared" si="33"/>
        <v>6.7001312098997262E-2</v>
      </c>
      <c r="BF78" s="99">
        <f t="shared" si="34"/>
        <v>0.85972177081201673</v>
      </c>
      <c r="BG78" s="100">
        <f t="shared" si="35"/>
        <v>7.4823943661971828E-2</v>
      </c>
      <c r="BH78" s="100">
        <f t="shared" si="51"/>
        <v>0.86707746478873238</v>
      </c>
      <c r="BI78" s="93">
        <v>99702</v>
      </c>
      <c r="BJ78" s="57">
        <v>558</v>
      </c>
      <c r="BK78" s="192">
        <f t="shared" si="36"/>
        <v>8104</v>
      </c>
      <c r="BL78" s="99">
        <f t="shared" si="52"/>
        <v>7.0359437402326794E-2</v>
      </c>
      <c r="BM78" s="99">
        <f t="shared" si="53"/>
        <v>0.86561903108178506</v>
      </c>
      <c r="BN78" s="192">
        <f t="shared" si="37"/>
        <v>39</v>
      </c>
      <c r="BO78" s="100">
        <f t="shared" si="38"/>
        <v>6.0465116279069767E-2</v>
      </c>
      <c r="BP78" s="100">
        <f t="shared" si="54"/>
        <v>0.8651162790697674</v>
      </c>
      <c r="BQ78" s="93">
        <v>330836</v>
      </c>
      <c r="BR78" s="57">
        <v>1421</v>
      </c>
      <c r="BS78" s="192">
        <f t="shared" si="39"/>
        <v>31195</v>
      </c>
      <c r="BT78" s="99">
        <f t="shared" si="40"/>
        <v>8.0144179880586586E-2</v>
      </c>
      <c r="BU78" s="99">
        <f t="shared" si="23"/>
        <v>0.84996249062265561</v>
      </c>
      <c r="BV78" s="192">
        <f t="shared" si="41"/>
        <v>131</v>
      </c>
      <c r="BW78" s="100">
        <f t="shared" si="24"/>
        <v>7.9106280193236719E-2</v>
      </c>
      <c r="BX78" s="100">
        <f t="shared" si="55"/>
        <v>0.85809178743961356</v>
      </c>
      <c r="BY78" s="93">
        <v>220897</v>
      </c>
      <c r="BZ78" s="57">
        <v>1545</v>
      </c>
      <c r="CA78" s="105">
        <f t="shared" si="42"/>
        <v>8711</v>
      </c>
      <c r="CB78" s="99">
        <f t="shared" si="43"/>
        <v>3.6419051122966034E-2</v>
      </c>
      <c r="CC78" s="99">
        <f t="shared" si="25"/>
        <v>0.92352877234643882</v>
      </c>
      <c r="CD78" s="105">
        <f t="shared" si="44"/>
        <v>62</v>
      </c>
      <c r="CE78" s="100">
        <f t="shared" si="26"/>
        <v>3.7259615384615384E-2</v>
      </c>
      <c r="CF78" s="100">
        <f t="shared" si="56"/>
        <v>0.92848557692307698</v>
      </c>
      <c r="CG78" s="99">
        <v>8.3999066677036924E-2</v>
      </c>
      <c r="CH78" s="99">
        <v>0.87769024788613448</v>
      </c>
      <c r="CI78" s="100">
        <v>7.8947368421052627E-2</v>
      </c>
      <c r="CJ78" s="100">
        <v>0.89068825910931204</v>
      </c>
      <c r="CK78" s="99">
        <v>6.2363690905700458E-2</v>
      </c>
      <c r="CL78" s="99">
        <v>0.88260999991892419</v>
      </c>
      <c r="CM78" s="100">
        <v>5.3516819571865444E-2</v>
      </c>
      <c r="CN78" s="100">
        <v>0.89296636085626913</v>
      </c>
      <c r="CO78" s="353"/>
      <c r="CP78" s="99">
        <v>3.9767563225265479E-2</v>
      </c>
      <c r="CQ78" s="99" t="e">
        <f t="shared" si="45"/>
        <v>#DIV/0!</v>
      </c>
      <c r="CR78" s="100">
        <v>5.1587301587301584E-2</v>
      </c>
      <c r="CS78" s="100">
        <f>SUM(CR$58:CR78)</f>
        <v>0.57804232804232814</v>
      </c>
      <c r="CT78" s="93">
        <f>Vergleich!C23</f>
        <v>54612</v>
      </c>
      <c r="CU78" s="99">
        <v>8.077632528671097E-2</v>
      </c>
      <c r="CV78" s="99">
        <f t="shared" si="46"/>
        <v>0.87596439169139462</v>
      </c>
      <c r="CW78" s="100">
        <v>9.5100864553314124E-2</v>
      </c>
      <c r="CX78" s="100">
        <f>SUM(CW$58:CW78)</f>
        <v>0.69164265129683</v>
      </c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</row>
    <row r="79" spans="1:121" s="121" customFormat="1" x14ac:dyDescent="0.3">
      <c r="A79" s="153"/>
      <c r="B79" s="154"/>
      <c r="C79" s="243"/>
      <c r="D79" s="154"/>
      <c r="E79" s="243"/>
      <c r="F79" s="243"/>
      <c r="G79" s="156">
        <v>21</v>
      </c>
      <c r="H79" s="185">
        <f t="shared" si="4"/>
        <v>45273.75</v>
      </c>
      <c r="I79" s="439">
        <f t="shared" si="5"/>
        <v>249219</v>
      </c>
      <c r="J79" s="174">
        <f t="shared" si="6"/>
        <v>249219</v>
      </c>
      <c r="K79" s="372">
        <f t="shared" si="7"/>
        <v>249219</v>
      </c>
      <c r="L79" s="384">
        <f>AQ93</f>
        <v>105493.87521034156</v>
      </c>
      <c r="M79" s="372">
        <f t="shared" si="9"/>
        <v>231015.84530949418</v>
      </c>
      <c r="N79" s="441">
        <v>266116</v>
      </c>
      <c r="O79" s="442">
        <v>170701</v>
      </c>
      <c r="P79" s="492">
        <v>239077</v>
      </c>
      <c r="Q79" s="443">
        <v>390507</v>
      </c>
      <c r="R79" s="444">
        <v>231430</v>
      </c>
      <c r="S79" s="445">
        <v>324435</v>
      </c>
      <c r="T79" s="107"/>
      <c r="U79" s="419">
        <v>123694</v>
      </c>
      <c r="V79" s="460">
        <v>115113</v>
      </c>
      <c r="W79" s="465">
        <v>36248</v>
      </c>
      <c r="X79" s="458"/>
      <c r="Y79" s="108">
        <v>21</v>
      </c>
      <c r="Z79" s="109">
        <f t="shared" si="27"/>
        <v>4</v>
      </c>
      <c r="AA79" s="110">
        <f t="shared" si="28"/>
        <v>45273</v>
      </c>
      <c r="AB79" s="111">
        <v>0.75</v>
      </c>
      <c r="AC79" s="112">
        <f t="shared" si="10"/>
        <v>45273.75</v>
      </c>
      <c r="AD79" s="113">
        <f t="shared" si="11"/>
        <v>21</v>
      </c>
      <c r="AE79" s="113">
        <f t="shared" si="29"/>
        <v>1</v>
      </c>
      <c r="AF79" s="102">
        <v>249219</v>
      </c>
      <c r="AG79" s="103">
        <v>1136</v>
      </c>
      <c r="AH79" s="104">
        <f t="shared" si="12"/>
        <v>151</v>
      </c>
      <c r="AI79" s="116">
        <f t="shared" si="30"/>
        <v>34960</v>
      </c>
      <c r="AJ79" s="114">
        <f t="shared" si="13"/>
        <v>219.38292253521126</v>
      </c>
      <c r="AK79" s="115">
        <f t="shared" si="31"/>
        <v>231.52317880794703</v>
      </c>
      <c r="AL79" s="115">
        <f t="shared" si="78"/>
        <v>217.27513227513228</v>
      </c>
      <c r="AM79" s="102">
        <f t="shared" ref="AM79" si="131">AF79</f>
        <v>249219</v>
      </c>
      <c r="AN79" s="103">
        <f t="shared" ref="AN79" si="132">AG79</f>
        <v>1136</v>
      </c>
      <c r="AO79" s="102">
        <f t="shared" ref="AO79" si="133">AF79</f>
        <v>249219</v>
      </c>
      <c r="AP79" s="103">
        <f t="shared" ref="AP79" si="134">AG79</f>
        <v>1136</v>
      </c>
      <c r="AQ79" s="116">
        <f t="shared" si="74"/>
        <v>105493.87521034158</v>
      </c>
      <c r="AR79" s="98">
        <f t="shared" si="32"/>
        <v>143725.12478965841</v>
      </c>
      <c r="AS79" s="117">
        <f t="shared" si="75"/>
        <v>480</v>
      </c>
      <c r="AT79" s="80">
        <f t="shared" si="16"/>
        <v>656</v>
      </c>
      <c r="AU79" s="116">
        <f t="shared" si="76"/>
        <v>231015.84530949418</v>
      </c>
      <c r="AV79" s="98">
        <f t="shared" si="17"/>
        <v>18203.15469050582</v>
      </c>
      <c r="AW79" s="117">
        <f t="shared" si="77"/>
        <v>1181</v>
      </c>
      <c r="AX79" s="80">
        <f t="shared" si="18"/>
        <v>-45</v>
      </c>
      <c r="AY79" s="116">
        <f t="shared" si="19"/>
        <v>34960</v>
      </c>
      <c r="AZ79" s="116">
        <f t="shared" si="20"/>
        <v>11867.571428571429</v>
      </c>
      <c r="BA79" s="193">
        <f t="shared" si="21"/>
        <v>249219</v>
      </c>
      <c r="BB79" s="64">
        <f t="shared" si="21"/>
        <v>1136</v>
      </c>
      <c r="BC79" s="117">
        <f t="shared" si="21"/>
        <v>151</v>
      </c>
      <c r="BD79" s="117">
        <f t="shared" si="21"/>
        <v>34960</v>
      </c>
      <c r="BE79" s="118">
        <f t="shared" si="33"/>
        <v>0.14027822918798327</v>
      </c>
      <c r="BF79" s="118">
        <f t="shared" si="34"/>
        <v>1</v>
      </c>
      <c r="BG79" s="119">
        <f t="shared" si="35"/>
        <v>0.1329225352112676</v>
      </c>
      <c r="BH79" s="119">
        <f t="shared" si="51"/>
        <v>1</v>
      </c>
      <c r="BI79" s="193">
        <v>115180</v>
      </c>
      <c r="BJ79" s="64">
        <v>645</v>
      </c>
      <c r="BK79" s="129">
        <f t="shared" si="36"/>
        <v>15478</v>
      </c>
      <c r="BL79" s="118">
        <f t="shared" si="52"/>
        <v>0.13438096891821497</v>
      </c>
      <c r="BM79" s="118">
        <f t="shared" si="53"/>
        <v>1</v>
      </c>
      <c r="BN79" s="129">
        <f t="shared" si="37"/>
        <v>87</v>
      </c>
      <c r="BO79" s="119">
        <f t="shared" si="38"/>
        <v>0.13488372093023257</v>
      </c>
      <c r="BP79" s="119">
        <f t="shared" si="54"/>
        <v>1</v>
      </c>
      <c r="BQ79" s="193">
        <v>389236</v>
      </c>
      <c r="BR79" s="64">
        <v>1656</v>
      </c>
      <c r="BS79" s="129">
        <f t="shared" si="39"/>
        <v>58400</v>
      </c>
      <c r="BT79" s="118">
        <f t="shared" si="40"/>
        <v>0.15003750937734434</v>
      </c>
      <c r="BU79" s="118">
        <f t="shared" si="23"/>
        <v>1</v>
      </c>
      <c r="BV79" s="129">
        <f t="shared" si="41"/>
        <v>235</v>
      </c>
      <c r="BW79" s="119">
        <f t="shared" si="24"/>
        <v>0.14190821256038647</v>
      </c>
      <c r="BX79" s="119">
        <f t="shared" si="55"/>
        <v>1</v>
      </c>
      <c r="BY79" s="193">
        <v>239188</v>
      </c>
      <c r="BZ79" s="64">
        <v>1664</v>
      </c>
      <c r="CA79" s="117">
        <f t="shared" si="42"/>
        <v>18291</v>
      </c>
      <c r="CB79" s="118">
        <f t="shared" si="43"/>
        <v>7.6471227653561222E-2</v>
      </c>
      <c r="CC79" s="118">
        <f t="shared" si="25"/>
        <v>1</v>
      </c>
      <c r="CD79" s="117">
        <f t="shared" si="44"/>
        <v>119</v>
      </c>
      <c r="CE79" s="119">
        <f t="shared" si="26"/>
        <v>7.1514423076923073E-2</v>
      </c>
      <c r="CF79" s="119">
        <f t="shared" si="56"/>
        <v>1</v>
      </c>
      <c r="CG79" s="118">
        <v>0.1223097521138654</v>
      </c>
      <c r="CH79" s="118">
        <v>0.99999999999999989</v>
      </c>
      <c r="CI79" s="119">
        <v>0.11336032388663968</v>
      </c>
      <c r="CJ79" s="119">
        <v>1.0040485829959518</v>
      </c>
      <c r="CK79" s="118">
        <v>0.11739000008107604</v>
      </c>
      <c r="CL79" s="118">
        <v>1.0000000000000002</v>
      </c>
      <c r="CM79" s="119">
        <v>0.10703363914373089</v>
      </c>
      <c r="CN79" s="119">
        <v>1</v>
      </c>
      <c r="CO79" s="355"/>
      <c r="CP79" s="118">
        <v>0.23582012536574781</v>
      </c>
      <c r="CQ79" s="118" t="e">
        <f t="shared" si="45"/>
        <v>#DIV/0!</v>
      </c>
      <c r="CR79" s="356">
        <v>0.23809523809523808</v>
      </c>
      <c r="CS79" s="356">
        <f>SUM(CR$58:CR79)</f>
        <v>0.81613756613756627</v>
      </c>
      <c r="CT79" s="193">
        <f>Vergleich!C24</f>
        <v>62345</v>
      </c>
      <c r="CU79" s="118">
        <v>0.12403560830860538</v>
      </c>
      <c r="CV79" s="118">
        <f t="shared" si="46"/>
        <v>1</v>
      </c>
      <c r="CW79" s="356">
        <v>0.13544668587896258</v>
      </c>
      <c r="CX79" s="356">
        <f>SUM(CW$58:CW79)</f>
        <v>0.82708933717579258</v>
      </c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</row>
    <row r="80" spans="1:121" s="121" customFormat="1" x14ac:dyDescent="0.3">
      <c r="A80" s="153"/>
      <c r="B80" s="154"/>
      <c r="C80" s="243"/>
      <c r="D80" s="154"/>
      <c r="E80" s="243"/>
      <c r="F80" s="243"/>
      <c r="G80" s="159"/>
      <c r="H80" s="186"/>
      <c r="I80" s="373"/>
      <c r="J80" s="174"/>
      <c r="K80" s="372"/>
      <c r="L80" s="385"/>
      <c r="M80" s="386"/>
      <c r="N80" s="390"/>
      <c r="O80" s="430"/>
      <c r="P80" s="431"/>
      <c r="Q80" s="430"/>
      <c r="R80" s="431"/>
      <c r="S80" s="391"/>
      <c r="T80" s="107"/>
      <c r="U80" s="419"/>
      <c r="V80" s="460"/>
      <c r="W80" s="466"/>
      <c r="X80" s="419"/>
      <c r="Y80" s="108"/>
      <c r="Z80" s="109"/>
      <c r="AA80" s="110"/>
      <c r="AB80" s="111"/>
      <c r="AC80" s="112"/>
      <c r="AD80" s="113"/>
      <c r="AE80" s="113"/>
      <c r="AF80" s="116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16"/>
      <c r="AR80" s="98"/>
      <c r="AS80" s="117"/>
      <c r="AT80" s="80"/>
      <c r="AU80" s="116"/>
      <c r="AV80" s="98"/>
      <c r="AW80" s="117"/>
      <c r="AX80" s="80"/>
      <c r="AY80" s="116"/>
      <c r="AZ80" s="116"/>
      <c r="BA80" s="116"/>
      <c r="BB80" s="117"/>
      <c r="BC80" s="117"/>
      <c r="BD80" s="117"/>
      <c r="BE80" s="118"/>
      <c r="BF80" s="118"/>
      <c r="BG80" s="119"/>
      <c r="BH80" s="119"/>
      <c r="BI80" s="116"/>
      <c r="BJ80" s="117"/>
      <c r="BK80" s="129"/>
      <c r="BL80" s="118"/>
      <c r="BM80" s="118"/>
      <c r="BN80" s="129"/>
      <c r="BO80" s="119"/>
      <c r="BP80" s="119"/>
      <c r="BQ80" s="116"/>
      <c r="BR80" s="117"/>
      <c r="BS80" s="129"/>
      <c r="BT80" s="118"/>
      <c r="BU80" s="118"/>
      <c r="BV80" s="129"/>
      <c r="BW80" s="119"/>
      <c r="BX80" s="119"/>
      <c r="BY80" s="116"/>
      <c r="BZ80" s="117"/>
      <c r="CA80" s="117"/>
      <c r="CB80" s="118"/>
      <c r="CC80" s="118"/>
      <c r="CD80" s="117"/>
      <c r="CE80" s="119"/>
      <c r="CF80" s="119"/>
      <c r="CG80" s="118"/>
      <c r="CH80" s="118"/>
      <c r="CI80" s="119"/>
      <c r="CJ80" s="119"/>
      <c r="CK80" s="118"/>
      <c r="CL80" s="118"/>
      <c r="CM80" s="119"/>
      <c r="CN80" s="119"/>
      <c r="CO80" s="119"/>
      <c r="CP80" s="118"/>
      <c r="CQ80" s="118"/>
      <c r="CR80" s="119"/>
      <c r="CS80" s="119"/>
      <c r="CT80" s="120"/>
      <c r="CU80" s="118"/>
      <c r="CV80" s="118"/>
      <c r="CW80" s="119"/>
      <c r="CX80" s="119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</row>
    <row r="81" spans="1:121" s="121" customFormat="1" x14ac:dyDescent="0.3">
      <c r="A81" s="153"/>
      <c r="B81" s="154"/>
      <c r="C81" s="243"/>
      <c r="D81" s="154"/>
      <c r="E81" s="243"/>
      <c r="F81" s="243"/>
      <c r="G81" s="159"/>
      <c r="H81" s="186"/>
      <c r="I81" s="373"/>
      <c r="J81" s="174"/>
      <c r="K81" s="372"/>
      <c r="L81" s="385"/>
      <c r="M81" s="386"/>
      <c r="N81" s="390"/>
      <c r="O81" s="430"/>
      <c r="P81" s="431"/>
      <c r="Q81" s="430"/>
      <c r="R81" s="431"/>
      <c r="S81" s="391"/>
      <c r="T81" s="107"/>
      <c r="U81" s="419"/>
      <c r="V81" s="460"/>
      <c r="W81" s="466"/>
      <c r="X81" s="419"/>
      <c r="Y81" s="108"/>
      <c r="Z81" s="109"/>
      <c r="AA81" s="110"/>
      <c r="AB81" s="111"/>
      <c r="AC81" s="112"/>
      <c r="AD81" s="113"/>
      <c r="AE81" s="113"/>
      <c r="AF81" s="116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16"/>
      <c r="AR81" s="98"/>
      <c r="AS81" s="117"/>
      <c r="AT81" s="80"/>
      <c r="AU81" s="116"/>
      <c r="AV81" s="98"/>
      <c r="AW81" s="117"/>
      <c r="AX81" s="80"/>
      <c r="AY81" s="116"/>
      <c r="AZ81" s="116"/>
      <c r="BA81" s="116"/>
      <c r="BB81" s="117"/>
      <c r="BC81" s="117"/>
      <c r="BD81" s="117"/>
      <c r="BE81" s="118"/>
      <c r="BF81" s="118"/>
      <c r="BG81" s="119"/>
      <c r="BH81" s="119"/>
      <c r="BI81" s="116"/>
      <c r="BJ81" s="117"/>
      <c r="BK81" s="129"/>
      <c r="BL81" s="118"/>
      <c r="BM81" s="118"/>
      <c r="BN81" s="129"/>
      <c r="BO81" s="119"/>
      <c r="BP81" s="119"/>
      <c r="BQ81" s="116"/>
      <c r="BR81" s="117"/>
      <c r="BS81" s="129"/>
      <c r="BT81" s="118"/>
      <c r="BU81" s="118"/>
      <c r="BV81" s="129"/>
      <c r="BW81" s="119"/>
      <c r="BX81" s="119"/>
      <c r="BY81" s="116"/>
      <c r="BZ81" s="117"/>
      <c r="CA81" s="117"/>
      <c r="CB81" s="118"/>
      <c r="CC81" s="118"/>
      <c r="CD81" s="117"/>
      <c r="CE81" s="119"/>
      <c r="CF81" s="119"/>
      <c r="CG81" s="118"/>
      <c r="CH81" s="118"/>
      <c r="CI81" s="119"/>
      <c r="CJ81" s="119"/>
      <c r="CK81" s="118"/>
      <c r="CL81" s="118"/>
      <c r="CM81" s="119"/>
      <c r="CN81" s="119"/>
      <c r="CO81" s="119"/>
      <c r="CP81" s="118"/>
      <c r="CQ81" s="118"/>
      <c r="CR81" s="119"/>
      <c r="CS81" s="119"/>
      <c r="CT81" s="120"/>
      <c r="CU81" s="118"/>
      <c r="CV81" s="118"/>
      <c r="CW81" s="119"/>
      <c r="CX81" s="119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</row>
    <row r="82" spans="1:121" s="121" customFormat="1" x14ac:dyDescent="0.3">
      <c r="A82" s="153"/>
      <c r="B82" s="154"/>
      <c r="C82" s="243"/>
      <c r="D82" s="154"/>
      <c r="E82" s="243"/>
      <c r="F82" s="243"/>
      <c r="G82" s="159"/>
      <c r="H82" s="186"/>
      <c r="I82" s="373"/>
      <c r="J82" s="174"/>
      <c r="K82" s="372"/>
      <c r="L82" s="385"/>
      <c r="M82" s="386"/>
      <c r="N82" s="390"/>
      <c r="O82" s="430"/>
      <c r="P82" s="431"/>
      <c r="Q82" s="430"/>
      <c r="R82" s="431"/>
      <c r="S82" s="391"/>
      <c r="T82" s="107"/>
      <c r="U82" s="419"/>
      <c r="V82" s="460"/>
      <c r="W82" s="466"/>
      <c r="X82" s="419"/>
      <c r="Y82" s="108"/>
      <c r="Z82" s="109"/>
      <c r="AA82" s="110"/>
      <c r="AB82" s="111"/>
      <c r="AC82" s="112"/>
      <c r="AD82" s="113"/>
      <c r="AE82" s="113"/>
      <c r="AF82" s="116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16"/>
      <c r="AR82" s="98"/>
      <c r="AS82" s="117"/>
      <c r="AT82" s="80"/>
      <c r="AU82" s="116"/>
      <c r="AV82" s="98"/>
      <c r="AW82" s="117"/>
      <c r="AX82" s="80"/>
      <c r="AY82" s="116"/>
      <c r="AZ82" s="116"/>
      <c r="BA82" s="116"/>
      <c r="BB82" s="117"/>
      <c r="BC82" s="117"/>
      <c r="BD82" s="117"/>
      <c r="BE82" s="118"/>
      <c r="BF82" s="118"/>
      <c r="BG82" s="119"/>
      <c r="BH82" s="119"/>
      <c r="BI82" s="116"/>
      <c r="BJ82" s="117"/>
      <c r="BK82" s="129"/>
      <c r="BL82" s="118"/>
      <c r="BM82" s="118"/>
      <c r="BN82" s="129"/>
      <c r="BO82" s="119"/>
      <c r="BP82" s="119"/>
      <c r="BQ82" s="116"/>
      <c r="BR82" s="117"/>
      <c r="BS82" s="129"/>
      <c r="BT82" s="118"/>
      <c r="BU82" s="118"/>
      <c r="BV82" s="129"/>
      <c r="BW82" s="119"/>
      <c r="BX82" s="119"/>
      <c r="BY82" s="116"/>
      <c r="BZ82" s="117"/>
      <c r="CA82" s="117"/>
      <c r="CB82" s="118"/>
      <c r="CC82" s="118"/>
      <c r="CD82" s="117"/>
      <c r="CE82" s="119"/>
      <c r="CF82" s="119"/>
      <c r="CG82" s="118"/>
      <c r="CH82" s="118"/>
      <c r="CI82" s="119"/>
      <c r="CJ82" s="119"/>
      <c r="CK82" s="118"/>
      <c r="CL82" s="118"/>
      <c r="CM82" s="119"/>
      <c r="CN82" s="119"/>
      <c r="CO82" s="119"/>
      <c r="CP82" s="118"/>
      <c r="CQ82" s="118"/>
      <c r="CR82" s="119"/>
      <c r="CS82" s="119"/>
      <c r="CT82" s="120"/>
      <c r="CU82" s="118"/>
      <c r="CV82" s="118"/>
      <c r="CW82" s="119"/>
      <c r="CX82" s="119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</row>
    <row r="83" spans="1:121" s="121" customFormat="1" x14ac:dyDescent="0.3">
      <c r="A83" s="153"/>
      <c r="B83" s="154"/>
      <c r="C83" s="243"/>
      <c r="D83" s="154"/>
      <c r="E83" s="243"/>
      <c r="F83" s="243"/>
      <c r="G83" s="159"/>
      <c r="H83" s="186"/>
      <c r="I83" s="373"/>
      <c r="J83" s="174"/>
      <c r="K83" s="372"/>
      <c r="L83" s="385"/>
      <c r="M83" s="386"/>
      <c r="N83" s="390"/>
      <c r="O83" s="430"/>
      <c r="P83" s="431"/>
      <c r="Q83" s="430"/>
      <c r="R83" s="431"/>
      <c r="S83" s="391"/>
      <c r="T83" s="107"/>
      <c r="U83" s="419"/>
      <c r="V83" s="460"/>
      <c r="W83" s="466"/>
      <c r="X83" s="419"/>
      <c r="Y83" s="108"/>
      <c r="Z83" s="109"/>
      <c r="AA83" s="110"/>
      <c r="AB83" s="111"/>
      <c r="AC83" s="112"/>
      <c r="AD83" s="113"/>
      <c r="AE83" s="113"/>
      <c r="AF83" s="116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16"/>
      <c r="AR83" s="98"/>
      <c r="AS83" s="117"/>
      <c r="AT83" s="80"/>
      <c r="AU83" s="116"/>
      <c r="AV83" s="98"/>
      <c r="AW83" s="117"/>
      <c r="AX83" s="80"/>
      <c r="AY83" s="116"/>
      <c r="AZ83" s="116"/>
      <c r="BA83" s="116"/>
      <c r="BB83" s="117"/>
      <c r="BC83" s="117"/>
      <c r="BD83" s="117"/>
      <c r="BE83" s="118"/>
      <c r="BF83" s="118"/>
      <c r="BG83" s="119"/>
      <c r="BH83" s="119"/>
      <c r="BI83" s="116"/>
      <c r="BJ83" s="117"/>
      <c r="BK83" s="129"/>
      <c r="BL83" s="118"/>
      <c r="BM83" s="118"/>
      <c r="BN83" s="129"/>
      <c r="BO83" s="119"/>
      <c r="BP83" s="119"/>
      <c r="BQ83" s="116"/>
      <c r="BR83" s="117"/>
      <c r="BS83" s="129"/>
      <c r="BT83" s="118"/>
      <c r="BU83" s="118"/>
      <c r="BV83" s="129"/>
      <c r="BW83" s="119"/>
      <c r="BX83" s="119"/>
      <c r="BY83" s="116"/>
      <c r="BZ83" s="117"/>
      <c r="CA83" s="117"/>
      <c r="CB83" s="118"/>
      <c r="CC83" s="118"/>
      <c r="CD83" s="117"/>
      <c r="CE83" s="119"/>
      <c r="CF83" s="119"/>
      <c r="CG83" s="118"/>
      <c r="CH83" s="118"/>
      <c r="CI83" s="119"/>
      <c r="CJ83" s="119"/>
      <c r="CK83" s="118"/>
      <c r="CL83" s="118"/>
      <c r="CM83" s="119"/>
      <c r="CN83" s="119"/>
      <c r="CO83" s="119"/>
      <c r="CP83" s="118"/>
      <c r="CQ83" s="118"/>
      <c r="CR83" s="119"/>
      <c r="CS83" s="119"/>
      <c r="CT83" s="120"/>
      <c r="CU83" s="118"/>
      <c r="CV83" s="118"/>
      <c r="CW83" s="119"/>
      <c r="CX83" s="119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</row>
    <row r="84" spans="1:121" s="121" customFormat="1" x14ac:dyDescent="0.3">
      <c r="A84" s="153"/>
      <c r="B84" s="154"/>
      <c r="C84" s="243"/>
      <c r="D84" s="154"/>
      <c r="E84" s="243"/>
      <c r="F84" s="243"/>
      <c r="G84" s="159"/>
      <c r="H84" s="186"/>
      <c r="I84" s="373"/>
      <c r="J84" s="174"/>
      <c r="K84" s="372"/>
      <c r="L84" s="385"/>
      <c r="M84" s="386"/>
      <c r="N84" s="390"/>
      <c r="O84" s="430"/>
      <c r="P84" s="431"/>
      <c r="Q84" s="430"/>
      <c r="R84" s="431"/>
      <c r="S84" s="391"/>
      <c r="T84" s="107"/>
      <c r="U84" s="419"/>
      <c r="V84" s="460"/>
      <c r="W84" s="466"/>
      <c r="X84" s="419"/>
      <c r="Y84" s="108"/>
      <c r="Z84" s="109"/>
      <c r="AA84" s="110"/>
      <c r="AB84" s="111"/>
      <c r="AC84" s="112"/>
      <c r="AD84" s="113"/>
      <c r="AE84" s="113"/>
      <c r="AF84" s="116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16"/>
      <c r="AR84" s="98"/>
      <c r="AS84" s="117"/>
      <c r="AT84" s="80"/>
      <c r="AU84" s="116"/>
      <c r="AV84" s="98"/>
      <c r="AW84" s="117"/>
      <c r="AX84" s="80"/>
      <c r="AY84" s="116"/>
      <c r="AZ84" s="116"/>
      <c r="BA84" s="116"/>
      <c r="BB84" s="117"/>
      <c r="BC84" s="117"/>
      <c r="BD84" s="117"/>
      <c r="BE84" s="118"/>
      <c r="BF84" s="118"/>
      <c r="BG84" s="119"/>
      <c r="BH84" s="119"/>
      <c r="BI84" s="116"/>
      <c r="BJ84" s="117"/>
      <c r="BK84" s="129"/>
      <c r="BL84" s="118"/>
      <c r="BM84" s="118"/>
      <c r="BN84" s="129"/>
      <c r="BO84" s="119"/>
      <c r="BP84" s="119"/>
      <c r="BQ84" s="116"/>
      <c r="BR84" s="117"/>
      <c r="BS84" s="129"/>
      <c r="BT84" s="118"/>
      <c r="BU84" s="118"/>
      <c r="BV84" s="129"/>
      <c r="BW84" s="119"/>
      <c r="BX84" s="119"/>
      <c r="BY84" s="116"/>
      <c r="BZ84" s="117"/>
      <c r="CA84" s="117"/>
      <c r="CB84" s="118"/>
      <c r="CC84" s="118"/>
      <c r="CD84" s="117"/>
      <c r="CE84" s="119"/>
      <c r="CF84" s="119"/>
      <c r="CG84" s="118"/>
      <c r="CH84" s="118"/>
      <c r="CI84" s="119"/>
      <c r="CJ84" s="119"/>
      <c r="CK84" s="118"/>
      <c r="CL84" s="118"/>
      <c r="CM84" s="119"/>
      <c r="CN84" s="119"/>
      <c r="CO84" s="119"/>
      <c r="CP84" s="118"/>
      <c r="CQ84" s="118"/>
      <c r="CR84" s="119"/>
      <c r="CS84" s="119"/>
      <c r="CT84" s="120"/>
      <c r="CU84" s="118"/>
      <c r="CV84" s="118"/>
      <c r="CW84" s="119"/>
      <c r="CX84" s="119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</row>
    <row r="85" spans="1:121" s="121" customFormat="1" x14ac:dyDescent="0.3">
      <c r="A85" s="154"/>
      <c r="B85" s="175"/>
      <c r="C85" s="243"/>
      <c r="D85" s="154"/>
      <c r="E85" s="243"/>
      <c r="F85" s="243"/>
      <c r="G85" s="161"/>
      <c r="H85" s="161"/>
      <c r="I85" s="438" t="s">
        <v>16</v>
      </c>
      <c r="J85" s="367" t="s">
        <v>179</v>
      </c>
      <c r="K85" s="368" t="s">
        <v>180</v>
      </c>
      <c r="L85" s="367" t="s">
        <v>179</v>
      </c>
      <c r="M85" s="368" t="s">
        <v>180</v>
      </c>
      <c r="N85" s="432" t="s">
        <v>16</v>
      </c>
      <c r="O85" s="433" t="s">
        <v>16</v>
      </c>
      <c r="P85" s="491" t="s">
        <v>16</v>
      </c>
      <c r="Q85" s="434" t="s">
        <v>16</v>
      </c>
      <c r="R85" s="435" t="s">
        <v>16</v>
      </c>
      <c r="S85" s="436" t="s">
        <v>16</v>
      </c>
      <c r="T85" s="122"/>
      <c r="U85" s="414" t="s">
        <v>16</v>
      </c>
      <c r="V85" s="461" t="s">
        <v>16</v>
      </c>
      <c r="W85" s="464" t="s">
        <v>16</v>
      </c>
      <c r="X85" s="457"/>
      <c r="Y85" s="122"/>
      <c r="Z85" s="122"/>
      <c r="AA85" s="122"/>
      <c r="AB85" s="122"/>
      <c r="AC85" s="122"/>
      <c r="AD85" s="107"/>
      <c r="AE85" s="122"/>
      <c r="AF85" s="122"/>
      <c r="AG85" s="123"/>
      <c r="AH85" s="143">
        <f>SUM(AH58:AH79)</f>
        <v>1136</v>
      </c>
      <c r="AI85" s="124">
        <f>SUM(AI58:AI79)</f>
        <v>249219</v>
      </c>
      <c r="AJ85" s="123"/>
      <c r="AK85" s="125">
        <f t="shared" si="31"/>
        <v>219.38292253521126</v>
      </c>
      <c r="AL85" s="125"/>
      <c r="AM85" s="116"/>
      <c r="AN85" s="117"/>
      <c r="AO85" s="116"/>
      <c r="AP85" s="117"/>
      <c r="AQ85" s="123" t="s">
        <v>105</v>
      </c>
      <c r="AR85" s="80"/>
      <c r="AS85" s="126" t="s">
        <v>105</v>
      </c>
      <c r="AT85" s="80"/>
      <c r="AU85" s="123" t="s">
        <v>106</v>
      </c>
      <c r="AV85" s="54"/>
      <c r="AW85" s="126" t="s">
        <v>106</v>
      </c>
      <c r="AX85" s="80"/>
      <c r="AY85" s="123"/>
      <c r="AZ85" s="39"/>
      <c r="BA85" s="543" t="s">
        <v>236</v>
      </c>
      <c r="BB85" s="543"/>
      <c r="BC85" s="543"/>
      <c r="BD85" s="543"/>
      <c r="BE85" s="543"/>
      <c r="BF85" s="543"/>
      <c r="BG85" s="543"/>
      <c r="BH85" s="543"/>
      <c r="BI85" s="544" t="s">
        <v>237</v>
      </c>
      <c r="BJ85" s="545"/>
      <c r="BK85" s="545"/>
      <c r="BL85" s="545"/>
      <c r="BM85" s="545"/>
      <c r="BN85" s="545"/>
      <c r="BO85" s="545"/>
      <c r="BP85" s="546"/>
      <c r="BQ85" s="544" t="s">
        <v>154</v>
      </c>
      <c r="BR85" s="545"/>
      <c r="BS85" s="545"/>
      <c r="BT85" s="545"/>
      <c r="BU85" s="545"/>
      <c r="BV85" s="545"/>
      <c r="BW85" s="545"/>
      <c r="BX85" s="546"/>
      <c r="BY85" s="544" t="s">
        <v>143</v>
      </c>
      <c r="BZ85" s="545"/>
      <c r="CA85" s="545"/>
      <c r="CB85" s="545"/>
      <c r="CC85" s="545"/>
      <c r="CD85" s="545"/>
      <c r="CE85" s="545"/>
      <c r="CF85" s="546"/>
      <c r="CG85" s="544" t="s">
        <v>101</v>
      </c>
      <c r="CH85" s="545"/>
      <c r="CI85" s="545"/>
      <c r="CJ85" s="546"/>
      <c r="CK85" s="544" t="s">
        <v>48</v>
      </c>
      <c r="CL85" s="545"/>
      <c r="CM85" s="545"/>
      <c r="CN85" s="546"/>
      <c r="CO85" s="311"/>
      <c r="CP85" s="544" t="s">
        <v>50</v>
      </c>
      <c r="CQ85" s="545"/>
      <c r="CR85" s="545"/>
      <c r="CS85" s="545"/>
      <c r="CT85" s="543" t="s">
        <v>49</v>
      </c>
      <c r="CU85" s="543"/>
      <c r="CV85" s="543"/>
      <c r="CW85" s="543"/>
      <c r="CX85" s="543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</row>
    <row r="86" spans="1:121" s="121" customFormat="1" ht="30" x14ac:dyDescent="0.3">
      <c r="A86" s="154"/>
      <c r="B86" s="175"/>
      <c r="C86" s="243"/>
      <c r="D86" s="154"/>
      <c r="E86" s="243"/>
      <c r="F86" s="243"/>
      <c r="G86" s="345" t="s">
        <v>32</v>
      </c>
      <c r="H86" s="345" t="s">
        <v>15</v>
      </c>
      <c r="I86" s="438" t="str">
        <f>I57</f>
        <v>Stand Ist/HR</v>
      </c>
      <c r="J86" s="367" t="str">
        <f t="shared" ref="J86:K86" si="135">J57</f>
        <v>Stand Ist/HR</v>
      </c>
      <c r="K86" s="368" t="str">
        <f t="shared" si="135"/>
        <v>Stand Ist/HR</v>
      </c>
      <c r="L86" s="381" t="str">
        <f>L57</f>
        <v>1. Schätzung</v>
      </c>
      <c r="M86" s="368" t="str">
        <f>M57</f>
        <v>1. Schätzung</v>
      </c>
      <c r="N86" s="432" t="s">
        <v>398</v>
      </c>
      <c r="O86" s="433" t="s">
        <v>399</v>
      </c>
      <c r="P86" s="491" t="s">
        <v>400</v>
      </c>
      <c r="Q86" s="434" t="s">
        <v>154</v>
      </c>
      <c r="R86" s="435" t="s">
        <v>401</v>
      </c>
      <c r="S86" s="436" t="s">
        <v>402</v>
      </c>
      <c r="T86" s="122"/>
      <c r="U86" s="414" t="str">
        <f>U57</f>
        <v>DSK Fasar</v>
      </c>
      <c r="V86" s="461" t="str">
        <f>V57</f>
        <v>Schleichender Verfall</v>
      </c>
      <c r="W86" s="464" t="str">
        <f>W57</f>
        <v>DSK Refurbished</v>
      </c>
      <c r="X86" s="457"/>
      <c r="Y86" s="122"/>
      <c r="Z86" s="122"/>
      <c r="AA86" s="122"/>
      <c r="AB86" s="122"/>
      <c r="AC86" s="122"/>
      <c r="AD86" s="107"/>
      <c r="AE86" s="122"/>
      <c r="AF86" s="122"/>
      <c r="AG86" s="123"/>
      <c r="AH86" s="226"/>
      <c r="AI86" s="124"/>
      <c r="AJ86" s="123"/>
      <c r="AK86" s="115"/>
      <c r="AL86" s="115"/>
      <c r="AM86" s="116"/>
      <c r="AN86" s="117"/>
      <c r="AO86" s="116"/>
      <c r="AP86" s="117"/>
      <c r="AQ86" s="123"/>
      <c r="AR86" s="80"/>
      <c r="AS86" s="126"/>
      <c r="AT86" s="80"/>
      <c r="AU86" s="123"/>
      <c r="AV86" s="54"/>
      <c r="AW86" s="126"/>
      <c r="AX86" s="80"/>
      <c r="AY86" s="123"/>
      <c r="AZ86" s="39"/>
      <c r="BA86" s="39"/>
      <c r="BB86" s="39"/>
      <c r="BC86" s="39"/>
      <c r="BD86" s="39"/>
      <c r="BE86" s="59" t="s">
        <v>228</v>
      </c>
      <c r="BF86" s="127" t="s">
        <v>242</v>
      </c>
      <c r="BG86" s="59" t="s">
        <v>244</v>
      </c>
      <c r="BH86" s="59" t="s">
        <v>243</v>
      </c>
      <c r="BI86" s="39"/>
      <c r="BJ86" s="39"/>
      <c r="BK86" s="308"/>
      <c r="BL86" s="59" t="s">
        <v>238</v>
      </c>
      <c r="BM86" s="127" t="s">
        <v>239</v>
      </c>
      <c r="BN86" s="308"/>
      <c r="BO86" s="59" t="s">
        <v>240</v>
      </c>
      <c r="BP86" s="59" t="s">
        <v>241</v>
      </c>
      <c r="BQ86" s="39"/>
      <c r="BR86" s="39"/>
      <c r="BS86" s="308"/>
      <c r="BT86" s="59" t="s">
        <v>148</v>
      </c>
      <c r="BU86" s="127" t="s">
        <v>166</v>
      </c>
      <c r="BV86" s="308"/>
      <c r="BW86" s="59" t="s">
        <v>167</v>
      </c>
      <c r="BX86" s="59" t="s">
        <v>168</v>
      </c>
      <c r="BY86" s="39"/>
      <c r="BZ86" s="39"/>
      <c r="CA86" s="39"/>
      <c r="CB86" s="59" t="s">
        <v>131</v>
      </c>
      <c r="CC86" s="127" t="s">
        <v>145</v>
      </c>
      <c r="CD86" s="39"/>
      <c r="CE86" s="59" t="s">
        <v>146</v>
      </c>
      <c r="CF86" s="59" t="s">
        <v>147</v>
      </c>
      <c r="CG86" s="59" t="s">
        <v>114</v>
      </c>
      <c r="CH86" s="127" t="s">
        <v>118</v>
      </c>
      <c r="CI86" s="59" t="s">
        <v>115</v>
      </c>
      <c r="CJ86" s="59" t="s">
        <v>119</v>
      </c>
      <c r="CK86" s="59" t="s">
        <v>72</v>
      </c>
      <c r="CL86" s="59" t="s">
        <v>120</v>
      </c>
      <c r="CM86" s="59" t="s">
        <v>111</v>
      </c>
      <c r="CN86" s="59" t="s">
        <v>121</v>
      </c>
      <c r="CO86" s="59"/>
      <c r="CP86" s="59" t="s">
        <v>112</v>
      </c>
      <c r="CQ86" s="128" t="s">
        <v>122</v>
      </c>
      <c r="CR86" s="59" t="s">
        <v>113</v>
      </c>
      <c r="CS86" s="128" t="s">
        <v>123</v>
      </c>
      <c r="CT86" s="39"/>
      <c r="CU86" s="127" t="s">
        <v>116</v>
      </c>
      <c r="CV86" s="127" t="s">
        <v>124</v>
      </c>
      <c r="CW86" s="127" t="s">
        <v>117</v>
      </c>
      <c r="CX86" s="127" t="s">
        <v>125</v>
      </c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</row>
    <row r="87" spans="1:121" s="121" customFormat="1" ht="15.75" thickBot="1" x14ac:dyDescent="0.35">
      <c r="A87" s="154"/>
      <c r="B87" s="175"/>
      <c r="C87" s="243"/>
      <c r="D87" s="154"/>
      <c r="E87" s="243"/>
      <c r="F87" s="243"/>
      <c r="G87" s="156">
        <v>0</v>
      </c>
      <c r="H87" s="185">
        <f t="shared" ref="H87:H108" si="136">H58</f>
        <v>45252.75</v>
      </c>
      <c r="I87" s="374">
        <f t="shared" ref="I87:I108" si="137">AG58</f>
        <v>0</v>
      </c>
      <c r="J87" s="160">
        <f t="shared" ref="J87:J108" si="138">AN58</f>
        <v>0</v>
      </c>
      <c r="K87" s="375">
        <f t="shared" ref="K87:K108" si="139">AP58</f>
        <v>0</v>
      </c>
      <c r="L87" s="374">
        <f>AQ86</f>
        <v>0</v>
      </c>
      <c r="M87" s="387">
        <f>AU86</f>
        <v>0</v>
      </c>
      <c r="N87" s="374">
        <v>0</v>
      </c>
      <c r="O87" s="197">
        <v>0</v>
      </c>
      <c r="P87" s="197">
        <v>0</v>
      </c>
      <c r="Q87" s="197">
        <v>0</v>
      </c>
      <c r="R87" s="197">
        <v>0</v>
      </c>
      <c r="S87" s="387">
        <v>0</v>
      </c>
      <c r="T87" s="122"/>
      <c r="U87" s="420">
        <v>0</v>
      </c>
      <c r="V87" s="455">
        <v>0</v>
      </c>
      <c r="W87" s="421">
        <v>0</v>
      </c>
      <c r="X87" s="420"/>
      <c r="Y87" s="122"/>
      <c r="Z87" s="122"/>
      <c r="AA87" s="122"/>
      <c r="AB87" s="122"/>
      <c r="AC87" s="122"/>
      <c r="AD87" s="107"/>
      <c r="AE87" s="122"/>
      <c r="AF87" s="122"/>
      <c r="AG87" s="123"/>
      <c r="AH87" s="226"/>
      <c r="AI87" s="124"/>
      <c r="AJ87" s="123"/>
      <c r="AK87" s="115"/>
      <c r="AL87" s="115"/>
      <c r="AM87" s="116"/>
      <c r="AN87" s="117"/>
      <c r="AO87" s="116"/>
      <c r="AP87" s="117"/>
      <c r="AQ87" s="123"/>
      <c r="AR87" s="80"/>
      <c r="AS87" s="126"/>
      <c r="AT87" s="80"/>
      <c r="AU87" s="123"/>
      <c r="AV87" s="54"/>
      <c r="AW87" s="126"/>
      <c r="AX87" s="80"/>
      <c r="AY87" s="123"/>
      <c r="AZ87" s="39"/>
      <c r="BA87" s="39"/>
      <c r="BB87" s="39"/>
      <c r="BC87" s="39"/>
      <c r="BD87" s="39"/>
      <c r="BE87" s="65"/>
      <c r="BF87" s="132"/>
      <c r="BG87" s="65"/>
      <c r="BH87" s="132"/>
      <c r="BI87" s="39"/>
      <c r="BJ87" s="39"/>
      <c r="BK87" s="308"/>
      <c r="BL87" s="65"/>
      <c r="BM87" s="132"/>
      <c r="BN87" s="308"/>
      <c r="BO87" s="65"/>
      <c r="BP87" s="132"/>
      <c r="BQ87" s="39"/>
      <c r="BR87" s="39"/>
      <c r="BS87" s="308"/>
      <c r="BT87" s="65"/>
      <c r="BU87" s="132"/>
      <c r="BV87" s="308"/>
      <c r="BW87" s="65"/>
      <c r="BX87" s="132"/>
      <c r="BY87" s="39"/>
      <c r="BZ87" s="39"/>
      <c r="CA87" s="39"/>
      <c r="CB87" s="65"/>
      <c r="CC87" s="132"/>
      <c r="CD87" s="39"/>
      <c r="CE87" s="65"/>
      <c r="CF87" s="132"/>
      <c r="CG87" s="65"/>
      <c r="CH87" s="130"/>
      <c r="CI87" s="65"/>
      <c r="CJ87" s="65"/>
      <c r="CK87" s="65"/>
      <c r="CL87" s="65"/>
      <c r="CM87" s="65"/>
      <c r="CN87" s="65"/>
      <c r="CO87" s="65"/>
      <c r="CP87" s="65"/>
      <c r="CQ87" s="131"/>
      <c r="CR87" s="65"/>
      <c r="CS87" s="131"/>
      <c r="CT87" s="39"/>
      <c r="CU87" s="130"/>
      <c r="CV87" s="130"/>
      <c r="CW87" s="130"/>
      <c r="CX87" s="130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</row>
    <row r="88" spans="1:121" s="121" customFormat="1" x14ac:dyDescent="0.3">
      <c r="A88" s="154"/>
      <c r="B88" s="175"/>
      <c r="C88" s="243"/>
      <c r="D88" s="154"/>
      <c r="E88" s="243"/>
      <c r="F88" s="243"/>
      <c r="G88" s="156">
        <v>1</v>
      </c>
      <c r="H88" s="185">
        <f t="shared" si="136"/>
        <v>45253.75</v>
      </c>
      <c r="I88" s="374">
        <f t="shared" si="137"/>
        <v>180</v>
      </c>
      <c r="J88" s="376">
        <f t="shared" si="138"/>
        <v>180</v>
      </c>
      <c r="K88" s="377">
        <f t="shared" si="139"/>
        <v>180</v>
      </c>
      <c r="L88" s="374">
        <f t="shared" ref="L88:L108" si="140">AS59</f>
        <v>180</v>
      </c>
      <c r="M88" s="387">
        <f t="shared" ref="M88:M108" si="141">AW59</f>
        <v>180</v>
      </c>
      <c r="N88" s="374">
        <v>500</v>
      </c>
      <c r="O88" s="197">
        <v>179</v>
      </c>
      <c r="P88" s="197">
        <v>625</v>
      </c>
      <c r="Q88" s="197">
        <v>341</v>
      </c>
      <c r="R88" s="197">
        <v>317</v>
      </c>
      <c r="S88" s="387">
        <v>489</v>
      </c>
      <c r="T88" s="122"/>
      <c r="U88" s="420">
        <v>195</v>
      </c>
      <c r="V88" s="455">
        <v>136</v>
      </c>
      <c r="W88" s="421">
        <v>67</v>
      </c>
      <c r="X88" s="420"/>
      <c r="Y88" s="122"/>
      <c r="Z88" s="122"/>
      <c r="AA88" s="122"/>
      <c r="AB88" s="122"/>
      <c r="AC88" s="122"/>
      <c r="AD88" s="107"/>
      <c r="AE88" s="124"/>
      <c r="AF88" s="138" t="s">
        <v>103</v>
      </c>
      <c r="AG88" s="39"/>
      <c r="AH88" s="39"/>
      <c r="AI88" s="39"/>
      <c r="AJ88" s="39"/>
      <c r="AK88" s="39"/>
      <c r="AL88" s="115"/>
      <c r="AM88" s="116"/>
      <c r="AN88" s="117"/>
      <c r="AO88" s="116"/>
      <c r="AP88" s="392" t="s">
        <v>103</v>
      </c>
      <c r="AQ88" s="268">
        <f>AQ59*Vergleich!AU8</f>
        <v>105493.87521034156</v>
      </c>
      <c r="AR88" s="393"/>
      <c r="AS88" s="394">
        <f>ROUND(AG59*Vergleich!AV8,)</f>
        <v>479</v>
      </c>
      <c r="AT88" s="395"/>
      <c r="AU88" s="268">
        <f>AU59*Vergleich!AU9</f>
        <v>186371.70855531184</v>
      </c>
      <c r="AV88" s="268"/>
      <c r="AW88" s="396">
        <f>ROUND(AG59*Vergleich!AV9,)</f>
        <v>875</v>
      </c>
      <c r="AX88" s="80"/>
      <c r="AY88" s="123"/>
      <c r="AZ88" s="39">
        <v>1</v>
      </c>
      <c r="BA88" s="122"/>
      <c r="BB88" s="122"/>
      <c r="BC88" s="122"/>
      <c r="BD88" s="122"/>
      <c r="BE88" s="130"/>
      <c r="BF88" s="130"/>
      <c r="BG88" s="130"/>
      <c r="BH88" s="130"/>
      <c r="BI88" s="122"/>
      <c r="BJ88" s="122"/>
      <c r="BK88" s="38"/>
      <c r="BL88" s="130"/>
      <c r="BM88" s="130"/>
      <c r="BN88" s="38"/>
      <c r="BO88" s="130"/>
      <c r="BP88" s="130"/>
      <c r="BQ88" s="122"/>
      <c r="BR88" s="122"/>
      <c r="BS88" s="38"/>
      <c r="BT88" s="130"/>
      <c r="BU88" s="130"/>
      <c r="BV88" s="38"/>
      <c r="BW88" s="130"/>
      <c r="BX88" s="130"/>
      <c r="BY88" s="122"/>
      <c r="BZ88" s="122"/>
      <c r="CA88" s="122"/>
      <c r="CB88" s="130"/>
      <c r="CC88" s="130"/>
      <c r="CD88" s="122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22"/>
      <c r="CU88" s="130"/>
      <c r="CV88" s="130"/>
      <c r="CW88" s="130"/>
      <c r="CX88" s="130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</row>
    <row r="89" spans="1:121" s="121" customFormat="1" x14ac:dyDescent="0.3">
      <c r="A89" s="154"/>
      <c r="B89" s="175"/>
      <c r="C89" s="243"/>
      <c r="D89" s="154"/>
      <c r="E89" s="243"/>
      <c r="F89" s="243"/>
      <c r="G89" s="156">
        <v>2</v>
      </c>
      <c r="H89" s="185">
        <f t="shared" si="136"/>
        <v>45254.75</v>
      </c>
      <c r="I89" s="374">
        <f t="shared" si="137"/>
        <v>256</v>
      </c>
      <c r="J89" s="376">
        <f t="shared" si="138"/>
        <v>256</v>
      </c>
      <c r="K89" s="377">
        <f t="shared" si="139"/>
        <v>256</v>
      </c>
      <c r="L89" s="374">
        <f t="shared" si="140"/>
        <v>256</v>
      </c>
      <c r="M89" s="387">
        <f t="shared" si="141"/>
        <v>256</v>
      </c>
      <c r="N89" s="374"/>
      <c r="O89" s="197">
        <v>206</v>
      </c>
      <c r="P89" s="197">
        <v>789</v>
      </c>
      <c r="Q89" s="197">
        <v>404</v>
      </c>
      <c r="R89" s="197">
        <v>417</v>
      </c>
      <c r="S89" s="387">
        <v>618</v>
      </c>
      <c r="T89" s="122"/>
      <c r="U89" s="420">
        <v>233</v>
      </c>
      <c r="V89" s="455">
        <v>172</v>
      </c>
      <c r="W89" s="421">
        <v>89</v>
      </c>
      <c r="X89" s="420"/>
      <c r="Y89" s="122"/>
      <c r="Z89" s="122"/>
      <c r="AA89" s="122"/>
      <c r="AB89" s="122"/>
      <c r="AC89" s="122"/>
      <c r="AD89" s="107"/>
      <c r="AE89" s="39"/>
      <c r="AF89" s="39" t="s">
        <v>104</v>
      </c>
      <c r="AG89" s="39"/>
      <c r="AH89" s="39"/>
      <c r="AI89" s="39"/>
      <c r="AJ89" s="39"/>
      <c r="AK89" s="39"/>
      <c r="AL89" s="115"/>
      <c r="AM89" s="116"/>
      <c r="AN89" s="117"/>
      <c r="AO89" s="116"/>
      <c r="AP89" s="404" t="s">
        <v>104</v>
      </c>
      <c r="AQ89" s="116">
        <f>AQ60*Vergleich!AU13</f>
        <v>116647.63182547828</v>
      </c>
      <c r="AR89" s="402"/>
      <c r="AS89" s="403">
        <f>ROUND(AG60*Vergleich!AV13,)</f>
        <v>540</v>
      </c>
      <c r="AT89" s="122"/>
      <c r="AU89" s="116">
        <f>AU60*Vergleich!AU14</f>
        <v>225491.76626733661</v>
      </c>
      <c r="AV89" s="116"/>
      <c r="AW89" s="405">
        <f>ROUND(AG60*Vergleich!AV14,)</f>
        <v>1083</v>
      </c>
      <c r="AX89" s="80"/>
      <c r="AY89" s="123"/>
      <c r="AZ89" s="39">
        <v>2</v>
      </c>
      <c r="BA89" s="122"/>
      <c r="BB89" s="122"/>
      <c r="BC89" s="122"/>
      <c r="BD89" s="122"/>
      <c r="BE89" s="130"/>
      <c r="BF89" s="130"/>
      <c r="BG89" s="130"/>
      <c r="BH89" s="130"/>
      <c r="BI89" s="122"/>
      <c r="BJ89" s="122"/>
      <c r="BK89" s="38"/>
      <c r="BL89" s="130"/>
      <c r="BM89" s="130"/>
      <c r="BN89" s="38"/>
      <c r="BO89" s="130"/>
      <c r="BP89" s="130"/>
      <c r="BQ89" s="122"/>
      <c r="BR89" s="122"/>
      <c r="BS89" s="38"/>
      <c r="BT89" s="130"/>
      <c r="BU89" s="130"/>
      <c r="BV89" s="38"/>
      <c r="BW89" s="130"/>
      <c r="BX89" s="130"/>
      <c r="BY89" s="122"/>
      <c r="BZ89" s="122"/>
      <c r="CA89" s="122"/>
      <c r="CB89" s="130"/>
      <c r="CC89" s="130"/>
      <c r="CD89" s="122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22"/>
      <c r="CU89" s="130"/>
      <c r="CV89" s="130"/>
      <c r="CW89" s="130"/>
      <c r="CX89" s="130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</row>
    <row r="90" spans="1:121" s="101" customFormat="1" x14ac:dyDescent="0.3">
      <c r="A90" s="160"/>
      <c r="B90" s="341"/>
      <c r="C90" s="242"/>
      <c r="D90" s="160"/>
      <c r="E90" s="242"/>
      <c r="F90" s="242"/>
      <c r="G90" s="156">
        <v>3</v>
      </c>
      <c r="H90" s="185">
        <f t="shared" si="136"/>
        <v>45255.75</v>
      </c>
      <c r="I90" s="374">
        <f t="shared" si="137"/>
        <v>301</v>
      </c>
      <c r="J90" s="376">
        <f t="shared" si="138"/>
        <v>301</v>
      </c>
      <c r="K90" s="377">
        <f t="shared" si="139"/>
        <v>301</v>
      </c>
      <c r="L90" s="374">
        <f t="shared" si="140"/>
        <v>301</v>
      </c>
      <c r="M90" s="387">
        <f t="shared" si="141"/>
        <v>301</v>
      </c>
      <c r="N90" s="374"/>
      <c r="O90" s="197">
        <v>224</v>
      </c>
      <c r="P90" s="197">
        <v>852</v>
      </c>
      <c r="Q90" s="197">
        <v>480</v>
      </c>
      <c r="R90" s="197">
        <v>458</v>
      </c>
      <c r="S90" s="387">
        <v>731</v>
      </c>
      <c r="T90" s="194"/>
      <c r="U90" s="420">
        <v>248</v>
      </c>
      <c r="V90" s="455">
        <v>199</v>
      </c>
      <c r="W90" s="421">
        <v>101</v>
      </c>
      <c r="X90" s="420"/>
      <c r="Y90" s="122"/>
      <c r="Z90" s="122"/>
      <c r="AA90" s="122"/>
      <c r="AB90" s="122"/>
      <c r="AC90" s="122"/>
      <c r="AD90" s="69"/>
      <c r="AE90" s="194"/>
      <c r="AF90" s="194" t="s">
        <v>126</v>
      </c>
      <c r="AG90" s="194"/>
      <c r="AH90" s="194"/>
      <c r="AI90" s="194"/>
      <c r="AJ90" s="195"/>
      <c r="AK90" s="194"/>
      <c r="AL90" s="97"/>
      <c r="AM90" s="95"/>
      <c r="AN90" s="105"/>
      <c r="AO90" s="95"/>
      <c r="AP90" s="404" t="s">
        <v>126</v>
      </c>
      <c r="AQ90" s="116">
        <f>AQ61*Vergleich!AU18</f>
        <v>127793.67061435369</v>
      </c>
      <c r="AR90" s="402"/>
      <c r="AS90" s="403">
        <f>ROUND(AG61*Vergleich!AV18,)</f>
        <v>588</v>
      </c>
      <c r="AT90" s="122"/>
      <c r="AU90" s="116">
        <f>AU61*Vergleich!AU19</f>
        <v>231015.84530949418</v>
      </c>
      <c r="AV90" s="116"/>
      <c r="AW90" s="405">
        <f>ROUND(AG61*Vergleich!AV19,)</f>
        <v>1161</v>
      </c>
      <c r="AX90" s="71"/>
      <c r="AY90" s="309"/>
      <c r="AZ90" s="194">
        <v>3</v>
      </c>
      <c r="BA90" s="194"/>
      <c r="BB90" s="194"/>
      <c r="BC90" s="194"/>
      <c r="BD90" s="194"/>
      <c r="BE90" s="132"/>
      <c r="BF90" s="132"/>
      <c r="BG90" s="132"/>
      <c r="BH90" s="132"/>
      <c r="BI90" s="194"/>
      <c r="BJ90" s="194"/>
      <c r="BK90" s="342"/>
      <c r="BL90" s="132"/>
      <c r="BM90" s="132"/>
      <c r="BN90" s="342"/>
      <c r="BO90" s="132"/>
      <c r="BP90" s="132"/>
      <c r="BQ90" s="194"/>
      <c r="BR90" s="194"/>
      <c r="BS90" s="342"/>
      <c r="BT90" s="132"/>
      <c r="BU90" s="132"/>
      <c r="BV90" s="342"/>
      <c r="BW90" s="132"/>
      <c r="BX90" s="132"/>
      <c r="BY90" s="194"/>
      <c r="BZ90" s="194"/>
      <c r="CA90" s="194"/>
      <c r="CB90" s="132"/>
      <c r="CC90" s="132"/>
      <c r="CD90" s="194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94"/>
      <c r="CU90" s="132"/>
      <c r="CV90" s="132"/>
      <c r="CW90" s="132"/>
      <c r="CX90" s="132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</row>
    <row r="91" spans="1:121" s="101" customFormat="1" ht="15.75" thickBot="1" x14ac:dyDescent="0.35">
      <c r="A91" s="160"/>
      <c r="B91" s="341"/>
      <c r="C91" s="242"/>
      <c r="D91" s="160"/>
      <c r="E91" s="242"/>
      <c r="F91" s="242"/>
      <c r="G91" s="156">
        <v>4</v>
      </c>
      <c r="H91" s="185">
        <f t="shared" si="136"/>
        <v>45256.75</v>
      </c>
      <c r="I91" s="374">
        <f t="shared" si="137"/>
        <v>323</v>
      </c>
      <c r="J91" s="376">
        <f t="shared" si="138"/>
        <v>323</v>
      </c>
      <c r="K91" s="377">
        <f t="shared" si="139"/>
        <v>323</v>
      </c>
      <c r="L91" s="374">
        <f t="shared" si="140"/>
        <v>323</v>
      </c>
      <c r="M91" s="387">
        <f t="shared" si="141"/>
        <v>323</v>
      </c>
      <c r="N91" s="374"/>
      <c r="O91" s="197">
        <v>247</v>
      </c>
      <c r="P91" s="197">
        <v>891</v>
      </c>
      <c r="Q91" s="197">
        <v>520</v>
      </c>
      <c r="R91" s="197">
        <v>486</v>
      </c>
      <c r="S91" s="387">
        <v>797</v>
      </c>
      <c r="T91" s="194"/>
      <c r="U91" s="420">
        <v>264</v>
      </c>
      <c r="V91" s="455">
        <v>218</v>
      </c>
      <c r="W91" s="421">
        <v>110</v>
      </c>
      <c r="X91" s="420"/>
      <c r="Y91" s="194"/>
      <c r="Z91" s="194"/>
      <c r="AA91" s="194"/>
      <c r="AB91" s="194"/>
      <c r="AC91" s="194"/>
      <c r="AD91" s="69"/>
      <c r="AE91" s="194"/>
      <c r="AF91" s="194" t="s">
        <v>127</v>
      </c>
      <c r="AG91" s="103">
        <f>ROUND(AVERAGE(AS93,AW93),)</f>
        <v>830</v>
      </c>
      <c r="AH91" s="194"/>
      <c r="AI91" s="194"/>
      <c r="AJ91" s="195"/>
      <c r="AK91" s="194"/>
      <c r="AL91" s="97"/>
      <c r="AM91" s="95"/>
      <c r="AN91" s="105"/>
      <c r="AO91" s="95"/>
      <c r="AP91" s="397" t="s">
        <v>136</v>
      </c>
      <c r="AQ91" s="307">
        <f>AQ62*Vergleich!AU23</f>
        <v>130839.9675402025</v>
      </c>
      <c r="AR91" s="398"/>
      <c r="AS91" s="399">
        <f>ROUND(AG62*Vergleich!AV23,)</f>
        <v>603</v>
      </c>
      <c r="AT91" s="400"/>
      <c r="AU91" s="307">
        <f>AU62*Vergleich!AU24</f>
        <v>230591.63868439171</v>
      </c>
      <c r="AV91" s="307"/>
      <c r="AW91" s="401">
        <f>ROUND(AG62*Vergleich!AV24,)</f>
        <v>1180</v>
      </c>
      <c r="AX91" s="71"/>
      <c r="AY91" s="309"/>
      <c r="AZ91" s="194">
        <v>4</v>
      </c>
      <c r="BA91" s="194"/>
      <c r="BB91" s="194"/>
      <c r="BC91" s="194"/>
      <c r="BD91" s="194"/>
      <c r="BE91" s="132"/>
      <c r="BF91" s="132"/>
      <c r="BG91" s="132"/>
      <c r="BH91" s="132"/>
      <c r="BI91" s="194"/>
      <c r="BJ91" s="194"/>
      <c r="BK91" s="342"/>
      <c r="BL91" s="132"/>
      <c r="BM91" s="132"/>
      <c r="BN91" s="342"/>
      <c r="BO91" s="132"/>
      <c r="BP91" s="132"/>
      <c r="BQ91" s="194"/>
      <c r="BR91" s="194"/>
      <c r="BS91" s="342"/>
      <c r="BT91" s="132"/>
      <c r="BU91" s="132"/>
      <c r="BV91" s="342"/>
      <c r="BW91" s="132"/>
      <c r="BX91" s="132"/>
      <c r="BY91" s="194"/>
      <c r="BZ91" s="194"/>
      <c r="CA91" s="194"/>
      <c r="CB91" s="132"/>
      <c r="CC91" s="132"/>
      <c r="CD91" s="194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94"/>
      <c r="CU91" s="132"/>
      <c r="CV91" s="132"/>
      <c r="CW91" s="132"/>
      <c r="CX91" s="132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</row>
    <row r="92" spans="1:121" s="101" customFormat="1" ht="15.75" thickBot="1" x14ac:dyDescent="0.35">
      <c r="A92" s="160"/>
      <c r="B92" s="341"/>
      <c r="C92" s="242"/>
      <c r="D92" s="160"/>
      <c r="E92" s="242"/>
      <c r="F92" s="242"/>
      <c r="G92" s="156">
        <v>5</v>
      </c>
      <c r="H92" s="185">
        <f t="shared" si="136"/>
        <v>45257.75</v>
      </c>
      <c r="I92" s="374">
        <f t="shared" si="137"/>
        <v>351</v>
      </c>
      <c r="J92" s="376">
        <f t="shared" si="138"/>
        <v>351</v>
      </c>
      <c r="K92" s="377">
        <f t="shared" si="139"/>
        <v>351</v>
      </c>
      <c r="L92" s="374">
        <f t="shared" si="140"/>
        <v>329</v>
      </c>
      <c r="M92" s="387">
        <f t="shared" si="141"/>
        <v>353</v>
      </c>
      <c r="N92" s="374"/>
      <c r="O92" s="197">
        <v>264</v>
      </c>
      <c r="P92" s="197">
        <v>918</v>
      </c>
      <c r="Q92" s="197">
        <v>564</v>
      </c>
      <c r="R92" s="197">
        <v>497</v>
      </c>
      <c r="S92" s="387">
        <v>847</v>
      </c>
      <c r="T92" s="194"/>
      <c r="U92" s="420">
        <v>280</v>
      </c>
      <c r="V92" s="455">
        <v>235</v>
      </c>
      <c r="W92" s="421">
        <v>116</v>
      </c>
      <c r="X92" s="420"/>
      <c r="Y92" s="194"/>
      <c r="Z92" s="194"/>
      <c r="AA92" s="194"/>
      <c r="AB92" s="194"/>
      <c r="AC92" s="194"/>
      <c r="AD92" s="69"/>
      <c r="AE92" s="194"/>
      <c r="AF92" s="194"/>
      <c r="AG92" s="309"/>
      <c r="AH92" s="471"/>
      <c r="AI92" s="472"/>
      <c r="AJ92" s="309"/>
      <c r="AK92" s="97"/>
      <c r="AL92" s="97"/>
      <c r="AM92" s="95"/>
      <c r="AN92" s="105"/>
      <c r="AO92" s="95"/>
      <c r="AP92" s="473" t="s">
        <v>137</v>
      </c>
      <c r="AQ92" s="474">
        <f>AQ63*Vergleich!AU28</f>
        <v>129180.8146889942</v>
      </c>
      <c r="AR92" s="475"/>
      <c r="AS92" s="476">
        <f>ROUND(AG63*Vergleich!AV28,)</f>
        <v>636</v>
      </c>
      <c r="AT92" s="477"/>
      <c r="AU92" s="474">
        <f>AU63*Vergleich!AU29</f>
        <v>222275.80259282223</v>
      </c>
      <c r="AV92" s="474"/>
      <c r="AW92" s="476">
        <f>ROUND(AG63*Vergleich!AV29,)</f>
        <v>1097</v>
      </c>
      <c r="AX92" s="71"/>
      <c r="AY92" s="309"/>
      <c r="AZ92" s="194">
        <v>5</v>
      </c>
      <c r="BA92" s="194"/>
      <c r="BB92" s="194"/>
      <c r="BC92" s="194"/>
      <c r="BD92" s="194"/>
      <c r="BE92" s="132">
        <f>BE63/SUM(BE$63:BE$79)</f>
        <v>3.1870000278730104E-2</v>
      </c>
      <c r="BF92" s="132">
        <f>BF91+BE92</f>
        <v>3.1870000278730104E-2</v>
      </c>
      <c r="BG92" s="132">
        <f>BG63/SUM(BG$63:BG$79)</f>
        <v>3.4440344403444026E-2</v>
      </c>
      <c r="BH92" s="132">
        <f t="shared" ref="BH92:BH108" si="142">BH91+BG92</f>
        <v>3.4440344403444026E-2</v>
      </c>
      <c r="BI92" s="194"/>
      <c r="BJ92" s="194"/>
      <c r="BK92" s="342"/>
      <c r="BL92" s="132">
        <f>BL63/SUM(BL$63:BL$79)</f>
        <v>3.7522253781444088E-2</v>
      </c>
      <c r="BM92" s="132">
        <f>BM91+BL92</f>
        <v>3.7522253781444088E-2</v>
      </c>
      <c r="BN92" s="342"/>
      <c r="BO92" s="132">
        <f>BO63/SUM(BO$63:BO$79)</f>
        <v>3.9812646370023422E-2</v>
      </c>
      <c r="BP92" s="132">
        <f>BP91+BO92</f>
        <v>3.9812646370023422E-2</v>
      </c>
      <c r="BQ92" s="194"/>
      <c r="BR92" s="194"/>
      <c r="BS92" s="342"/>
      <c r="BT92" s="132">
        <f>BT63/SUM(BT$63:BT$79)</f>
        <v>3.0775954966428293E-2</v>
      </c>
      <c r="BU92" s="132">
        <f>BU91+BT92</f>
        <v>3.0775954966428293E-2</v>
      </c>
      <c r="BV92" s="342"/>
      <c r="BW92" s="132">
        <f>BW63/SUM(BW$63:BW$79)</f>
        <v>3.8732394366197187E-2</v>
      </c>
      <c r="BX92" s="132">
        <f>BX91+BW92</f>
        <v>3.8732394366197187E-2</v>
      </c>
      <c r="BY92" s="194"/>
      <c r="BZ92" s="194"/>
      <c r="CA92" s="194"/>
      <c r="CB92" s="132">
        <f>CB63/SUM(CB$63:CB$79)</f>
        <v>3.2890020074562668E-2</v>
      </c>
      <c r="CC92" s="132">
        <f>CC91+CB92</f>
        <v>3.2890020074562668E-2</v>
      </c>
      <c r="CD92" s="194"/>
      <c r="CE92" s="132">
        <f t="shared" ref="CE92:CM107" si="143">CE63/SUM(CE$63:CE$79)</f>
        <v>3.4928848641655894E-2</v>
      </c>
      <c r="CF92" s="132">
        <f t="shared" ref="CF92:CF108" si="144">CF91+CE92</f>
        <v>3.4928848641655894E-2</v>
      </c>
      <c r="CG92" s="132">
        <f t="shared" ref="CG92" si="145">CG63/SUM(CG$63:CG$79)</f>
        <v>3.8490540744340357E-2</v>
      </c>
      <c r="CH92" s="132">
        <f t="shared" ref="CH92:CH108" si="146">CH91+CG92</f>
        <v>3.8490540744340357E-2</v>
      </c>
      <c r="CI92" s="132">
        <f t="shared" ref="CI92" si="147">CI63/SUM(CI$63:CI$79)</f>
        <v>4.0880503144654086E-2</v>
      </c>
      <c r="CJ92" s="132">
        <f t="shared" ref="CJ92:CJ108" si="148">CJ91+CI92</f>
        <v>4.0880503144654086E-2</v>
      </c>
      <c r="CK92" s="132">
        <f t="shared" ref="CK92" si="149">CK63/SUM(CK$63:CK$79)</f>
        <v>3.7222752838798681E-2</v>
      </c>
      <c r="CL92" s="132">
        <f t="shared" ref="CL92:CL108" si="150">CL91+CK92</f>
        <v>3.7222752838798681E-2</v>
      </c>
      <c r="CM92" s="132">
        <f t="shared" ref="CM92" si="151">CM63/SUM(CM$63:CM$79)</f>
        <v>4.1025641025641026E-2</v>
      </c>
      <c r="CN92" s="132">
        <f t="shared" ref="CN92:CN108" si="152">CN91+CM92</f>
        <v>4.1025641025641026E-2</v>
      </c>
      <c r="CO92" s="132"/>
      <c r="CP92" s="132">
        <f t="shared" ref="CP92:CR107" si="153">CP63/SUM(CP$63:CP$79)</f>
        <v>2.8504765866628083E-2</v>
      </c>
      <c r="CQ92" s="132">
        <f t="shared" ref="CQ92:CQ108" si="154">CQ91+CP92</f>
        <v>2.8504765866628083E-2</v>
      </c>
      <c r="CR92" s="132">
        <f t="shared" ref="CR92" si="155">CR63/SUM(CR$63:CR$79)</f>
        <v>3.3398821218074658E-2</v>
      </c>
      <c r="CS92" s="132">
        <f t="shared" ref="CS92:CS108" si="156">CS91+CR92</f>
        <v>3.3398821218074658E-2</v>
      </c>
      <c r="CT92" s="194"/>
      <c r="CU92" s="132">
        <f t="shared" ref="CU92:CW107" si="157">CU63/SUM(CU$63:CU$79)</f>
        <v>3.0875730573919694E-2</v>
      </c>
      <c r="CV92" s="132">
        <f t="shared" ref="CV92:CV108" si="158">CV91+CU92</f>
        <v>3.0875730573919694E-2</v>
      </c>
      <c r="CW92" s="132">
        <f t="shared" ref="CW92" si="159">CW63/SUM(CW$63:CW$79)</f>
        <v>2.4793388429752101E-2</v>
      </c>
      <c r="CX92" s="132">
        <f t="shared" ref="CX92:CX108" si="160">CX91+CW92</f>
        <v>2.4793388429752101E-2</v>
      </c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</row>
    <row r="93" spans="1:121" s="101" customFormat="1" x14ac:dyDescent="0.3">
      <c r="A93" s="160"/>
      <c r="B93" s="341"/>
      <c r="C93" s="242"/>
      <c r="D93" s="160"/>
      <c r="E93" s="242"/>
      <c r="F93" s="242"/>
      <c r="G93" s="156">
        <v>6</v>
      </c>
      <c r="H93" s="185">
        <f t="shared" si="136"/>
        <v>45258.75</v>
      </c>
      <c r="I93" s="374">
        <f t="shared" si="137"/>
        <v>395</v>
      </c>
      <c r="J93" s="376">
        <f t="shared" si="138"/>
        <v>395</v>
      </c>
      <c r="K93" s="377">
        <f t="shared" si="139"/>
        <v>395</v>
      </c>
      <c r="L93" s="374">
        <f t="shared" si="140"/>
        <v>341</v>
      </c>
      <c r="M93" s="387">
        <f t="shared" si="141"/>
        <v>392</v>
      </c>
      <c r="N93" s="374"/>
      <c r="O93" s="197">
        <v>274</v>
      </c>
      <c r="P93" s="197">
        <v>953</v>
      </c>
      <c r="Q93" s="197">
        <v>652</v>
      </c>
      <c r="R93" s="197">
        <v>508</v>
      </c>
      <c r="S93" s="387">
        <v>901</v>
      </c>
      <c r="T93" s="194"/>
      <c r="U93" s="420">
        <v>294</v>
      </c>
      <c r="V93" s="455">
        <v>241</v>
      </c>
      <c r="W93" s="421">
        <v>123</v>
      </c>
      <c r="X93" s="420"/>
      <c r="Y93" s="194"/>
      <c r="Z93" s="194"/>
      <c r="AA93" s="194"/>
      <c r="AB93" s="194"/>
      <c r="AC93" s="194"/>
      <c r="AD93" s="69"/>
      <c r="AE93" s="194"/>
      <c r="AF93" s="194"/>
      <c r="AG93" s="309"/>
      <c r="AH93" s="471"/>
      <c r="AI93" s="472"/>
      <c r="AJ93" s="309"/>
      <c r="AK93" s="97"/>
      <c r="AL93" s="97"/>
      <c r="AM93" s="95"/>
      <c r="AN93" s="105"/>
      <c r="AO93" s="95"/>
      <c r="AP93" s="478" t="s">
        <v>397</v>
      </c>
      <c r="AQ93" s="472">
        <f>MIN(AQ88:AQ91)</f>
        <v>105493.87521034156</v>
      </c>
      <c r="AR93" s="479"/>
      <c r="AS93" s="471">
        <f>MIN(AS88:AS91)</f>
        <v>479</v>
      </c>
      <c r="AT93" s="194"/>
      <c r="AU93" s="472">
        <f>MAX(AU88:AU91)</f>
        <v>231015.84530949418</v>
      </c>
      <c r="AV93" s="95"/>
      <c r="AW93" s="471">
        <f>MAX(AW88:AW91)</f>
        <v>1180</v>
      </c>
      <c r="AX93" s="71"/>
      <c r="AY93" s="309"/>
      <c r="AZ93" s="194">
        <v>6</v>
      </c>
      <c r="BA93" s="194"/>
      <c r="BB93" s="194"/>
      <c r="BC93" s="194"/>
      <c r="BD93" s="194"/>
      <c r="BE93" s="132">
        <f t="shared" ref="BE93:BE108" si="161">BE64/SUM(BE$63:BE$79)</f>
        <v>5.492098001505142E-2</v>
      </c>
      <c r="BF93" s="132">
        <f t="shared" ref="BF93:BF108" si="162">BF92+BE93</f>
        <v>8.6790980293781517E-2</v>
      </c>
      <c r="BG93" s="132">
        <f t="shared" ref="BG93:BG108" si="163">BG64/SUM(BG$63:BG$79)</f>
        <v>5.4120541205412043E-2</v>
      </c>
      <c r="BH93" s="132">
        <f t="shared" si="142"/>
        <v>8.8560885608856069E-2</v>
      </c>
      <c r="BI93" s="194"/>
      <c r="BJ93" s="194"/>
      <c r="BK93" s="342"/>
      <c r="BL93" s="132">
        <f t="shared" ref="BL93:BL108" si="164">BL64/SUM(BL$63:BL$79)</f>
        <v>1.6308114646045965E-2</v>
      </c>
      <c r="BM93" s="132">
        <f t="shared" ref="BM93:BM108" si="165">BM92+BL93</f>
        <v>5.3830368427490054E-2</v>
      </c>
      <c r="BN93" s="342"/>
      <c r="BO93" s="132">
        <f t="shared" ref="BO93:BO108" si="166">BO64/SUM(BO$63:BO$79)</f>
        <v>1.405152224824356E-2</v>
      </c>
      <c r="BP93" s="132">
        <f t="shared" ref="BP93:BP108" si="167">BP92+BO93</f>
        <v>5.3864168618266983E-2</v>
      </c>
      <c r="BQ93" s="194"/>
      <c r="BR93" s="194"/>
      <c r="BS93" s="342"/>
      <c r="BT93" s="132">
        <f t="shared" ref="BT93:BT108" si="168">BT64/SUM(BT$63:BT$79)</f>
        <v>7.1419959156298757E-2</v>
      </c>
      <c r="BU93" s="132">
        <f t="shared" ref="BU93:BU108" si="169">BU92+BT93</f>
        <v>0.10219591412272705</v>
      </c>
      <c r="BV93" s="342"/>
      <c r="BW93" s="132">
        <f t="shared" ref="BW93:BW108" si="170">BW64/SUM(BW$63:BW$79)</f>
        <v>7.7464788732394374E-2</v>
      </c>
      <c r="BX93" s="132">
        <f t="shared" ref="BX93:BX108" si="171">BX92+BW93</f>
        <v>0.11619718309859156</v>
      </c>
      <c r="BY93" s="194"/>
      <c r="BZ93" s="194"/>
      <c r="CA93" s="194"/>
      <c r="CB93" s="132">
        <f t="shared" ref="CB93:CB108" si="172">CB64/SUM(CB$63:CB$79)</f>
        <v>3.8706266131345E-2</v>
      </c>
      <c r="CC93" s="132">
        <f t="shared" ref="CC93:CC108" si="173">CC92+CB93</f>
        <v>7.1596286205907661E-2</v>
      </c>
      <c r="CD93" s="194"/>
      <c r="CE93" s="132">
        <f t="shared" si="143"/>
        <v>4.5278137128072458E-2</v>
      </c>
      <c r="CF93" s="132">
        <f t="shared" si="144"/>
        <v>8.0206985769728345E-2</v>
      </c>
      <c r="CG93" s="132">
        <f t="shared" si="143"/>
        <v>8.1438410107746689E-2</v>
      </c>
      <c r="CH93" s="132">
        <f t="shared" si="146"/>
        <v>0.11992895085208705</v>
      </c>
      <c r="CI93" s="132">
        <f t="shared" si="143"/>
        <v>9.1194968553459127E-2</v>
      </c>
      <c r="CJ93" s="132">
        <f t="shared" si="148"/>
        <v>0.13207547169811321</v>
      </c>
      <c r="CK93" s="132">
        <f t="shared" si="143"/>
        <v>4.0671760585800701E-2</v>
      </c>
      <c r="CL93" s="132">
        <f t="shared" si="150"/>
        <v>7.7894513424599382E-2</v>
      </c>
      <c r="CM93" s="132">
        <f t="shared" si="143"/>
        <v>3.5897435897435895E-2</v>
      </c>
      <c r="CN93" s="132">
        <f t="shared" si="152"/>
        <v>7.6923076923076927E-2</v>
      </c>
      <c r="CO93" s="132"/>
      <c r="CP93" s="132">
        <f t="shared" si="153"/>
        <v>1.8385212248367668E-2</v>
      </c>
      <c r="CQ93" s="132">
        <f t="shared" si="154"/>
        <v>4.6889978114995748E-2</v>
      </c>
      <c r="CR93" s="132">
        <f t="shared" si="153"/>
        <v>1.9646365422396856E-2</v>
      </c>
      <c r="CS93" s="132">
        <f t="shared" si="156"/>
        <v>5.3045186640471517E-2</v>
      </c>
      <c r="CT93" s="194"/>
      <c r="CU93" s="132">
        <f t="shared" si="157"/>
        <v>1.6407971639359989E-2</v>
      </c>
      <c r="CV93" s="132">
        <f t="shared" si="158"/>
        <v>4.7283702213279682E-2</v>
      </c>
      <c r="CW93" s="132">
        <f t="shared" si="157"/>
        <v>1.6528925619834683E-2</v>
      </c>
      <c r="CX93" s="132">
        <f t="shared" si="160"/>
        <v>4.1322314049586785E-2</v>
      </c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</row>
    <row r="94" spans="1:121" s="101" customFormat="1" x14ac:dyDescent="0.3">
      <c r="A94" s="160"/>
      <c r="B94" s="341"/>
      <c r="C94" s="242"/>
      <c r="D94" s="160"/>
      <c r="E94" s="242"/>
      <c r="F94" s="242"/>
      <c r="G94" s="156">
        <v>7</v>
      </c>
      <c r="H94" s="185">
        <f t="shared" si="136"/>
        <v>45259.75</v>
      </c>
      <c r="I94" s="374">
        <f t="shared" si="137"/>
        <v>435</v>
      </c>
      <c r="J94" s="376">
        <f t="shared" si="138"/>
        <v>435</v>
      </c>
      <c r="K94" s="377">
        <f t="shared" si="139"/>
        <v>435</v>
      </c>
      <c r="L94" s="374">
        <f t="shared" si="140"/>
        <v>349</v>
      </c>
      <c r="M94" s="387">
        <f t="shared" si="141"/>
        <v>493</v>
      </c>
      <c r="N94" s="374"/>
      <c r="O94" s="197">
        <v>295</v>
      </c>
      <c r="P94" s="197">
        <v>1044</v>
      </c>
      <c r="Q94" s="197">
        <v>709</v>
      </c>
      <c r="R94" s="197">
        <v>523</v>
      </c>
      <c r="S94" s="387">
        <v>953</v>
      </c>
      <c r="T94" s="194"/>
      <c r="U94" s="420">
        <v>308</v>
      </c>
      <c r="V94" s="455">
        <v>262</v>
      </c>
      <c r="W94" s="421">
        <v>127</v>
      </c>
      <c r="X94" s="420"/>
      <c r="Y94" s="194"/>
      <c r="Z94" s="194"/>
      <c r="AA94" s="194"/>
      <c r="AB94" s="194"/>
      <c r="AC94" s="194"/>
      <c r="AD94" s="69"/>
      <c r="AE94" s="194"/>
      <c r="AF94" s="194"/>
      <c r="AG94" s="309"/>
      <c r="AH94" s="471"/>
      <c r="AI94" s="472"/>
      <c r="AJ94" s="309"/>
      <c r="AK94" s="97"/>
      <c r="AL94" s="97"/>
      <c r="AM94" s="95"/>
      <c r="AN94" s="105"/>
      <c r="AO94" s="95"/>
      <c r="AP94" s="105"/>
      <c r="AQ94" s="95">
        <f>AQ93/AS93</f>
        <v>220.23773530342706</v>
      </c>
      <c r="AR94" s="479"/>
      <c r="AS94" s="480"/>
      <c r="AT94" s="194"/>
      <c r="AU94" s="95">
        <f>AU93/AW93</f>
        <v>195.77614009279168</v>
      </c>
      <c r="AV94" s="95"/>
      <c r="AW94" s="480"/>
      <c r="AX94" s="71"/>
      <c r="AY94" s="309"/>
      <c r="AZ94" s="194">
        <v>7</v>
      </c>
      <c r="BA94" s="194"/>
      <c r="BB94" s="194"/>
      <c r="BC94" s="194"/>
      <c r="BD94" s="194"/>
      <c r="BE94" s="132">
        <f t="shared" si="161"/>
        <v>5.0427850712155414E-2</v>
      </c>
      <c r="BF94" s="132">
        <f t="shared" si="162"/>
        <v>0.13721883100593693</v>
      </c>
      <c r="BG94" s="132">
        <f t="shared" si="163"/>
        <v>4.9200492004920049E-2</v>
      </c>
      <c r="BH94" s="132">
        <f t="shared" si="142"/>
        <v>0.1377613776137761</v>
      </c>
      <c r="BI94" s="194"/>
      <c r="BJ94" s="194"/>
      <c r="BK94" s="342"/>
      <c r="BL94" s="132">
        <f t="shared" si="164"/>
        <v>6.0625416196675865E-2</v>
      </c>
      <c r="BM94" s="132">
        <f t="shared" si="165"/>
        <v>0.11445578462416592</v>
      </c>
      <c r="BN94" s="342"/>
      <c r="BO94" s="132">
        <f t="shared" si="166"/>
        <v>4.9180327868852458E-2</v>
      </c>
      <c r="BP94" s="132">
        <f t="shared" si="167"/>
        <v>0.10304449648711944</v>
      </c>
      <c r="BQ94" s="194"/>
      <c r="BR94" s="194"/>
      <c r="BS94" s="342"/>
      <c r="BT94" s="132">
        <f t="shared" si="168"/>
        <v>5.0994340660582817E-2</v>
      </c>
      <c r="BU94" s="132">
        <f t="shared" si="169"/>
        <v>0.15319025478330986</v>
      </c>
      <c r="BV94" s="342"/>
      <c r="BW94" s="132">
        <f t="shared" si="170"/>
        <v>5.0176056338028172E-2</v>
      </c>
      <c r="BX94" s="132">
        <f t="shared" si="171"/>
        <v>0.16637323943661975</v>
      </c>
      <c r="BY94" s="194"/>
      <c r="BZ94" s="194"/>
      <c r="CA94" s="194"/>
      <c r="CB94" s="132">
        <f t="shared" si="172"/>
        <v>0.10488958990536278</v>
      </c>
      <c r="CC94" s="132">
        <f t="shared" si="173"/>
        <v>0.17648587611127042</v>
      </c>
      <c r="CD94" s="194"/>
      <c r="CE94" s="132">
        <f t="shared" si="143"/>
        <v>0.11772315653298837</v>
      </c>
      <c r="CF94" s="132">
        <f t="shared" si="144"/>
        <v>0.19793014230271672</v>
      </c>
      <c r="CG94" s="132">
        <f t="shared" si="143"/>
        <v>4.5947349900296593E-2</v>
      </c>
      <c r="CH94" s="132">
        <f t="shared" si="146"/>
        <v>0.16587630075238363</v>
      </c>
      <c r="CI94" s="132">
        <f t="shared" si="143"/>
        <v>5.0314465408805034E-2</v>
      </c>
      <c r="CJ94" s="132">
        <f t="shared" si="148"/>
        <v>0.18238993710691825</v>
      </c>
      <c r="CK94" s="132">
        <f t="shared" si="143"/>
        <v>2.8547171813647458E-2</v>
      </c>
      <c r="CL94" s="132">
        <f t="shared" si="150"/>
        <v>0.10644168523824685</v>
      </c>
      <c r="CM94" s="132">
        <f t="shared" si="143"/>
        <v>3.5897435897435895E-2</v>
      </c>
      <c r="CN94" s="132">
        <f t="shared" si="152"/>
        <v>0.11282051282051282</v>
      </c>
      <c r="CO94" s="132"/>
      <c r="CP94" s="132">
        <f t="shared" si="153"/>
        <v>4.046917108285554E-2</v>
      </c>
      <c r="CQ94" s="132">
        <f t="shared" si="154"/>
        <v>8.7359149197851288E-2</v>
      </c>
      <c r="CR94" s="132">
        <f t="shared" si="153"/>
        <v>4.1257367387033395E-2</v>
      </c>
      <c r="CS94" s="132">
        <f t="shared" si="156"/>
        <v>9.4302554027504912E-2</v>
      </c>
      <c r="CT94" s="194"/>
      <c r="CU94" s="132">
        <f t="shared" si="157"/>
        <v>3.854076842004403E-2</v>
      </c>
      <c r="CV94" s="132">
        <f t="shared" si="158"/>
        <v>8.5824470633323713E-2</v>
      </c>
      <c r="CW94" s="132">
        <f t="shared" si="157"/>
        <v>3.7190082644628114E-2</v>
      </c>
      <c r="CX94" s="132">
        <f t="shared" si="160"/>
        <v>7.8512396694214892E-2</v>
      </c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</row>
    <row r="95" spans="1:121" s="101" customFormat="1" x14ac:dyDescent="0.3">
      <c r="A95" s="160"/>
      <c r="B95" s="341"/>
      <c r="C95" s="242"/>
      <c r="D95" s="160"/>
      <c r="E95" s="242"/>
      <c r="F95" s="242"/>
      <c r="G95" s="156">
        <v>8</v>
      </c>
      <c r="H95" s="185">
        <f t="shared" si="136"/>
        <v>45260.75</v>
      </c>
      <c r="I95" s="374">
        <f t="shared" si="137"/>
        <v>476</v>
      </c>
      <c r="J95" s="376">
        <f t="shared" si="138"/>
        <v>476</v>
      </c>
      <c r="K95" s="377">
        <f t="shared" si="139"/>
        <v>476</v>
      </c>
      <c r="L95" s="374">
        <f t="shared" si="140"/>
        <v>360</v>
      </c>
      <c r="M95" s="387">
        <f t="shared" si="141"/>
        <v>537</v>
      </c>
      <c r="N95" s="374"/>
      <c r="O95" s="197">
        <v>308</v>
      </c>
      <c r="P95" s="197">
        <v>1084</v>
      </c>
      <c r="Q95" s="197">
        <v>792</v>
      </c>
      <c r="R95" s="197">
        <v>539</v>
      </c>
      <c r="S95" s="387">
        <v>994</v>
      </c>
      <c r="T95" s="194"/>
      <c r="U95" s="420">
        <v>325</v>
      </c>
      <c r="V95" s="455">
        <v>287</v>
      </c>
      <c r="W95" s="421">
        <v>134</v>
      </c>
      <c r="X95" s="420"/>
      <c r="Y95" s="194"/>
      <c r="Z95" s="194"/>
      <c r="AA95" s="194"/>
      <c r="AB95" s="194"/>
      <c r="AC95" s="194"/>
      <c r="AD95" s="69"/>
      <c r="AE95" s="194"/>
      <c r="AF95" s="194"/>
      <c r="AG95" s="309"/>
      <c r="AH95" s="471"/>
      <c r="AI95" s="472"/>
      <c r="AJ95" s="309"/>
      <c r="AK95" s="97"/>
      <c r="AL95" s="97"/>
      <c r="AM95" s="95"/>
      <c r="AN95" s="105"/>
      <c r="AO95" s="95"/>
      <c r="AP95" s="105"/>
      <c r="AQ95" s="309"/>
      <c r="AR95" s="71"/>
      <c r="AS95" s="490"/>
      <c r="AT95" s="71"/>
      <c r="AU95" s="309"/>
      <c r="AV95" s="195"/>
      <c r="AW95" s="490"/>
      <c r="AX95" s="71"/>
      <c r="AY95" s="309"/>
      <c r="AZ95" s="194">
        <v>8</v>
      </c>
      <c r="BA95" s="194"/>
      <c r="BB95" s="194"/>
      <c r="BC95" s="194"/>
      <c r="BD95" s="194"/>
      <c r="BE95" s="132">
        <f t="shared" si="161"/>
        <v>4.8075368620564704E-2</v>
      </c>
      <c r="BF95" s="132">
        <f t="shared" si="162"/>
        <v>0.18529419962650162</v>
      </c>
      <c r="BG95" s="132">
        <f t="shared" si="163"/>
        <v>5.0430504305043047E-2</v>
      </c>
      <c r="BH95" s="132">
        <f t="shared" si="142"/>
        <v>0.18819188191881914</v>
      </c>
      <c r="BI95" s="194"/>
      <c r="BJ95" s="194"/>
      <c r="BK95" s="342"/>
      <c r="BL95" s="132">
        <f t="shared" si="164"/>
        <v>6.0652596387752618E-2</v>
      </c>
      <c r="BM95" s="132">
        <f t="shared" si="165"/>
        <v>0.17510838101191853</v>
      </c>
      <c r="BN95" s="342"/>
      <c r="BO95" s="132">
        <f t="shared" si="166"/>
        <v>5.8548009367681501E-2</v>
      </c>
      <c r="BP95" s="132">
        <f t="shared" si="167"/>
        <v>0.16159250585480095</v>
      </c>
      <c r="BQ95" s="194"/>
      <c r="BR95" s="194"/>
      <c r="BS95" s="342"/>
      <c r="BT95" s="132">
        <f t="shared" si="168"/>
        <v>6.9204452114151369E-2</v>
      </c>
      <c r="BU95" s="132">
        <f t="shared" si="169"/>
        <v>0.22239470689746121</v>
      </c>
      <c r="BV95" s="342"/>
      <c r="BW95" s="132">
        <f t="shared" si="170"/>
        <v>7.3063380281690155E-2</v>
      </c>
      <c r="BX95" s="132">
        <f t="shared" si="171"/>
        <v>0.2394366197183099</v>
      </c>
      <c r="BY95" s="194"/>
      <c r="BZ95" s="194"/>
      <c r="CA95" s="194"/>
      <c r="CB95" s="132">
        <f t="shared" si="172"/>
        <v>6.1451462575279614E-2</v>
      </c>
      <c r="CC95" s="132">
        <f t="shared" si="173"/>
        <v>0.23793733868655004</v>
      </c>
      <c r="CD95" s="194"/>
      <c r="CE95" s="132">
        <f t="shared" si="143"/>
        <v>5.1746442432082804E-2</v>
      </c>
      <c r="CF95" s="132">
        <f t="shared" si="144"/>
        <v>0.24967658473479953</v>
      </c>
      <c r="CG95" s="132">
        <f t="shared" si="143"/>
        <v>5.9369606381017799E-2</v>
      </c>
      <c r="CH95" s="132">
        <f t="shared" si="146"/>
        <v>0.22524590713340142</v>
      </c>
      <c r="CI95" s="132">
        <f t="shared" si="143"/>
        <v>5.3459119496855348E-2</v>
      </c>
      <c r="CJ95" s="132">
        <f t="shared" si="148"/>
        <v>0.23584905660377359</v>
      </c>
      <c r="CK95" s="132">
        <f t="shared" si="143"/>
        <v>3.7328876154091056E-2</v>
      </c>
      <c r="CL95" s="132">
        <f t="shared" si="150"/>
        <v>0.1437705613923379</v>
      </c>
      <c r="CM95" s="132">
        <f t="shared" si="143"/>
        <v>4.3589743589743588E-2</v>
      </c>
      <c r="CN95" s="132">
        <f t="shared" si="152"/>
        <v>0.15641025641025641</v>
      </c>
      <c r="CO95" s="132"/>
      <c r="CP95" s="132">
        <f t="shared" si="153"/>
        <v>2.8577112988116986E-2</v>
      </c>
      <c r="CQ95" s="132">
        <f t="shared" si="154"/>
        <v>0.11593626218596828</v>
      </c>
      <c r="CR95" s="132">
        <f t="shared" si="153"/>
        <v>2.5540275049115914E-2</v>
      </c>
      <c r="CS95" s="132">
        <f t="shared" si="156"/>
        <v>0.11984282907662083</v>
      </c>
      <c r="CT95" s="194"/>
      <c r="CU95" s="132">
        <f t="shared" si="157"/>
        <v>5.9859154929577461E-2</v>
      </c>
      <c r="CV95" s="132">
        <f t="shared" si="158"/>
        <v>0.14568362556290118</v>
      </c>
      <c r="CW95" s="132">
        <f t="shared" si="157"/>
        <v>4.9586776859504127E-2</v>
      </c>
      <c r="CX95" s="132">
        <f t="shared" si="160"/>
        <v>0.12809917355371903</v>
      </c>
      <c r="CY95" s="160"/>
      <c r="CZ95" s="160"/>
      <c r="DA95" s="160"/>
      <c r="DB95" s="160"/>
      <c r="DC95" s="160"/>
      <c r="DD95" s="160"/>
      <c r="DE95" s="160"/>
      <c r="DF95" s="160"/>
      <c r="DG95" s="160"/>
      <c r="DH95" s="160"/>
      <c r="DI95" s="160"/>
      <c r="DJ95" s="160"/>
      <c r="DK95" s="160"/>
      <c r="DL95" s="160"/>
      <c r="DM95" s="160"/>
      <c r="DN95" s="160"/>
      <c r="DO95" s="160"/>
      <c r="DP95" s="160"/>
      <c r="DQ95" s="160"/>
    </row>
    <row r="96" spans="1:121" s="101" customFormat="1" x14ac:dyDescent="0.3">
      <c r="A96" s="160"/>
      <c r="B96" s="341"/>
      <c r="C96" s="242"/>
      <c r="D96" s="160"/>
      <c r="E96" s="242"/>
      <c r="F96" s="242"/>
      <c r="G96" s="156">
        <v>9</v>
      </c>
      <c r="H96" s="185">
        <f t="shared" si="136"/>
        <v>45261.75</v>
      </c>
      <c r="I96" s="374">
        <f t="shared" si="137"/>
        <v>524</v>
      </c>
      <c r="J96" s="376">
        <f t="shared" si="138"/>
        <v>524</v>
      </c>
      <c r="K96" s="377">
        <f t="shared" si="139"/>
        <v>524</v>
      </c>
      <c r="L96" s="374">
        <f t="shared" si="140"/>
        <v>368</v>
      </c>
      <c r="M96" s="387">
        <f t="shared" si="141"/>
        <v>568</v>
      </c>
      <c r="N96" s="374"/>
      <c r="O96" s="197">
        <v>329</v>
      </c>
      <c r="P96" s="197">
        <v>1112</v>
      </c>
      <c r="Q96" s="197">
        <v>851</v>
      </c>
      <c r="R96" s="197">
        <v>551</v>
      </c>
      <c r="S96" s="387">
        <v>1040</v>
      </c>
      <c r="T96" s="194"/>
      <c r="U96" s="420">
        <v>350</v>
      </c>
      <c r="V96" s="455">
        <v>324</v>
      </c>
      <c r="W96" s="421">
        <v>138</v>
      </c>
      <c r="X96" s="420"/>
      <c r="Y96" s="194"/>
      <c r="Z96" s="194"/>
      <c r="AA96" s="194"/>
      <c r="AB96" s="194"/>
      <c r="AC96" s="194"/>
      <c r="AD96" s="69"/>
      <c r="AE96" s="194"/>
      <c r="AF96" s="194"/>
      <c r="AG96" s="309"/>
      <c r="AH96" s="471"/>
      <c r="AI96" s="472"/>
      <c r="AJ96" s="309"/>
      <c r="AK96" s="97"/>
      <c r="AL96" s="97"/>
      <c r="AM96" s="95"/>
      <c r="AN96" s="105"/>
      <c r="AO96" s="95"/>
      <c r="AP96" s="105"/>
      <c r="AQ96" s="309"/>
      <c r="AR96" s="71"/>
      <c r="AS96" s="490"/>
      <c r="AT96" s="71"/>
      <c r="AU96" s="309"/>
      <c r="AV96" s="195"/>
      <c r="AW96" s="490"/>
      <c r="AX96" s="71"/>
      <c r="AY96" s="309"/>
      <c r="AZ96" s="194">
        <v>9</v>
      </c>
      <c r="BA96" s="194"/>
      <c r="BB96" s="194"/>
      <c r="BC96" s="194"/>
      <c r="BD96" s="194"/>
      <c r="BE96" s="132">
        <f t="shared" si="161"/>
        <v>5.6169690888312841E-2</v>
      </c>
      <c r="BF96" s="132">
        <f t="shared" si="162"/>
        <v>0.24146389051481446</v>
      </c>
      <c r="BG96" s="132">
        <f t="shared" si="163"/>
        <v>5.904059040590405E-2</v>
      </c>
      <c r="BH96" s="132">
        <f t="shared" si="142"/>
        <v>0.24723247232472317</v>
      </c>
      <c r="BI96" s="194"/>
      <c r="BJ96" s="194"/>
      <c r="BK96" s="342"/>
      <c r="BL96" s="132">
        <f t="shared" si="164"/>
        <v>8.129595151053913E-2</v>
      </c>
      <c r="BM96" s="132">
        <f t="shared" si="165"/>
        <v>0.25640433252245765</v>
      </c>
      <c r="BN96" s="342"/>
      <c r="BO96" s="132">
        <f t="shared" si="166"/>
        <v>8.6651053864168617E-2</v>
      </c>
      <c r="BP96" s="132">
        <f t="shared" si="167"/>
        <v>0.24824355971896955</v>
      </c>
      <c r="BQ96" s="194"/>
      <c r="BR96" s="194"/>
      <c r="BS96" s="342"/>
      <c r="BT96" s="132">
        <f t="shared" si="168"/>
        <v>4.5749466846519621E-2</v>
      </c>
      <c r="BU96" s="132">
        <f t="shared" si="169"/>
        <v>0.26814417374398081</v>
      </c>
      <c r="BV96" s="342"/>
      <c r="BW96" s="132">
        <f t="shared" si="170"/>
        <v>5.1936619718309859E-2</v>
      </c>
      <c r="BX96" s="132">
        <f t="shared" si="171"/>
        <v>0.29137323943661975</v>
      </c>
      <c r="BY96" s="194"/>
      <c r="BZ96" s="194"/>
      <c r="CA96" s="194"/>
      <c r="CB96" s="132">
        <f t="shared" si="172"/>
        <v>4.0220820189274448E-2</v>
      </c>
      <c r="CC96" s="132">
        <f t="shared" si="173"/>
        <v>0.27815815887582451</v>
      </c>
      <c r="CD96" s="194"/>
      <c r="CE96" s="132">
        <f t="shared" si="143"/>
        <v>3.622250970245796E-2</v>
      </c>
      <c r="CF96" s="132">
        <f t="shared" si="144"/>
        <v>0.28589909443725747</v>
      </c>
      <c r="CG96" s="132">
        <f t="shared" si="143"/>
        <v>3.6948908289625812E-2</v>
      </c>
      <c r="CH96" s="132">
        <f t="shared" si="146"/>
        <v>0.26219481542302725</v>
      </c>
      <c r="CI96" s="132">
        <f t="shared" si="143"/>
        <v>4.4025157232704407E-2</v>
      </c>
      <c r="CJ96" s="132">
        <f t="shared" si="148"/>
        <v>0.27987421383647798</v>
      </c>
      <c r="CK96" s="132">
        <f t="shared" si="143"/>
        <v>5.9760691924015702E-2</v>
      </c>
      <c r="CL96" s="132">
        <f t="shared" si="150"/>
        <v>0.20353125331635361</v>
      </c>
      <c r="CM96" s="132">
        <f t="shared" si="143"/>
        <v>6.4102564102564097E-2</v>
      </c>
      <c r="CN96" s="132">
        <f t="shared" si="152"/>
        <v>0.22051282051282051</v>
      </c>
      <c r="CO96" s="132"/>
      <c r="CP96" s="132">
        <f t="shared" si="153"/>
        <v>3.4491490169834868E-2</v>
      </c>
      <c r="CQ96" s="132">
        <f t="shared" si="154"/>
        <v>0.15042775235580313</v>
      </c>
      <c r="CR96" s="132">
        <f t="shared" si="153"/>
        <v>4.1257367387033395E-2</v>
      </c>
      <c r="CS96" s="132">
        <f t="shared" si="156"/>
        <v>0.16110019646365423</v>
      </c>
      <c r="CT96" s="194"/>
      <c r="CU96" s="132">
        <f t="shared" si="157"/>
        <v>2.8480406247005905E-2</v>
      </c>
      <c r="CV96" s="132">
        <f t="shared" si="158"/>
        <v>0.17416403180990708</v>
      </c>
      <c r="CW96" s="132">
        <f t="shared" si="157"/>
        <v>2.4793388429752101E-2</v>
      </c>
      <c r="CX96" s="132">
        <f t="shared" si="160"/>
        <v>0.15289256198347112</v>
      </c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  <c r="DJ96" s="160"/>
      <c r="DK96" s="160"/>
      <c r="DL96" s="160"/>
      <c r="DM96" s="160"/>
      <c r="DN96" s="160"/>
      <c r="DO96" s="160"/>
      <c r="DP96" s="160"/>
      <c r="DQ96" s="160"/>
    </row>
    <row r="97" spans="1:121" s="101" customFormat="1" x14ac:dyDescent="0.3">
      <c r="A97" s="160"/>
      <c r="B97" s="341"/>
      <c r="C97" s="242"/>
      <c r="D97" s="160"/>
      <c r="E97" s="242"/>
      <c r="F97" s="242"/>
      <c r="G97" s="156">
        <v>10</v>
      </c>
      <c r="H97" s="185">
        <f t="shared" si="136"/>
        <v>45262.75</v>
      </c>
      <c r="I97" s="374">
        <f t="shared" si="137"/>
        <v>564</v>
      </c>
      <c r="J97" s="376">
        <f t="shared" si="138"/>
        <v>564</v>
      </c>
      <c r="K97" s="377">
        <f t="shared" si="139"/>
        <v>564</v>
      </c>
      <c r="L97" s="374">
        <f t="shared" si="140"/>
        <v>374</v>
      </c>
      <c r="M97" s="387">
        <f t="shared" si="141"/>
        <v>599</v>
      </c>
      <c r="N97" s="374"/>
      <c r="O97" s="197">
        <v>350</v>
      </c>
      <c r="P97" s="197">
        <v>1140</v>
      </c>
      <c r="Q97" s="197">
        <v>893</v>
      </c>
      <c r="R97" s="197">
        <v>565</v>
      </c>
      <c r="S97" s="387">
        <v>1073</v>
      </c>
      <c r="T97" s="194"/>
      <c r="U97" s="420">
        <v>369</v>
      </c>
      <c r="V97" s="455">
        <v>336</v>
      </c>
      <c r="W97" s="421">
        <v>143</v>
      </c>
      <c r="X97" s="420"/>
      <c r="Y97" s="194"/>
      <c r="Z97" s="194"/>
      <c r="AA97" s="194"/>
      <c r="AB97" s="194"/>
      <c r="AC97" s="194"/>
      <c r="AD97" s="69"/>
      <c r="AE97" s="194"/>
      <c r="AF97" s="194"/>
      <c r="AG97" s="309"/>
      <c r="AH97" s="471"/>
      <c r="AI97" s="472"/>
      <c r="AJ97" s="309"/>
      <c r="AK97" s="97"/>
      <c r="AL97" s="97"/>
      <c r="AM97" s="95"/>
      <c r="AN97" s="105"/>
      <c r="AO97" s="95"/>
      <c r="AP97" s="105"/>
      <c r="AQ97" s="309"/>
      <c r="AR97" s="71"/>
      <c r="AS97" s="490"/>
      <c r="AT97" s="71"/>
      <c r="AU97" s="309"/>
      <c r="AV97" s="195"/>
      <c r="AW97" s="490"/>
      <c r="AX97" s="71"/>
      <c r="AY97" s="309"/>
      <c r="AZ97" s="194">
        <v>10</v>
      </c>
      <c r="BA97" s="194"/>
      <c r="BB97" s="194"/>
      <c r="BC97" s="194"/>
      <c r="BD97" s="194"/>
      <c r="BE97" s="132">
        <f t="shared" si="161"/>
        <v>4.1909858683836433E-2</v>
      </c>
      <c r="BF97" s="132">
        <f t="shared" si="162"/>
        <v>0.28337374919865088</v>
      </c>
      <c r="BG97" s="132">
        <f t="shared" si="163"/>
        <v>4.9200492004920049E-2</v>
      </c>
      <c r="BH97" s="132">
        <f t="shared" si="142"/>
        <v>0.29643296432964322</v>
      </c>
      <c r="BI97" s="194"/>
      <c r="BJ97" s="194"/>
      <c r="BK97" s="342"/>
      <c r="BL97" s="132">
        <f t="shared" si="164"/>
        <v>2.913716483426879E-2</v>
      </c>
      <c r="BM97" s="132">
        <f t="shared" si="165"/>
        <v>0.28554149735672646</v>
      </c>
      <c r="BN97" s="342"/>
      <c r="BO97" s="132">
        <f t="shared" si="166"/>
        <v>2.8103044496487119E-2</v>
      </c>
      <c r="BP97" s="132">
        <f t="shared" si="167"/>
        <v>0.27634660421545665</v>
      </c>
      <c r="BQ97" s="194"/>
      <c r="BR97" s="194"/>
      <c r="BS97" s="342"/>
      <c r="BT97" s="132">
        <f t="shared" si="168"/>
        <v>3.3447374172010762E-2</v>
      </c>
      <c r="BU97" s="132">
        <f t="shared" si="169"/>
        <v>0.30159154791599158</v>
      </c>
      <c r="BV97" s="342"/>
      <c r="BW97" s="132">
        <f t="shared" si="170"/>
        <v>3.6971830985915499E-2</v>
      </c>
      <c r="BX97" s="132">
        <f t="shared" si="171"/>
        <v>0.32834507042253525</v>
      </c>
      <c r="BY97" s="194"/>
      <c r="BZ97" s="194"/>
      <c r="CA97" s="194"/>
      <c r="CB97" s="132">
        <f t="shared" si="172"/>
        <v>4.0794379122454837E-2</v>
      </c>
      <c r="CC97" s="132">
        <f t="shared" si="173"/>
        <v>0.31895253799827933</v>
      </c>
      <c r="CD97" s="194"/>
      <c r="CE97" s="132">
        <f t="shared" si="143"/>
        <v>3.622250970245796E-2</v>
      </c>
      <c r="CF97" s="132">
        <f t="shared" si="144"/>
        <v>0.32212160413971541</v>
      </c>
      <c r="CG97" s="132">
        <f t="shared" si="143"/>
        <v>4.8293312331383946E-2</v>
      </c>
      <c r="CH97" s="132">
        <f t="shared" si="146"/>
        <v>0.3104881277544112</v>
      </c>
      <c r="CI97" s="132">
        <f t="shared" si="143"/>
        <v>4.716981132075472E-2</v>
      </c>
      <c r="CJ97" s="132">
        <f t="shared" si="148"/>
        <v>0.32704402515723269</v>
      </c>
      <c r="CK97" s="132">
        <f t="shared" si="143"/>
        <v>4.4439138278679825E-2</v>
      </c>
      <c r="CL97" s="132">
        <f t="shared" si="150"/>
        <v>0.24797039159503342</v>
      </c>
      <c r="CM97" s="132">
        <f t="shared" si="143"/>
        <v>4.8717948717948718E-2</v>
      </c>
      <c r="CN97" s="132">
        <f t="shared" si="152"/>
        <v>0.26923076923076922</v>
      </c>
      <c r="CO97" s="132"/>
      <c r="CP97" s="132">
        <f t="shared" si="153"/>
        <v>4.2775235580314347E-2</v>
      </c>
      <c r="CQ97" s="132">
        <f t="shared" si="154"/>
        <v>0.19320298793611748</v>
      </c>
      <c r="CR97" s="132">
        <f t="shared" si="153"/>
        <v>4.1257367387033395E-2</v>
      </c>
      <c r="CS97" s="132">
        <f t="shared" si="156"/>
        <v>0.20235756385068762</v>
      </c>
      <c r="CT97" s="194"/>
      <c r="CU97" s="132">
        <f t="shared" si="157"/>
        <v>8.908211171792664E-2</v>
      </c>
      <c r="CV97" s="132">
        <f t="shared" si="158"/>
        <v>0.26324614352783371</v>
      </c>
      <c r="CW97" s="132">
        <f t="shared" si="157"/>
        <v>7.8512396694214823E-2</v>
      </c>
      <c r="CX97" s="132">
        <f t="shared" si="160"/>
        <v>0.23140495867768596</v>
      </c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0"/>
      <c r="DN97" s="160"/>
      <c r="DO97" s="160"/>
      <c r="DP97" s="160"/>
      <c r="DQ97" s="160"/>
    </row>
    <row r="98" spans="1:121" s="101" customFormat="1" x14ac:dyDescent="0.3">
      <c r="A98" s="160"/>
      <c r="B98" s="341"/>
      <c r="C98" s="242"/>
      <c r="D98" s="160"/>
      <c r="E98" s="242"/>
      <c r="F98" s="242"/>
      <c r="G98" s="156">
        <v>11</v>
      </c>
      <c r="H98" s="185">
        <f t="shared" si="136"/>
        <v>45263.75</v>
      </c>
      <c r="I98" s="374">
        <f t="shared" si="137"/>
        <v>596</v>
      </c>
      <c r="J98" s="376">
        <f t="shared" si="138"/>
        <v>596</v>
      </c>
      <c r="K98" s="377">
        <f t="shared" si="139"/>
        <v>596</v>
      </c>
      <c r="L98" s="374">
        <f t="shared" si="140"/>
        <v>380</v>
      </c>
      <c r="M98" s="387">
        <f t="shared" si="141"/>
        <v>624</v>
      </c>
      <c r="N98" s="374">
        <v>900</v>
      </c>
      <c r="O98" s="197">
        <v>356</v>
      </c>
      <c r="P98" s="197">
        <v>1163</v>
      </c>
      <c r="Q98" s="197">
        <v>935</v>
      </c>
      <c r="R98" s="197">
        <v>582</v>
      </c>
      <c r="S98" s="387">
        <v>1104</v>
      </c>
      <c r="T98" s="194"/>
      <c r="U98" s="420">
        <v>386</v>
      </c>
      <c r="V98" s="455">
        <v>345</v>
      </c>
      <c r="W98" s="421">
        <v>150</v>
      </c>
      <c r="X98" s="420"/>
      <c r="Y98" s="194"/>
      <c r="Z98" s="194"/>
      <c r="AA98" s="194"/>
      <c r="AB98" s="194"/>
      <c r="AC98" s="194"/>
      <c r="AD98" s="69"/>
      <c r="AE98" s="194"/>
      <c r="AF98" s="194"/>
      <c r="AG98" s="309"/>
      <c r="AH98" s="471"/>
      <c r="AI98" s="472"/>
      <c r="AJ98" s="309"/>
      <c r="AK98" s="97"/>
      <c r="AL98" s="97"/>
      <c r="AM98" s="95"/>
      <c r="AN98" s="105"/>
      <c r="AO98" s="95"/>
      <c r="AP98" s="105"/>
      <c r="AQ98" s="309"/>
      <c r="AR98" s="71"/>
      <c r="AS98" s="490"/>
      <c r="AT98" s="71"/>
      <c r="AU98" s="309"/>
      <c r="AV98" s="195"/>
      <c r="AW98" s="490"/>
      <c r="AX98" s="71"/>
      <c r="AY98" s="309"/>
      <c r="AZ98" s="194">
        <v>11</v>
      </c>
      <c r="BA98" s="194"/>
      <c r="BB98" s="194"/>
      <c r="BC98" s="194"/>
      <c r="BD98" s="194"/>
      <c r="BE98" s="132">
        <f t="shared" si="161"/>
        <v>3.7271789726008302E-2</v>
      </c>
      <c r="BF98" s="132">
        <f t="shared" si="162"/>
        <v>0.32064553892465919</v>
      </c>
      <c r="BG98" s="132">
        <f t="shared" si="163"/>
        <v>3.9360393603936034E-2</v>
      </c>
      <c r="BH98" s="132">
        <f t="shared" si="142"/>
        <v>0.33579335793357923</v>
      </c>
      <c r="BI98" s="194"/>
      <c r="BJ98" s="194"/>
      <c r="BK98" s="342"/>
      <c r="BL98" s="132">
        <f t="shared" si="164"/>
        <v>1.4935514996670427E-2</v>
      </c>
      <c r="BM98" s="132">
        <f t="shared" si="165"/>
        <v>0.30047701235339691</v>
      </c>
      <c r="BN98" s="342"/>
      <c r="BO98" s="132">
        <f t="shared" si="166"/>
        <v>2.1077283372365339E-2</v>
      </c>
      <c r="BP98" s="132">
        <f t="shared" si="167"/>
        <v>0.29742388758782201</v>
      </c>
      <c r="BQ98" s="194"/>
      <c r="BR98" s="194"/>
      <c r="BS98" s="342"/>
      <c r="BT98" s="132">
        <f t="shared" si="168"/>
        <v>3.3598088936782691E-2</v>
      </c>
      <c r="BU98" s="132">
        <f t="shared" si="169"/>
        <v>0.33518963685277425</v>
      </c>
      <c r="BV98" s="342"/>
      <c r="BW98" s="132">
        <f t="shared" si="170"/>
        <v>3.6971830985915499E-2</v>
      </c>
      <c r="BX98" s="132">
        <f t="shared" si="171"/>
        <v>0.36531690140845074</v>
      </c>
      <c r="BY98" s="194"/>
      <c r="BZ98" s="194"/>
      <c r="CA98" s="194"/>
      <c r="CB98" s="132">
        <f t="shared" si="172"/>
        <v>2.8776527100659595E-2</v>
      </c>
      <c r="CC98" s="132">
        <f t="shared" si="173"/>
        <v>0.34772906509893892</v>
      </c>
      <c r="CD98" s="194"/>
      <c r="CE98" s="132">
        <f t="shared" si="143"/>
        <v>2.9754204398447611E-2</v>
      </c>
      <c r="CF98" s="132">
        <f t="shared" si="144"/>
        <v>0.35187580853816303</v>
      </c>
      <c r="CG98" s="132">
        <f t="shared" si="143"/>
        <v>2.3979087420614303E-2</v>
      </c>
      <c r="CH98" s="132">
        <f t="shared" si="146"/>
        <v>0.33446721517502553</v>
      </c>
      <c r="CI98" s="132">
        <f t="shared" si="143"/>
        <v>2.8301886792452831E-2</v>
      </c>
      <c r="CJ98" s="132">
        <f t="shared" si="148"/>
        <v>0.35534591194968551</v>
      </c>
      <c r="CK98" s="132">
        <f t="shared" si="143"/>
        <v>4.0035020694046478E-2</v>
      </c>
      <c r="CL98" s="132">
        <f t="shared" si="150"/>
        <v>0.28800541228907989</v>
      </c>
      <c r="CM98" s="132">
        <f t="shared" si="143"/>
        <v>4.3589743589743588E-2</v>
      </c>
      <c r="CN98" s="132">
        <f t="shared" si="152"/>
        <v>0.31282051282051282</v>
      </c>
      <c r="CO98" s="132"/>
      <c r="CP98" s="132">
        <f t="shared" si="153"/>
        <v>1.5690281972906003E-2</v>
      </c>
      <c r="CQ98" s="132">
        <f t="shared" si="154"/>
        <v>0.20889326990902349</v>
      </c>
      <c r="CR98" s="132">
        <f t="shared" si="153"/>
        <v>1.1787819253438114E-2</v>
      </c>
      <c r="CS98" s="132">
        <f t="shared" si="156"/>
        <v>0.21414538310412573</v>
      </c>
      <c r="CT98" s="194"/>
      <c r="CU98" s="132">
        <f t="shared" si="157"/>
        <v>7.4638306026635903E-2</v>
      </c>
      <c r="CV98" s="132">
        <f t="shared" si="158"/>
        <v>0.33788444955446961</v>
      </c>
      <c r="CW98" s="132">
        <f t="shared" si="157"/>
        <v>7.024793388429755E-2</v>
      </c>
      <c r="CX98" s="132">
        <f t="shared" si="160"/>
        <v>0.30165289256198352</v>
      </c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0"/>
      <c r="DN98" s="160"/>
      <c r="DO98" s="160"/>
      <c r="DP98" s="160"/>
      <c r="DQ98" s="160"/>
    </row>
    <row r="99" spans="1:121" s="101" customFormat="1" x14ac:dyDescent="0.3">
      <c r="A99" s="160"/>
      <c r="B99" s="341"/>
      <c r="C99" s="242"/>
      <c r="D99" s="160"/>
      <c r="E99" s="242"/>
      <c r="F99" s="242"/>
      <c r="G99" s="156">
        <v>12</v>
      </c>
      <c r="H99" s="185">
        <f t="shared" si="136"/>
        <v>45264.75</v>
      </c>
      <c r="I99" s="374">
        <f t="shared" si="137"/>
        <v>624</v>
      </c>
      <c r="J99" s="376">
        <f t="shared" si="138"/>
        <v>624</v>
      </c>
      <c r="K99" s="377">
        <f t="shared" si="139"/>
        <v>624</v>
      </c>
      <c r="L99" s="374">
        <f t="shared" si="140"/>
        <v>386</v>
      </c>
      <c r="M99" s="387">
        <f t="shared" si="141"/>
        <v>653</v>
      </c>
      <c r="N99" s="374"/>
      <c r="O99" s="197">
        <v>371</v>
      </c>
      <c r="P99" s="197">
        <v>1189</v>
      </c>
      <c r="Q99" s="197">
        <v>976</v>
      </c>
      <c r="R99" s="197">
        <v>598</v>
      </c>
      <c r="S99" s="387">
        <v>1137</v>
      </c>
      <c r="T99" s="194"/>
      <c r="U99" s="420">
        <v>395</v>
      </c>
      <c r="V99" s="455">
        <v>361</v>
      </c>
      <c r="W99" s="421">
        <v>154</v>
      </c>
      <c r="X99" s="420"/>
      <c r="Y99" s="194"/>
      <c r="Z99" s="194"/>
      <c r="AA99" s="194"/>
      <c r="AB99" s="194"/>
      <c r="AC99" s="194"/>
      <c r="AD99" s="69"/>
      <c r="AE99" s="194"/>
      <c r="AF99" s="194"/>
      <c r="AG99" s="309"/>
      <c r="AH99" s="471"/>
      <c r="AI99" s="472"/>
      <c r="AJ99" s="309"/>
      <c r="AK99" s="97"/>
      <c r="AL99" s="97"/>
      <c r="AM99" s="95"/>
      <c r="AN99" s="105"/>
      <c r="AO99" s="95"/>
      <c r="AP99" s="105"/>
      <c r="AQ99" s="309"/>
      <c r="AR99" s="71"/>
      <c r="AS99" s="490"/>
      <c r="AT99" s="71"/>
      <c r="AU99" s="309"/>
      <c r="AV99" s="195"/>
      <c r="AW99" s="490"/>
      <c r="AX99" s="71"/>
      <c r="AY99" s="309"/>
      <c r="AZ99" s="194">
        <v>12</v>
      </c>
      <c r="BA99" s="194"/>
      <c r="BB99" s="194"/>
      <c r="BC99" s="194"/>
      <c r="BD99" s="194"/>
      <c r="BE99" s="132">
        <f t="shared" si="161"/>
        <v>3.7433453187278753E-2</v>
      </c>
      <c r="BF99" s="132">
        <f t="shared" si="162"/>
        <v>0.35807899211193794</v>
      </c>
      <c r="BG99" s="132">
        <f t="shared" si="163"/>
        <v>3.4440344403444026E-2</v>
      </c>
      <c r="BH99" s="132">
        <f t="shared" si="142"/>
        <v>0.37023370233702324</v>
      </c>
      <c r="BI99" s="194"/>
      <c r="BJ99" s="194"/>
      <c r="BK99" s="342"/>
      <c r="BL99" s="132">
        <f t="shared" si="164"/>
        <v>3.2439558050093097E-2</v>
      </c>
      <c r="BM99" s="132">
        <f t="shared" si="165"/>
        <v>0.33291657040348999</v>
      </c>
      <c r="BN99" s="342"/>
      <c r="BO99" s="132">
        <f t="shared" si="166"/>
        <v>3.7470725995316159E-2</v>
      </c>
      <c r="BP99" s="132">
        <f t="shared" si="167"/>
        <v>0.33489461358313816</v>
      </c>
      <c r="BQ99" s="194"/>
      <c r="BR99" s="194"/>
      <c r="BS99" s="342"/>
      <c r="BT99" s="132">
        <f t="shared" si="168"/>
        <v>3.4174572912035329E-2</v>
      </c>
      <c r="BU99" s="132">
        <f t="shared" si="169"/>
        <v>0.3693642097648096</v>
      </c>
      <c r="BV99" s="342"/>
      <c r="BW99" s="132">
        <f t="shared" si="170"/>
        <v>3.6091549295774648E-2</v>
      </c>
      <c r="BX99" s="132">
        <f t="shared" si="171"/>
        <v>0.40140845070422537</v>
      </c>
      <c r="BY99" s="194"/>
      <c r="BZ99" s="194"/>
      <c r="CA99" s="194"/>
      <c r="CB99" s="132">
        <f t="shared" si="172"/>
        <v>3.0246271866934332E-2</v>
      </c>
      <c r="CC99" s="132">
        <f t="shared" si="173"/>
        <v>0.37797533696587327</v>
      </c>
      <c r="CD99" s="194"/>
      <c r="CE99" s="132">
        <f t="shared" si="143"/>
        <v>3.363518758085382E-2</v>
      </c>
      <c r="CF99" s="132">
        <f t="shared" si="144"/>
        <v>0.38551099611901685</v>
      </c>
      <c r="CG99" s="132">
        <f t="shared" si="143"/>
        <v>6.5921544313554625E-2</v>
      </c>
      <c r="CH99" s="132">
        <f t="shared" si="146"/>
        <v>0.40038875948858016</v>
      </c>
      <c r="CI99" s="132">
        <f t="shared" si="143"/>
        <v>6.2893081761006289E-2</v>
      </c>
      <c r="CJ99" s="132">
        <f t="shared" si="148"/>
        <v>0.41823899371069179</v>
      </c>
      <c r="CK99" s="132">
        <f t="shared" si="143"/>
        <v>2.1463440517881779E-2</v>
      </c>
      <c r="CL99" s="132">
        <f t="shared" si="150"/>
        <v>0.30946885280696168</v>
      </c>
      <c r="CM99" s="132">
        <f t="shared" si="143"/>
        <v>2.3076923076923078E-2</v>
      </c>
      <c r="CN99" s="132">
        <f t="shared" si="152"/>
        <v>0.33589743589743593</v>
      </c>
      <c r="CO99" s="132"/>
      <c r="CP99" s="132">
        <f t="shared" si="153"/>
        <v>2.7962162455461306E-2</v>
      </c>
      <c r="CQ99" s="132">
        <f t="shared" si="154"/>
        <v>0.23685543236448481</v>
      </c>
      <c r="CR99" s="132">
        <f t="shared" si="153"/>
        <v>2.9469548133595286E-2</v>
      </c>
      <c r="CS99" s="132">
        <f t="shared" si="156"/>
        <v>0.24361493123772102</v>
      </c>
      <c r="CT99" s="194"/>
      <c r="CU99" s="132">
        <f t="shared" si="157"/>
        <v>5.4685254383443641E-2</v>
      </c>
      <c r="CV99" s="132">
        <f t="shared" si="158"/>
        <v>0.39256970393791324</v>
      </c>
      <c r="CW99" s="132">
        <f t="shared" si="157"/>
        <v>6.1983471074380139E-2</v>
      </c>
      <c r="CX99" s="132">
        <f t="shared" si="160"/>
        <v>0.36363636363636365</v>
      </c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  <c r="DJ99" s="160"/>
      <c r="DK99" s="160"/>
      <c r="DL99" s="160"/>
      <c r="DM99" s="160"/>
      <c r="DN99" s="160"/>
      <c r="DO99" s="160"/>
      <c r="DP99" s="160"/>
      <c r="DQ99" s="160"/>
    </row>
    <row r="100" spans="1:121" s="101" customFormat="1" x14ac:dyDescent="0.3">
      <c r="A100" s="160"/>
      <c r="B100" s="341"/>
      <c r="C100" s="242"/>
      <c r="D100" s="160"/>
      <c r="E100" s="242"/>
      <c r="F100" s="242"/>
      <c r="G100" s="156">
        <v>13</v>
      </c>
      <c r="H100" s="185">
        <f t="shared" si="136"/>
        <v>45265.75</v>
      </c>
      <c r="I100" s="374">
        <f t="shared" si="137"/>
        <v>656</v>
      </c>
      <c r="J100" s="376">
        <f t="shared" si="138"/>
        <v>656</v>
      </c>
      <c r="K100" s="377">
        <f t="shared" si="139"/>
        <v>656</v>
      </c>
      <c r="L100" s="374">
        <f t="shared" si="140"/>
        <v>391</v>
      </c>
      <c r="M100" s="387">
        <f t="shared" si="141"/>
        <v>671</v>
      </c>
      <c r="N100" s="374"/>
      <c r="O100" s="197">
        <v>386</v>
      </c>
      <c r="P100" s="197">
        <v>1205</v>
      </c>
      <c r="Q100" s="197">
        <v>1011</v>
      </c>
      <c r="R100" s="197">
        <v>624</v>
      </c>
      <c r="S100" s="387">
        <v>1159</v>
      </c>
      <c r="T100" s="194"/>
      <c r="U100" s="420">
        <v>410</v>
      </c>
      <c r="V100" s="455">
        <v>375</v>
      </c>
      <c r="W100" s="421">
        <v>155</v>
      </c>
      <c r="X100" s="420"/>
      <c r="Y100" s="194"/>
      <c r="Z100" s="194"/>
      <c r="AA100" s="194"/>
      <c r="AB100" s="194"/>
      <c r="AC100" s="194"/>
      <c r="AD100" s="69"/>
      <c r="AE100" s="194"/>
      <c r="AF100" s="194"/>
      <c r="AG100" s="309"/>
      <c r="AH100" s="471"/>
      <c r="AI100" s="472"/>
      <c r="AJ100" s="309"/>
      <c r="AK100" s="97"/>
      <c r="AL100" s="97"/>
      <c r="AM100" s="95"/>
      <c r="AN100" s="105"/>
      <c r="AO100" s="95"/>
      <c r="AP100" s="105"/>
      <c r="AQ100" s="309"/>
      <c r="AR100" s="71"/>
      <c r="AS100" s="490"/>
      <c r="AT100" s="71"/>
      <c r="AU100" s="309"/>
      <c r="AV100" s="195"/>
      <c r="AW100" s="490"/>
      <c r="AX100" s="71"/>
      <c r="AY100" s="309"/>
      <c r="AZ100" s="194">
        <v>13</v>
      </c>
      <c r="BA100" s="194"/>
      <c r="BB100" s="194"/>
      <c r="BC100" s="194"/>
      <c r="BD100" s="194"/>
      <c r="BE100" s="132">
        <f t="shared" si="161"/>
        <v>3.2678317585082363E-2</v>
      </c>
      <c r="BF100" s="132">
        <f t="shared" si="162"/>
        <v>0.39075730969702033</v>
      </c>
      <c r="BG100" s="132">
        <f t="shared" si="163"/>
        <v>3.9360393603936034E-2</v>
      </c>
      <c r="BH100" s="132">
        <f t="shared" si="142"/>
        <v>0.4095940959409593</v>
      </c>
      <c r="BI100" s="194"/>
      <c r="BJ100" s="194"/>
      <c r="BK100" s="342"/>
      <c r="BL100" s="132">
        <f t="shared" si="164"/>
        <v>2.9816669611187372E-2</v>
      </c>
      <c r="BM100" s="132">
        <f t="shared" si="165"/>
        <v>0.36273324001467738</v>
      </c>
      <c r="BN100" s="342"/>
      <c r="BO100" s="132">
        <f t="shared" si="166"/>
        <v>3.2786885245901641E-2</v>
      </c>
      <c r="BP100" s="132">
        <f t="shared" si="167"/>
        <v>0.36768149882903978</v>
      </c>
      <c r="BQ100" s="194"/>
      <c r="BR100" s="194"/>
      <c r="BS100" s="342"/>
      <c r="BT100" s="132">
        <f t="shared" si="168"/>
        <v>2.9528790287940563E-2</v>
      </c>
      <c r="BU100" s="132">
        <f t="shared" si="169"/>
        <v>0.39889300005275019</v>
      </c>
      <c r="BV100" s="342"/>
      <c r="BW100" s="132">
        <f t="shared" si="170"/>
        <v>3.0809859154929582E-2</v>
      </c>
      <c r="BX100" s="132">
        <f t="shared" si="171"/>
        <v>0.43221830985915494</v>
      </c>
      <c r="BY100" s="194"/>
      <c r="BZ100" s="194"/>
      <c r="CA100" s="194"/>
      <c r="CB100" s="132">
        <f t="shared" si="172"/>
        <v>2.3802695726985953E-2</v>
      </c>
      <c r="CC100" s="132">
        <f t="shared" si="173"/>
        <v>0.40177803269285922</v>
      </c>
      <c r="CD100" s="194"/>
      <c r="CE100" s="132">
        <f t="shared" si="143"/>
        <v>2.0698576972833123E-2</v>
      </c>
      <c r="CF100" s="132">
        <f t="shared" si="144"/>
        <v>0.40620957309184996</v>
      </c>
      <c r="CG100" s="132">
        <f t="shared" si="143"/>
        <v>2.2906647452117228E-2</v>
      </c>
      <c r="CH100" s="132">
        <f t="shared" si="146"/>
        <v>0.42329540694069739</v>
      </c>
      <c r="CI100" s="132">
        <f t="shared" si="143"/>
        <v>2.5157232704402517E-2</v>
      </c>
      <c r="CJ100" s="132">
        <f t="shared" si="148"/>
        <v>0.4433962264150943</v>
      </c>
      <c r="CK100" s="132">
        <f t="shared" si="143"/>
        <v>3.705030245144858E-2</v>
      </c>
      <c r="CL100" s="132">
        <f t="shared" si="150"/>
        <v>0.34651915525841026</v>
      </c>
      <c r="CM100" s="132">
        <f t="shared" si="143"/>
        <v>3.8461538461538464E-2</v>
      </c>
      <c r="CN100" s="132">
        <f t="shared" si="152"/>
        <v>0.37435897435897436</v>
      </c>
      <c r="CO100" s="132"/>
      <c r="CP100" s="132">
        <f t="shared" si="153"/>
        <v>2.6298178661216517E-2</v>
      </c>
      <c r="CQ100" s="132">
        <f t="shared" si="154"/>
        <v>0.26315361102570134</v>
      </c>
      <c r="CR100" s="132">
        <f t="shared" si="153"/>
        <v>2.9469548133595286E-2</v>
      </c>
      <c r="CS100" s="132">
        <f t="shared" si="156"/>
        <v>0.2730844793713163</v>
      </c>
      <c r="CT100" s="194"/>
      <c r="CU100" s="132">
        <f t="shared" si="157"/>
        <v>1.7198428667241455E-2</v>
      </c>
      <c r="CV100" s="132">
        <f t="shared" si="158"/>
        <v>0.40976813260515471</v>
      </c>
      <c r="CW100" s="132">
        <f t="shared" si="157"/>
        <v>1.6528925619834683E-2</v>
      </c>
      <c r="CX100" s="132">
        <f t="shared" si="160"/>
        <v>0.3801652892561983</v>
      </c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  <c r="DJ100" s="160"/>
      <c r="DK100" s="160"/>
      <c r="DL100" s="160"/>
      <c r="DM100" s="160"/>
      <c r="DN100" s="160"/>
      <c r="DO100" s="160"/>
      <c r="DP100" s="160"/>
      <c r="DQ100" s="160"/>
    </row>
    <row r="101" spans="1:121" s="101" customFormat="1" x14ac:dyDescent="0.3">
      <c r="A101" s="160"/>
      <c r="B101" s="341"/>
      <c r="C101" s="242"/>
      <c r="D101" s="160"/>
      <c r="E101" s="242"/>
      <c r="F101" s="242"/>
      <c r="G101" s="156">
        <v>14</v>
      </c>
      <c r="H101" s="185">
        <f t="shared" si="136"/>
        <v>45266.75</v>
      </c>
      <c r="I101" s="374">
        <f t="shared" si="137"/>
        <v>696</v>
      </c>
      <c r="J101" s="376">
        <f t="shared" si="138"/>
        <v>696</v>
      </c>
      <c r="K101" s="377">
        <f t="shared" si="139"/>
        <v>696</v>
      </c>
      <c r="L101" s="374">
        <f t="shared" si="140"/>
        <v>398</v>
      </c>
      <c r="M101" s="387">
        <f t="shared" si="141"/>
        <v>701</v>
      </c>
      <c r="N101" s="374"/>
      <c r="O101" s="197">
        <v>403</v>
      </c>
      <c r="P101" s="197">
        <v>1232</v>
      </c>
      <c r="Q101" s="197">
        <v>1060</v>
      </c>
      <c r="R101" s="197">
        <v>650</v>
      </c>
      <c r="S101" s="387">
        <v>1207</v>
      </c>
      <c r="T101" s="194"/>
      <c r="U101" s="420">
        <v>417</v>
      </c>
      <c r="V101" s="455">
        <v>395</v>
      </c>
      <c r="W101" s="421">
        <v>159</v>
      </c>
      <c r="X101" s="420"/>
      <c r="Y101" s="194"/>
      <c r="Z101" s="194"/>
      <c r="AA101" s="194"/>
      <c r="AB101" s="194"/>
      <c r="AC101" s="194"/>
      <c r="AD101" s="69"/>
      <c r="AE101" s="194"/>
      <c r="AF101" s="194"/>
      <c r="AG101" s="309"/>
      <c r="AH101" s="471"/>
      <c r="AI101" s="472"/>
      <c r="AJ101" s="309"/>
      <c r="AK101" s="97"/>
      <c r="AL101" s="97"/>
      <c r="AM101" s="95"/>
      <c r="AN101" s="105"/>
      <c r="AO101" s="95"/>
      <c r="AP101" s="105"/>
      <c r="AQ101" s="309"/>
      <c r="AR101" s="71"/>
      <c r="AS101" s="490"/>
      <c r="AT101" s="71"/>
      <c r="AU101" s="309"/>
      <c r="AV101" s="195"/>
      <c r="AW101" s="490"/>
      <c r="AX101" s="71"/>
      <c r="AY101" s="309"/>
      <c r="AZ101" s="194">
        <v>14</v>
      </c>
      <c r="BA101" s="194"/>
      <c r="BB101" s="194"/>
      <c r="BC101" s="194"/>
      <c r="BD101" s="194"/>
      <c r="BE101" s="132">
        <f t="shared" si="161"/>
        <v>4.970315243749477E-2</v>
      </c>
      <c r="BF101" s="132">
        <f t="shared" si="162"/>
        <v>0.44046046213451512</v>
      </c>
      <c r="BG101" s="132">
        <f t="shared" si="163"/>
        <v>4.9200492004920049E-2</v>
      </c>
      <c r="BH101" s="132">
        <f t="shared" si="142"/>
        <v>0.45879458794587935</v>
      </c>
      <c r="BI101" s="194"/>
      <c r="BJ101" s="194"/>
      <c r="BK101" s="342"/>
      <c r="BL101" s="132">
        <f t="shared" si="164"/>
        <v>4.5662721008928701E-2</v>
      </c>
      <c r="BM101" s="132">
        <f t="shared" si="165"/>
        <v>0.40839596102360609</v>
      </c>
      <c r="BN101" s="342"/>
      <c r="BO101" s="132">
        <f t="shared" si="166"/>
        <v>4.6838407494145202E-2</v>
      </c>
      <c r="BP101" s="132">
        <f t="shared" si="167"/>
        <v>0.41451990632318497</v>
      </c>
      <c r="BQ101" s="194"/>
      <c r="BR101" s="194"/>
      <c r="BS101" s="342"/>
      <c r="BT101" s="132">
        <f t="shared" si="168"/>
        <v>4.1785668533017843E-2</v>
      </c>
      <c r="BU101" s="132">
        <f t="shared" si="169"/>
        <v>0.44067866858576804</v>
      </c>
      <c r="BV101" s="342"/>
      <c r="BW101" s="132">
        <f t="shared" si="170"/>
        <v>4.3133802816901413E-2</v>
      </c>
      <c r="BX101" s="132">
        <f t="shared" si="171"/>
        <v>0.47535211267605637</v>
      </c>
      <c r="BY101" s="194"/>
      <c r="BZ101" s="194"/>
      <c r="CA101" s="194"/>
      <c r="CB101" s="132">
        <f t="shared" si="172"/>
        <v>3.7577071981646122E-2</v>
      </c>
      <c r="CC101" s="132">
        <f t="shared" si="173"/>
        <v>0.43935510467450534</v>
      </c>
      <c r="CD101" s="194"/>
      <c r="CE101" s="132">
        <f t="shared" si="143"/>
        <v>3.4928848641655894E-2</v>
      </c>
      <c r="CF101" s="132">
        <f t="shared" si="144"/>
        <v>0.44113842173350587</v>
      </c>
      <c r="CG101" s="132">
        <f t="shared" si="143"/>
        <v>3.4737000854600596E-2</v>
      </c>
      <c r="CH101" s="132">
        <f t="shared" si="146"/>
        <v>0.45803240779529797</v>
      </c>
      <c r="CI101" s="132">
        <f t="shared" si="143"/>
        <v>3.4591194968553458E-2</v>
      </c>
      <c r="CJ101" s="132">
        <f t="shared" si="148"/>
        <v>0.47798742138364775</v>
      </c>
      <c r="CK101" s="132">
        <f t="shared" si="143"/>
        <v>1.7669531996179561E-2</v>
      </c>
      <c r="CL101" s="132">
        <f t="shared" si="150"/>
        <v>0.3641886872545898</v>
      </c>
      <c r="CM101" s="132">
        <f t="shared" si="143"/>
        <v>1.7948717948717947E-2</v>
      </c>
      <c r="CN101" s="132">
        <f t="shared" si="152"/>
        <v>0.3923076923076923</v>
      </c>
      <c r="CO101" s="132"/>
      <c r="CP101" s="132">
        <f t="shared" si="153"/>
        <v>3.6598600083199193E-2</v>
      </c>
      <c r="CQ101" s="132">
        <f t="shared" si="154"/>
        <v>0.29975221110890055</v>
      </c>
      <c r="CR101" s="132">
        <f t="shared" si="153"/>
        <v>3.3398821218074658E-2</v>
      </c>
      <c r="CS101" s="132">
        <f t="shared" si="156"/>
        <v>0.30648330058939094</v>
      </c>
      <c r="CT101" s="194"/>
      <c r="CU101" s="132">
        <f t="shared" si="157"/>
        <v>2.0048864616268994E-2</v>
      </c>
      <c r="CV101" s="132">
        <f t="shared" si="158"/>
        <v>0.42981699722142369</v>
      </c>
      <c r="CW101" s="132">
        <f t="shared" si="157"/>
        <v>3.305785123966952E-2</v>
      </c>
      <c r="CX101" s="132">
        <f t="shared" si="160"/>
        <v>0.41322314049586784</v>
      </c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  <c r="DJ101" s="160"/>
      <c r="DK101" s="160"/>
      <c r="DL101" s="160"/>
      <c r="DM101" s="160"/>
      <c r="DN101" s="160"/>
      <c r="DO101" s="160"/>
      <c r="DP101" s="160"/>
      <c r="DQ101" s="160"/>
    </row>
    <row r="102" spans="1:121" s="101" customFormat="1" x14ac:dyDescent="0.3">
      <c r="A102" s="160"/>
      <c r="B102" s="341"/>
      <c r="C102" s="242"/>
      <c r="D102" s="160"/>
      <c r="E102" s="242"/>
      <c r="F102" s="242"/>
      <c r="G102" s="156">
        <v>15</v>
      </c>
      <c r="H102" s="185">
        <f t="shared" si="136"/>
        <v>45267.75</v>
      </c>
      <c r="I102" s="374">
        <f t="shared" si="137"/>
        <v>727</v>
      </c>
      <c r="J102" s="376">
        <f t="shared" si="138"/>
        <v>727</v>
      </c>
      <c r="K102" s="377">
        <f t="shared" si="139"/>
        <v>727</v>
      </c>
      <c r="L102" s="374">
        <f t="shared" si="140"/>
        <v>403</v>
      </c>
      <c r="M102" s="387">
        <f t="shared" si="141"/>
        <v>791</v>
      </c>
      <c r="N102" s="374"/>
      <c r="O102" s="197">
        <v>422</v>
      </c>
      <c r="P102" s="197">
        <v>1313</v>
      </c>
      <c r="Q102" s="197">
        <v>1096</v>
      </c>
      <c r="R102" s="197">
        <v>690</v>
      </c>
      <c r="S102" s="387">
        <v>1257</v>
      </c>
      <c r="T102" s="194"/>
      <c r="U102" s="420">
        <v>427</v>
      </c>
      <c r="V102" s="455">
        <v>415</v>
      </c>
      <c r="W102" s="421">
        <v>164</v>
      </c>
      <c r="X102" s="420"/>
      <c r="Y102" s="194"/>
      <c r="Z102" s="194"/>
      <c r="AA102" s="194"/>
      <c r="AB102" s="194"/>
      <c r="AC102" s="194"/>
      <c r="AD102" s="69"/>
      <c r="AE102" s="194"/>
      <c r="AF102" s="194"/>
      <c r="AG102" s="309"/>
      <c r="AH102" s="471"/>
      <c r="AI102" s="472"/>
      <c r="AJ102" s="309"/>
      <c r="AK102" s="97"/>
      <c r="AL102" s="97"/>
      <c r="AM102" s="95"/>
      <c r="AN102" s="105"/>
      <c r="AO102" s="95"/>
      <c r="AP102" s="105"/>
      <c r="AQ102" s="309"/>
      <c r="AR102" s="71"/>
      <c r="AS102" s="490"/>
      <c r="AT102" s="71"/>
      <c r="AU102" s="309"/>
      <c r="AV102" s="195"/>
      <c r="AW102" s="490"/>
      <c r="AX102" s="71"/>
      <c r="AY102" s="309"/>
      <c r="AZ102" s="194">
        <v>15</v>
      </c>
      <c r="BA102" s="194"/>
      <c r="BB102" s="194"/>
      <c r="BC102" s="194"/>
      <c r="BD102" s="194"/>
      <c r="BE102" s="132">
        <f t="shared" si="161"/>
        <v>6.1147810575020209E-2</v>
      </c>
      <c r="BF102" s="132">
        <f t="shared" si="162"/>
        <v>0.50160827270953534</v>
      </c>
      <c r="BG102" s="132">
        <f t="shared" si="163"/>
        <v>3.8130381303813035E-2</v>
      </c>
      <c r="BH102" s="132">
        <f t="shared" si="142"/>
        <v>0.49692496924969237</v>
      </c>
      <c r="BI102" s="194"/>
      <c r="BJ102" s="194"/>
      <c r="BK102" s="342"/>
      <c r="BL102" s="132">
        <f t="shared" si="164"/>
        <v>4.8149708492450705E-2</v>
      </c>
      <c r="BM102" s="132">
        <f t="shared" si="165"/>
        <v>0.4565456695160568</v>
      </c>
      <c r="BN102" s="342"/>
      <c r="BO102" s="132">
        <f t="shared" si="166"/>
        <v>4.6838407494145202E-2</v>
      </c>
      <c r="BP102" s="132">
        <f t="shared" si="167"/>
        <v>0.46135831381733017</v>
      </c>
      <c r="BQ102" s="194"/>
      <c r="BR102" s="194"/>
      <c r="BS102" s="342"/>
      <c r="BT102" s="132">
        <f t="shared" si="168"/>
        <v>3.0930437600319518E-2</v>
      </c>
      <c r="BU102" s="132">
        <f t="shared" si="169"/>
        <v>0.47160910618608753</v>
      </c>
      <c r="BV102" s="342"/>
      <c r="BW102" s="132">
        <f t="shared" si="170"/>
        <v>3.1690140845070422E-2</v>
      </c>
      <c r="BX102" s="132">
        <f t="shared" si="171"/>
        <v>0.50704225352112675</v>
      </c>
      <c r="BY102" s="194"/>
      <c r="BZ102" s="194"/>
      <c r="CA102" s="194"/>
      <c r="CB102" s="132">
        <f t="shared" si="172"/>
        <v>0.10435187840550618</v>
      </c>
      <c r="CC102" s="132">
        <f t="shared" si="173"/>
        <v>0.54370698308001153</v>
      </c>
      <c r="CD102" s="194"/>
      <c r="CE102" s="132">
        <f t="shared" si="143"/>
        <v>0.10478654592496768</v>
      </c>
      <c r="CF102" s="132">
        <f t="shared" si="144"/>
        <v>0.54592496765847354</v>
      </c>
      <c r="CG102" s="132">
        <f t="shared" si="143"/>
        <v>2.5068284263619144E-2</v>
      </c>
      <c r="CH102" s="132">
        <f t="shared" si="146"/>
        <v>0.48310069205891709</v>
      </c>
      <c r="CI102" s="132">
        <f t="shared" si="143"/>
        <v>2.2012578616352203E-2</v>
      </c>
      <c r="CJ102" s="132">
        <f t="shared" si="148"/>
        <v>0.49999999999999994</v>
      </c>
      <c r="CK102" s="132">
        <f t="shared" si="143"/>
        <v>2.1290990130531678E-2</v>
      </c>
      <c r="CL102" s="132">
        <f t="shared" si="150"/>
        <v>0.38547967738512146</v>
      </c>
      <c r="CM102" s="132">
        <f t="shared" si="143"/>
        <v>2.564102564102564E-2</v>
      </c>
      <c r="CN102" s="132">
        <f t="shared" si="152"/>
        <v>0.41794871794871796</v>
      </c>
      <c r="CO102" s="132"/>
      <c r="CP102" s="132">
        <f t="shared" si="153"/>
        <v>3.9402051040894212E-2</v>
      </c>
      <c r="CQ102" s="132">
        <f t="shared" si="154"/>
        <v>0.33915426214979477</v>
      </c>
      <c r="CR102" s="132">
        <f t="shared" si="153"/>
        <v>3.732809430255403E-2</v>
      </c>
      <c r="CS102" s="132">
        <f t="shared" si="156"/>
        <v>0.34381139489194495</v>
      </c>
      <c r="CT102" s="194"/>
      <c r="CU102" s="132">
        <f t="shared" si="157"/>
        <v>4.4553032480597929E-2</v>
      </c>
      <c r="CV102" s="132">
        <f t="shared" si="158"/>
        <v>0.47437002970202163</v>
      </c>
      <c r="CW102" s="132">
        <f t="shared" si="157"/>
        <v>3.7190082644628114E-2</v>
      </c>
      <c r="CX102" s="132">
        <f t="shared" si="160"/>
        <v>0.45041322314049592</v>
      </c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</row>
    <row r="103" spans="1:121" s="101" customFormat="1" x14ac:dyDescent="0.3">
      <c r="A103" s="160"/>
      <c r="B103" s="341"/>
      <c r="C103" s="242"/>
      <c r="D103" s="160"/>
      <c r="E103" s="242"/>
      <c r="F103" s="242"/>
      <c r="G103" s="156">
        <v>16</v>
      </c>
      <c r="H103" s="185">
        <f t="shared" si="136"/>
        <v>45268.75</v>
      </c>
      <c r="I103" s="374">
        <f t="shared" si="137"/>
        <v>758</v>
      </c>
      <c r="J103" s="376">
        <f t="shared" si="138"/>
        <v>758</v>
      </c>
      <c r="K103" s="377">
        <f t="shared" si="139"/>
        <v>758</v>
      </c>
      <c r="L103" s="374">
        <f t="shared" si="140"/>
        <v>408</v>
      </c>
      <c r="M103" s="387">
        <f t="shared" si="141"/>
        <v>832</v>
      </c>
      <c r="N103" s="374"/>
      <c r="O103" s="197">
        <v>445</v>
      </c>
      <c r="P103" s="197">
        <v>1350</v>
      </c>
      <c r="Q103" s="197">
        <v>1134</v>
      </c>
      <c r="R103" s="197">
        <v>729</v>
      </c>
      <c r="S103" s="387">
        <v>1301</v>
      </c>
      <c r="T103" s="194"/>
      <c r="U103" s="420">
        <v>444</v>
      </c>
      <c r="V103" s="455">
        <v>438</v>
      </c>
      <c r="W103" s="421">
        <v>172</v>
      </c>
      <c r="X103" s="420"/>
      <c r="Y103" s="194"/>
      <c r="Z103" s="194"/>
      <c r="AA103" s="194"/>
      <c r="AB103" s="194"/>
      <c r="AC103" s="194"/>
      <c r="AD103" s="69"/>
      <c r="AE103" s="194"/>
      <c r="AF103" s="194"/>
      <c r="AG103" s="309"/>
      <c r="AH103" s="471"/>
      <c r="AI103" s="472"/>
      <c r="AJ103" s="309"/>
      <c r="AK103" s="97"/>
      <c r="AL103" s="97"/>
      <c r="AM103" s="95"/>
      <c r="AN103" s="105"/>
      <c r="AO103" s="95"/>
      <c r="AP103" s="105"/>
      <c r="AQ103" s="309"/>
      <c r="AR103" s="71"/>
      <c r="AS103" s="490"/>
      <c r="AT103" s="71"/>
      <c r="AU103" s="309"/>
      <c r="AV103" s="195"/>
      <c r="AW103" s="490"/>
      <c r="AX103" s="71"/>
      <c r="AY103" s="309"/>
      <c r="AZ103" s="194">
        <v>16</v>
      </c>
      <c r="BA103" s="194"/>
      <c r="BB103" s="194"/>
      <c r="BC103" s="194"/>
      <c r="BD103" s="194"/>
      <c r="BE103" s="132">
        <f t="shared" si="161"/>
        <v>4.054965576831953E-2</v>
      </c>
      <c r="BF103" s="132">
        <f t="shared" si="162"/>
        <v>0.54215792847785482</v>
      </c>
      <c r="BG103" s="132">
        <f t="shared" si="163"/>
        <v>3.8130381303813035E-2</v>
      </c>
      <c r="BH103" s="132">
        <f t="shared" si="142"/>
        <v>0.53505535055350539</v>
      </c>
      <c r="BI103" s="194"/>
      <c r="BJ103" s="194"/>
      <c r="BK103" s="342"/>
      <c r="BL103" s="132">
        <f t="shared" si="164"/>
        <v>4.7252762186918179E-2</v>
      </c>
      <c r="BM103" s="132">
        <f t="shared" si="165"/>
        <v>0.503798431702975</v>
      </c>
      <c r="BN103" s="342"/>
      <c r="BO103" s="132">
        <f t="shared" si="166"/>
        <v>5.3864168618266983E-2</v>
      </c>
      <c r="BP103" s="132">
        <f t="shared" si="167"/>
        <v>0.5152224824355971</v>
      </c>
      <c r="BQ103" s="194"/>
      <c r="BR103" s="194"/>
      <c r="BS103" s="342"/>
      <c r="BT103" s="132">
        <f t="shared" si="168"/>
        <v>3.2652353787838831E-2</v>
      </c>
      <c r="BU103" s="132">
        <f t="shared" si="169"/>
        <v>0.50426145997392635</v>
      </c>
      <c r="BV103" s="342"/>
      <c r="BW103" s="132">
        <f t="shared" si="170"/>
        <v>3.3450704225352117E-2</v>
      </c>
      <c r="BX103" s="132">
        <f t="shared" si="171"/>
        <v>0.54049295774647887</v>
      </c>
      <c r="BY103" s="194"/>
      <c r="BZ103" s="194"/>
      <c r="CA103" s="194"/>
      <c r="CB103" s="132">
        <f t="shared" si="172"/>
        <v>4.4728634929739039E-2</v>
      </c>
      <c r="CC103" s="132">
        <f t="shared" si="173"/>
        <v>0.58843561800975053</v>
      </c>
      <c r="CD103" s="194"/>
      <c r="CE103" s="132">
        <f t="shared" si="143"/>
        <v>4.7865459249676591E-2</v>
      </c>
      <c r="CF103" s="132">
        <f t="shared" si="144"/>
        <v>0.59379042690815009</v>
      </c>
      <c r="CG103" s="132">
        <f t="shared" si="143"/>
        <v>4.5042478676877183E-2</v>
      </c>
      <c r="CH103" s="132">
        <f t="shared" si="146"/>
        <v>0.52814317073579431</v>
      </c>
      <c r="CI103" s="132">
        <f t="shared" si="143"/>
        <v>3.7735849056603779E-2</v>
      </c>
      <c r="CJ103" s="132">
        <f t="shared" si="148"/>
        <v>0.53773584905660377</v>
      </c>
      <c r="CK103" s="132">
        <f t="shared" si="143"/>
        <v>4.0234001910219676E-2</v>
      </c>
      <c r="CL103" s="132">
        <f t="shared" si="150"/>
        <v>0.42571367929534115</v>
      </c>
      <c r="CM103" s="132">
        <f t="shared" si="143"/>
        <v>4.3589743589743588E-2</v>
      </c>
      <c r="CN103" s="132">
        <f t="shared" si="152"/>
        <v>0.46153846153846156</v>
      </c>
      <c r="CO103" s="132"/>
      <c r="CP103" s="132">
        <f t="shared" si="153"/>
        <v>5.4133733654072237E-2</v>
      </c>
      <c r="CQ103" s="132">
        <f t="shared" si="154"/>
        <v>0.39328799580386703</v>
      </c>
      <c r="CR103" s="132">
        <f t="shared" si="153"/>
        <v>4.5186640471512766E-2</v>
      </c>
      <c r="CS103" s="132">
        <f t="shared" si="156"/>
        <v>0.38899803536345773</v>
      </c>
      <c r="CT103" s="194"/>
      <c r="CU103" s="132">
        <f t="shared" si="157"/>
        <v>4.4936284372904173E-2</v>
      </c>
      <c r="CV103" s="132">
        <f t="shared" si="158"/>
        <v>0.51930631407492578</v>
      </c>
      <c r="CW103" s="132">
        <f t="shared" si="157"/>
        <v>4.1322314049586702E-2</v>
      </c>
      <c r="CX103" s="132">
        <f t="shared" si="160"/>
        <v>0.49173553719008262</v>
      </c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  <c r="DJ103" s="160"/>
      <c r="DK103" s="160"/>
      <c r="DL103" s="160"/>
      <c r="DM103" s="160"/>
      <c r="DN103" s="160"/>
      <c r="DO103" s="160"/>
      <c r="DP103" s="160"/>
      <c r="DQ103" s="160"/>
    </row>
    <row r="104" spans="1:121" s="101" customFormat="1" x14ac:dyDescent="0.3">
      <c r="A104" s="160"/>
      <c r="B104" s="341"/>
      <c r="C104" s="242"/>
      <c r="D104" s="160"/>
      <c r="E104" s="242"/>
      <c r="F104" s="242"/>
      <c r="G104" s="156">
        <v>17</v>
      </c>
      <c r="H104" s="185">
        <f t="shared" si="136"/>
        <v>45269.75</v>
      </c>
      <c r="I104" s="374">
        <f t="shared" si="137"/>
        <v>790</v>
      </c>
      <c r="J104" s="376">
        <f t="shared" si="138"/>
        <v>790</v>
      </c>
      <c r="K104" s="377">
        <f t="shared" si="139"/>
        <v>790</v>
      </c>
      <c r="L104" s="374">
        <f t="shared" si="140"/>
        <v>412</v>
      </c>
      <c r="M104" s="387">
        <f t="shared" si="141"/>
        <v>870</v>
      </c>
      <c r="N104" s="374"/>
      <c r="O104" s="197">
        <v>471</v>
      </c>
      <c r="P104" s="197">
        <v>1384</v>
      </c>
      <c r="Q104" s="197">
        <v>1160</v>
      </c>
      <c r="R104" s="197">
        <v>757</v>
      </c>
      <c r="S104" s="387">
        <v>1341</v>
      </c>
      <c r="T104" s="194"/>
      <c r="U104" s="420">
        <v>487</v>
      </c>
      <c r="V104" s="455">
        <v>471</v>
      </c>
      <c r="W104" s="421">
        <v>175</v>
      </c>
      <c r="X104" s="420"/>
      <c r="Y104" s="194"/>
      <c r="Z104" s="194"/>
      <c r="AA104" s="194"/>
      <c r="AB104" s="194"/>
      <c r="AC104" s="194"/>
      <c r="AD104" s="69"/>
      <c r="AE104" s="194"/>
      <c r="AF104" s="194"/>
      <c r="AG104" s="309"/>
      <c r="AH104" s="471"/>
      <c r="AI104" s="472"/>
      <c r="AJ104" s="309"/>
      <c r="AK104" s="97"/>
      <c r="AL104" s="97"/>
      <c r="AM104" s="95"/>
      <c r="AN104" s="105"/>
      <c r="AO104" s="95"/>
      <c r="AP104" s="105"/>
      <c r="AQ104" s="309"/>
      <c r="AR104" s="71"/>
      <c r="AS104" s="490"/>
      <c r="AT104" s="71"/>
      <c r="AU104" s="309"/>
      <c r="AV104" s="195"/>
      <c r="AW104" s="490"/>
      <c r="AX104" s="71"/>
      <c r="AY104" s="309"/>
      <c r="AZ104" s="194">
        <v>17</v>
      </c>
      <c r="BA104" s="194"/>
      <c r="BB104" s="194"/>
      <c r="BC104" s="194"/>
      <c r="BD104" s="194"/>
      <c r="BE104" s="132">
        <f t="shared" si="161"/>
        <v>4.0020068567605982E-2</v>
      </c>
      <c r="BF104" s="132">
        <f t="shared" si="162"/>
        <v>0.5821779970454608</v>
      </c>
      <c r="BG104" s="132">
        <f t="shared" si="163"/>
        <v>3.9360393603936034E-2</v>
      </c>
      <c r="BH104" s="132">
        <f t="shared" si="142"/>
        <v>0.57441574415744145</v>
      </c>
      <c r="BI104" s="194"/>
      <c r="BJ104" s="194"/>
      <c r="BK104" s="342"/>
      <c r="BL104" s="132">
        <f t="shared" si="164"/>
        <v>7.1646983678295265E-2</v>
      </c>
      <c r="BM104" s="132">
        <f t="shared" si="165"/>
        <v>0.57544541538127025</v>
      </c>
      <c r="BN104" s="342"/>
      <c r="BO104" s="132">
        <f t="shared" si="166"/>
        <v>7.7283372365339581E-2</v>
      </c>
      <c r="BP104" s="132">
        <f t="shared" si="167"/>
        <v>0.59250585480093665</v>
      </c>
      <c r="BQ104" s="194"/>
      <c r="BR104" s="194"/>
      <c r="BS104" s="342"/>
      <c r="BT104" s="132">
        <f t="shared" si="168"/>
        <v>4.2305634471481002E-2</v>
      </c>
      <c r="BU104" s="132">
        <f t="shared" si="169"/>
        <v>0.5465670944454073</v>
      </c>
      <c r="BV104" s="342"/>
      <c r="BW104" s="132">
        <f t="shared" si="170"/>
        <v>2.2887323943661976E-2</v>
      </c>
      <c r="BX104" s="132">
        <f t="shared" si="171"/>
        <v>0.56338028169014087</v>
      </c>
      <c r="BY104" s="194"/>
      <c r="BZ104" s="194"/>
      <c r="CA104" s="194"/>
      <c r="CB104" s="132">
        <f t="shared" si="172"/>
        <v>4.4782406079724696E-2</v>
      </c>
      <c r="CC104" s="132">
        <f t="shared" si="173"/>
        <v>0.63321802408947525</v>
      </c>
      <c r="CD104" s="194"/>
      <c r="CE104" s="132">
        <f t="shared" si="143"/>
        <v>4.3984476067270385E-2</v>
      </c>
      <c r="CF104" s="132">
        <f t="shared" si="144"/>
        <v>0.6377749029754205</v>
      </c>
      <c r="CG104" s="132">
        <f t="shared" si="143"/>
        <v>4.0484608810764607E-2</v>
      </c>
      <c r="CH104" s="132">
        <f t="shared" si="146"/>
        <v>0.56862777954655896</v>
      </c>
      <c r="CI104" s="132">
        <f t="shared" si="143"/>
        <v>4.4025157232704407E-2</v>
      </c>
      <c r="CJ104" s="132">
        <f t="shared" si="148"/>
        <v>0.58176100628930816</v>
      </c>
      <c r="CK104" s="132">
        <f t="shared" si="143"/>
        <v>8.9992571367929527E-2</v>
      </c>
      <c r="CL104" s="132">
        <f t="shared" si="150"/>
        <v>0.51570625066327069</v>
      </c>
      <c r="CM104" s="132">
        <f t="shared" si="143"/>
        <v>0.11025641025641025</v>
      </c>
      <c r="CN104" s="132">
        <f t="shared" si="152"/>
        <v>0.57179487179487176</v>
      </c>
      <c r="CO104" s="132"/>
      <c r="CP104" s="132">
        <f t="shared" si="153"/>
        <v>5.5119463184358557E-2</v>
      </c>
      <c r="CQ104" s="132">
        <f t="shared" si="154"/>
        <v>0.44840745898822559</v>
      </c>
      <c r="CR104" s="132">
        <f t="shared" si="153"/>
        <v>5.1080550098231828E-2</v>
      </c>
      <c r="CS104" s="132">
        <f t="shared" si="156"/>
        <v>0.44007858546168954</v>
      </c>
      <c r="CT104" s="194"/>
      <c r="CU104" s="132">
        <f t="shared" si="157"/>
        <v>4.2205614640222176E-2</v>
      </c>
      <c r="CV104" s="132">
        <f t="shared" si="158"/>
        <v>0.56151192871514799</v>
      </c>
      <c r="CW104" s="132">
        <f t="shared" si="157"/>
        <v>3.7190082644628114E-2</v>
      </c>
      <c r="CX104" s="132">
        <f t="shared" si="160"/>
        <v>0.52892561983471076</v>
      </c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</row>
    <row r="105" spans="1:121" s="101" customFormat="1" x14ac:dyDescent="0.3">
      <c r="A105" s="160"/>
      <c r="B105" s="341"/>
      <c r="C105" s="242"/>
      <c r="D105" s="160"/>
      <c r="E105" s="242"/>
      <c r="F105" s="242"/>
      <c r="G105" s="156">
        <v>18</v>
      </c>
      <c r="H105" s="185">
        <f t="shared" si="136"/>
        <v>45270.75</v>
      </c>
      <c r="I105" s="374">
        <f t="shared" si="137"/>
        <v>821</v>
      </c>
      <c r="J105" s="376">
        <f t="shared" si="138"/>
        <v>821</v>
      </c>
      <c r="K105" s="377">
        <f t="shared" si="139"/>
        <v>821</v>
      </c>
      <c r="L105" s="374">
        <f t="shared" si="140"/>
        <v>419</v>
      </c>
      <c r="M105" s="387">
        <f t="shared" si="141"/>
        <v>909</v>
      </c>
      <c r="N105" s="374"/>
      <c r="O105" s="197">
        <v>501</v>
      </c>
      <c r="P105" s="197">
        <v>1419</v>
      </c>
      <c r="Q105" s="197">
        <v>1210</v>
      </c>
      <c r="R105" s="197">
        <v>781</v>
      </c>
      <c r="S105" s="387">
        <v>1386</v>
      </c>
      <c r="T105" s="194"/>
      <c r="U105" s="420">
        <v>514</v>
      </c>
      <c r="V105" s="455">
        <v>491</v>
      </c>
      <c r="W105" s="421">
        <v>186</v>
      </c>
      <c r="X105" s="420"/>
      <c r="Y105" s="194"/>
      <c r="Z105" s="194"/>
      <c r="AA105" s="194"/>
      <c r="AB105" s="194"/>
      <c r="AC105" s="194"/>
      <c r="AD105" s="69"/>
      <c r="AE105" s="194"/>
      <c r="AF105" s="194"/>
      <c r="AG105" s="309"/>
      <c r="AH105" s="471"/>
      <c r="AI105" s="472"/>
      <c r="AJ105" s="309"/>
      <c r="AK105" s="97"/>
      <c r="AL105" s="97"/>
      <c r="AM105" s="95"/>
      <c r="AN105" s="105"/>
      <c r="AO105" s="95"/>
      <c r="AP105" s="105"/>
      <c r="AQ105" s="309"/>
      <c r="AR105" s="71"/>
      <c r="AS105" s="490"/>
      <c r="AT105" s="71"/>
      <c r="AU105" s="309"/>
      <c r="AV105" s="195"/>
      <c r="AW105" s="490"/>
      <c r="AX105" s="71"/>
      <c r="AY105" s="309"/>
      <c r="AZ105" s="194">
        <v>18</v>
      </c>
      <c r="BA105" s="194"/>
      <c r="BB105" s="194"/>
      <c r="BC105" s="194"/>
      <c r="BD105" s="194"/>
      <c r="BE105" s="132">
        <f t="shared" si="161"/>
        <v>3.3258076204810881E-2</v>
      </c>
      <c r="BF105" s="132">
        <f t="shared" si="162"/>
        <v>0.61543607325027172</v>
      </c>
      <c r="BG105" s="132">
        <f t="shared" si="163"/>
        <v>3.8130381303813035E-2</v>
      </c>
      <c r="BH105" s="132">
        <f t="shared" si="142"/>
        <v>0.61254612546125453</v>
      </c>
      <c r="BI105" s="194"/>
      <c r="BJ105" s="194"/>
      <c r="BK105" s="342"/>
      <c r="BL105" s="132">
        <f t="shared" si="164"/>
        <v>4.282239104140903E-2</v>
      </c>
      <c r="BM105" s="132">
        <f t="shared" si="165"/>
        <v>0.61826780642267931</v>
      </c>
      <c r="BN105" s="342"/>
      <c r="BO105" s="132">
        <f t="shared" si="166"/>
        <v>4.6838407494145202E-2</v>
      </c>
      <c r="BP105" s="132">
        <f t="shared" si="167"/>
        <v>0.6393442622950819</v>
      </c>
      <c r="BQ105" s="194"/>
      <c r="BR105" s="194"/>
      <c r="BS105" s="342"/>
      <c r="BT105" s="132">
        <f t="shared" si="168"/>
        <v>4.4980821546182777E-2</v>
      </c>
      <c r="BU105" s="132">
        <f t="shared" si="169"/>
        <v>0.59154791599159007</v>
      </c>
      <c r="BV105" s="342"/>
      <c r="BW105" s="132">
        <f t="shared" si="170"/>
        <v>4.4014084507042257E-2</v>
      </c>
      <c r="BX105" s="132">
        <f t="shared" si="171"/>
        <v>0.60739436619718312</v>
      </c>
      <c r="BY105" s="194"/>
      <c r="BZ105" s="194"/>
      <c r="CA105" s="194"/>
      <c r="CB105" s="132">
        <f t="shared" si="172"/>
        <v>4.3536707771723547E-2</v>
      </c>
      <c r="CC105" s="132">
        <f t="shared" si="173"/>
        <v>0.67675473186119883</v>
      </c>
      <c r="CD105" s="194"/>
      <c r="CE105" s="132">
        <f t="shared" si="143"/>
        <v>4.5278137128072458E-2</v>
      </c>
      <c r="CF105" s="132">
        <f t="shared" si="144"/>
        <v>0.68305304010349299</v>
      </c>
      <c r="CG105" s="132">
        <f t="shared" si="143"/>
        <v>4.174137439884712E-2</v>
      </c>
      <c r="CH105" s="132">
        <f t="shared" si="146"/>
        <v>0.61036915394540614</v>
      </c>
      <c r="CI105" s="132">
        <f t="shared" si="143"/>
        <v>4.4025157232704407E-2</v>
      </c>
      <c r="CJ105" s="132">
        <f t="shared" si="148"/>
        <v>0.62578616352201255</v>
      </c>
      <c r="CK105" s="132">
        <f t="shared" si="143"/>
        <v>6.8197495489759091E-2</v>
      </c>
      <c r="CL105" s="132">
        <f t="shared" si="150"/>
        <v>0.58390374615302976</v>
      </c>
      <c r="CM105" s="132">
        <f t="shared" si="143"/>
        <v>6.9230769230769235E-2</v>
      </c>
      <c r="CN105" s="132">
        <f t="shared" si="152"/>
        <v>0.64102564102564097</v>
      </c>
      <c r="CO105" s="132"/>
      <c r="CP105" s="132">
        <f t="shared" si="153"/>
        <v>5.3111830563041473E-2</v>
      </c>
      <c r="CQ105" s="132">
        <f t="shared" si="154"/>
        <v>0.50151928955126701</v>
      </c>
      <c r="CR105" s="132">
        <f t="shared" si="153"/>
        <v>5.8939096267190572E-2</v>
      </c>
      <c r="CS105" s="132">
        <f t="shared" si="156"/>
        <v>0.49901768172888011</v>
      </c>
      <c r="CT105" s="194"/>
      <c r="CU105" s="132">
        <f t="shared" si="157"/>
        <v>6.2805403851681554E-2</v>
      </c>
      <c r="CV105" s="132">
        <f t="shared" si="158"/>
        <v>0.62431733256682953</v>
      </c>
      <c r="CW105" s="132">
        <f t="shared" si="157"/>
        <v>7.0247933884297481E-2</v>
      </c>
      <c r="CX105" s="132">
        <f t="shared" si="160"/>
        <v>0.59917355371900827</v>
      </c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</row>
    <row r="106" spans="1:121" s="101" customFormat="1" x14ac:dyDescent="0.3">
      <c r="A106" s="160"/>
      <c r="B106" s="341"/>
      <c r="C106" s="242"/>
      <c r="D106" s="160"/>
      <c r="E106" s="242"/>
      <c r="F106" s="242"/>
      <c r="G106" s="156">
        <v>19</v>
      </c>
      <c r="H106" s="185">
        <f t="shared" si="136"/>
        <v>45271.75</v>
      </c>
      <c r="I106" s="374">
        <f t="shared" si="137"/>
        <v>900</v>
      </c>
      <c r="J106" s="376">
        <f t="shared" si="138"/>
        <v>900</v>
      </c>
      <c r="K106" s="377">
        <f t="shared" si="139"/>
        <v>900</v>
      </c>
      <c r="L106" s="374">
        <f t="shared" si="140"/>
        <v>430</v>
      </c>
      <c r="M106" s="387">
        <f t="shared" si="141"/>
        <v>980</v>
      </c>
      <c r="N106" s="374"/>
      <c r="O106" s="197">
        <v>537</v>
      </c>
      <c r="P106" s="197">
        <v>1483</v>
      </c>
      <c r="Q106" s="197">
        <v>1290</v>
      </c>
      <c r="R106" s="197">
        <v>827</v>
      </c>
      <c r="S106" s="387">
        <v>1454</v>
      </c>
      <c r="T106" s="194"/>
      <c r="U106" s="420">
        <v>549</v>
      </c>
      <c r="V106" s="455">
        <v>519</v>
      </c>
      <c r="W106" s="421">
        <v>198</v>
      </c>
      <c r="X106" s="420"/>
      <c r="Y106" s="194"/>
      <c r="Z106" s="194"/>
      <c r="AA106" s="194"/>
      <c r="AB106" s="194"/>
      <c r="AC106" s="194"/>
      <c r="AD106" s="69"/>
      <c r="AE106" s="194"/>
      <c r="AF106" s="194"/>
      <c r="AG106" s="309"/>
      <c r="AH106" s="471"/>
      <c r="AI106" s="472"/>
      <c r="AJ106" s="309"/>
      <c r="AK106" s="97"/>
      <c r="AL106" s="97"/>
      <c r="AM106" s="95"/>
      <c r="AN106" s="105"/>
      <c r="AO106" s="95"/>
      <c r="AP106" s="105"/>
      <c r="AQ106" s="309"/>
      <c r="AR106" s="71"/>
      <c r="AS106" s="490"/>
      <c r="AT106" s="71"/>
      <c r="AU106" s="309"/>
      <c r="AV106" s="195"/>
      <c r="AW106" s="490"/>
      <c r="AX106" s="71"/>
      <c r="AY106" s="309"/>
      <c r="AZ106" s="194">
        <v>19</v>
      </c>
      <c r="BA106" s="194"/>
      <c r="BB106" s="194"/>
      <c r="BC106" s="194"/>
      <c r="BD106" s="194"/>
      <c r="BE106" s="132">
        <f t="shared" si="161"/>
        <v>9.6591130808038564E-2</v>
      </c>
      <c r="BF106" s="132">
        <f t="shared" si="162"/>
        <v>0.71202720405831033</v>
      </c>
      <c r="BG106" s="132">
        <f t="shared" si="163"/>
        <v>9.7170971709717099E-2</v>
      </c>
      <c r="BH106" s="132">
        <f t="shared" si="142"/>
        <v>0.70971709717097164</v>
      </c>
      <c r="BI106" s="194"/>
      <c r="BJ106" s="194"/>
      <c r="BK106" s="342"/>
      <c r="BL106" s="132">
        <f t="shared" si="164"/>
        <v>6.1250560591440961E-2</v>
      </c>
      <c r="BM106" s="132">
        <f t="shared" si="165"/>
        <v>0.67951836701412027</v>
      </c>
      <c r="BN106" s="342"/>
      <c r="BO106" s="132">
        <f t="shared" si="166"/>
        <v>6.5573770491803282E-2</v>
      </c>
      <c r="BP106" s="132">
        <f t="shared" si="167"/>
        <v>0.70491803278688514</v>
      </c>
      <c r="BQ106" s="194"/>
      <c r="BR106" s="194"/>
      <c r="BS106" s="342"/>
      <c r="BT106" s="132">
        <f t="shared" si="168"/>
        <v>7.0869850264881198E-2</v>
      </c>
      <c r="BU106" s="132">
        <f t="shared" si="169"/>
        <v>0.66241776625647131</v>
      </c>
      <c r="BV106" s="342"/>
      <c r="BW106" s="132">
        <f t="shared" si="170"/>
        <v>7.0422535211267609E-2</v>
      </c>
      <c r="BX106" s="132">
        <f t="shared" si="171"/>
        <v>0.67781690140845074</v>
      </c>
      <c r="BY106" s="194"/>
      <c r="BZ106" s="194"/>
      <c r="CA106" s="194"/>
      <c r="CB106" s="132">
        <f t="shared" si="172"/>
        <v>8.1257169486664768E-2</v>
      </c>
      <c r="CC106" s="132">
        <f t="shared" si="173"/>
        <v>0.75801190134786356</v>
      </c>
      <c r="CD106" s="194"/>
      <c r="CE106" s="132">
        <f t="shared" si="143"/>
        <v>8.2794307891332491E-2</v>
      </c>
      <c r="CF106" s="132">
        <f t="shared" si="144"/>
        <v>0.76584734799482546</v>
      </c>
      <c r="CG106" s="132">
        <f t="shared" si="143"/>
        <v>7.848920019437973E-2</v>
      </c>
      <c r="CH106" s="132">
        <f t="shared" si="146"/>
        <v>0.68885835413978591</v>
      </c>
      <c r="CI106" s="132">
        <f t="shared" si="143"/>
        <v>7.5471698113207558E-2</v>
      </c>
      <c r="CJ106" s="132">
        <f t="shared" si="148"/>
        <v>0.70125786163522008</v>
      </c>
      <c r="CK106" s="132">
        <f t="shared" si="143"/>
        <v>0.12198875092857901</v>
      </c>
      <c r="CL106" s="132">
        <f t="shared" si="150"/>
        <v>0.70589249708160873</v>
      </c>
      <c r="CM106" s="132">
        <f t="shared" si="143"/>
        <v>8.9743589743589744E-2</v>
      </c>
      <c r="CN106" s="132">
        <f t="shared" si="152"/>
        <v>0.73076923076923073</v>
      </c>
      <c r="CO106" s="132"/>
      <c r="CP106" s="132">
        <f t="shared" si="153"/>
        <v>7.3450415091609544E-2</v>
      </c>
      <c r="CQ106" s="132">
        <f t="shared" si="154"/>
        <v>0.57496970464287656</v>
      </c>
      <c r="CR106" s="132">
        <f t="shared" si="153"/>
        <v>7.072691552062868E-2</v>
      </c>
      <c r="CS106" s="132">
        <f t="shared" si="156"/>
        <v>0.56974459724950877</v>
      </c>
      <c r="CT106" s="194"/>
      <c r="CU106" s="132">
        <f t="shared" si="157"/>
        <v>6.9823704129539185E-2</v>
      </c>
      <c r="CV106" s="132">
        <f t="shared" si="158"/>
        <v>0.69414103669636873</v>
      </c>
      <c r="CW106" s="132">
        <f t="shared" si="157"/>
        <v>7.0247933884297481E-2</v>
      </c>
      <c r="CX106" s="132">
        <f t="shared" si="160"/>
        <v>0.66942148760330578</v>
      </c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</row>
    <row r="107" spans="1:121" s="101" customFormat="1" x14ac:dyDescent="0.3">
      <c r="A107" s="160"/>
      <c r="B107" s="341"/>
      <c r="C107" s="242"/>
      <c r="D107" s="160"/>
      <c r="E107" s="242"/>
      <c r="F107" s="242"/>
      <c r="G107" s="156">
        <v>20</v>
      </c>
      <c r="H107" s="185">
        <f t="shared" si="136"/>
        <v>45272.75</v>
      </c>
      <c r="I107" s="374">
        <f t="shared" si="137"/>
        <v>985</v>
      </c>
      <c r="J107" s="376">
        <f t="shared" si="138"/>
        <v>985</v>
      </c>
      <c r="K107" s="377">
        <f t="shared" si="139"/>
        <v>985</v>
      </c>
      <c r="L107" s="374">
        <f t="shared" si="140"/>
        <v>448</v>
      </c>
      <c r="M107" s="387">
        <f t="shared" si="141"/>
        <v>1049</v>
      </c>
      <c r="N107" s="374"/>
      <c r="O107" s="197">
        <v>576</v>
      </c>
      <c r="P107" s="197">
        <v>1545</v>
      </c>
      <c r="Q107" s="197">
        <v>1421</v>
      </c>
      <c r="R107" s="197">
        <v>863</v>
      </c>
      <c r="S107" s="387">
        <v>1533</v>
      </c>
      <c r="T107" s="194"/>
      <c r="U107" s="420">
        <v>584</v>
      </c>
      <c r="V107" s="455">
        <v>558</v>
      </c>
      <c r="W107" s="421">
        <v>227</v>
      </c>
      <c r="X107" s="420"/>
      <c r="Y107" s="194"/>
      <c r="Z107" s="194"/>
      <c r="AA107" s="194"/>
      <c r="AB107" s="194"/>
      <c r="AC107" s="194"/>
      <c r="AD107" s="69"/>
      <c r="AE107" s="194"/>
      <c r="AF107" s="194"/>
      <c r="AG107" s="309"/>
      <c r="AH107" s="471"/>
      <c r="AI107" s="472"/>
      <c r="AJ107" s="309"/>
      <c r="AK107" s="97"/>
      <c r="AL107" s="97"/>
      <c r="AM107" s="95"/>
      <c r="AN107" s="105"/>
      <c r="AO107" s="95"/>
      <c r="AP107" s="105"/>
      <c r="AQ107" s="309"/>
      <c r="AR107" s="71"/>
      <c r="AS107" s="490"/>
      <c r="AT107" s="71"/>
      <c r="AU107" s="309"/>
      <c r="AV107" s="195"/>
      <c r="AW107" s="490"/>
      <c r="AX107" s="71"/>
      <c r="AY107" s="309"/>
      <c r="AZ107" s="194">
        <v>20</v>
      </c>
      <c r="BA107" s="194"/>
      <c r="BB107" s="194"/>
      <c r="BC107" s="194"/>
      <c r="BD107" s="194"/>
      <c r="BE107" s="132">
        <f t="shared" si="161"/>
        <v>9.3084706079103588E-2</v>
      </c>
      <c r="BF107" s="132">
        <f t="shared" si="162"/>
        <v>0.8051119101374139</v>
      </c>
      <c r="BG107" s="132">
        <f t="shared" si="163"/>
        <v>0.10455104551045509</v>
      </c>
      <c r="BH107" s="132">
        <f t="shared" si="142"/>
        <v>0.81426814268142678</v>
      </c>
      <c r="BI107" s="194"/>
      <c r="BJ107" s="194"/>
      <c r="BK107" s="342"/>
      <c r="BL107" s="132">
        <f t="shared" si="164"/>
        <v>0.11013413424296374</v>
      </c>
      <c r="BM107" s="132">
        <f t="shared" si="165"/>
        <v>0.78965250125708397</v>
      </c>
      <c r="BN107" s="342"/>
      <c r="BO107" s="132">
        <f t="shared" si="166"/>
        <v>9.1334894613583142E-2</v>
      </c>
      <c r="BP107" s="132">
        <f t="shared" si="167"/>
        <v>0.79625292740046827</v>
      </c>
      <c r="BQ107" s="194"/>
      <c r="BR107" s="194"/>
      <c r="BS107" s="342"/>
      <c r="BT107" s="132">
        <f t="shared" si="168"/>
        <v>0.11753867717650961</v>
      </c>
      <c r="BU107" s="132">
        <f t="shared" si="169"/>
        <v>0.77995644343298087</v>
      </c>
      <c r="BV107" s="342"/>
      <c r="BW107" s="132">
        <f t="shared" si="170"/>
        <v>0.11531690140845072</v>
      </c>
      <c r="BX107" s="132">
        <f t="shared" si="171"/>
        <v>0.79313380281690149</v>
      </c>
      <c r="BY107" s="194"/>
      <c r="BZ107" s="194"/>
      <c r="CA107" s="194"/>
      <c r="CB107" s="132">
        <f t="shared" si="172"/>
        <v>7.8066747920848875E-2</v>
      </c>
      <c r="CC107" s="132">
        <f t="shared" si="173"/>
        <v>0.83607864926871245</v>
      </c>
      <c r="CD107" s="194"/>
      <c r="CE107" s="132">
        <f t="shared" si="143"/>
        <v>8.0206985769728345E-2</v>
      </c>
      <c r="CF107" s="132">
        <f t="shared" si="144"/>
        <v>0.84605433376455386</v>
      </c>
      <c r="CG107" s="132">
        <f t="shared" si="143"/>
        <v>0.12668197127871708</v>
      </c>
      <c r="CH107" s="132">
        <f t="shared" si="146"/>
        <v>0.81554032541850296</v>
      </c>
      <c r="CI107" s="132">
        <f t="shared" si="143"/>
        <v>0.12264150943396226</v>
      </c>
      <c r="CJ107" s="132">
        <f t="shared" si="148"/>
        <v>0.82389937106918232</v>
      </c>
      <c r="CK107" s="132">
        <f t="shared" si="143"/>
        <v>0.10203756765361349</v>
      </c>
      <c r="CL107" s="132">
        <f t="shared" si="150"/>
        <v>0.80793006473522222</v>
      </c>
      <c r="CM107" s="132">
        <f t="shared" si="143"/>
        <v>8.9743589743589744E-2</v>
      </c>
      <c r="CN107" s="132">
        <f t="shared" si="152"/>
        <v>0.82051282051282048</v>
      </c>
      <c r="CO107" s="132"/>
      <c r="CP107" s="132">
        <f t="shared" si="153"/>
        <v>6.1332272242218162E-2</v>
      </c>
      <c r="CQ107" s="132">
        <f t="shared" si="154"/>
        <v>0.63630197688509471</v>
      </c>
      <c r="CR107" s="132">
        <f t="shared" si="153"/>
        <v>7.6620825147347735E-2</v>
      </c>
      <c r="CS107" s="132">
        <f t="shared" si="156"/>
        <v>0.64636542239685646</v>
      </c>
      <c r="CT107" s="194"/>
      <c r="CU107" s="132">
        <f t="shared" si="157"/>
        <v>0.12062853310338209</v>
      </c>
      <c r="CV107" s="132">
        <f t="shared" si="158"/>
        <v>0.81476956979975079</v>
      </c>
      <c r="CW107" s="132">
        <f t="shared" si="157"/>
        <v>0.13636363636363635</v>
      </c>
      <c r="CX107" s="132">
        <f t="shared" si="160"/>
        <v>0.80578512396694213</v>
      </c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</row>
    <row r="108" spans="1:121" s="2" customFormat="1" x14ac:dyDescent="0.3">
      <c r="A108" s="144"/>
      <c r="B108" s="144"/>
      <c r="C108" s="161"/>
      <c r="D108" s="144"/>
      <c r="E108" s="161"/>
      <c r="F108" s="161"/>
      <c r="G108" s="156">
        <v>21</v>
      </c>
      <c r="H108" s="185">
        <f t="shared" si="136"/>
        <v>45273.75</v>
      </c>
      <c r="I108" s="440">
        <f t="shared" si="137"/>
        <v>1136</v>
      </c>
      <c r="J108" s="378">
        <f t="shared" si="138"/>
        <v>1136</v>
      </c>
      <c r="K108" s="379">
        <f t="shared" si="139"/>
        <v>1136</v>
      </c>
      <c r="L108" s="388">
        <f t="shared" si="140"/>
        <v>480</v>
      </c>
      <c r="M108" s="379">
        <f t="shared" si="141"/>
        <v>1181</v>
      </c>
      <c r="N108" s="446">
        <v>1572</v>
      </c>
      <c r="O108" s="447">
        <v>756</v>
      </c>
      <c r="P108" s="493">
        <v>1664</v>
      </c>
      <c r="Q108" s="448">
        <v>1658</v>
      </c>
      <c r="R108" s="449">
        <v>975</v>
      </c>
      <c r="S108" s="450">
        <v>1680</v>
      </c>
      <c r="T108" s="39"/>
      <c r="U108" s="423">
        <v>658</v>
      </c>
      <c r="V108" s="467">
        <v>645</v>
      </c>
      <c r="W108" s="468">
        <v>269</v>
      </c>
      <c r="X108" s="422"/>
      <c r="Y108" s="39"/>
      <c r="Z108" s="39"/>
      <c r="AA108" s="39"/>
      <c r="AB108" s="39"/>
      <c r="AC108" s="39"/>
      <c r="AD108" s="39"/>
      <c r="AE108" s="39"/>
      <c r="AF108" s="39"/>
      <c r="AG108" s="123"/>
      <c r="AH108" s="226"/>
      <c r="AI108" s="124"/>
      <c r="AJ108" s="123"/>
      <c r="AK108" s="115"/>
      <c r="AL108" s="115"/>
      <c r="AM108" s="116"/>
      <c r="AN108" s="117"/>
      <c r="AO108" s="116"/>
      <c r="AP108" s="117"/>
      <c r="AQ108" s="123"/>
      <c r="AR108" s="80"/>
      <c r="AS108" s="126"/>
      <c r="AT108" s="80"/>
      <c r="AU108" s="123"/>
      <c r="AV108" s="54"/>
      <c r="AW108" s="126"/>
      <c r="AX108" s="52"/>
      <c r="AY108" s="39"/>
      <c r="AZ108" s="122">
        <v>21</v>
      </c>
      <c r="BA108" s="122"/>
      <c r="BB108" s="122"/>
      <c r="BC108" s="122"/>
      <c r="BD108" s="122"/>
      <c r="BE108" s="130">
        <f t="shared" si="161"/>
        <v>0.19488808986258604</v>
      </c>
      <c r="BF108" s="130">
        <f t="shared" si="162"/>
        <v>1</v>
      </c>
      <c r="BG108" s="130">
        <f t="shared" si="163"/>
        <v>0.18573185731857314</v>
      </c>
      <c r="BH108" s="130">
        <f t="shared" si="142"/>
        <v>0.99999999999999989</v>
      </c>
      <c r="BI108" s="39"/>
      <c r="BJ108" s="39"/>
      <c r="BK108" s="308"/>
      <c r="BL108" s="130">
        <f t="shared" si="164"/>
        <v>0.21034749874291619</v>
      </c>
      <c r="BM108" s="130">
        <f t="shared" si="165"/>
        <v>1.0000000000000002</v>
      </c>
      <c r="BN108" s="308"/>
      <c r="BO108" s="130">
        <f t="shared" si="166"/>
        <v>0.20374707259953165</v>
      </c>
      <c r="BP108" s="130">
        <f t="shared" si="167"/>
        <v>0.99999999999999989</v>
      </c>
      <c r="BQ108" s="39"/>
      <c r="BR108" s="39"/>
      <c r="BS108" s="308"/>
      <c r="BT108" s="130">
        <f t="shared" si="168"/>
        <v>0.2200435565670191</v>
      </c>
      <c r="BU108" s="130">
        <f t="shared" si="169"/>
        <v>1</v>
      </c>
      <c r="BV108" s="308"/>
      <c r="BW108" s="130">
        <f t="shared" si="170"/>
        <v>0.20686619718309859</v>
      </c>
      <c r="BX108" s="130">
        <f t="shared" si="171"/>
        <v>1</v>
      </c>
      <c r="BY108" s="39"/>
      <c r="BZ108" s="39"/>
      <c r="CA108" s="39"/>
      <c r="CB108" s="130">
        <f t="shared" si="172"/>
        <v>0.16392135073128766</v>
      </c>
      <c r="CC108" s="130">
        <f t="shared" si="173"/>
        <v>1</v>
      </c>
      <c r="CD108" s="39"/>
      <c r="CE108" s="130">
        <f t="shared" ref="CE108:CM108" si="174">CE79/SUM(CE$63:CE$79)</f>
        <v>0.15394566623544634</v>
      </c>
      <c r="CF108" s="130">
        <f t="shared" si="144"/>
        <v>1.0000000000000002</v>
      </c>
      <c r="CG108" s="130">
        <f t="shared" si="174"/>
        <v>0.18445967458149704</v>
      </c>
      <c r="CH108" s="130">
        <f t="shared" si="146"/>
        <v>1</v>
      </c>
      <c r="CI108" s="130">
        <f t="shared" si="174"/>
        <v>0.17610062893081763</v>
      </c>
      <c r="CJ108" s="130">
        <f t="shared" si="148"/>
        <v>1</v>
      </c>
      <c r="CK108" s="130">
        <f t="shared" si="174"/>
        <v>0.19206993526477767</v>
      </c>
      <c r="CL108" s="130">
        <f t="shared" si="150"/>
        <v>0.99999999999999989</v>
      </c>
      <c r="CM108" s="130">
        <f t="shared" si="174"/>
        <v>0.17948717948717949</v>
      </c>
      <c r="CN108" s="130">
        <f t="shared" si="152"/>
        <v>1</v>
      </c>
      <c r="CO108" s="65"/>
      <c r="CP108" s="130">
        <f t="shared" ref="CP108:CR108" si="175">CP79/SUM(CP$63:CP$79)</f>
        <v>0.36369802311490529</v>
      </c>
      <c r="CQ108" s="130">
        <f t="shared" si="154"/>
        <v>1</v>
      </c>
      <c r="CR108" s="130">
        <f t="shared" si="175"/>
        <v>0.35363457760314343</v>
      </c>
      <c r="CS108" s="130">
        <f t="shared" si="156"/>
        <v>0.99999999999999989</v>
      </c>
      <c r="CT108" s="39"/>
      <c r="CU108" s="130">
        <f t="shared" ref="CU108:CW108" si="176">CU79/SUM(CU$63:CU$79)</f>
        <v>0.18523043020024918</v>
      </c>
      <c r="CV108" s="130">
        <f t="shared" si="158"/>
        <v>1</v>
      </c>
      <c r="CW108" s="130">
        <f t="shared" si="176"/>
        <v>0.1942148760330579</v>
      </c>
      <c r="CX108" s="130">
        <f t="shared" si="160"/>
        <v>1</v>
      </c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</row>
    <row r="109" spans="1:121" s="2" customFormat="1" x14ac:dyDescent="0.3">
      <c r="A109" s="144"/>
      <c r="B109" s="144"/>
      <c r="C109" s="161"/>
      <c r="D109" s="144"/>
      <c r="E109" s="161"/>
      <c r="F109" s="161"/>
      <c r="G109" s="159"/>
      <c r="H109" s="186"/>
      <c r="I109" s="256"/>
      <c r="J109" s="227"/>
      <c r="K109" s="197"/>
      <c r="L109" s="227"/>
      <c r="M109" s="197"/>
      <c r="N109" s="276"/>
      <c r="O109" s="306"/>
      <c r="P109" s="276"/>
      <c r="Q109" s="306"/>
      <c r="R109" s="276"/>
      <c r="S109" s="306"/>
      <c r="T109" s="39"/>
      <c r="U109" s="424"/>
      <c r="V109" s="425"/>
      <c r="W109" s="424"/>
      <c r="X109" s="424"/>
      <c r="Y109" s="39"/>
      <c r="Z109" s="39"/>
      <c r="AA109" s="39"/>
      <c r="AB109" s="39"/>
      <c r="AC109" s="39"/>
      <c r="AD109" s="39"/>
      <c r="AE109" s="39"/>
      <c r="AF109" s="39"/>
      <c r="AG109" s="123"/>
      <c r="AH109" s="226"/>
      <c r="AI109" s="124"/>
      <c r="AJ109" s="123"/>
      <c r="AK109" s="115"/>
      <c r="AL109" s="115"/>
      <c r="AM109" s="116"/>
      <c r="AN109" s="117"/>
      <c r="AO109" s="116"/>
      <c r="AP109" s="117"/>
      <c r="AQ109" s="123"/>
      <c r="AR109" s="80"/>
      <c r="AS109" s="126"/>
      <c r="AT109" s="80"/>
      <c r="AU109" s="123"/>
      <c r="AV109" s="54"/>
      <c r="AW109" s="126"/>
      <c r="AX109" s="52"/>
      <c r="AY109" s="39"/>
      <c r="AZ109" s="122"/>
      <c r="BA109" s="122"/>
      <c r="BB109" s="122"/>
      <c r="BC109" s="122"/>
      <c r="BD109" s="122"/>
      <c r="BE109" s="130"/>
      <c r="BF109" s="132"/>
      <c r="BG109" s="130"/>
      <c r="BH109" s="132"/>
      <c r="BI109" s="39"/>
      <c r="BJ109" s="39"/>
      <c r="BK109" s="308"/>
      <c r="BL109" s="130"/>
      <c r="BM109" s="132"/>
      <c r="BN109" s="308"/>
      <c r="BO109" s="130"/>
      <c r="BP109" s="132"/>
      <c r="BQ109" s="39"/>
      <c r="BR109" s="39"/>
      <c r="BS109" s="308"/>
      <c r="BT109" s="130"/>
      <c r="BU109" s="132"/>
      <c r="BV109" s="308"/>
      <c r="BW109" s="130"/>
      <c r="BX109" s="132"/>
      <c r="BY109" s="39"/>
      <c r="BZ109" s="39"/>
      <c r="CA109" s="39"/>
      <c r="CB109" s="130"/>
      <c r="CC109" s="132"/>
      <c r="CD109" s="39"/>
      <c r="CE109" s="130"/>
      <c r="CF109" s="132"/>
      <c r="CG109" s="130"/>
      <c r="CH109" s="130"/>
      <c r="CI109" s="130"/>
      <c r="CJ109" s="65"/>
      <c r="CK109" s="130"/>
      <c r="CL109" s="65"/>
      <c r="CM109" s="130"/>
      <c r="CN109" s="65"/>
      <c r="CO109" s="65"/>
      <c r="CP109" s="130"/>
      <c r="CQ109" s="131"/>
      <c r="CR109" s="130"/>
      <c r="CS109" s="131"/>
      <c r="CT109" s="39"/>
      <c r="CU109" s="130"/>
      <c r="CV109" s="130"/>
      <c r="CW109" s="130"/>
      <c r="CX109" s="130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</row>
    <row r="110" spans="1:121" s="2" customFormat="1" x14ac:dyDescent="0.3">
      <c r="A110" s="144"/>
      <c r="B110" s="144"/>
      <c r="C110" s="161"/>
      <c r="D110" s="144"/>
      <c r="E110" s="161"/>
      <c r="F110" s="161"/>
      <c r="G110" s="159"/>
      <c r="H110" s="186"/>
      <c r="I110" s="256"/>
      <c r="J110" s="227"/>
      <c r="K110" s="197"/>
      <c r="L110" s="227"/>
      <c r="M110" s="197"/>
      <c r="N110" s="276"/>
      <c r="O110" s="306"/>
      <c r="P110" s="276"/>
      <c r="Q110" s="306"/>
      <c r="R110" s="276"/>
      <c r="S110" s="306"/>
      <c r="T110" s="39"/>
      <c r="U110" s="424"/>
      <c r="V110" s="425"/>
      <c r="W110" s="424"/>
      <c r="X110" s="424"/>
      <c r="Y110" s="39"/>
      <c r="Z110" s="39"/>
      <c r="AA110" s="39"/>
      <c r="AB110" s="39"/>
      <c r="AC110" s="39"/>
      <c r="AD110" s="39"/>
      <c r="AE110" s="39"/>
      <c r="AF110" s="39"/>
      <c r="AG110" s="123"/>
      <c r="AH110" s="226"/>
      <c r="AI110" s="124"/>
      <c r="AJ110" s="123"/>
      <c r="AK110" s="115"/>
      <c r="AL110" s="115"/>
      <c r="AM110" s="116"/>
      <c r="AN110" s="117"/>
      <c r="AO110" s="116"/>
      <c r="AP110" s="117"/>
      <c r="AQ110" s="123"/>
      <c r="AR110" s="80"/>
      <c r="AS110" s="126"/>
      <c r="AT110" s="80"/>
      <c r="AU110" s="123"/>
      <c r="AV110" s="54"/>
      <c r="AW110" s="126"/>
      <c r="AX110" s="52"/>
      <c r="AY110" s="39"/>
      <c r="AZ110" s="122"/>
      <c r="BA110" s="122"/>
      <c r="BB110" s="122"/>
      <c r="BC110" s="122"/>
      <c r="BD110" s="122"/>
      <c r="BE110" s="130"/>
      <c r="BF110" s="132"/>
      <c r="BG110" s="130"/>
      <c r="BH110" s="132"/>
      <c r="BI110" s="39"/>
      <c r="BJ110" s="39"/>
      <c r="BK110" s="308"/>
      <c r="BL110" s="130"/>
      <c r="BM110" s="132"/>
      <c r="BN110" s="308"/>
      <c r="BO110" s="130"/>
      <c r="BP110" s="132"/>
      <c r="BQ110" s="39"/>
      <c r="BR110" s="39"/>
      <c r="BS110" s="308"/>
      <c r="BT110" s="130"/>
      <c r="BU110" s="132"/>
      <c r="BV110" s="308"/>
      <c r="BW110" s="130"/>
      <c r="BX110" s="132"/>
      <c r="BY110" s="39"/>
      <c r="BZ110" s="39"/>
      <c r="CA110" s="39"/>
      <c r="CB110" s="130"/>
      <c r="CC110" s="132"/>
      <c r="CD110" s="39"/>
      <c r="CE110" s="130"/>
      <c r="CF110" s="132"/>
      <c r="CG110" s="130"/>
      <c r="CH110" s="130"/>
      <c r="CI110" s="130"/>
      <c r="CJ110" s="65"/>
      <c r="CK110" s="130"/>
      <c r="CL110" s="65"/>
      <c r="CM110" s="130"/>
      <c r="CN110" s="65"/>
      <c r="CO110" s="65"/>
      <c r="CP110" s="130"/>
      <c r="CQ110" s="131"/>
      <c r="CR110" s="130"/>
      <c r="CS110" s="131"/>
      <c r="CT110" s="39"/>
      <c r="CU110" s="130"/>
      <c r="CV110" s="130"/>
      <c r="CW110" s="130"/>
      <c r="CX110" s="130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</row>
    <row r="111" spans="1:121" s="2" customFormat="1" x14ac:dyDescent="0.3">
      <c r="A111" s="144"/>
      <c r="B111" s="144"/>
      <c r="C111" s="161"/>
      <c r="D111" s="144"/>
      <c r="E111" s="161"/>
      <c r="F111" s="161"/>
      <c r="G111" s="159"/>
      <c r="H111" s="186"/>
      <c r="I111" s="256"/>
      <c r="J111" s="227"/>
      <c r="K111" s="197"/>
      <c r="L111" s="227"/>
      <c r="M111" s="197"/>
      <c r="N111" s="276"/>
      <c r="O111" s="306"/>
      <c r="P111" s="276"/>
      <c r="Q111" s="306"/>
      <c r="R111" s="276"/>
      <c r="S111" s="306"/>
      <c r="T111" s="39"/>
      <c r="U111" s="424"/>
      <c r="V111" s="425"/>
      <c r="W111" s="424"/>
      <c r="X111" s="424"/>
      <c r="Y111" s="39"/>
      <c r="Z111" s="39"/>
      <c r="AA111" s="39"/>
      <c r="AB111" s="39"/>
      <c r="AC111" s="39"/>
      <c r="AD111" s="39"/>
      <c r="AE111" s="39"/>
      <c r="AF111" s="39"/>
      <c r="AG111" s="123"/>
      <c r="AH111" s="226"/>
      <c r="AI111" s="124"/>
      <c r="AJ111" s="123"/>
      <c r="AK111" s="115"/>
      <c r="AL111" s="115"/>
      <c r="AM111" s="116"/>
      <c r="AN111" s="117"/>
      <c r="AO111" s="116"/>
      <c r="AP111" s="117"/>
      <c r="AQ111" s="123"/>
      <c r="AR111" s="80"/>
      <c r="AS111" s="126"/>
      <c r="AT111" s="80"/>
      <c r="AU111" s="123"/>
      <c r="AV111" s="54"/>
      <c r="AW111" s="126"/>
      <c r="AX111" s="52"/>
      <c r="AY111" s="39"/>
      <c r="AZ111" s="122"/>
      <c r="BA111" s="122"/>
      <c r="BB111" s="122"/>
      <c r="BC111" s="122"/>
      <c r="BD111" s="122"/>
      <c r="BE111" s="130"/>
      <c r="BF111" s="132"/>
      <c r="BG111" s="130"/>
      <c r="BH111" s="132"/>
      <c r="BI111" s="39"/>
      <c r="BJ111" s="39"/>
      <c r="BK111" s="308"/>
      <c r="BL111" s="130"/>
      <c r="BM111" s="132"/>
      <c r="BN111" s="308"/>
      <c r="BO111" s="130"/>
      <c r="BP111" s="132"/>
      <c r="BQ111" s="39"/>
      <c r="BR111" s="39"/>
      <c r="BS111" s="308"/>
      <c r="BT111" s="130"/>
      <c r="BU111" s="132"/>
      <c r="BV111" s="308"/>
      <c r="BW111" s="130"/>
      <c r="BX111" s="132"/>
      <c r="BY111" s="39"/>
      <c r="BZ111" s="39"/>
      <c r="CA111" s="39"/>
      <c r="CB111" s="130"/>
      <c r="CC111" s="132"/>
      <c r="CD111" s="39"/>
      <c r="CE111" s="130"/>
      <c r="CF111" s="132"/>
      <c r="CG111" s="130"/>
      <c r="CH111" s="130"/>
      <c r="CI111" s="130"/>
      <c r="CJ111" s="65"/>
      <c r="CK111" s="130"/>
      <c r="CL111" s="65"/>
      <c r="CM111" s="130"/>
      <c r="CN111" s="65"/>
      <c r="CO111" s="65"/>
      <c r="CP111" s="130"/>
      <c r="CQ111" s="131"/>
      <c r="CR111" s="130"/>
      <c r="CS111" s="131"/>
      <c r="CT111" s="39"/>
      <c r="CU111" s="130"/>
      <c r="CV111" s="130"/>
      <c r="CW111" s="130"/>
      <c r="CX111" s="130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</row>
    <row r="112" spans="1:121" s="2" customFormat="1" x14ac:dyDescent="0.3">
      <c r="A112" s="144"/>
      <c r="B112" s="144"/>
      <c r="C112" s="161"/>
      <c r="D112" s="144"/>
      <c r="E112" s="161"/>
      <c r="F112" s="161"/>
      <c r="G112" s="159"/>
      <c r="H112" s="186"/>
      <c r="I112" s="256"/>
      <c r="J112" s="227"/>
      <c r="K112" s="197"/>
      <c r="L112" s="227"/>
      <c r="M112" s="197"/>
      <c r="N112" s="276"/>
      <c r="O112" s="306"/>
      <c r="P112" s="276"/>
      <c r="Q112" s="306"/>
      <c r="R112" s="276"/>
      <c r="S112" s="306"/>
      <c r="T112" s="39"/>
      <c r="U112" s="424"/>
      <c r="V112" s="425"/>
      <c r="W112" s="424"/>
      <c r="X112" s="424"/>
      <c r="Y112" s="39"/>
      <c r="Z112" s="39"/>
      <c r="AA112" s="39"/>
      <c r="AB112" s="39"/>
      <c r="AC112" s="39"/>
      <c r="AD112" s="39"/>
      <c r="AE112" s="39"/>
      <c r="AF112" s="39"/>
      <c r="AG112" s="123"/>
      <c r="AH112" s="226"/>
      <c r="AI112" s="124"/>
      <c r="AJ112" s="123"/>
      <c r="AK112" s="115"/>
      <c r="AL112" s="115"/>
      <c r="AM112" s="116"/>
      <c r="AN112" s="117"/>
      <c r="AO112" s="116"/>
      <c r="AP112" s="117"/>
      <c r="AQ112" s="123"/>
      <c r="AR112" s="80"/>
      <c r="AS112" s="126"/>
      <c r="AT112" s="80"/>
      <c r="AU112" s="123"/>
      <c r="AV112" s="54"/>
      <c r="AW112" s="126"/>
      <c r="AX112" s="52"/>
      <c r="AY112" s="39"/>
      <c r="AZ112" s="122"/>
      <c r="BA112" s="122"/>
      <c r="BB112" s="122"/>
      <c r="BC112" s="122"/>
      <c r="BD112" s="122"/>
      <c r="BE112" s="130"/>
      <c r="BF112" s="132"/>
      <c r="BG112" s="130"/>
      <c r="BH112" s="132"/>
      <c r="BI112" s="39"/>
      <c r="BJ112" s="39"/>
      <c r="BK112" s="308"/>
      <c r="BL112" s="130"/>
      <c r="BM112" s="132"/>
      <c r="BN112" s="308"/>
      <c r="BO112" s="130"/>
      <c r="BP112" s="132"/>
      <c r="BQ112" s="39"/>
      <c r="BR112" s="39"/>
      <c r="BS112" s="308"/>
      <c r="BT112" s="130"/>
      <c r="BU112" s="132"/>
      <c r="BV112" s="308"/>
      <c r="BW112" s="130"/>
      <c r="BX112" s="132"/>
      <c r="BY112" s="39"/>
      <c r="BZ112" s="39"/>
      <c r="CA112" s="39"/>
      <c r="CB112" s="130"/>
      <c r="CC112" s="132"/>
      <c r="CD112" s="39"/>
      <c r="CE112" s="130"/>
      <c r="CF112" s="132"/>
      <c r="CG112" s="130"/>
      <c r="CH112" s="130"/>
      <c r="CI112" s="130"/>
      <c r="CJ112" s="65"/>
      <c r="CK112" s="130"/>
      <c r="CL112" s="65"/>
      <c r="CM112" s="130"/>
      <c r="CN112" s="65"/>
      <c r="CO112" s="65"/>
      <c r="CP112" s="130"/>
      <c r="CQ112" s="131"/>
      <c r="CR112" s="130"/>
      <c r="CS112" s="131"/>
      <c r="CT112" s="39"/>
      <c r="CU112" s="130"/>
      <c r="CV112" s="130"/>
      <c r="CW112" s="130"/>
      <c r="CX112" s="130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</row>
    <row r="113" spans="1:121" s="2" customFormat="1" x14ac:dyDescent="0.3">
      <c r="A113" s="144"/>
      <c r="B113" s="144"/>
      <c r="C113" s="161"/>
      <c r="D113" s="144"/>
      <c r="E113" s="161"/>
      <c r="F113" s="161"/>
      <c r="G113" s="159"/>
      <c r="H113" s="186"/>
      <c r="I113" s="256"/>
      <c r="J113" s="227"/>
      <c r="K113" s="197"/>
      <c r="L113" s="227"/>
      <c r="M113" s="197"/>
      <c r="N113" s="276"/>
      <c r="O113" s="306"/>
      <c r="P113" s="276"/>
      <c r="Q113" s="306"/>
      <c r="R113" s="276"/>
      <c r="S113" s="306"/>
      <c r="T113" s="39"/>
      <c r="U113" s="424"/>
      <c r="V113" s="425"/>
      <c r="W113" s="424"/>
      <c r="X113" s="424"/>
      <c r="Y113" s="39"/>
      <c r="Z113" s="39"/>
      <c r="AA113" s="39"/>
      <c r="AB113" s="39"/>
      <c r="AC113" s="39"/>
      <c r="AD113" s="39"/>
      <c r="AE113" s="39"/>
      <c r="AF113" s="39"/>
      <c r="AG113" s="123"/>
      <c r="AH113" s="226"/>
      <c r="AI113" s="124"/>
      <c r="AJ113" s="123"/>
      <c r="AK113" s="115"/>
      <c r="AL113" s="115"/>
      <c r="AM113" s="116"/>
      <c r="AN113" s="117"/>
      <c r="AO113" s="116"/>
      <c r="AP113" s="117"/>
      <c r="AQ113" s="123"/>
      <c r="AR113" s="80"/>
      <c r="AS113" s="126"/>
      <c r="AT113" s="80"/>
      <c r="AU113" s="123"/>
      <c r="AV113" s="54"/>
      <c r="AW113" s="126"/>
      <c r="AX113" s="52"/>
      <c r="AY113" s="39"/>
      <c r="AZ113" s="122"/>
      <c r="BA113" s="122"/>
      <c r="BB113" s="122"/>
      <c r="BC113" s="122"/>
      <c r="BD113" s="122"/>
      <c r="BE113" s="130"/>
      <c r="BF113" s="132"/>
      <c r="BG113" s="130"/>
      <c r="BH113" s="132"/>
      <c r="BI113" s="39"/>
      <c r="BJ113" s="39"/>
      <c r="BK113" s="308"/>
      <c r="BL113" s="130"/>
      <c r="BM113" s="132"/>
      <c r="BN113" s="308"/>
      <c r="BO113" s="130"/>
      <c r="BP113" s="132"/>
      <c r="BQ113" s="39"/>
      <c r="BR113" s="39"/>
      <c r="BS113" s="308"/>
      <c r="BT113" s="130"/>
      <c r="BU113" s="132"/>
      <c r="BV113" s="308"/>
      <c r="BW113" s="130"/>
      <c r="BX113" s="132"/>
      <c r="BY113" s="39"/>
      <c r="BZ113" s="39"/>
      <c r="CA113" s="39"/>
      <c r="CB113" s="130"/>
      <c r="CC113" s="132"/>
      <c r="CD113" s="39"/>
      <c r="CE113" s="130"/>
      <c r="CF113" s="132"/>
      <c r="CG113" s="130"/>
      <c r="CH113" s="130"/>
      <c r="CI113" s="130"/>
      <c r="CJ113" s="65"/>
      <c r="CK113" s="130"/>
      <c r="CL113" s="65"/>
      <c r="CM113" s="130"/>
      <c r="CN113" s="65"/>
      <c r="CO113" s="65"/>
      <c r="CP113" s="130"/>
      <c r="CQ113" s="131"/>
      <c r="CR113" s="130"/>
      <c r="CS113" s="131"/>
      <c r="CT113" s="39"/>
      <c r="CU113" s="130"/>
      <c r="CV113" s="130"/>
      <c r="CW113" s="130"/>
      <c r="CX113" s="130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</row>
    <row r="114" spans="1:121" s="2" customFormat="1" x14ac:dyDescent="0.3">
      <c r="A114" s="144"/>
      <c r="B114" s="144"/>
      <c r="C114" s="161"/>
      <c r="D114" s="144"/>
      <c r="E114" s="161"/>
      <c r="F114" s="161"/>
      <c r="G114" s="144"/>
      <c r="H114" s="144"/>
      <c r="I114" s="144"/>
      <c r="J114" s="144"/>
      <c r="K114" s="144"/>
      <c r="L114" s="144"/>
      <c r="M114" s="144"/>
      <c r="N114" s="144"/>
      <c r="O114" s="160"/>
      <c r="P114" s="144"/>
      <c r="Q114" s="160"/>
      <c r="R114" s="144"/>
      <c r="S114" s="160"/>
      <c r="T114" s="39"/>
      <c r="U114" s="39"/>
      <c r="V114" s="194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123"/>
      <c r="AH114" s="226"/>
      <c r="AI114" s="124"/>
      <c r="AJ114" s="123"/>
      <c r="AK114" s="115"/>
      <c r="AL114" s="115"/>
      <c r="AM114" s="116"/>
      <c r="AN114" s="117"/>
      <c r="AO114" s="116"/>
      <c r="AP114" s="117"/>
      <c r="AQ114" s="123"/>
      <c r="AR114" s="80"/>
      <c r="AS114" s="126"/>
      <c r="AT114" s="80"/>
      <c r="AU114" s="123"/>
      <c r="AV114" s="54"/>
      <c r="AW114" s="126"/>
      <c r="AX114" s="52"/>
      <c r="AY114" s="39"/>
      <c r="AZ114" s="122"/>
      <c r="BA114" s="122"/>
      <c r="BB114" s="122"/>
      <c r="BC114" s="122"/>
      <c r="BD114" s="122"/>
      <c r="BE114" s="65">
        <f>SUM(BE94:BE96)</f>
        <v>0.15467291022103297</v>
      </c>
      <c r="BF114" s="132"/>
      <c r="BG114" s="65">
        <f>SUM(BG94:BG96)</f>
        <v>0.15867158671586715</v>
      </c>
      <c r="BH114" s="132"/>
      <c r="BI114" s="39"/>
      <c r="BJ114" s="39"/>
      <c r="BK114" s="308"/>
      <c r="BL114" s="65">
        <f>SUM(BL94:BL96)</f>
        <v>0.20257396409496761</v>
      </c>
      <c r="BM114" s="132"/>
      <c r="BN114" s="308"/>
      <c r="BO114" s="65">
        <f>SUM(BO94:BO96)</f>
        <v>0.19437939110070257</v>
      </c>
      <c r="BP114" s="132"/>
      <c r="BQ114" s="39"/>
      <c r="BR114" s="39"/>
      <c r="BS114" s="308"/>
      <c r="BT114" s="65">
        <f>SUM(BT94:BT96)</f>
        <v>0.16594825962125381</v>
      </c>
      <c r="BU114" s="132"/>
      <c r="BV114" s="308"/>
      <c r="BW114" s="65">
        <f>SUM(BW94:BW96)</f>
        <v>0.17517605633802819</v>
      </c>
      <c r="BX114" s="132"/>
      <c r="BY114" s="39"/>
      <c r="BZ114" s="39"/>
      <c r="CA114" s="39"/>
      <c r="CB114" s="65">
        <f>SUM(CB94:CB96)</f>
        <v>0.20656187266991685</v>
      </c>
      <c r="CC114" s="132"/>
      <c r="CD114" s="39"/>
      <c r="CE114" s="65">
        <f>SUM(CE94:CE96)</f>
        <v>0.20569210866752916</v>
      </c>
      <c r="CF114" s="132"/>
      <c r="CG114" s="65">
        <f>SUM(CG94:CG96)</f>
        <v>0.1422658645709402</v>
      </c>
      <c r="CH114" s="130"/>
      <c r="CI114" s="65">
        <f>SUM(CI94:CI96)</f>
        <v>0.1477987421383648</v>
      </c>
      <c r="CJ114" s="65"/>
      <c r="CK114" s="65">
        <f>SUM(CK94:CK96)</f>
        <v>0.12563673989175422</v>
      </c>
      <c r="CL114" s="65"/>
      <c r="CM114" s="65">
        <f>SUM(CM94:CM96)</f>
        <v>0.14358974358974358</v>
      </c>
      <c r="CN114" s="65"/>
      <c r="CO114" s="65"/>
      <c r="CP114" s="65">
        <f>SUM(CP94:CP96)</f>
        <v>0.10353777424080739</v>
      </c>
      <c r="CQ114" s="131"/>
      <c r="CR114" s="65">
        <f>SUM(CR94:CR96)</f>
        <v>0.1080550098231827</v>
      </c>
      <c r="CS114" s="131"/>
      <c r="CT114" s="39"/>
      <c r="CU114" s="130">
        <f>SUM(CU94:CU96)</f>
        <v>0.1268803295966274</v>
      </c>
      <c r="CV114" s="130"/>
      <c r="CW114" s="130">
        <f>SUM(CW94:CW96)</f>
        <v>0.11157024793388434</v>
      </c>
      <c r="CX114" s="130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</row>
    <row r="115" spans="1:121" s="2" customFormat="1" x14ac:dyDescent="0.3">
      <c r="A115" s="144"/>
      <c r="B115" s="144"/>
      <c r="C115" s="161"/>
      <c r="D115" s="144"/>
      <c r="E115" s="161"/>
      <c r="F115" s="161"/>
      <c r="G115" s="144"/>
      <c r="H115" s="144"/>
      <c r="I115" s="144"/>
      <c r="J115" s="144"/>
      <c r="K115" s="144"/>
      <c r="L115" s="171"/>
      <c r="M115" s="144"/>
      <c r="N115" s="144"/>
      <c r="O115" s="144"/>
      <c r="P115" s="144"/>
      <c r="Q115" s="144"/>
      <c r="R115" s="144"/>
      <c r="S115" s="14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123"/>
      <c r="AH115" s="226"/>
      <c r="AI115" s="124"/>
      <c r="AJ115" s="123"/>
      <c r="AK115" s="115"/>
      <c r="AL115" s="115"/>
      <c r="AM115" s="116"/>
      <c r="AN115" s="117"/>
      <c r="AO115" s="116"/>
      <c r="AP115" s="117"/>
      <c r="AQ115" s="123"/>
      <c r="AR115" s="80"/>
      <c r="AS115" s="126"/>
      <c r="AT115" s="80"/>
      <c r="AU115" s="123"/>
      <c r="AV115" s="54"/>
      <c r="AW115" s="126"/>
      <c r="AX115" s="52"/>
      <c r="AY115" s="39"/>
      <c r="AZ115" s="39"/>
      <c r="BA115" s="39"/>
      <c r="BB115" s="39"/>
      <c r="BC115" s="39"/>
      <c r="BD115" s="39"/>
      <c r="BE115" s="39"/>
      <c r="BF115" s="194"/>
      <c r="BG115" s="40"/>
      <c r="BH115" s="195"/>
      <c r="BI115" s="39"/>
      <c r="BJ115" s="39"/>
      <c r="BK115" s="308"/>
      <c r="BL115" s="39"/>
      <c r="BM115" s="194"/>
      <c r="BN115" s="308"/>
      <c r="BO115" s="40"/>
      <c r="BP115" s="195"/>
      <c r="BQ115" s="39"/>
      <c r="BR115" s="39"/>
      <c r="BS115" s="308"/>
      <c r="BT115" s="39"/>
      <c r="BU115" s="194"/>
      <c r="BV115" s="308"/>
      <c r="BW115" s="40"/>
      <c r="BX115" s="195"/>
      <c r="BY115" s="39"/>
      <c r="BZ115" s="39"/>
      <c r="CA115" s="39"/>
      <c r="CB115" s="39"/>
      <c r="CC115" s="194"/>
      <c r="CD115" s="39"/>
      <c r="CE115" s="40"/>
      <c r="CF115" s="195"/>
      <c r="CG115" s="39"/>
      <c r="CH115" s="39"/>
      <c r="CI115" s="40"/>
      <c r="CJ115" s="40"/>
      <c r="CK115" s="39"/>
      <c r="CL115" s="39"/>
      <c r="CM115" s="40"/>
      <c r="CN115" s="40"/>
      <c r="CO115" s="40"/>
      <c r="CP115" s="39"/>
      <c r="CQ115" s="39"/>
      <c r="CR115" s="40"/>
      <c r="CS115" s="40"/>
      <c r="CT115" s="39"/>
      <c r="CU115" s="39"/>
      <c r="CV115" s="39"/>
      <c r="CW115" s="40"/>
      <c r="CX115" s="40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</row>
    <row r="116" spans="1:121" s="2" customFormat="1" x14ac:dyDescent="0.3">
      <c r="A116" s="144"/>
      <c r="B116" s="144"/>
      <c r="C116" s="161"/>
      <c r="D116" s="144"/>
      <c r="E116" s="161"/>
      <c r="F116" s="161"/>
      <c r="G116" s="144"/>
      <c r="H116" s="144"/>
      <c r="I116" s="144"/>
      <c r="J116" s="144"/>
      <c r="K116" s="144"/>
      <c r="L116" s="171"/>
      <c r="M116" s="144"/>
      <c r="N116" s="144"/>
      <c r="O116" s="144"/>
      <c r="P116" s="144"/>
      <c r="Q116" s="144"/>
      <c r="R116" s="144"/>
      <c r="S116" s="14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123"/>
      <c r="AH116" s="226"/>
      <c r="AI116" s="124"/>
      <c r="AJ116" s="123"/>
      <c r="AK116" s="115"/>
      <c r="AL116" s="115"/>
      <c r="AM116" s="116"/>
      <c r="AN116" s="117"/>
      <c r="AO116" s="116"/>
      <c r="AP116" s="117"/>
      <c r="AQ116" s="123"/>
      <c r="AR116" s="80"/>
      <c r="AS116" s="126"/>
      <c r="AT116" s="80"/>
      <c r="AU116" s="123"/>
      <c r="AV116" s="54"/>
      <c r="AW116" s="126"/>
      <c r="AX116" s="52"/>
      <c r="AY116" s="39"/>
      <c r="AZ116" s="39"/>
      <c r="BA116" s="39"/>
      <c r="BB116" s="39"/>
      <c r="BC116" s="39"/>
      <c r="BD116" s="39"/>
      <c r="BE116" s="39"/>
      <c r="BF116" s="194"/>
      <c r="BG116" s="40"/>
      <c r="BH116" s="195"/>
      <c r="BI116" s="39"/>
      <c r="BJ116" s="39"/>
      <c r="BK116" s="308"/>
      <c r="BL116" s="39"/>
      <c r="BM116" s="194"/>
      <c r="BN116" s="308"/>
      <c r="BO116" s="40"/>
      <c r="BP116" s="195"/>
      <c r="BQ116" s="39"/>
      <c r="BR116" s="39"/>
      <c r="BS116" s="308"/>
      <c r="BT116" s="39"/>
      <c r="BU116" s="194"/>
      <c r="BV116" s="308"/>
      <c r="BW116" s="40"/>
      <c r="BX116" s="195"/>
      <c r="BY116" s="39"/>
      <c r="BZ116" s="39"/>
      <c r="CA116" s="39"/>
      <c r="CB116" s="39"/>
      <c r="CC116" s="194"/>
      <c r="CD116" s="39"/>
      <c r="CE116" s="40"/>
      <c r="CF116" s="195"/>
      <c r="CG116" s="39"/>
      <c r="CH116" s="39"/>
      <c r="CI116" s="40"/>
      <c r="CJ116" s="40"/>
      <c r="CK116" s="39"/>
      <c r="CL116" s="39"/>
      <c r="CM116" s="40"/>
      <c r="CN116" s="40"/>
      <c r="CO116" s="40"/>
      <c r="CP116" s="39"/>
      <c r="CQ116" s="39"/>
      <c r="CR116" s="40"/>
      <c r="CS116" s="40"/>
      <c r="CT116" s="39"/>
      <c r="CU116" s="39"/>
      <c r="CV116" s="39"/>
      <c r="CW116" s="40"/>
      <c r="CX116" s="40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</row>
    <row r="117" spans="1:121" s="2" customFormat="1" x14ac:dyDescent="0.3">
      <c r="A117" s="144"/>
      <c r="B117" s="144"/>
      <c r="C117" s="161"/>
      <c r="D117" s="144"/>
      <c r="E117" s="161"/>
      <c r="F117" s="161"/>
      <c r="G117" s="144"/>
      <c r="H117" s="144"/>
      <c r="I117" s="144"/>
      <c r="J117" s="144"/>
      <c r="K117" s="144"/>
      <c r="L117" s="171"/>
      <c r="M117" s="144"/>
      <c r="N117" s="171"/>
      <c r="O117" s="144"/>
      <c r="P117" s="171"/>
      <c r="Q117" s="144"/>
      <c r="R117" s="171"/>
      <c r="S117" s="144"/>
      <c r="T117" s="39"/>
      <c r="U117" s="138"/>
      <c r="V117" s="39"/>
      <c r="W117" s="138"/>
      <c r="X117" s="138"/>
      <c r="Y117" s="39"/>
      <c r="Z117" s="39"/>
      <c r="AA117" s="39"/>
      <c r="AB117" s="39"/>
      <c r="AC117" s="39"/>
      <c r="AD117" s="39"/>
      <c r="AE117" s="39"/>
      <c r="AF117" s="39"/>
      <c r="AG117" s="123"/>
      <c r="AH117" s="226"/>
      <c r="AI117" s="124"/>
      <c r="AJ117" s="123"/>
      <c r="AK117" s="115"/>
      <c r="AL117" s="115"/>
      <c r="AM117" s="116"/>
      <c r="AN117" s="117"/>
      <c r="AO117" s="116"/>
      <c r="AP117" s="117"/>
      <c r="AQ117" s="123"/>
      <c r="AR117" s="80"/>
      <c r="AS117" s="126"/>
      <c r="AT117" s="80"/>
      <c r="AU117" s="123"/>
      <c r="AV117" s="54"/>
      <c r="AW117" s="126"/>
      <c r="AX117" s="52"/>
      <c r="AY117" s="37"/>
      <c r="AZ117" s="39"/>
      <c r="BA117" s="39"/>
      <c r="BB117" s="39"/>
      <c r="BC117" s="39"/>
      <c r="BD117" s="39"/>
      <c r="BE117" s="39"/>
      <c r="BF117" s="194"/>
      <c r="BG117" s="40"/>
      <c r="BH117" s="195"/>
      <c r="BI117" s="39"/>
      <c r="BJ117" s="39"/>
      <c r="BK117" s="308"/>
      <c r="BL117" s="39"/>
      <c r="BM117" s="194"/>
      <c r="BN117" s="308"/>
      <c r="BO117" s="40"/>
      <c r="BP117" s="195"/>
      <c r="BQ117" s="39"/>
      <c r="BR117" s="39"/>
      <c r="BS117" s="308"/>
      <c r="BT117" s="39"/>
      <c r="BU117" s="194"/>
      <c r="BV117" s="308"/>
      <c r="BW117" s="40"/>
      <c r="BX117" s="195"/>
      <c r="BY117" s="39"/>
      <c r="BZ117" s="39"/>
      <c r="CA117" s="39"/>
      <c r="CB117" s="39"/>
      <c r="CC117" s="194"/>
      <c r="CD117" s="39"/>
      <c r="CE117" s="40"/>
      <c r="CF117" s="195"/>
      <c r="CG117" s="39"/>
      <c r="CH117" s="39"/>
      <c r="CI117" s="40"/>
      <c r="CJ117" s="40"/>
      <c r="CK117" s="39"/>
      <c r="CL117" s="39"/>
      <c r="CM117" s="40"/>
      <c r="CN117" s="40"/>
      <c r="CO117" s="40"/>
      <c r="CP117" s="39"/>
      <c r="CQ117" s="39"/>
      <c r="CR117" s="40"/>
      <c r="CS117" s="40"/>
      <c r="CT117" s="39"/>
      <c r="CU117" s="39"/>
      <c r="CV117" s="39"/>
      <c r="CW117" s="40"/>
      <c r="CX117" s="40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</row>
    <row r="118" spans="1:121" s="2" customFormat="1" x14ac:dyDescent="0.3">
      <c r="A118" s="144"/>
      <c r="B118" s="144"/>
      <c r="C118" s="161"/>
      <c r="D118" s="144"/>
      <c r="E118" s="161"/>
      <c r="F118" s="161"/>
      <c r="G118" s="144"/>
      <c r="H118" s="144"/>
      <c r="I118" s="144"/>
      <c r="J118" s="144"/>
      <c r="K118" s="144"/>
      <c r="L118" s="171"/>
      <c r="M118" s="144"/>
      <c r="N118" s="171"/>
      <c r="O118" s="144"/>
      <c r="P118" s="171"/>
      <c r="Q118" s="144"/>
      <c r="R118" s="171"/>
      <c r="S118" s="144"/>
      <c r="T118" s="39"/>
      <c r="U118" s="138"/>
      <c r="V118" s="39"/>
      <c r="W118" s="138"/>
      <c r="X118" s="138"/>
      <c r="Y118" s="39"/>
      <c r="Z118" s="39"/>
      <c r="AA118" s="39"/>
      <c r="AB118" s="39"/>
      <c r="AC118" s="39"/>
      <c r="AD118" s="39"/>
      <c r="AE118" s="39"/>
      <c r="AF118" s="39"/>
      <c r="AG118" s="123"/>
      <c r="AH118" s="226"/>
      <c r="AI118" s="124"/>
      <c r="AJ118" s="123"/>
      <c r="AK118" s="115"/>
      <c r="AL118" s="115"/>
      <c r="AM118" s="116"/>
      <c r="AN118" s="117"/>
      <c r="AO118" s="116"/>
      <c r="AP118" s="117"/>
      <c r="AQ118" s="123"/>
      <c r="AR118" s="80"/>
      <c r="AS118" s="126"/>
      <c r="AT118" s="80"/>
      <c r="AU118" s="123"/>
      <c r="AV118" s="54"/>
      <c r="AW118" s="126"/>
      <c r="AX118" s="52"/>
      <c r="AY118" s="37"/>
      <c r="AZ118" s="39"/>
      <c r="BA118" s="39"/>
      <c r="BB118" s="39"/>
      <c r="BC118" s="39"/>
      <c r="BD118" s="39"/>
      <c r="BE118" s="39"/>
      <c r="BF118" s="194"/>
      <c r="BG118" s="40"/>
      <c r="BH118" s="195"/>
      <c r="BI118" s="39"/>
      <c r="BJ118" s="39"/>
      <c r="BK118" s="308"/>
      <c r="BL118" s="39"/>
      <c r="BM118" s="194"/>
      <c r="BN118" s="308"/>
      <c r="BO118" s="40"/>
      <c r="BP118" s="195"/>
      <c r="BQ118" s="39"/>
      <c r="BR118" s="39"/>
      <c r="BS118" s="308"/>
      <c r="BT118" s="39"/>
      <c r="BU118" s="194"/>
      <c r="BV118" s="308"/>
      <c r="BW118" s="40"/>
      <c r="BX118" s="195"/>
      <c r="BY118" s="39"/>
      <c r="BZ118" s="39"/>
      <c r="CA118" s="39"/>
      <c r="CB118" s="39"/>
      <c r="CC118" s="194"/>
      <c r="CD118" s="39"/>
      <c r="CE118" s="40"/>
      <c r="CF118" s="195"/>
      <c r="CG118" s="39"/>
      <c r="CH118" s="39"/>
      <c r="CI118" s="40"/>
      <c r="CJ118" s="40"/>
      <c r="CK118" s="39"/>
      <c r="CL118" s="39"/>
      <c r="CM118" s="40"/>
      <c r="CN118" s="40"/>
      <c r="CO118" s="40"/>
      <c r="CP118" s="39"/>
      <c r="CQ118" s="39"/>
      <c r="CR118" s="40"/>
      <c r="CS118" s="40"/>
      <c r="CT118" s="39"/>
      <c r="CU118" s="39"/>
      <c r="CV118" s="39"/>
      <c r="CW118" s="40"/>
      <c r="CX118" s="40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</row>
    <row r="119" spans="1:121" s="2" customFormat="1" x14ac:dyDescent="0.3">
      <c r="A119" s="144"/>
      <c r="B119" s="144"/>
      <c r="C119" s="161"/>
      <c r="D119" s="144"/>
      <c r="E119" s="161"/>
      <c r="F119" s="161"/>
      <c r="G119" s="144"/>
      <c r="H119" s="144"/>
      <c r="I119" s="144"/>
      <c r="J119" s="144"/>
      <c r="K119" s="144"/>
      <c r="L119" s="144"/>
      <c r="M119" s="144"/>
      <c r="N119" s="171"/>
      <c r="O119" s="144"/>
      <c r="P119" s="171"/>
      <c r="Q119" s="144"/>
      <c r="R119" s="171"/>
      <c r="S119" s="144"/>
      <c r="T119" s="39"/>
      <c r="U119" s="138"/>
      <c r="V119" s="39"/>
      <c r="W119" s="138"/>
      <c r="X119" s="138"/>
      <c r="Y119" s="39"/>
      <c r="Z119" s="39"/>
      <c r="AA119" s="39"/>
      <c r="AB119" s="39"/>
      <c r="AC119" s="39"/>
      <c r="AD119" s="39"/>
      <c r="AE119" s="39"/>
      <c r="AF119" s="39"/>
      <c r="AG119" s="123"/>
      <c r="AH119" s="226"/>
      <c r="AI119" s="124"/>
      <c r="AJ119" s="123"/>
      <c r="AK119" s="115"/>
      <c r="AL119" s="115"/>
      <c r="AM119" s="116"/>
      <c r="AN119" s="117"/>
      <c r="AO119" s="116"/>
      <c r="AP119" s="117"/>
      <c r="AQ119" s="123"/>
      <c r="AR119" s="80"/>
      <c r="AS119" s="126"/>
      <c r="AT119" s="80"/>
      <c r="AU119" s="123"/>
      <c r="AV119" s="54"/>
      <c r="AW119" s="126"/>
      <c r="AX119" s="52"/>
      <c r="AY119" s="37"/>
      <c r="AZ119" s="39"/>
      <c r="BA119" s="39"/>
      <c r="BB119" s="39"/>
      <c r="BC119" s="39"/>
      <c r="BD119" s="39"/>
      <c r="BE119" s="39"/>
      <c r="BF119" s="194"/>
      <c r="BG119" s="40"/>
      <c r="BH119" s="195"/>
      <c r="BI119" s="39"/>
      <c r="BJ119" s="39"/>
      <c r="BK119" s="308"/>
      <c r="BL119" s="39"/>
      <c r="BM119" s="194"/>
      <c r="BN119" s="308"/>
      <c r="BO119" s="40"/>
      <c r="BP119" s="195"/>
      <c r="BQ119" s="39"/>
      <c r="BR119" s="39"/>
      <c r="BS119" s="308"/>
      <c r="BT119" s="39"/>
      <c r="BU119" s="194"/>
      <c r="BV119" s="308"/>
      <c r="BW119" s="40"/>
      <c r="BX119" s="195"/>
      <c r="BY119" s="39"/>
      <c r="BZ119" s="39"/>
      <c r="CA119" s="39"/>
      <c r="CB119" s="39"/>
      <c r="CC119" s="194"/>
      <c r="CD119" s="39"/>
      <c r="CE119" s="40"/>
      <c r="CF119" s="195"/>
      <c r="CG119" s="39"/>
      <c r="CH119" s="39"/>
      <c r="CI119" s="40"/>
      <c r="CJ119" s="40"/>
      <c r="CK119" s="39"/>
      <c r="CL119" s="39"/>
      <c r="CM119" s="40"/>
      <c r="CN119" s="40"/>
      <c r="CO119" s="40"/>
      <c r="CP119" s="39"/>
      <c r="CQ119" s="39"/>
      <c r="CR119" s="40"/>
      <c r="CS119" s="40"/>
      <c r="CT119" s="39"/>
      <c r="CU119" s="39"/>
      <c r="CV119" s="39"/>
      <c r="CW119" s="40"/>
      <c r="CX119" s="40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</row>
    <row r="120" spans="1:121" s="2" customFormat="1" x14ac:dyDescent="0.3">
      <c r="A120" s="144"/>
      <c r="B120" s="144"/>
      <c r="C120" s="161"/>
      <c r="D120" s="144"/>
      <c r="E120" s="161"/>
      <c r="F120" s="161"/>
      <c r="G120" s="144"/>
      <c r="H120" s="144"/>
      <c r="I120" s="144"/>
      <c r="J120" s="144"/>
      <c r="K120" s="144"/>
      <c r="L120" s="144"/>
      <c r="M120" s="144"/>
      <c r="N120" s="171"/>
      <c r="O120" s="144"/>
      <c r="P120" s="171"/>
      <c r="Q120" s="144"/>
      <c r="R120" s="171"/>
      <c r="S120" s="144"/>
      <c r="T120" s="39"/>
      <c r="U120" s="138"/>
      <c r="V120" s="39"/>
      <c r="W120" s="138"/>
      <c r="X120" s="138"/>
      <c r="Y120" s="39"/>
      <c r="Z120" s="39"/>
      <c r="AA120" s="39"/>
      <c r="AB120" s="39"/>
      <c r="AC120" s="39"/>
      <c r="AD120" s="107"/>
      <c r="AE120" s="122"/>
      <c r="AF120" s="122"/>
      <c r="AG120" s="123"/>
      <c r="AH120" s="226"/>
      <c r="AI120" s="124"/>
      <c r="AJ120" s="123"/>
      <c r="AK120" s="39"/>
      <c r="AL120" s="39"/>
      <c r="AM120" s="196"/>
      <c r="AN120" s="61"/>
      <c r="AO120" s="196"/>
      <c r="AP120" s="61"/>
      <c r="AQ120" s="39"/>
      <c r="AR120" s="52"/>
      <c r="AS120" s="39"/>
      <c r="AT120" s="52"/>
      <c r="AU120" s="39"/>
      <c r="AV120" s="52"/>
      <c r="AW120" s="39"/>
      <c r="AX120" s="52"/>
      <c r="AY120" s="39"/>
      <c r="AZ120" s="39"/>
      <c r="BA120" s="39"/>
      <c r="BB120" s="39"/>
      <c r="BC120" s="39"/>
      <c r="BD120" s="39"/>
      <c r="BE120" s="39"/>
      <c r="BF120" s="194"/>
      <c r="BG120" s="40"/>
      <c r="BH120" s="195"/>
      <c r="BI120" s="39"/>
      <c r="BJ120" s="39"/>
      <c r="BK120" s="308"/>
      <c r="BL120" s="39"/>
      <c r="BM120" s="194"/>
      <c r="BN120" s="308"/>
      <c r="BO120" s="40"/>
      <c r="BP120" s="195"/>
      <c r="BQ120" s="39"/>
      <c r="BR120" s="39"/>
      <c r="BS120" s="308"/>
      <c r="BT120" s="39"/>
      <c r="BU120" s="194"/>
      <c r="BV120" s="308"/>
      <c r="BW120" s="40"/>
      <c r="BX120" s="195"/>
      <c r="BY120" s="39"/>
      <c r="BZ120" s="39"/>
      <c r="CA120" s="39"/>
      <c r="CB120" s="39"/>
      <c r="CC120" s="194"/>
      <c r="CD120" s="39"/>
      <c r="CE120" s="40"/>
      <c r="CF120" s="195"/>
      <c r="CG120" s="39"/>
      <c r="CH120" s="39"/>
      <c r="CI120" s="40"/>
      <c r="CJ120" s="40"/>
      <c r="CK120" s="39"/>
      <c r="CL120" s="39"/>
      <c r="CM120" s="40"/>
      <c r="CN120" s="40"/>
      <c r="CO120" s="40"/>
      <c r="CP120" s="39"/>
      <c r="CQ120" s="39"/>
      <c r="CR120" s="40"/>
      <c r="CS120" s="40"/>
      <c r="CT120" s="39"/>
      <c r="CU120" s="39"/>
      <c r="CV120" s="39"/>
      <c r="CW120" s="40"/>
      <c r="CX120" s="40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</row>
    <row r="121" spans="1:121" s="2" customFormat="1" ht="18.75" customHeight="1" x14ac:dyDescent="0.3">
      <c r="A121" s="144"/>
      <c r="B121" s="173"/>
      <c r="C121" s="161"/>
      <c r="D121" s="144"/>
      <c r="E121" s="161"/>
      <c r="F121" s="161"/>
      <c r="G121" s="161"/>
      <c r="H121" s="161"/>
      <c r="I121" s="161"/>
      <c r="J121" s="161"/>
      <c r="K121" s="161"/>
      <c r="L121" s="161"/>
      <c r="M121" s="161"/>
      <c r="N121" s="157"/>
      <c r="O121" s="144"/>
      <c r="P121" s="157"/>
      <c r="Q121" s="144"/>
      <c r="R121" s="157"/>
      <c r="S121" s="144"/>
      <c r="T121" s="39"/>
      <c r="U121" s="426"/>
      <c r="V121" s="39"/>
      <c r="W121" s="426"/>
      <c r="X121" s="426"/>
      <c r="Y121" s="39"/>
      <c r="Z121" s="39"/>
      <c r="AA121" s="39"/>
      <c r="AB121" s="39"/>
      <c r="AC121" s="39"/>
      <c r="AD121" s="107"/>
      <c r="AE121" s="122"/>
      <c r="AF121" s="122"/>
      <c r="AG121" s="123"/>
      <c r="AH121" s="226"/>
      <c r="AI121" s="124"/>
      <c r="AJ121" s="123"/>
      <c r="AK121" s="39"/>
      <c r="AL121" s="39"/>
      <c r="AM121" s="196"/>
      <c r="AN121" s="61"/>
      <c r="AO121" s="196"/>
      <c r="AP121" s="61"/>
      <c r="AQ121" s="39"/>
      <c r="AR121" s="52"/>
      <c r="AS121" s="52"/>
      <c r="AT121" s="52"/>
      <c r="AU121" s="39"/>
      <c r="AV121" s="52"/>
      <c r="AW121" s="52"/>
      <c r="AX121" s="52"/>
      <c r="AY121" s="39"/>
      <c r="AZ121" s="39"/>
      <c r="BA121" s="39"/>
      <c r="BB121" s="39"/>
      <c r="BC121" s="39"/>
      <c r="BD121" s="39"/>
      <c r="BE121" s="39"/>
      <c r="BF121" s="194"/>
      <c r="BG121" s="40"/>
      <c r="BH121" s="195"/>
      <c r="BI121" s="39"/>
      <c r="BJ121" s="39"/>
      <c r="BK121" s="308"/>
      <c r="BL121" s="39"/>
      <c r="BM121" s="194"/>
      <c r="BN121" s="308"/>
      <c r="BO121" s="40"/>
      <c r="BP121" s="195"/>
      <c r="BQ121" s="39"/>
      <c r="BR121" s="39"/>
      <c r="BS121" s="308"/>
      <c r="BT121" s="39"/>
      <c r="BU121" s="194"/>
      <c r="BV121" s="308"/>
      <c r="BW121" s="40"/>
      <c r="BX121" s="195"/>
      <c r="BY121" s="39"/>
      <c r="BZ121" s="39"/>
      <c r="CA121" s="39"/>
      <c r="CB121" s="39"/>
      <c r="CC121" s="194"/>
      <c r="CD121" s="39"/>
      <c r="CE121" s="40"/>
      <c r="CF121" s="195"/>
      <c r="CG121" s="39"/>
      <c r="CH121" s="39"/>
      <c r="CI121" s="40"/>
      <c r="CJ121" s="40"/>
      <c r="CK121" s="39"/>
      <c r="CL121" s="39"/>
      <c r="CM121" s="40"/>
      <c r="CN121" s="40"/>
      <c r="CO121" s="40"/>
      <c r="CP121" s="39"/>
      <c r="CQ121" s="39"/>
      <c r="CR121" s="40"/>
      <c r="CS121" s="40"/>
      <c r="CT121" s="39"/>
      <c r="CU121" s="39"/>
      <c r="CV121" s="39"/>
      <c r="CW121" s="40"/>
      <c r="CX121" s="40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</row>
    <row r="122" spans="1:121" s="2" customFormat="1" ht="19.5" customHeight="1" x14ac:dyDescent="0.3">
      <c r="A122" s="144"/>
      <c r="B122" s="150"/>
      <c r="C122" s="161"/>
      <c r="D122" s="144"/>
      <c r="E122" s="161"/>
      <c r="F122" s="161"/>
      <c r="G122" s="161"/>
      <c r="H122" s="161"/>
      <c r="I122" s="161"/>
      <c r="J122" s="161"/>
      <c r="K122" s="161"/>
      <c r="L122" s="161"/>
      <c r="M122" s="161"/>
      <c r="N122" s="157"/>
      <c r="O122" s="144"/>
      <c r="P122" s="157"/>
      <c r="Q122" s="144"/>
      <c r="R122" s="157"/>
      <c r="S122" s="144"/>
      <c r="T122" s="39"/>
      <c r="U122" s="426"/>
      <c r="V122" s="39"/>
      <c r="W122" s="426"/>
      <c r="X122" s="426"/>
      <c r="Y122" s="39"/>
      <c r="Z122" s="39"/>
      <c r="AA122" s="39"/>
      <c r="AB122" s="39"/>
      <c r="AC122" s="39"/>
      <c r="AD122" s="107"/>
      <c r="AE122" s="122"/>
      <c r="AF122" s="122"/>
      <c r="AG122" s="123"/>
      <c r="AH122" s="226"/>
      <c r="AI122" s="124"/>
      <c r="AJ122" s="123"/>
      <c r="AK122" s="39"/>
      <c r="AL122" s="39"/>
      <c r="AM122" s="196"/>
      <c r="AN122" s="61"/>
      <c r="AO122" s="196"/>
      <c r="AP122" s="61"/>
      <c r="AQ122" s="39"/>
      <c r="AR122" s="52"/>
      <c r="AS122" s="52"/>
      <c r="AT122" s="52"/>
      <c r="AU122" s="39"/>
      <c r="AV122" s="52"/>
      <c r="AW122" s="52"/>
      <c r="AX122" s="52"/>
      <c r="AY122" s="39"/>
      <c r="AZ122" s="39"/>
      <c r="BA122" s="39"/>
      <c r="BB122" s="39"/>
      <c r="BC122" s="39"/>
      <c r="BD122" s="39"/>
      <c r="BE122" s="39"/>
      <c r="BF122" s="194"/>
      <c r="BG122" s="40"/>
      <c r="BH122" s="195"/>
      <c r="BI122" s="39"/>
      <c r="BJ122" s="39"/>
      <c r="BK122" s="308"/>
      <c r="BL122" s="39"/>
      <c r="BM122" s="194"/>
      <c r="BN122" s="308"/>
      <c r="BO122" s="40"/>
      <c r="BP122" s="195"/>
      <c r="BQ122" s="39"/>
      <c r="BR122" s="39"/>
      <c r="BS122" s="308"/>
      <c r="BT122" s="39"/>
      <c r="BU122" s="194"/>
      <c r="BV122" s="308"/>
      <c r="BW122" s="40"/>
      <c r="BX122" s="195"/>
      <c r="BY122" s="39"/>
      <c r="BZ122" s="39"/>
      <c r="CA122" s="39"/>
      <c r="CB122" s="39"/>
      <c r="CC122" s="194"/>
      <c r="CD122" s="39"/>
      <c r="CE122" s="40"/>
      <c r="CF122" s="195"/>
      <c r="CG122" s="39"/>
      <c r="CH122" s="39"/>
      <c r="CI122" s="40"/>
      <c r="CJ122" s="40"/>
      <c r="CK122" s="39"/>
      <c r="CL122" s="39"/>
      <c r="CM122" s="40"/>
      <c r="CN122" s="40"/>
      <c r="CO122" s="40"/>
      <c r="CP122" s="39"/>
      <c r="CQ122" s="39"/>
      <c r="CR122" s="40"/>
      <c r="CS122" s="40"/>
      <c r="CT122" s="39"/>
      <c r="CU122" s="39"/>
      <c r="CV122" s="39"/>
      <c r="CW122" s="40"/>
      <c r="CX122" s="40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</row>
    <row r="123" spans="1:121" s="2" customFormat="1" x14ac:dyDescent="0.3">
      <c r="A123" s="144"/>
      <c r="B123" s="150"/>
      <c r="C123" s="161"/>
      <c r="D123" s="144"/>
      <c r="E123" s="161"/>
      <c r="F123" s="161"/>
      <c r="G123" s="161"/>
      <c r="H123" s="161"/>
      <c r="I123" s="161"/>
      <c r="J123" s="161"/>
      <c r="K123" s="161"/>
      <c r="L123" s="161"/>
      <c r="M123" s="161"/>
      <c r="N123" s="157"/>
      <c r="O123" s="144"/>
      <c r="P123" s="157"/>
      <c r="Q123" s="144"/>
      <c r="R123" s="157"/>
      <c r="S123" s="144"/>
      <c r="T123" s="39"/>
      <c r="U123" s="426"/>
      <c r="V123" s="39"/>
      <c r="W123" s="426"/>
      <c r="X123" s="426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39"/>
      <c r="AL123" s="39"/>
      <c r="AM123" s="196"/>
      <c r="AN123" s="61"/>
      <c r="AO123" s="196"/>
      <c r="AP123" s="61"/>
      <c r="AQ123" s="123"/>
      <c r="AR123" s="80"/>
      <c r="AS123" s="126"/>
      <c r="AT123" s="52"/>
      <c r="AU123" s="39"/>
      <c r="AV123" s="52"/>
      <c r="AW123" s="52"/>
      <c r="AX123" s="52"/>
      <c r="AY123" s="39"/>
      <c r="AZ123" s="39"/>
      <c r="BA123" s="39"/>
      <c r="BB123" s="39"/>
      <c r="BC123" s="39"/>
      <c r="BD123" s="39"/>
      <c r="BE123" s="39"/>
      <c r="BF123" s="194"/>
      <c r="BG123" s="40"/>
      <c r="BH123" s="195"/>
      <c r="BI123" s="39"/>
      <c r="BJ123" s="39"/>
      <c r="BK123" s="308"/>
      <c r="BL123" s="39"/>
      <c r="BM123" s="194"/>
      <c r="BN123" s="308"/>
      <c r="BO123" s="40"/>
      <c r="BP123" s="195"/>
      <c r="BQ123" s="39"/>
      <c r="BR123" s="39"/>
      <c r="BS123" s="308"/>
      <c r="BT123" s="39"/>
      <c r="BU123" s="194"/>
      <c r="BV123" s="308"/>
      <c r="BW123" s="40"/>
      <c r="BX123" s="195"/>
      <c r="BY123" s="39"/>
      <c r="BZ123" s="39"/>
      <c r="CA123" s="39"/>
      <c r="CB123" s="39"/>
      <c r="CC123" s="194"/>
      <c r="CD123" s="39"/>
      <c r="CE123" s="40"/>
      <c r="CF123" s="195"/>
      <c r="CG123" s="39"/>
      <c r="CH123" s="39"/>
      <c r="CI123" s="40"/>
      <c r="CJ123" s="40"/>
      <c r="CK123" s="39"/>
      <c r="CL123" s="39"/>
      <c r="CM123" s="40"/>
      <c r="CN123" s="40"/>
      <c r="CO123" s="40"/>
      <c r="CP123" s="39"/>
      <c r="CQ123" s="39"/>
      <c r="CR123" s="40"/>
      <c r="CS123" s="40"/>
      <c r="CT123" s="39"/>
      <c r="CU123" s="39"/>
      <c r="CV123" s="39"/>
      <c r="CW123" s="40"/>
      <c r="CX123" s="40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</row>
    <row r="124" spans="1:121" s="2" customFormat="1" x14ac:dyDescent="0.3">
      <c r="A124" s="144"/>
      <c r="B124" s="150"/>
      <c r="C124" s="161"/>
      <c r="D124" s="144"/>
      <c r="E124" s="161"/>
      <c r="F124" s="161"/>
      <c r="G124" s="161"/>
      <c r="H124" s="161"/>
      <c r="I124" s="161"/>
      <c r="J124" s="161"/>
      <c r="K124" s="161"/>
      <c r="L124" s="161"/>
      <c r="M124" s="161"/>
      <c r="N124" s="157"/>
      <c r="O124" s="144"/>
      <c r="P124" s="157"/>
      <c r="Q124" s="144"/>
      <c r="R124" s="157"/>
      <c r="S124" s="144"/>
      <c r="T124" s="39"/>
      <c r="U124" s="426"/>
      <c r="V124" s="39"/>
      <c r="W124" s="426"/>
      <c r="X124" s="426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39"/>
      <c r="AL124" s="39"/>
      <c r="AM124" s="196"/>
      <c r="AN124" s="61"/>
      <c r="AO124" s="196"/>
      <c r="AP124" s="61"/>
      <c r="AQ124" s="116"/>
      <c r="AR124" s="139"/>
      <c r="AS124" s="61"/>
      <c r="AT124" s="52"/>
      <c r="AU124" s="39"/>
      <c r="AV124" s="52"/>
      <c r="AW124" s="52"/>
      <c r="AX124" s="52"/>
      <c r="AY124" s="39"/>
      <c r="AZ124" s="39"/>
      <c r="BA124" s="39"/>
      <c r="BB124" s="39"/>
      <c r="BC124" s="39"/>
      <c r="BD124" s="39"/>
      <c r="BE124" s="39"/>
      <c r="BF124" s="194"/>
      <c r="BG124" s="40"/>
      <c r="BH124" s="195"/>
      <c r="BI124" s="39"/>
      <c r="BJ124" s="39"/>
      <c r="BK124" s="308"/>
      <c r="BL124" s="39"/>
      <c r="BM124" s="194"/>
      <c r="BN124" s="308"/>
      <c r="BO124" s="40"/>
      <c r="BP124" s="195"/>
      <c r="BQ124" s="39"/>
      <c r="BR124" s="39"/>
      <c r="BS124" s="308"/>
      <c r="BT124" s="39"/>
      <c r="BU124" s="194"/>
      <c r="BV124" s="308"/>
      <c r="BW124" s="40"/>
      <c r="BX124" s="195"/>
      <c r="BY124" s="39"/>
      <c r="BZ124" s="39"/>
      <c r="CA124" s="39"/>
      <c r="CB124" s="39"/>
      <c r="CC124" s="194"/>
      <c r="CD124" s="39"/>
      <c r="CE124" s="40"/>
      <c r="CF124" s="195"/>
      <c r="CG124" s="39"/>
      <c r="CH124" s="39"/>
      <c r="CI124" s="40"/>
      <c r="CJ124" s="40"/>
      <c r="CK124" s="39"/>
      <c r="CL124" s="39"/>
      <c r="CM124" s="40"/>
      <c r="CN124" s="40"/>
      <c r="CO124" s="40"/>
      <c r="CP124" s="39"/>
      <c r="CQ124" s="39"/>
      <c r="CR124" s="40"/>
      <c r="CS124" s="40"/>
      <c r="CT124" s="39"/>
      <c r="CU124" s="39"/>
      <c r="CV124" s="39"/>
      <c r="CW124" s="40"/>
      <c r="CX124" s="40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</row>
    <row r="125" spans="1:121" s="2" customFormat="1" x14ac:dyDescent="0.3">
      <c r="A125" s="144"/>
      <c r="B125" s="150"/>
      <c r="C125" s="161"/>
      <c r="D125" s="144"/>
      <c r="E125" s="161"/>
      <c r="F125" s="161"/>
      <c r="G125" s="161"/>
      <c r="H125" s="161"/>
      <c r="I125" s="161"/>
      <c r="J125" s="161"/>
      <c r="K125" s="161"/>
      <c r="L125" s="161"/>
      <c r="M125" s="161"/>
      <c r="N125" s="157"/>
      <c r="O125" s="144"/>
      <c r="P125" s="157"/>
      <c r="Q125" s="144"/>
      <c r="R125" s="157"/>
      <c r="S125" s="144"/>
      <c r="T125" s="39"/>
      <c r="U125" s="426"/>
      <c r="V125" s="39"/>
      <c r="W125" s="426"/>
      <c r="X125" s="426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39"/>
      <c r="AL125" s="39"/>
      <c r="AM125" s="196"/>
      <c r="AN125" s="61"/>
      <c r="AO125" s="196"/>
      <c r="AP125" s="61"/>
      <c r="AQ125" s="116"/>
      <c r="AR125" s="139"/>
      <c r="AS125" s="61"/>
      <c r="AT125" s="52"/>
      <c r="AU125" s="39"/>
      <c r="AV125" s="52"/>
      <c r="AW125" s="52"/>
      <c r="AX125" s="52"/>
      <c r="AY125" s="39"/>
      <c r="AZ125" s="39"/>
      <c r="BA125" s="39"/>
      <c r="BB125" s="39"/>
      <c r="BC125" s="39"/>
      <c r="BD125" s="39"/>
      <c r="BE125" s="39"/>
      <c r="BF125" s="194"/>
      <c r="BG125" s="40"/>
      <c r="BH125" s="195"/>
      <c r="BI125" s="39"/>
      <c r="BJ125" s="39"/>
      <c r="BK125" s="308"/>
      <c r="BL125" s="39"/>
      <c r="BM125" s="194"/>
      <c r="BN125" s="308"/>
      <c r="BO125" s="40"/>
      <c r="BP125" s="195"/>
      <c r="BQ125" s="39"/>
      <c r="BR125" s="39"/>
      <c r="BS125" s="308"/>
      <c r="BT125" s="39"/>
      <c r="BU125" s="194"/>
      <c r="BV125" s="308"/>
      <c r="BW125" s="40"/>
      <c r="BX125" s="195"/>
      <c r="BY125" s="39"/>
      <c r="BZ125" s="39"/>
      <c r="CA125" s="39"/>
      <c r="CB125" s="39"/>
      <c r="CC125" s="194"/>
      <c r="CD125" s="39"/>
      <c r="CE125" s="40"/>
      <c r="CF125" s="195"/>
      <c r="CG125" s="39"/>
      <c r="CH125" s="39"/>
      <c r="CI125" s="40"/>
      <c r="CJ125" s="40"/>
      <c r="CK125" s="39"/>
      <c r="CL125" s="39"/>
      <c r="CM125" s="40"/>
      <c r="CN125" s="40"/>
      <c r="CO125" s="40"/>
      <c r="CP125" s="39"/>
      <c r="CQ125" s="39"/>
      <c r="CR125" s="40"/>
      <c r="CS125" s="40"/>
      <c r="CT125" s="39"/>
      <c r="CU125" s="39"/>
      <c r="CV125" s="39"/>
      <c r="CW125" s="40"/>
      <c r="CX125" s="40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</row>
    <row r="126" spans="1:121" s="2" customFormat="1" x14ac:dyDescent="0.3">
      <c r="A126" s="144"/>
      <c r="B126" s="150"/>
      <c r="C126" s="161"/>
      <c r="D126" s="144"/>
      <c r="E126" s="161"/>
      <c r="F126" s="161"/>
      <c r="G126" s="161"/>
      <c r="H126" s="161"/>
      <c r="I126" s="161"/>
      <c r="J126" s="161"/>
      <c r="K126" s="161"/>
      <c r="L126" s="161"/>
      <c r="M126" s="161"/>
      <c r="N126" s="157"/>
      <c r="O126" s="144"/>
      <c r="P126" s="157"/>
      <c r="Q126" s="144"/>
      <c r="R126" s="157"/>
      <c r="S126" s="144"/>
      <c r="T126" s="39"/>
      <c r="U126" s="426"/>
      <c r="V126" s="39"/>
      <c r="W126" s="426"/>
      <c r="X126" s="426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39"/>
      <c r="AL126" s="39"/>
      <c r="AM126" s="196"/>
      <c r="AN126" s="61"/>
      <c r="AO126" s="196"/>
      <c r="AP126" s="61"/>
      <c r="AQ126" s="116"/>
      <c r="AR126" s="139"/>
      <c r="AS126" s="61"/>
      <c r="AT126" s="52"/>
      <c r="AU126" s="39"/>
      <c r="AV126" s="52"/>
      <c r="AW126" s="52"/>
      <c r="AX126" s="52"/>
      <c r="AY126" s="39"/>
      <c r="AZ126" s="39"/>
      <c r="BA126" s="39"/>
      <c r="BB126" s="39"/>
      <c r="BC126" s="39"/>
      <c r="BD126" s="39"/>
      <c r="BE126" s="39"/>
      <c r="BF126" s="194"/>
      <c r="BG126" s="40"/>
      <c r="BH126" s="195"/>
      <c r="BI126" s="39"/>
      <c r="BJ126" s="39"/>
      <c r="BK126" s="308"/>
      <c r="BL126" s="39"/>
      <c r="BM126" s="194"/>
      <c r="BN126" s="308"/>
      <c r="BO126" s="40"/>
      <c r="BP126" s="195"/>
      <c r="BQ126" s="39"/>
      <c r="BR126" s="39"/>
      <c r="BS126" s="308"/>
      <c r="BT126" s="39"/>
      <c r="BU126" s="194"/>
      <c r="BV126" s="308"/>
      <c r="BW126" s="40"/>
      <c r="BX126" s="195"/>
      <c r="BY126" s="39"/>
      <c r="BZ126" s="39"/>
      <c r="CA126" s="39"/>
      <c r="CB126" s="39"/>
      <c r="CC126" s="194"/>
      <c r="CD126" s="39"/>
      <c r="CE126" s="40"/>
      <c r="CF126" s="195"/>
      <c r="CG126" s="39"/>
      <c r="CH126" s="39"/>
      <c r="CI126" s="40"/>
      <c r="CJ126" s="40"/>
      <c r="CK126" s="39"/>
      <c r="CL126" s="39"/>
      <c r="CM126" s="40"/>
      <c r="CN126" s="40"/>
      <c r="CO126" s="40"/>
      <c r="CP126" s="39"/>
      <c r="CQ126" s="39"/>
      <c r="CR126" s="40"/>
      <c r="CS126" s="40"/>
      <c r="CT126" s="39"/>
      <c r="CU126" s="39"/>
      <c r="CV126" s="39"/>
      <c r="CW126" s="40"/>
      <c r="CX126" s="40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</row>
    <row r="127" spans="1:121" s="2" customFormat="1" x14ac:dyDescent="0.3">
      <c r="A127" s="144"/>
      <c r="B127" s="150"/>
      <c r="C127" s="161"/>
      <c r="D127" s="144"/>
      <c r="E127" s="161"/>
      <c r="F127" s="161"/>
      <c r="G127" s="161"/>
      <c r="H127" s="161"/>
      <c r="I127" s="161"/>
      <c r="J127" s="161"/>
      <c r="K127" s="161"/>
      <c r="L127" s="161"/>
      <c r="M127" s="161"/>
      <c r="N127" s="157"/>
      <c r="O127" s="144"/>
      <c r="P127" s="157"/>
      <c r="Q127" s="144"/>
      <c r="R127" s="157"/>
      <c r="S127" s="144"/>
      <c r="T127" s="39"/>
      <c r="U127" s="426"/>
      <c r="V127" s="39"/>
      <c r="W127" s="426"/>
      <c r="X127" s="426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39"/>
      <c r="AL127" s="39"/>
      <c r="AM127" s="196"/>
      <c r="AN127" s="61"/>
      <c r="AO127" s="196"/>
      <c r="AP127" s="61"/>
      <c r="AQ127" s="116"/>
      <c r="AR127" s="139"/>
      <c r="AS127" s="61"/>
      <c r="AT127" s="52"/>
      <c r="AU127" s="39"/>
      <c r="AV127" s="52"/>
      <c r="AW127" s="52"/>
      <c r="AX127" s="52"/>
      <c r="AY127" s="39"/>
      <c r="AZ127" s="39"/>
      <c r="BA127" s="39"/>
      <c r="BB127" s="39"/>
      <c r="BC127" s="39"/>
      <c r="BD127" s="39"/>
      <c r="BE127" s="39"/>
      <c r="BF127" s="194"/>
      <c r="BG127" s="40"/>
      <c r="BH127" s="195"/>
      <c r="BI127" s="39"/>
      <c r="BJ127" s="39"/>
      <c r="BK127" s="308"/>
      <c r="BL127" s="39"/>
      <c r="BM127" s="194"/>
      <c r="BN127" s="308"/>
      <c r="BO127" s="40"/>
      <c r="BP127" s="195"/>
      <c r="BQ127" s="39"/>
      <c r="BR127" s="39"/>
      <c r="BS127" s="308"/>
      <c r="BT127" s="39"/>
      <c r="BU127" s="194"/>
      <c r="BV127" s="308"/>
      <c r="BW127" s="40"/>
      <c r="BX127" s="195"/>
      <c r="BY127" s="39"/>
      <c r="BZ127" s="39"/>
      <c r="CA127" s="39"/>
      <c r="CB127" s="39"/>
      <c r="CC127" s="194"/>
      <c r="CD127" s="39"/>
      <c r="CE127" s="40"/>
      <c r="CF127" s="195"/>
      <c r="CG127" s="39"/>
      <c r="CH127" s="39"/>
      <c r="CI127" s="40"/>
      <c r="CJ127" s="40"/>
      <c r="CK127" s="39"/>
      <c r="CL127" s="39"/>
      <c r="CM127" s="40"/>
      <c r="CN127" s="40"/>
      <c r="CO127" s="40"/>
      <c r="CP127" s="39"/>
      <c r="CQ127" s="39"/>
      <c r="CR127" s="40"/>
      <c r="CS127" s="40"/>
      <c r="CT127" s="39"/>
      <c r="CU127" s="39"/>
      <c r="CV127" s="39"/>
      <c r="CW127" s="40"/>
      <c r="CX127" s="40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</row>
    <row r="128" spans="1:121" s="2" customFormat="1" x14ac:dyDescent="0.3">
      <c r="A128" s="144"/>
      <c r="B128" s="150"/>
      <c r="C128" s="161"/>
      <c r="D128" s="144"/>
      <c r="E128" s="161"/>
      <c r="F128" s="161"/>
      <c r="G128" s="161"/>
      <c r="H128" s="161"/>
      <c r="I128" s="161"/>
      <c r="J128" s="161"/>
      <c r="K128" s="161"/>
      <c r="L128" s="161"/>
      <c r="M128" s="161"/>
      <c r="N128" s="157"/>
      <c r="O128" s="144"/>
      <c r="P128" s="157"/>
      <c r="Q128" s="144"/>
      <c r="R128" s="157"/>
      <c r="S128" s="144"/>
      <c r="T128" s="39"/>
      <c r="U128" s="426"/>
      <c r="V128" s="39"/>
      <c r="W128" s="426"/>
      <c r="X128" s="426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40"/>
      <c r="AK128" s="39"/>
      <c r="AL128" s="39"/>
      <c r="AM128" s="196"/>
      <c r="AN128" s="61"/>
      <c r="AO128" s="196"/>
      <c r="AP128" s="61"/>
      <c r="AQ128" s="116">
        <f>AQ76*Vergleich!AU41</f>
        <v>0</v>
      </c>
      <c r="AR128" s="139"/>
      <c r="AS128" s="61">
        <f>ROUND(AG76*Vergleich!AV41,)</f>
        <v>0</v>
      </c>
      <c r="AT128" s="52"/>
      <c r="AU128" s="39"/>
      <c r="AV128" s="52"/>
      <c r="AW128" s="52"/>
      <c r="AX128" s="52"/>
      <c r="AY128" s="39"/>
      <c r="AZ128" s="39"/>
      <c r="BA128" s="39"/>
      <c r="BB128" s="39"/>
      <c r="BC128" s="39"/>
      <c r="BD128" s="39"/>
      <c r="BE128" s="39"/>
      <c r="BF128" s="194"/>
      <c r="BG128" s="40"/>
      <c r="BH128" s="195"/>
      <c r="BI128" s="39"/>
      <c r="BJ128" s="39"/>
      <c r="BK128" s="308"/>
      <c r="BL128" s="39"/>
      <c r="BM128" s="194"/>
      <c r="BN128" s="308"/>
      <c r="BO128" s="40"/>
      <c r="BP128" s="195"/>
      <c r="BQ128" s="39"/>
      <c r="BR128" s="39"/>
      <c r="BS128" s="308"/>
      <c r="BT128" s="39"/>
      <c r="BU128" s="194"/>
      <c r="BV128" s="308"/>
      <c r="BW128" s="40"/>
      <c r="BX128" s="195"/>
      <c r="BY128" s="39"/>
      <c r="BZ128" s="39"/>
      <c r="CA128" s="39"/>
      <c r="CB128" s="39"/>
      <c r="CC128" s="194"/>
      <c r="CD128" s="39"/>
      <c r="CE128" s="40"/>
      <c r="CF128" s="195"/>
      <c r="CG128" s="39"/>
      <c r="CH128" s="39"/>
      <c r="CI128" s="40"/>
      <c r="CJ128" s="40"/>
      <c r="CK128" s="39"/>
      <c r="CL128" s="39"/>
      <c r="CM128" s="40"/>
      <c r="CN128" s="40"/>
      <c r="CO128" s="40"/>
      <c r="CP128" s="39"/>
      <c r="CQ128" s="39"/>
      <c r="CR128" s="40"/>
      <c r="CS128" s="40"/>
      <c r="CT128" s="39"/>
      <c r="CU128" s="39"/>
      <c r="CV128" s="39"/>
      <c r="CW128" s="40"/>
      <c r="CX128" s="40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</row>
    <row r="129" spans="1:121" s="2" customFormat="1" x14ac:dyDescent="0.3">
      <c r="A129" s="144"/>
      <c r="B129" s="150"/>
      <c r="C129" s="161"/>
      <c r="D129" s="144"/>
      <c r="E129" s="161"/>
      <c r="F129" s="161"/>
      <c r="G129" s="161"/>
      <c r="H129" s="161"/>
      <c r="I129" s="161"/>
      <c r="J129" s="161"/>
      <c r="K129" s="161"/>
      <c r="L129" s="161"/>
      <c r="M129" s="161"/>
      <c r="N129" s="157"/>
      <c r="O129" s="144"/>
      <c r="P129" s="157"/>
      <c r="Q129" s="144"/>
      <c r="R129" s="157"/>
      <c r="S129" s="144"/>
      <c r="T129" s="39"/>
      <c r="U129" s="426"/>
      <c r="V129" s="39"/>
      <c r="W129" s="426"/>
      <c r="X129" s="426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39"/>
      <c r="AL129" s="39"/>
      <c r="AM129" s="196"/>
      <c r="AN129" s="61"/>
      <c r="AO129" s="196"/>
      <c r="AP129" s="61"/>
      <c r="AQ129" s="124">
        <f>MIN(AQ124:AQ128)</f>
        <v>0</v>
      </c>
      <c r="AR129" s="52"/>
      <c r="AS129" s="129">
        <f>MIN(AS124:AS128)</f>
        <v>0</v>
      </c>
      <c r="AT129" s="52"/>
      <c r="AU129" s="39"/>
      <c r="AV129" s="52"/>
      <c r="AW129" s="52"/>
      <c r="AX129" s="52"/>
      <c r="AY129" s="39"/>
      <c r="AZ129" s="39"/>
      <c r="BA129" s="39"/>
      <c r="BB129" s="39"/>
      <c r="BC129" s="39"/>
      <c r="BD129" s="39"/>
      <c r="BE129" s="39"/>
      <c r="BF129" s="194"/>
      <c r="BG129" s="40"/>
      <c r="BH129" s="195"/>
      <c r="BI129" s="39"/>
      <c r="BJ129" s="39"/>
      <c r="BK129" s="308"/>
      <c r="BL129" s="39"/>
      <c r="BM129" s="194"/>
      <c r="BN129" s="308"/>
      <c r="BO129" s="40"/>
      <c r="BP129" s="195"/>
      <c r="BQ129" s="39"/>
      <c r="BR129" s="39"/>
      <c r="BS129" s="308"/>
      <c r="BT129" s="39"/>
      <c r="BU129" s="194"/>
      <c r="BV129" s="308"/>
      <c r="BW129" s="40"/>
      <c r="BX129" s="195"/>
      <c r="BY129" s="39"/>
      <c r="BZ129" s="39"/>
      <c r="CA129" s="39"/>
      <c r="CB129" s="39"/>
      <c r="CC129" s="194"/>
      <c r="CD129" s="39"/>
      <c r="CE129" s="40"/>
      <c r="CF129" s="195"/>
      <c r="CG129" s="39"/>
      <c r="CH129" s="39"/>
      <c r="CI129" s="40"/>
      <c r="CJ129" s="40"/>
      <c r="CK129" s="39"/>
      <c r="CL129" s="39"/>
      <c r="CM129" s="40"/>
      <c r="CN129" s="40"/>
      <c r="CO129" s="40"/>
      <c r="CP129" s="39"/>
      <c r="CQ129" s="39"/>
      <c r="CR129" s="40"/>
      <c r="CS129" s="40"/>
      <c r="CT129" s="39"/>
      <c r="CU129" s="39"/>
      <c r="CV129" s="39"/>
      <c r="CW129" s="40"/>
      <c r="CX129" s="40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</row>
    <row r="130" spans="1:121" s="2" customFormat="1" x14ac:dyDescent="0.3">
      <c r="A130" s="144"/>
      <c r="B130" s="150"/>
      <c r="C130" s="161"/>
      <c r="D130" s="144"/>
      <c r="E130" s="161"/>
      <c r="F130" s="161"/>
      <c r="G130" s="161"/>
      <c r="H130" s="161"/>
      <c r="I130" s="161"/>
      <c r="J130" s="161"/>
      <c r="K130" s="161"/>
      <c r="L130" s="161"/>
      <c r="M130" s="161"/>
      <c r="N130" s="157"/>
      <c r="O130" s="144"/>
      <c r="P130" s="157"/>
      <c r="Q130" s="144"/>
      <c r="R130" s="157"/>
      <c r="S130" s="144"/>
      <c r="T130" s="39"/>
      <c r="U130" s="426"/>
      <c r="V130" s="39"/>
      <c r="W130" s="426"/>
      <c r="X130" s="426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39"/>
      <c r="AL130" s="39"/>
      <c r="AM130" s="196"/>
      <c r="AN130" s="61"/>
      <c r="AO130" s="196"/>
      <c r="AP130" s="61"/>
      <c r="AQ130" s="39"/>
      <c r="AR130" s="52"/>
      <c r="AS130" s="52"/>
      <c r="AT130" s="52"/>
      <c r="AU130" s="39"/>
      <c r="AV130" s="52"/>
      <c r="AW130" s="52"/>
      <c r="AX130" s="52"/>
      <c r="AY130" s="39"/>
      <c r="AZ130" s="39"/>
      <c r="BA130" s="39"/>
      <c r="BB130" s="39"/>
      <c r="BC130" s="39"/>
      <c r="BD130" s="39"/>
      <c r="BE130" s="39"/>
      <c r="BF130" s="194"/>
      <c r="BG130" s="40"/>
      <c r="BH130" s="195"/>
      <c r="BI130" s="39"/>
      <c r="BJ130" s="39"/>
      <c r="BK130" s="308"/>
      <c r="BL130" s="39"/>
      <c r="BM130" s="194"/>
      <c r="BN130" s="308"/>
      <c r="BO130" s="40"/>
      <c r="BP130" s="195"/>
      <c r="BQ130" s="39"/>
      <c r="BR130" s="39"/>
      <c r="BS130" s="308"/>
      <c r="BT130" s="39"/>
      <c r="BU130" s="194"/>
      <c r="BV130" s="308"/>
      <c r="BW130" s="40"/>
      <c r="BX130" s="195"/>
      <c r="BY130" s="39"/>
      <c r="BZ130" s="39"/>
      <c r="CA130" s="39"/>
      <c r="CB130" s="39"/>
      <c r="CC130" s="194"/>
      <c r="CD130" s="39"/>
      <c r="CE130" s="40"/>
      <c r="CF130" s="195"/>
      <c r="CG130" s="39"/>
      <c r="CH130" s="39"/>
      <c r="CI130" s="40"/>
      <c r="CJ130" s="40"/>
      <c r="CK130" s="39"/>
      <c r="CL130" s="39"/>
      <c r="CM130" s="40"/>
      <c r="CN130" s="40"/>
      <c r="CO130" s="40"/>
      <c r="CP130" s="39"/>
      <c r="CQ130" s="39"/>
      <c r="CR130" s="40"/>
      <c r="CS130" s="40"/>
      <c r="CT130" s="39"/>
      <c r="CU130" s="39"/>
      <c r="CV130" s="39"/>
      <c r="CW130" s="40"/>
      <c r="CX130" s="40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</row>
    <row r="131" spans="1:121" s="2" customFormat="1" x14ac:dyDescent="0.3">
      <c r="A131" s="144"/>
      <c r="B131" s="150"/>
      <c r="C131" s="161"/>
      <c r="D131" s="144"/>
      <c r="E131" s="161"/>
      <c r="F131" s="161"/>
      <c r="G131" s="161"/>
      <c r="H131" s="161"/>
      <c r="I131" s="161"/>
      <c r="J131" s="161"/>
      <c r="K131" s="161"/>
      <c r="L131" s="161"/>
      <c r="M131" s="161"/>
      <c r="N131" s="157"/>
      <c r="O131" s="144"/>
      <c r="P131" s="157"/>
      <c r="Q131" s="144"/>
      <c r="R131" s="157"/>
      <c r="S131" s="144"/>
      <c r="T131" s="39"/>
      <c r="U131" s="426"/>
      <c r="V131" s="39"/>
      <c r="W131" s="426"/>
      <c r="X131" s="426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39"/>
      <c r="AL131" s="39"/>
      <c r="AM131" s="196"/>
      <c r="AN131" s="61"/>
      <c r="AO131" s="196"/>
      <c r="AP131" s="61"/>
      <c r="AQ131" s="39"/>
      <c r="AR131" s="52"/>
      <c r="AS131" s="52"/>
      <c r="AT131" s="52"/>
      <c r="AU131" s="39"/>
      <c r="AV131" s="52"/>
      <c r="AW131" s="52"/>
      <c r="AX131" s="52"/>
      <c r="AY131" s="39"/>
      <c r="AZ131" s="39"/>
      <c r="BA131" s="39"/>
      <c r="BB131" s="39"/>
      <c r="BC131" s="39"/>
      <c r="BD131" s="39"/>
      <c r="BE131" s="39"/>
      <c r="BF131" s="194"/>
      <c r="BG131" s="40"/>
      <c r="BH131" s="195"/>
      <c r="BI131" s="39"/>
      <c r="BJ131" s="39"/>
      <c r="BK131" s="308"/>
      <c r="BL131" s="39"/>
      <c r="BM131" s="194"/>
      <c r="BN131" s="308"/>
      <c r="BO131" s="40"/>
      <c r="BP131" s="195"/>
      <c r="BQ131" s="39"/>
      <c r="BR131" s="39"/>
      <c r="BS131" s="308"/>
      <c r="BT131" s="39"/>
      <c r="BU131" s="194"/>
      <c r="BV131" s="308"/>
      <c r="BW131" s="40"/>
      <c r="BX131" s="195"/>
      <c r="BY131" s="39"/>
      <c r="BZ131" s="39"/>
      <c r="CA131" s="39"/>
      <c r="CB131" s="39"/>
      <c r="CC131" s="194"/>
      <c r="CD131" s="39"/>
      <c r="CE131" s="40"/>
      <c r="CF131" s="195"/>
      <c r="CG131" s="39"/>
      <c r="CH131" s="39"/>
      <c r="CI131" s="40"/>
      <c r="CJ131" s="40"/>
      <c r="CK131" s="39"/>
      <c r="CL131" s="39"/>
      <c r="CM131" s="40"/>
      <c r="CN131" s="40"/>
      <c r="CO131" s="40"/>
      <c r="CP131" s="39"/>
      <c r="CQ131" s="39"/>
      <c r="CR131" s="40"/>
      <c r="CS131" s="40"/>
      <c r="CT131" s="39"/>
      <c r="CU131" s="39"/>
      <c r="CV131" s="39"/>
      <c r="CW131" s="40"/>
      <c r="CX131" s="40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</row>
    <row r="132" spans="1:121" s="2" customFormat="1" x14ac:dyDescent="0.3">
      <c r="A132" s="144"/>
      <c r="B132" s="150"/>
      <c r="C132" s="161"/>
      <c r="D132" s="144"/>
      <c r="E132" s="161"/>
      <c r="F132" s="161"/>
      <c r="G132" s="161"/>
      <c r="H132" s="161"/>
      <c r="I132" s="161"/>
      <c r="J132" s="161"/>
      <c r="K132" s="161"/>
      <c r="L132" s="161"/>
      <c r="M132" s="161"/>
      <c r="N132" s="157"/>
      <c r="O132" s="144"/>
      <c r="P132" s="157"/>
      <c r="Q132" s="144"/>
      <c r="R132" s="157"/>
      <c r="S132" s="144"/>
      <c r="T132" s="39"/>
      <c r="U132" s="426"/>
      <c r="V132" s="39"/>
      <c r="W132" s="426"/>
      <c r="X132" s="426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39"/>
      <c r="AL132" s="39"/>
      <c r="AM132" s="196"/>
      <c r="AN132" s="61"/>
      <c r="AO132" s="196"/>
      <c r="AP132" s="61"/>
      <c r="AQ132" s="39"/>
      <c r="AR132" s="52"/>
      <c r="AS132" s="52"/>
      <c r="AT132" s="52"/>
      <c r="AU132" s="39"/>
      <c r="AV132" s="52"/>
      <c r="AW132" s="52"/>
      <c r="AX132" s="52"/>
      <c r="AY132" s="39"/>
      <c r="AZ132" s="39"/>
      <c r="BA132" s="39"/>
      <c r="BB132" s="39"/>
      <c r="BC132" s="39"/>
      <c r="BD132" s="39"/>
      <c r="BE132" s="39"/>
      <c r="BF132" s="194"/>
      <c r="BG132" s="40"/>
      <c r="BH132" s="195"/>
      <c r="BI132" s="39"/>
      <c r="BJ132" s="39"/>
      <c r="BK132" s="308"/>
      <c r="BL132" s="39"/>
      <c r="BM132" s="194"/>
      <c r="BN132" s="308"/>
      <c r="BO132" s="40"/>
      <c r="BP132" s="195"/>
      <c r="BQ132" s="39"/>
      <c r="BR132" s="39"/>
      <c r="BS132" s="308"/>
      <c r="BT132" s="39"/>
      <c r="BU132" s="194"/>
      <c r="BV132" s="308"/>
      <c r="BW132" s="40"/>
      <c r="BX132" s="195"/>
      <c r="BY132" s="39"/>
      <c r="BZ132" s="39"/>
      <c r="CA132" s="39"/>
      <c r="CB132" s="39"/>
      <c r="CC132" s="194"/>
      <c r="CD132" s="39"/>
      <c r="CE132" s="40"/>
      <c r="CF132" s="195"/>
      <c r="CG132" s="39"/>
      <c r="CH132" s="39"/>
      <c r="CI132" s="40"/>
      <c r="CJ132" s="40"/>
      <c r="CK132" s="39"/>
      <c r="CL132" s="39"/>
      <c r="CM132" s="40"/>
      <c r="CN132" s="40"/>
      <c r="CO132" s="40"/>
      <c r="CP132" s="39"/>
      <c r="CQ132" s="39"/>
      <c r="CR132" s="40"/>
      <c r="CS132" s="40"/>
      <c r="CT132" s="39"/>
      <c r="CU132" s="39"/>
      <c r="CV132" s="39"/>
      <c r="CW132" s="40"/>
      <c r="CX132" s="40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</row>
    <row r="133" spans="1:121" s="2" customFormat="1" x14ac:dyDescent="0.3">
      <c r="A133" s="144"/>
      <c r="B133" s="150"/>
      <c r="C133" s="161"/>
      <c r="D133" s="144"/>
      <c r="E133" s="161"/>
      <c r="F133" s="161"/>
      <c r="G133" s="161"/>
      <c r="H133" s="161"/>
      <c r="I133" s="161"/>
      <c r="J133" s="161"/>
      <c r="K133" s="161"/>
      <c r="L133" s="161"/>
      <c r="M133" s="161"/>
      <c r="N133" s="157"/>
      <c r="O133" s="144"/>
      <c r="P133" s="157"/>
      <c r="Q133" s="144"/>
      <c r="R133" s="157"/>
      <c r="S133" s="144"/>
      <c r="T133" s="39"/>
      <c r="U133" s="426"/>
      <c r="V133" s="39"/>
      <c r="W133" s="426"/>
      <c r="X133" s="426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39"/>
      <c r="AL133" s="39"/>
      <c r="AM133" s="196"/>
      <c r="AN133" s="61"/>
      <c r="AO133" s="196"/>
      <c r="AP133" s="61"/>
      <c r="AQ133" s="39"/>
      <c r="AR133" s="52"/>
      <c r="AS133" s="52"/>
      <c r="AT133" s="52"/>
      <c r="AU133" s="39"/>
      <c r="AV133" s="52"/>
      <c r="AW133" s="52"/>
      <c r="AX133" s="52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08"/>
      <c r="BL133" s="39"/>
      <c r="BM133" s="39"/>
      <c r="BN133" s="308"/>
      <c r="BO133" s="39"/>
      <c r="BP133" s="39"/>
      <c r="BQ133" s="39"/>
      <c r="BR133" s="39"/>
      <c r="BS133" s="308"/>
      <c r="BT133" s="39"/>
      <c r="BU133" s="39"/>
      <c r="BV133" s="308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40"/>
      <c r="CJ133" s="40"/>
      <c r="CK133" s="39"/>
      <c r="CL133" s="39"/>
      <c r="CM133" s="40"/>
      <c r="CN133" s="40"/>
      <c r="CO133" s="40"/>
      <c r="CP133" s="39"/>
      <c r="CQ133" s="39"/>
      <c r="CR133" s="40"/>
      <c r="CS133" s="40"/>
      <c r="CT133" s="39"/>
      <c r="CU133" s="39"/>
      <c r="CV133" s="39"/>
      <c r="CW133" s="40"/>
      <c r="CX133" s="40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</row>
    <row r="134" spans="1:121" s="2" customFormat="1" x14ac:dyDescent="0.3">
      <c r="A134" s="144"/>
      <c r="B134" s="150"/>
      <c r="C134" s="161"/>
      <c r="D134" s="144"/>
      <c r="E134" s="161"/>
      <c r="F134" s="161"/>
      <c r="G134" s="161"/>
      <c r="H134" s="161"/>
      <c r="I134" s="161"/>
      <c r="J134" s="161"/>
      <c r="K134" s="161"/>
      <c r="L134" s="161"/>
      <c r="M134" s="161"/>
      <c r="N134" s="157"/>
      <c r="O134" s="144"/>
      <c r="P134" s="157"/>
      <c r="Q134" s="144"/>
      <c r="R134" s="157"/>
      <c r="S134" s="144"/>
      <c r="T134" s="39"/>
      <c r="U134" s="426"/>
      <c r="V134" s="39"/>
      <c r="W134" s="426"/>
      <c r="X134" s="426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39"/>
      <c r="AL134" s="39"/>
      <c r="AM134" s="196"/>
      <c r="AN134" s="61"/>
      <c r="AO134" s="196"/>
      <c r="AP134" s="61"/>
      <c r="AQ134" s="39"/>
      <c r="AR134" s="52"/>
      <c r="AS134" s="52"/>
      <c r="AT134" s="52"/>
      <c r="AU134" s="39"/>
      <c r="AV134" s="52"/>
      <c r="AW134" s="52"/>
      <c r="AX134" s="52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08"/>
      <c r="BL134" s="39"/>
      <c r="BM134" s="39"/>
      <c r="BN134" s="308"/>
      <c r="BO134" s="39"/>
      <c r="BP134" s="39"/>
      <c r="BQ134" s="39"/>
      <c r="BR134" s="39"/>
      <c r="BS134" s="308"/>
      <c r="BT134" s="39"/>
      <c r="BU134" s="39"/>
      <c r="BV134" s="308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40"/>
      <c r="CJ134" s="40"/>
      <c r="CK134" s="39"/>
      <c r="CL134" s="39"/>
      <c r="CM134" s="40"/>
      <c r="CN134" s="40"/>
      <c r="CO134" s="40"/>
      <c r="CP134" s="39"/>
      <c r="CQ134" s="39"/>
      <c r="CR134" s="40"/>
      <c r="CS134" s="40"/>
      <c r="CT134" s="39"/>
      <c r="CU134" s="39"/>
      <c r="CV134" s="39"/>
      <c r="CW134" s="40"/>
      <c r="CX134" s="40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</row>
    <row r="135" spans="1:121" s="2" customFormat="1" x14ac:dyDescent="0.3">
      <c r="A135" s="144"/>
      <c r="B135" s="150"/>
      <c r="C135" s="161"/>
      <c r="D135" s="144"/>
      <c r="E135" s="161"/>
      <c r="F135" s="161"/>
      <c r="G135" s="161"/>
      <c r="H135" s="161"/>
      <c r="I135" s="161"/>
      <c r="J135" s="161"/>
      <c r="K135" s="161"/>
      <c r="L135" s="161"/>
      <c r="M135" s="161"/>
      <c r="N135" s="157"/>
      <c r="O135" s="144"/>
      <c r="P135" s="157"/>
      <c r="Q135" s="144"/>
      <c r="R135" s="157"/>
      <c r="S135" s="144"/>
      <c r="T135" s="39"/>
      <c r="U135" s="426"/>
      <c r="V135" s="39"/>
      <c r="W135" s="426"/>
      <c r="X135" s="426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39"/>
      <c r="AL135" s="39"/>
      <c r="AM135" s="196"/>
      <c r="AN135" s="61"/>
      <c r="AO135" s="196"/>
      <c r="AP135" s="61"/>
      <c r="AQ135" s="39"/>
      <c r="AR135" s="52"/>
      <c r="AS135" s="52"/>
      <c r="AT135" s="52"/>
      <c r="AU135" s="39"/>
      <c r="AV135" s="52"/>
      <c r="AW135" s="52"/>
      <c r="AX135" s="52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08"/>
      <c r="BL135" s="39"/>
      <c r="BM135" s="39"/>
      <c r="BN135" s="308"/>
      <c r="BO135" s="39"/>
      <c r="BP135" s="39"/>
      <c r="BQ135" s="39"/>
      <c r="BR135" s="39"/>
      <c r="BS135" s="308"/>
      <c r="BT135" s="39"/>
      <c r="BU135" s="39"/>
      <c r="BV135" s="308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40"/>
      <c r="CJ135" s="40"/>
      <c r="CK135" s="39"/>
      <c r="CL135" s="39"/>
      <c r="CM135" s="40"/>
      <c r="CN135" s="40"/>
      <c r="CO135" s="40"/>
      <c r="CP135" s="39"/>
      <c r="CQ135" s="39"/>
      <c r="CR135" s="40"/>
      <c r="CS135" s="40"/>
      <c r="CT135" s="39"/>
      <c r="CU135" s="39"/>
      <c r="CV135" s="39"/>
      <c r="CW135" s="40"/>
      <c r="CX135" s="40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</row>
    <row r="136" spans="1:121" s="2" customFormat="1" x14ac:dyDescent="0.3">
      <c r="A136" s="144"/>
      <c r="B136" s="150"/>
      <c r="C136" s="161"/>
      <c r="D136" s="144"/>
      <c r="E136" s="161"/>
      <c r="F136" s="161"/>
      <c r="G136" s="161"/>
      <c r="H136" s="161"/>
      <c r="I136" s="161"/>
      <c r="J136" s="161"/>
      <c r="K136" s="161"/>
      <c r="L136" s="161"/>
      <c r="M136" s="161"/>
      <c r="N136" s="157"/>
      <c r="O136" s="144"/>
      <c r="P136" s="157"/>
      <c r="Q136" s="144"/>
      <c r="R136" s="157"/>
      <c r="S136" s="144"/>
      <c r="T136" s="39"/>
      <c r="U136" s="426"/>
      <c r="V136" s="39"/>
      <c r="W136" s="426"/>
      <c r="X136" s="426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39"/>
      <c r="AL136" s="39"/>
      <c r="AM136" s="196"/>
      <c r="AN136" s="61"/>
      <c r="AO136" s="196"/>
      <c r="AP136" s="61"/>
      <c r="AQ136" s="39"/>
      <c r="AR136" s="52"/>
      <c r="AS136" s="52"/>
      <c r="AT136" s="52"/>
      <c r="AU136" s="39"/>
      <c r="AV136" s="52"/>
      <c r="AW136" s="52"/>
      <c r="AX136" s="52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08"/>
      <c r="BL136" s="39"/>
      <c r="BM136" s="39"/>
      <c r="BN136" s="308"/>
      <c r="BO136" s="39"/>
      <c r="BP136" s="39"/>
      <c r="BQ136" s="39"/>
      <c r="BR136" s="39"/>
      <c r="BS136" s="308"/>
      <c r="BT136" s="39"/>
      <c r="BU136" s="39"/>
      <c r="BV136" s="308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40"/>
      <c r="CJ136" s="40"/>
      <c r="CK136" s="39"/>
      <c r="CL136" s="39"/>
      <c r="CM136" s="40"/>
      <c r="CN136" s="40"/>
      <c r="CO136" s="40"/>
      <c r="CP136" s="39"/>
      <c r="CQ136" s="39"/>
      <c r="CR136" s="40"/>
      <c r="CS136" s="40"/>
      <c r="CT136" s="39"/>
      <c r="CU136" s="39"/>
      <c r="CV136" s="39"/>
      <c r="CW136" s="40"/>
      <c r="CX136" s="40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</row>
    <row r="137" spans="1:121" s="2" customFormat="1" x14ac:dyDescent="0.3">
      <c r="A137" s="144"/>
      <c r="B137" s="150"/>
      <c r="C137" s="161"/>
      <c r="D137" s="144"/>
      <c r="E137" s="161"/>
      <c r="F137" s="161"/>
      <c r="G137" s="161"/>
      <c r="H137" s="161"/>
      <c r="I137" s="161"/>
      <c r="J137" s="161"/>
      <c r="K137" s="161"/>
      <c r="L137" s="161"/>
      <c r="M137" s="161"/>
      <c r="N137" s="157"/>
      <c r="O137" s="158"/>
      <c r="P137" s="157"/>
      <c r="Q137" s="158"/>
      <c r="R137" s="157"/>
      <c r="S137" s="158"/>
      <c r="T137" s="39"/>
      <c r="U137" s="426"/>
      <c r="V137" s="427"/>
      <c r="W137" s="426"/>
      <c r="X137" s="426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39"/>
      <c r="AL137" s="39"/>
      <c r="AM137" s="196"/>
      <c r="AN137" s="61"/>
      <c r="AO137" s="196"/>
      <c r="AP137" s="61"/>
      <c r="AQ137" s="39"/>
      <c r="AR137" s="52"/>
      <c r="AS137" s="52"/>
      <c r="AT137" s="52"/>
      <c r="AU137" s="39"/>
      <c r="AV137" s="52"/>
      <c r="AW137" s="52"/>
      <c r="AX137" s="52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08"/>
      <c r="BL137" s="39"/>
      <c r="BM137" s="39"/>
      <c r="BN137" s="308"/>
      <c r="BO137" s="39"/>
      <c r="BP137" s="39"/>
      <c r="BQ137" s="39"/>
      <c r="BR137" s="39"/>
      <c r="BS137" s="308"/>
      <c r="BT137" s="39"/>
      <c r="BU137" s="39"/>
      <c r="BV137" s="308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40"/>
      <c r="CJ137" s="40"/>
      <c r="CK137" s="39"/>
      <c r="CL137" s="39"/>
      <c r="CM137" s="40"/>
      <c r="CN137" s="40"/>
      <c r="CO137" s="40"/>
      <c r="CP137" s="39"/>
      <c r="CQ137" s="39"/>
      <c r="CR137" s="40"/>
      <c r="CS137" s="40"/>
      <c r="CT137" s="39"/>
      <c r="CU137" s="39"/>
      <c r="CV137" s="39"/>
      <c r="CW137" s="40"/>
      <c r="CX137" s="40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</row>
    <row r="138" spans="1:121" s="2" customFormat="1" x14ac:dyDescent="0.3">
      <c r="A138" s="144"/>
      <c r="B138" s="150"/>
      <c r="C138" s="161"/>
      <c r="D138" s="144"/>
      <c r="E138" s="161"/>
      <c r="F138" s="161"/>
      <c r="G138" s="161"/>
      <c r="H138" s="161"/>
      <c r="I138" s="161"/>
      <c r="J138" s="161"/>
      <c r="K138" s="161"/>
      <c r="L138" s="161"/>
      <c r="M138" s="161"/>
      <c r="N138" s="157"/>
      <c r="O138" s="157"/>
      <c r="P138" s="157"/>
      <c r="Q138" s="157"/>
      <c r="R138" s="157"/>
      <c r="S138" s="157"/>
      <c r="T138" s="39"/>
      <c r="U138" s="426"/>
      <c r="V138" s="426"/>
      <c r="W138" s="426"/>
      <c r="X138" s="426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39"/>
      <c r="AL138" s="39"/>
      <c r="AM138" s="196"/>
      <c r="AN138" s="61"/>
      <c r="AO138" s="196"/>
      <c r="AP138" s="61"/>
      <c r="AQ138" s="39"/>
      <c r="AR138" s="52"/>
      <c r="AS138" s="52"/>
      <c r="AT138" s="52"/>
      <c r="AU138" s="39"/>
      <c r="AV138" s="52"/>
      <c r="AW138" s="52"/>
      <c r="AX138" s="52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08"/>
      <c r="BL138" s="39"/>
      <c r="BM138" s="39"/>
      <c r="BN138" s="308"/>
      <c r="BO138" s="39"/>
      <c r="BP138" s="39"/>
      <c r="BQ138" s="39"/>
      <c r="BR138" s="39"/>
      <c r="BS138" s="308"/>
      <c r="BT138" s="39"/>
      <c r="BU138" s="39"/>
      <c r="BV138" s="308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40"/>
      <c r="CJ138" s="40"/>
      <c r="CK138" s="39"/>
      <c r="CL138" s="39"/>
      <c r="CM138" s="40"/>
      <c r="CN138" s="40"/>
      <c r="CO138" s="40"/>
      <c r="CP138" s="39"/>
      <c r="CQ138" s="39"/>
      <c r="CR138" s="40"/>
      <c r="CS138" s="40"/>
      <c r="CT138" s="39"/>
      <c r="CU138" s="39"/>
      <c r="CV138" s="39"/>
      <c r="CW138" s="40"/>
      <c r="CX138" s="40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</row>
    <row r="139" spans="1:121" s="2" customFormat="1" x14ac:dyDescent="0.3">
      <c r="A139" s="144"/>
      <c r="B139" s="150"/>
      <c r="C139" s="161"/>
      <c r="D139" s="144"/>
      <c r="E139" s="161"/>
      <c r="F139" s="161"/>
      <c r="G139" s="161"/>
      <c r="H139" s="161"/>
      <c r="I139" s="161"/>
      <c r="J139" s="161"/>
      <c r="K139" s="161"/>
      <c r="L139" s="161"/>
      <c r="M139" s="161"/>
      <c r="N139" s="157"/>
      <c r="O139" s="157"/>
      <c r="P139" s="157"/>
      <c r="Q139" s="157"/>
      <c r="R139" s="157"/>
      <c r="S139" s="157"/>
      <c r="T139" s="39"/>
      <c r="U139" s="426"/>
      <c r="V139" s="426"/>
      <c r="W139" s="426"/>
      <c r="X139" s="426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39"/>
      <c r="AL139" s="39"/>
      <c r="AM139" s="196"/>
      <c r="AN139" s="61"/>
      <c r="AO139" s="196"/>
      <c r="AP139" s="61"/>
      <c r="AQ139" s="39"/>
      <c r="AR139" s="52"/>
      <c r="AS139" s="52"/>
      <c r="AT139" s="52"/>
      <c r="AU139" s="39"/>
      <c r="AV139" s="52"/>
      <c r="AW139" s="52"/>
      <c r="AX139" s="52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08"/>
      <c r="BL139" s="39"/>
      <c r="BM139" s="39"/>
      <c r="BN139" s="308"/>
      <c r="BO139" s="39"/>
      <c r="BP139" s="39"/>
      <c r="BQ139" s="39"/>
      <c r="BR139" s="39"/>
      <c r="BS139" s="308"/>
      <c r="BT139" s="39"/>
      <c r="BU139" s="39"/>
      <c r="BV139" s="308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40"/>
      <c r="CJ139" s="40"/>
      <c r="CK139" s="39"/>
      <c r="CL139" s="39"/>
      <c r="CM139" s="40"/>
      <c r="CN139" s="40"/>
      <c r="CO139" s="40"/>
      <c r="CP139" s="39"/>
      <c r="CQ139" s="39"/>
      <c r="CR139" s="40"/>
      <c r="CS139" s="40"/>
      <c r="CT139" s="39"/>
      <c r="CU139" s="39"/>
      <c r="CV139" s="39"/>
      <c r="CW139" s="40"/>
      <c r="CX139" s="40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</row>
    <row r="140" spans="1:121" s="2" customFormat="1" x14ac:dyDescent="0.3">
      <c r="A140" s="144"/>
      <c r="B140" s="150"/>
      <c r="C140" s="161"/>
      <c r="D140" s="144"/>
      <c r="E140" s="161"/>
      <c r="F140" s="161"/>
      <c r="G140" s="161"/>
      <c r="H140" s="161"/>
      <c r="I140" s="161"/>
      <c r="J140" s="161"/>
      <c r="K140" s="161"/>
      <c r="L140" s="161"/>
      <c r="M140" s="161"/>
      <c r="N140" s="157"/>
      <c r="O140" s="157"/>
      <c r="P140" s="157"/>
      <c r="Q140" s="157"/>
      <c r="R140" s="157"/>
      <c r="S140" s="157"/>
      <c r="T140" s="39"/>
      <c r="U140" s="426"/>
      <c r="V140" s="426"/>
      <c r="W140" s="426"/>
      <c r="X140" s="426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39"/>
      <c r="AL140" s="39"/>
      <c r="AM140" s="196"/>
      <c r="AN140" s="61"/>
      <c r="AO140" s="196"/>
      <c r="AP140" s="61"/>
      <c r="AQ140" s="39"/>
      <c r="AR140" s="52"/>
      <c r="AS140" s="52"/>
      <c r="AT140" s="52"/>
      <c r="AU140" s="39"/>
      <c r="AV140" s="52"/>
      <c r="AW140" s="52"/>
      <c r="AX140" s="52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08"/>
      <c r="BL140" s="39"/>
      <c r="BM140" s="39"/>
      <c r="BN140" s="308"/>
      <c r="BO140" s="39"/>
      <c r="BP140" s="39"/>
      <c r="BQ140" s="39"/>
      <c r="BR140" s="39"/>
      <c r="BS140" s="308"/>
      <c r="BT140" s="39"/>
      <c r="BU140" s="39"/>
      <c r="BV140" s="308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40"/>
      <c r="CJ140" s="40"/>
      <c r="CK140" s="39"/>
      <c r="CL140" s="39"/>
      <c r="CM140" s="40"/>
      <c r="CN140" s="40"/>
      <c r="CO140" s="40"/>
      <c r="CP140" s="39"/>
      <c r="CQ140" s="39"/>
      <c r="CR140" s="40"/>
      <c r="CS140" s="40"/>
      <c r="CT140" s="39"/>
      <c r="CU140" s="39"/>
      <c r="CV140" s="39"/>
      <c r="CW140" s="40"/>
      <c r="CX140" s="40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</row>
    <row r="141" spans="1:121" s="2" customFormat="1" x14ac:dyDescent="0.3">
      <c r="A141" s="144"/>
      <c r="B141" s="150"/>
      <c r="C141" s="161"/>
      <c r="D141" s="144"/>
      <c r="E141" s="161"/>
      <c r="F141" s="161"/>
      <c r="G141" s="161"/>
      <c r="H141" s="161"/>
      <c r="I141" s="161"/>
      <c r="J141" s="161"/>
      <c r="K141" s="161"/>
      <c r="L141" s="161"/>
      <c r="M141" s="161"/>
      <c r="N141" s="157"/>
      <c r="O141" s="157"/>
      <c r="P141" s="157"/>
      <c r="Q141" s="157"/>
      <c r="R141" s="157"/>
      <c r="S141" s="157"/>
      <c r="T141" s="39"/>
      <c r="U141" s="426"/>
      <c r="V141" s="426"/>
      <c r="W141" s="426"/>
      <c r="X141" s="426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39"/>
      <c r="AL141" s="39"/>
      <c r="AM141" s="196"/>
      <c r="AN141" s="61"/>
      <c r="AO141" s="196"/>
      <c r="AP141" s="61"/>
      <c r="AQ141" s="39"/>
      <c r="AR141" s="52"/>
      <c r="AS141" s="52"/>
      <c r="AT141" s="52"/>
      <c r="AU141" s="39"/>
      <c r="AV141" s="52"/>
      <c r="AW141" s="52"/>
      <c r="AX141" s="52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08"/>
      <c r="BL141" s="39"/>
      <c r="BM141" s="39"/>
      <c r="BN141" s="308"/>
      <c r="BO141" s="39"/>
      <c r="BP141" s="39"/>
      <c r="BQ141" s="39"/>
      <c r="BR141" s="39"/>
      <c r="BS141" s="308"/>
      <c r="BT141" s="39"/>
      <c r="BU141" s="39"/>
      <c r="BV141" s="308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40"/>
      <c r="CJ141" s="40"/>
      <c r="CK141" s="39"/>
      <c r="CL141" s="39"/>
      <c r="CM141" s="40"/>
      <c r="CN141" s="40"/>
      <c r="CO141" s="40"/>
      <c r="CP141" s="39"/>
      <c r="CQ141" s="39"/>
      <c r="CR141" s="40"/>
      <c r="CS141" s="40"/>
      <c r="CT141" s="39"/>
      <c r="CU141" s="39"/>
      <c r="CV141" s="39"/>
      <c r="CW141" s="40"/>
      <c r="CX141" s="40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</row>
    <row r="142" spans="1:121" s="2" customFormat="1" x14ac:dyDescent="0.3">
      <c r="A142" s="144"/>
      <c r="B142" s="150"/>
      <c r="C142" s="161"/>
      <c r="D142" s="144"/>
      <c r="E142" s="161"/>
      <c r="F142" s="161"/>
      <c r="G142" s="161"/>
      <c r="H142" s="161"/>
      <c r="I142" s="161"/>
      <c r="J142" s="161"/>
      <c r="K142" s="161"/>
      <c r="L142" s="161"/>
      <c r="M142" s="161"/>
      <c r="N142" s="157"/>
      <c r="O142" s="157"/>
      <c r="P142" s="157"/>
      <c r="Q142" s="157"/>
      <c r="R142" s="157"/>
      <c r="S142" s="157"/>
      <c r="T142" s="39"/>
      <c r="U142" s="426"/>
      <c r="V142" s="426"/>
      <c r="W142" s="426"/>
      <c r="X142" s="426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39"/>
      <c r="AL142" s="39"/>
      <c r="AM142" s="196"/>
      <c r="AN142" s="61"/>
      <c r="AO142" s="196"/>
      <c r="AP142" s="61"/>
      <c r="AQ142" s="39"/>
      <c r="AR142" s="52"/>
      <c r="AS142" s="52"/>
      <c r="AT142" s="52"/>
      <c r="AU142" s="39"/>
      <c r="AV142" s="52"/>
      <c r="AW142" s="52"/>
      <c r="AX142" s="52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08"/>
      <c r="BL142" s="39"/>
      <c r="BM142" s="39"/>
      <c r="BN142" s="308"/>
      <c r="BO142" s="39"/>
      <c r="BP142" s="39"/>
      <c r="BQ142" s="39"/>
      <c r="BR142" s="39"/>
      <c r="BS142" s="308"/>
      <c r="BT142" s="39"/>
      <c r="BU142" s="39"/>
      <c r="BV142" s="308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40"/>
      <c r="CJ142" s="40"/>
      <c r="CK142" s="39"/>
      <c r="CL142" s="39"/>
      <c r="CM142" s="40"/>
      <c r="CN142" s="40"/>
      <c r="CO142" s="40"/>
      <c r="CP142" s="39"/>
      <c r="CQ142" s="39"/>
      <c r="CR142" s="40"/>
      <c r="CS142" s="40"/>
      <c r="CT142" s="39"/>
      <c r="CU142" s="39"/>
      <c r="CV142" s="39"/>
      <c r="CW142" s="40"/>
      <c r="CX142" s="40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</row>
    <row r="143" spans="1:121" s="2" customFormat="1" x14ac:dyDescent="0.3">
      <c r="A143" s="144"/>
      <c r="B143" s="150"/>
      <c r="C143" s="161"/>
      <c r="D143" s="144"/>
      <c r="E143" s="161"/>
      <c r="F143" s="161"/>
      <c r="G143" s="161"/>
      <c r="H143" s="161"/>
      <c r="I143" s="161"/>
      <c r="J143" s="161"/>
      <c r="K143" s="161"/>
      <c r="L143" s="161"/>
      <c r="M143" s="161"/>
      <c r="N143" s="157"/>
      <c r="O143" s="157"/>
      <c r="P143" s="157"/>
      <c r="Q143" s="157"/>
      <c r="R143" s="157"/>
      <c r="S143" s="157"/>
      <c r="T143" s="39"/>
      <c r="U143" s="426"/>
      <c r="V143" s="426"/>
      <c r="W143" s="426"/>
      <c r="X143" s="426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39"/>
      <c r="AL143" s="39"/>
      <c r="AM143" s="196"/>
      <c r="AN143" s="61"/>
      <c r="AO143" s="196"/>
      <c r="AP143" s="61"/>
      <c r="AQ143" s="39"/>
      <c r="AR143" s="52"/>
      <c r="AS143" s="52"/>
      <c r="AT143" s="52"/>
      <c r="AU143" s="39"/>
      <c r="AV143" s="52"/>
      <c r="AW143" s="52"/>
      <c r="AX143" s="52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08"/>
      <c r="BL143" s="39"/>
      <c r="BM143" s="39"/>
      <c r="BN143" s="308"/>
      <c r="BO143" s="39"/>
      <c r="BP143" s="39"/>
      <c r="BQ143" s="39"/>
      <c r="BR143" s="39"/>
      <c r="BS143" s="308"/>
      <c r="BT143" s="39"/>
      <c r="BU143" s="39"/>
      <c r="BV143" s="308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40"/>
      <c r="CJ143" s="40"/>
      <c r="CK143" s="39"/>
      <c r="CL143" s="39"/>
      <c r="CM143" s="40"/>
      <c r="CN143" s="40"/>
      <c r="CO143" s="40"/>
      <c r="CP143" s="39"/>
      <c r="CQ143" s="39"/>
      <c r="CR143" s="40"/>
      <c r="CS143" s="40"/>
      <c r="CT143" s="39"/>
      <c r="CU143" s="39"/>
      <c r="CV143" s="39"/>
      <c r="CW143" s="40"/>
      <c r="CX143" s="40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</row>
    <row r="144" spans="1:121" s="2" customFormat="1" x14ac:dyDescent="0.3">
      <c r="A144" s="144"/>
      <c r="B144" s="150"/>
      <c r="C144" s="161"/>
      <c r="D144" s="144"/>
      <c r="E144" s="161"/>
      <c r="F144" s="161"/>
      <c r="G144" s="161"/>
      <c r="H144" s="161"/>
      <c r="I144" s="161"/>
      <c r="J144" s="161"/>
      <c r="K144" s="161"/>
      <c r="L144" s="161"/>
      <c r="M144" s="161"/>
      <c r="N144" s="157"/>
      <c r="O144" s="157"/>
      <c r="P144" s="157"/>
      <c r="Q144" s="157"/>
      <c r="R144" s="157"/>
      <c r="S144" s="157"/>
      <c r="T144" s="39"/>
      <c r="U144" s="426"/>
      <c r="V144" s="426"/>
      <c r="W144" s="426"/>
      <c r="X144" s="426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39"/>
      <c r="AL144" s="39"/>
      <c r="AM144" s="196"/>
      <c r="AN144" s="61"/>
      <c r="AO144" s="196"/>
      <c r="AP144" s="61"/>
      <c r="AQ144" s="39"/>
      <c r="AR144" s="52"/>
      <c r="AS144" s="52"/>
      <c r="AT144" s="52"/>
      <c r="AU144" s="39"/>
      <c r="AV144" s="52"/>
      <c r="AW144" s="52"/>
      <c r="AX144" s="52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08"/>
      <c r="BL144" s="39"/>
      <c r="BM144" s="39"/>
      <c r="BN144" s="308"/>
      <c r="BO144" s="39"/>
      <c r="BP144" s="39"/>
      <c r="BQ144" s="39"/>
      <c r="BR144" s="39"/>
      <c r="BS144" s="308"/>
      <c r="BT144" s="39"/>
      <c r="BU144" s="39"/>
      <c r="BV144" s="308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40"/>
      <c r="CJ144" s="40"/>
      <c r="CK144" s="39"/>
      <c r="CL144" s="39"/>
      <c r="CM144" s="40"/>
      <c r="CN144" s="40"/>
      <c r="CO144" s="40"/>
      <c r="CP144" s="39"/>
      <c r="CQ144" s="39"/>
      <c r="CR144" s="40"/>
      <c r="CS144" s="40"/>
      <c r="CT144" s="39"/>
      <c r="CU144" s="39"/>
      <c r="CV144" s="39"/>
      <c r="CW144" s="40"/>
      <c r="CX144" s="40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</row>
    <row r="145" spans="1:121" s="2" customFormat="1" x14ac:dyDescent="0.3">
      <c r="A145" s="144"/>
      <c r="B145" s="150"/>
      <c r="C145" s="161"/>
      <c r="D145" s="144"/>
      <c r="E145" s="161"/>
      <c r="F145" s="161"/>
      <c r="G145" s="161"/>
      <c r="H145" s="161"/>
      <c r="I145" s="161"/>
      <c r="J145" s="161"/>
      <c r="K145" s="161"/>
      <c r="L145" s="161"/>
      <c r="M145" s="161"/>
      <c r="N145" s="157"/>
      <c r="O145" s="157"/>
      <c r="P145" s="157"/>
      <c r="Q145" s="157"/>
      <c r="R145" s="157"/>
      <c r="S145" s="157"/>
      <c r="T145" s="39"/>
      <c r="U145" s="426"/>
      <c r="V145" s="426"/>
      <c r="W145" s="426"/>
      <c r="X145" s="426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39"/>
      <c r="AL145" s="39"/>
      <c r="AM145" s="196"/>
      <c r="AN145" s="61"/>
      <c r="AO145" s="196"/>
      <c r="AP145" s="61"/>
      <c r="AQ145" s="39"/>
      <c r="AR145" s="52"/>
      <c r="AS145" s="52"/>
      <c r="AT145" s="52"/>
      <c r="AU145" s="39"/>
      <c r="AV145" s="52"/>
      <c r="AW145" s="52"/>
      <c r="AX145" s="52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08"/>
      <c r="BL145" s="39"/>
      <c r="BM145" s="39"/>
      <c r="BN145" s="308"/>
      <c r="BO145" s="39"/>
      <c r="BP145" s="39"/>
      <c r="BQ145" s="39"/>
      <c r="BR145" s="39"/>
      <c r="BS145" s="308"/>
      <c r="BT145" s="39"/>
      <c r="BU145" s="39"/>
      <c r="BV145" s="308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40"/>
      <c r="CJ145" s="40"/>
      <c r="CK145" s="39"/>
      <c r="CL145" s="39"/>
      <c r="CM145" s="40"/>
      <c r="CN145" s="40"/>
      <c r="CO145" s="40"/>
      <c r="CP145" s="39"/>
      <c r="CQ145" s="39"/>
      <c r="CR145" s="40"/>
      <c r="CS145" s="40"/>
      <c r="CT145" s="39"/>
      <c r="CU145" s="39"/>
      <c r="CV145" s="39"/>
      <c r="CW145" s="40"/>
      <c r="CX145" s="40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</row>
    <row r="146" spans="1:121" s="2" customFormat="1" x14ac:dyDescent="0.3">
      <c r="A146" s="144"/>
      <c r="B146" s="150"/>
      <c r="C146" s="161"/>
      <c r="D146" s="144"/>
      <c r="E146" s="161"/>
      <c r="F146" s="161"/>
      <c r="G146" s="161"/>
      <c r="H146" s="161"/>
      <c r="I146" s="161"/>
      <c r="J146" s="161"/>
      <c r="K146" s="161"/>
      <c r="L146" s="161"/>
      <c r="M146" s="161"/>
      <c r="N146" s="157"/>
      <c r="O146" s="157"/>
      <c r="P146" s="157"/>
      <c r="Q146" s="157"/>
      <c r="R146" s="157"/>
      <c r="S146" s="157"/>
      <c r="T146" s="39"/>
      <c r="U146" s="426"/>
      <c r="V146" s="426"/>
      <c r="W146" s="426"/>
      <c r="X146" s="426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39"/>
      <c r="AL146" s="39"/>
      <c r="AM146" s="196"/>
      <c r="AN146" s="61"/>
      <c r="AO146" s="196"/>
      <c r="AP146" s="61"/>
      <c r="AQ146" s="39"/>
      <c r="AR146" s="52"/>
      <c r="AS146" s="52"/>
      <c r="AT146" s="52"/>
      <c r="AU146" s="39"/>
      <c r="AV146" s="52"/>
      <c r="AW146" s="52"/>
      <c r="AX146" s="52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08"/>
      <c r="BL146" s="39"/>
      <c r="BM146" s="39"/>
      <c r="BN146" s="308"/>
      <c r="BO146" s="39"/>
      <c r="BP146" s="39"/>
      <c r="BQ146" s="39"/>
      <c r="BR146" s="39"/>
      <c r="BS146" s="308"/>
      <c r="BT146" s="39"/>
      <c r="BU146" s="39"/>
      <c r="BV146" s="308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40"/>
      <c r="CJ146" s="40"/>
      <c r="CK146" s="39"/>
      <c r="CL146" s="39"/>
      <c r="CM146" s="40"/>
      <c r="CN146" s="40"/>
      <c r="CO146" s="40"/>
      <c r="CP146" s="39"/>
      <c r="CQ146" s="39"/>
      <c r="CR146" s="40"/>
      <c r="CS146" s="40"/>
      <c r="CT146" s="39"/>
      <c r="CU146" s="39"/>
      <c r="CV146" s="39"/>
      <c r="CW146" s="40"/>
      <c r="CX146" s="40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</row>
    <row r="147" spans="1:121" s="2" customFormat="1" x14ac:dyDescent="0.3">
      <c r="A147" s="144"/>
      <c r="B147" s="150"/>
      <c r="C147" s="161"/>
      <c r="D147" s="144"/>
      <c r="E147" s="161"/>
      <c r="F147" s="161"/>
      <c r="G147" s="161"/>
      <c r="H147" s="161"/>
      <c r="I147" s="161"/>
      <c r="J147" s="161"/>
      <c r="K147" s="161"/>
      <c r="L147" s="161"/>
      <c r="M147" s="161"/>
      <c r="N147" s="157"/>
      <c r="O147" s="157"/>
      <c r="P147" s="157"/>
      <c r="Q147" s="157"/>
      <c r="R147" s="157"/>
      <c r="S147" s="157"/>
      <c r="T147" s="39"/>
      <c r="U147" s="426"/>
      <c r="V147" s="426"/>
      <c r="W147" s="426"/>
      <c r="X147" s="426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39"/>
      <c r="AL147" s="39"/>
      <c r="AM147" s="196"/>
      <c r="AN147" s="61"/>
      <c r="AO147" s="196"/>
      <c r="AP147" s="61"/>
      <c r="AQ147" s="39"/>
      <c r="AR147" s="52"/>
      <c r="AS147" s="52"/>
      <c r="AT147" s="52"/>
      <c r="AU147" s="39"/>
      <c r="AV147" s="52"/>
      <c r="AW147" s="52"/>
      <c r="AX147" s="52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08"/>
      <c r="BL147" s="39"/>
      <c r="BM147" s="39"/>
      <c r="BN147" s="308"/>
      <c r="BO147" s="39"/>
      <c r="BP147" s="39"/>
      <c r="BQ147" s="39"/>
      <c r="BR147" s="39"/>
      <c r="BS147" s="308"/>
      <c r="BT147" s="39"/>
      <c r="BU147" s="39"/>
      <c r="BV147" s="308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40"/>
      <c r="CJ147" s="40"/>
      <c r="CK147" s="39"/>
      <c r="CL147" s="39"/>
      <c r="CM147" s="40"/>
      <c r="CN147" s="40"/>
      <c r="CO147" s="40"/>
      <c r="CP147" s="39"/>
      <c r="CQ147" s="39"/>
      <c r="CR147" s="40"/>
      <c r="CS147" s="40"/>
      <c r="CT147" s="39"/>
      <c r="CU147" s="39"/>
      <c r="CV147" s="39"/>
      <c r="CW147" s="40"/>
      <c r="CX147" s="40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</row>
    <row r="148" spans="1:121" s="2" customFormat="1" x14ac:dyDescent="0.3">
      <c r="A148" s="144"/>
      <c r="B148" s="150"/>
      <c r="C148" s="161"/>
      <c r="D148" s="144"/>
      <c r="E148" s="161"/>
      <c r="F148" s="161"/>
      <c r="G148" s="161"/>
      <c r="H148" s="161"/>
      <c r="I148" s="161"/>
      <c r="J148" s="161"/>
      <c r="K148" s="161"/>
      <c r="L148" s="161"/>
      <c r="M148" s="161"/>
      <c r="N148" s="157"/>
      <c r="O148" s="157"/>
      <c r="P148" s="157"/>
      <c r="Q148" s="157"/>
      <c r="R148" s="157"/>
      <c r="S148" s="157"/>
      <c r="T148" s="39"/>
      <c r="U148" s="426"/>
      <c r="V148" s="426"/>
      <c r="W148" s="426"/>
      <c r="X148" s="426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39"/>
      <c r="AL148" s="39"/>
      <c r="AM148" s="196"/>
      <c r="AN148" s="61"/>
      <c r="AO148" s="196"/>
      <c r="AP148" s="61"/>
      <c r="AQ148" s="39"/>
      <c r="AR148" s="52"/>
      <c r="AS148" s="52"/>
      <c r="AT148" s="52"/>
      <c r="AU148" s="39"/>
      <c r="AV148" s="52"/>
      <c r="AW148" s="52"/>
      <c r="AX148" s="52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08"/>
      <c r="BL148" s="39"/>
      <c r="BM148" s="39"/>
      <c r="BN148" s="308"/>
      <c r="BO148" s="39"/>
      <c r="BP148" s="39"/>
      <c r="BQ148" s="39"/>
      <c r="BR148" s="39"/>
      <c r="BS148" s="308"/>
      <c r="BT148" s="39"/>
      <c r="BU148" s="39"/>
      <c r="BV148" s="308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40"/>
      <c r="CJ148" s="40"/>
      <c r="CK148" s="39"/>
      <c r="CL148" s="39"/>
      <c r="CM148" s="40"/>
      <c r="CN148" s="40"/>
      <c r="CO148" s="40"/>
      <c r="CP148" s="39"/>
      <c r="CQ148" s="39"/>
      <c r="CR148" s="40"/>
      <c r="CS148" s="40"/>
      <c r="CT148" s="39"/>
      <c r="CU148" s="39"/>
      <c r="CV148" s="39"/>
      <c r="CW148" s="40"/>
      <c r="CX148" s="40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</row>
    <row r="149" spans="1:121" s="2" customFormat="1" x14ac:dyDescent="0.3">
      <c r="A149" s="144"/>
      <c r="B149" s="150"/>
      <c r="C149" s="161"/>
      <c r="D149" s="144"/>
      <c r="E149" s="161"/>
      <c r="F149" s="161"/>
      <c r="G149" s="161"/>
      <c r="H149" s="161"/>
      <c r="I149" s="161"/>
      <c r="J149" s="161"/>
      <c r="K149" s="161"/>
      <c r="L149" s="161"/>
      <c r="M149" s="161"/>
      <c r="N149" s="157"/>
      <c r="O149" s="157"/>
      <c r="P149" s="157"/>
      <c r="Q149" s="157"/>
      <c r="R149" s="157"/>
      <c r="S149" s="157"/>
      <c r="T149" s="39"/>
      <c r="U149" s="426"/>
      <c r="V149" s="426"/>
      <c r="W149" s="426"/>
      <c r="X149" s="426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39"/>
      <c r="AL149" s="39"/>
      <c r="AM149" s="196"/>
      <c r="AN149" s="61"/>
      <c r="AO149" s="196"/>
      <c r="AP149" s="61"/>
      <c r="AQ149" s="39"/>
      <c r="AR149" s="52"/>
      <c r="AS149" s="52"/>
      <c r="AT149" s="52"/>
      <c r="AU149" s="39"/>
      <c r="AV149" s="52"/>
      <c r="AW149" s="52"/>
      <c r="AX149" s="52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08"/>
      <c r="BL149" s="39"/>
      <c r="BM149" s="39"/>
      <c r="BN149" s="308"/>
      <c r="BO149" s="39"/>
      <c r="BP149" s="39"/>
      <c r="BQ149" s="39"/>
      <c r="BR149" s="39"/>
      <c r="BS149" s="308"/>
      <c r="BT149" s="39"/>
      <c r="BU149" s="39"/>
      <c r="BV149" s="308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40"/>
      <c r="CJ149" s="40"/>
      <c r="CK149" s="39"/>
      <c r="CL149" s="39"/>
      <c r="CM149" s="40"/>
      <c r="CN149" s="40"/>
      <c r="CO149" s="40"/>
      <c r="CP149" s="39"/>
      <c r="CQ149" s="39"/>
      <c r="CR149" s="40"/>
      <c r="CS149" s="40"/>
      <c r="CT149" s="39"/>
      <c r="CU149" s="39"/>
      <c r="CV149" s="39"/>
      <c r="CW149" s="40"/>
      <c r="CX149" s="40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</row>
    <row r="150" spans="1:121" s="2" customFormat="1" x14ac:dyDescent="0.3">
      <c r="A150" s="144"/>
      <c r="B150" s="150"/>
      <c r="C150" s="161"/>
      <c r="D150" s="144"/>
      <c r="E150" s="161"/>
      <c r="F150" s="161"/>
      <c r="G150" s="161"/>
      <c r="H150" s="161"/>
      <c r="I150" s="161"/>
      <c r="J150" s="161"/>
      <c r="K150" s="161"/>
      <c r="L150" s="161"/>
      <c r="M150" s="161"/>
      <c r="N150" s="157"/>
      <c r="O150" s="157"/>
      <c r="P150" s="157"/>
      <c r="Q150" s="157"/>
      <c r="R150" s="157"/>
      <c r="S150" s="157"/>
      <c r="T150" s="39"/>
      <c r="U150" s="426"/>
      <c r="V150" s="426"/>
      <c r="W150" s="426"/>
      <c r="X150" s="426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39"/>
      <c r="AL150" s="39"/>
      <c r="AM150" s="196"/>
      <c r="AN150" s="61"/>
      <c r="AO150" s="196"/>
      <c r="AP150" s="61"/>
      <c r="AQ150" s="39"/>
      <c r="AR150" s="52"/>
      <c r="AS150" s="52"/>
      <c r="AT150" s="52"/>
      <c r="AU150" s="39"/>
      <c r="AV150" s="52"/>
      <c r="AW150" s="52"/>
      <c r="AX150" s="52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08"/>
      <c r="BL150" s="39"/>
      <c r="BM150" s="39"/>
      <c r="BN150" s="308"/>
      <c r="BO150" s="39"/>
      <c r="BP150" s="39"/>
      <c r="BQ150" s="39"/>
      <c r="BR150" s="39"/>
      <c r="BS150" s="308"/>
      <c r="BT150" s="39"/>
      <c r="BU150" s="39"/>
      <c r="BV150" s="308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40"/>
      <c r="CJ150" s="40"/>
      <c r="CK150" s="39"/>
      <c r="CL150" s="39"/>
      <c r="CM150" s="40"/>
      <c r="CN150" s="40"/>
      <c r="CO150" s="40"/>
      <c r="CP150" s="39"/>
      <c r="CQ150" s="39"/>
      <c r="CR150" s="40"/>
      <c r="CS150" s="40"/>
      <c r="CT150" s="39"/>
      <c r="CU150" s="39"/>
      <c r="CV150" s="39"/>
      <c r="CW150" s="40"/>
      <c r="CX150" s="40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</row>
    <row r="151" spans="1:121" s="2" customFormat="1" x14ac:dyDescent="0.3">
      <c r="A151" s="144"/>
      <c r="B151" s="150"/>
      <c r="C151" s="161"/>
      <c r="D151" s="144"/>
      <c r="E151" s="161"/>
      <c r="F151" s="161"/>
      <c r="G151" s="161"/>
      <c r="H151" s="161"/>
      <c r="I151" s="161"/>
      <c r="J151" s="161"/>
      <c r="K151" s="161"/>
      <c r="L151" s="161"/>
      <c r="M151" s="161"/>
      <c r="N151" s="157"/>
      <c r="O151" s="157"/>
      <c r="P151" s="157"/>
      <c r="Q151" s="157"/>
      <c r="R151" s="157"/>
      <c r="S151" s="157"/>
      <c r="T151" s="39"/>
      <c r="U151" s="426"/>
      <c r="V151" s="426"/>
      <c r="W151" s="426"/>
      <c r="X151" s="426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39"/>
      <c r="AL151" s="39"/>
      <c r="AM151" s="196"/>
      <c r="AN151" s="61"/>
      <c r="AO151" s="196"/>
      <c r="AP151" s="61"/>
      <c r="AQ151" s="39"/>
      <c r="AR151" s="52"/>
      <c r="AS151" s="52"/>
      <c r="AT151" s="52"/>
      <c r="AU151" s="39"/>
      <c r="AV151" s="52"/>
      <c r="AW151" s="52"/>
      <c r="AX151" s="52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08"/>
      <c r="BL151" s="39"/>
      <c r="BM151" s="39"/>
      <c r="BN151" s="308"/>
      <c r="BO151" s="39"/>
      <c r="BP151" s="39"/>
      <c r="BQ151" s="39"/>
      <c r="BR151" s="39"/>
      <c r="BS151" s="308"/>
      <c r="BT151" s="39"/>
      <c r="BU151" s="39"/>
      <c r="BV151" s="308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40"/>
      <c r="CJ151" s="40"/>
      <c r="CK151" s="39"/>
      <c r="CL151" s="39"/>
      <c r="CM151" s="40"/>
      <c r="CN151" s="40"/>
      <c r="CO151" s="40"/>
      <c r="CP151" s="39"/>
      <c r="CQ151" s="39"/>
      <c r="CR151" s="40"/>
      <c r="CS151" s="40"/>
      <c r="CT151" s="39"/>
      <c r="CU151" s="39"/>
      <c r="CV151" s="39"/>
      <c r="CW151" s="40"/>
      <c r="CX151" s="40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</row>
    <row r="152" spans="1:121" s="2" customFormat="1" x14ac:dyDescent="0.3">
      <c r="A152" s="144"/>
      <c r="B152" s="150"/>
      <c r="C152" s="161"/>
      <c r="D152" s="144"/>
      <c r="E152" s="161"/>
      <c r="F152" s="161"/>
      <c r="G152" s="161"/>
      <c r="H152" s="161"/>
      <c r="I152" s="161"/>
      <c r="J152" s="161"/>
      <c r="K152" s="161"/>
      <c r="L152" s="161"/>
      <c r="M152" s="161"/>
      <c r="N152" s="157"/>
      <c r="O152" s="157"/>
      <c r="P152" s="157"/>
      <c r="Q152" s="157"/>
      <c r="R152" s="157"/>
      <c r="S152" s="157"/>
      <c r="T152" s="39"/>
      <c r="U152" s="426"/>
      <c r="V152" s="426"/>
      <c r="W152" s="426"/>
      <c r="X152" s="426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39"/>
      <c r="AL152" s="39"/>
      <c r="AM152" s="196"/>
      <c r="AN152" s="61"/>
      <c r="AO152" s="196"/>
      <c r="AP152" s="61"/>
      <c r="AQ152" s="39"/>
      <c r="AR152" s="52"/>
      <c r="AS152" s="52"/>
      <c r="AT152" s="52"/>
      <c r="AU152" s="39"/>
      <c r="AV152" s="52"/>
      <c r="AW152" s="52"/>
      <c r="AX152" s="52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08"/>
      <c r="BL152" s="39"/>
      <c r="BM152" s="39"/>
      <c r="BN152" s="308"/>
      <c r="BO152" s="39"/>
      <c r="BP152" s="39"/>
      <c r="BQ152" s="39"/>
      <c r="BR152" s="39"/>
      <c r="BS152" s="308"/>
      <c r="BT152" s="39"/>
      <c r="BU152" s="39"/>
      <c r="BV152" s="308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40"/>
      <c r="CJ152" s="40"/>
      <c r="CK152" s="39"/>
      <c r="CL152" s="39"/>
      <c r="CM152" s="40"/>
      <c r="CN152" s="40"/>
      <c r="CO152" s="40"/>
      <c r="CP152" s="39"/>
      <c r="CQ152" s="39"/>
      <c r="CR152" s="40"/>
      <c r="CS152" s="40"/>
      <c r="CT152" s="39"/>
      <c r="CU152" s="39"/>
      <c r="CV152" s="39"/>
      <c r="CW152" s="40"/>
      <c r="CX152" s="40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</row>
    <row r="153" spans="1:121" s="2" customFormat="1" x14ac:dyDescent="0.3">
      <c r="A153" s="144"/>
      <c r="B153" s="150"/>
      <c r="C153" s="161"/>
      <c r="D153" s="144"/>
      <c r="E153" s="161"/>
      <c r="F153" s="161"/>
      <c r="G153" s="161"/>
      <c r="H153" s="161"/>
      <c r="I153" s="161"/>
      <c r="J153" s="161"/>
      <c r="K153" s="161"/>
      <c r="L153" s="161"/>
      <c r="M153" s="161"/>
      <c r="N153" s="157"/>
      <c r="O153" s="157"/>
      <c r="P153" s="157"/>
      <c r="Q153" s="157"/>
      <c r="R153" s="157"/>
      <c r="S153" s="157"/>
      <c r="T153" s="39"/>
      <c r="U153" s="426"/>
      <c r="V153" s="426"/>
      <c r="W153" s="426"/>
      <c r="X153" s="426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39"/>
      <c r="AL153" s="39"/>
      <c r="AM153" s="196"/>
      <c r="AN153" s="61"/>
      <c r="AO153" s="196"/>
      <c r="AP153" s="61"/>
      <c r="AQ153" s="39"/>
      <c r="AR153" s="52"/>
      <c r="AS153" s="52"/>
      <c r="AT153" s="52"/>
      <c r="AU153" s="39"/>
      <c r="AV153" s="52"/>
      <c r="AW153" s="52"/>
      <c r="AX153" s="52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08"/>
      <c r="BL153" s="39"/>
      <c r="BM153" s="39"/>
      <c r="BN153" s="308"/>
      <c r="BO153" s="39"/>
      <c r="BP153" s="39"/>
      <c r="BQ153" s="39"/>
      <c r="BR153" s="39"/>
      <c r="BS153" s="308"/>
      <c r="BT153" s="39"/>
      <c r="BU153" s="39"/>
      <c r="BV153" s="308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40"/>
      <c r="CJ153" s="40"/>
      <c r="CK153" s="39"/>
      <c r="CL153" s="39"/>
      <c r="CM153" s="40"/>
      <c r="CN153" s="40"/>
      <c r="CO153" s="40"/>
      <c r="CP153" s="39"/>
      <c r="CQ153" s="39"/>
      <c r="CR153" s="40"/>
      <c r="CS153" s="40"/>
      <c r="CT153" s="39"/>
      <c r="CU153" s="39"/>
      <c r="CV153" s="39"/>
      <c r="CW153" s="40"/>
      <c r="CX153" s="40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</row>
    <row r="154" spans="1:121" s="2" customFormat="1" x14ac:dyDescent="0.3">
      <c r="A154" s="144"/>
      <c r="B154" s="150"/>
      <c r="C154" s="161"/>
      <c r="D154" s="144"/>
      <c r="E154" s="161"/>
      <c r="F154" s="161"/>
      <c r="G154" s="161"/>
      <c r="H154" s="161"/>
      <c r="I154" s="161"/>
      <c r="J154" s="161"/>
      <c r="K154" s="161"/>
      <c r="L154" s="161"/>
      <c r="M154" s="161"/>
      <c r="N154" s="157"/>
      <c r="O154" s="157"/>
      <c r="P154" s="157"/>
      <c r="Q154" s="157"/>
      <c r="R154" s="157"/>
      <c r="S154" s="157"/>
      <c r="T154" s="39"/>
      <c r="U154" s="426"/>
      <c r="V154" s="426"/>
      <c r="W154" s="426"/>
      <c r="X154" s="426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39"/>
      <c r="AL154" s="39"/>
      <c r="AM154" s="196"/>
      <c r="AN154" s="61"/>
      <c r="AO154" s="196"/>
      <c r="AP154" s="61"/>
      <c r="AQ154" s="39"/>
      <c r="AR154" s="52"/>
      <c r="AS154" s="52"/>
      <c r="AT154" s="52"/>
      <c r="AU154" s="39"/>
      <c r="AV154" s="52"/>
      <c r="AW154" s="52"/>
      <c r="AX154" s="52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08"/>
      <c r="BL154" s="39"/>
      <c r="BM154" s="39"/>
      <c r="BN154" s="308"/>
      <c r="BO154" s="39"/>
      <c r="BP154" s="39"/>
      <c r="BQ154" s="39"/>
      <c r="BR154" s="39"/>
      <c r="BS154" s="308"/>
      <c r="BT154" s="39"/>
      <c r="BU154" s="39"/>
      <c r="BV154" s="308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40"/>
      <c r="CJ154" s="40"/>
      <c r="CK154" s="39"/>
      <c r="CL154" s="39"/>
      <c r="CM154" s="40"/>
      <c r="CN154" s="40"/>
      <c r="CO154" s="40"/>
      <c r="CP154" s="39"/>
      <c r="CQ154" s="39"/>
      <c r="CR154" s="40"/>
      <c r="CS154" s="40"/>
      <c r="CT154" s="39"/>
      <c r="CU154" s="39"/>
      <c r="CV154" s="39"/>
      <c r="CW154" s="40"/>
      <c r="CX154" s="40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</row>
    <row r="155" spans="1:121" s="2" customFormat="1" x14ac:dyDescent="0.3">
      <c r="A155" s="144"/>
      <c r="B155" s="150"/>
      <c r="C155" s="161"/>
      <c r="D155" s="144"/>
      <c r="E155" s="161"/>
      <c r="F155" s="161"/>
      <c r="G155" s="161"/>
      <c r="H155" s="161"/>
      <c r="I155" s="161"/>
      <c r="J155" s="161"/>
      <c r="K155" s="161"/>
      <c r="L155" s="161"/>
      <c r="M155" s="161"/>
      <c r="N155" s="157"/>
      <c r="O155" s="157"/>
      <c r="P155" s="157"/>
      <c r="Q155" s="157"/>
      <c r="R155" s="157"/>
      <c r="S155" s="157"/>
      <c r="T155" s="39"/>
      <c r="U155" s="426"/>
      <c r="V155" s="426"/>
      <c r="W155" s="426"/>
      <c r="X155" s="426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39"/>
      <c r="AL155" s="39"/>
      <c r="AM155" s="196"/>
      <c r="AN155" s="61"/>
      <c r="AO155" s="196"/>
      <c r="AP155" s="61"/>
      <c r="AQ155" s="39"/>
      <c r="AR155" s="52"/>
      <c r="AS155" s="52"/>
      <c r="AT155" s="52"/>
      <c r="AU155" s="39"/>
      <c r="AV155" s="52"/>
      <c r="AW155" s="52"/>
      <c r="AX155" s="52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08"/>
      <c r="BL155" s="39"/>
      <c r="BM155" s="39"/>
      <c r="BN155" s="308"/>
      <c r="BO155" s="39"/>
      <c r="BP155" s="39"/>
      <c r="BQ155" s="39"/>
      <c r="BR155" s="39"/>
      <c r="BS155" s="308"/>
      <c r="BT155" s="39"/>
      <c r="BU155" s="39"/>
      <c r="BV155" s="308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40"/>
      <c r="CJ155" s="40"/>
      <c r="CK155" s="39"/>
      <c r="CL155" s="39"/>
      <c r="CM155" s="40"/>
      <c r="CN155" s="40"/>
      <c r="CO155" s="40"/>
      <c r="CP155" s="39"/>
      <c r="CQ155" s="39"/>
      <c r="CR155" s="40"/>
      <c r="CS155" s="40"/>
      <c r="CT155" s="39"/>
      <c r="CU155" s="39"/>
      <c r="CV155" s="39"/>
      <c r="CW155" s="40"/>
      <c r="CX155" s="40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</row>
    <row r="156" spans="1:121" x14ac:dyDescent="0.3">
      <c r="B156" s="150"/>
      <c r="C156" s="161"/>
      <c r="D156" s="144"/>
      <c r="E156" s="161"/>
      <c r="F156" s="161"/>
      <c r="G156" s="161"/>
      <c r="H156" s="161"/>
      <c r="I156" s="161"/>
      <c r="J156" s="161"/>
      <c r="K156" s="161"/>
      <c r="L156" s="161"/>
      <c r="M156" s="161"/>
      <c r="N156" s="157"/>
      <c r="O156" s="157"/>
      <c r="P156" s="157"/>
      <c r="Q156" s="157"/>
      <c r="R156" s="157"/>
      <c r="S156" s="157"/>
    </row>
    <row r="157" spans="1:121" x14ac:dyDescent="0.3">
      <c r="B157" s="150"/>
      <c r="C157" s="161"/>
      <c r="D157" s="144"/>
      <c r="E157" s="161"/>
      <c r="F157" s="161"/>
      <c r="G157" s="161"/>
      <c r="H157" s="161"/>
      <c r="I157" s="161"/>
      <c r="J157" s="161"/>
      <c r="K157" s="161"/>
      <c r="L157" s="161"/>
      <c r="M157" s="161"/>
      <c r="N157" s="157"/>
      <c r="O157" s="157"/>
      <c r="P157" s="157"/>
      <c r="Q157" s="157"/>
      <c r="R157" s="157"/>
      <c r="S157" s="157"/>
    </row>
    <row r="158" spans="1:121" x14ac:dyDescent="0.3">
      <c r="B158" s="150"/>
      <c r="C158" s="161"/>
      <c r="D158" s="144"/>
      <c r="E158" s="161"/>
      <c r="F158" s="161"/>
      <c r="G158" s="161"/>
      <c r="H158" s="161"/>
      <c r="I158" s="161"/>
      <c r="J158" s="161"/>
      <c r="K158" s="161"/>
      <c r="L158" s="161"/>
      <c r="M158" s="161"/>
      <c r="N158" s="157"/>
      <c r="O158" s="157"/>
      <c r="P158" s="157"/>
      <c r="Q158" s="157"/>
      <c r="R158" s="157"/>
      <c r="S158" s="157"/>
    </row>
    <row r="159" spans="1:121" x14ac:dyDescent="0.3">
      <c r="B159" s="150"/>
      <c r="C159" s="161"/>
      <c r="D159" s="144"/>
      <c r="E159" s="161"/>
      <c r="F159" s="161"/>
      <c r="G159" s="161"/>
      <c r="H159" s="161"/>
      <c r="I159" s="161"/>
      <c r="J159" s="161"/>
      <c r="K159" s="161"/>
      <c r="L159" s="161"/>
      <c r="M159" s="161"/>
      <c r="N159" s="157"/>
      <c r="O159" s="157"/>
      <c r="P159" s="157"/>
      <c r="Q159" s="157"/>
      <c r="R159" s="157"/>
      <c r="S159" s="157"/>
    </row>
    <row r="160" spans="1:121" x14ac:dyDescent="0.3">
      <c r="B160" s="150"/>
      <c r="C160" s="161"/>
      <c r="D160" s="144"/>
      <c r="E160" s="161"/>
      <c r="F160" s="161"/>
      <c r="G160" s="161"/>
      <c r="H160" s="161"/>
      <c r="I160" s="161"/>
      <c r="J160" s="161"/>
      <c r="K160" s="161"/>
      <c r="L160" s="161"/>
      <c r="M160" s="161"/>
      <c r="N160" s="157"/>
      <c r="O160" s="157"/>
      <c r="P160" s="157"/>
      <c r="Q160" s="157"/>
      <c r="R160" s="157"/>
      <c r="S160" s="157"/>
    </row>
    <row r="161" spans="2:19" x14ac:dyDescent="0.3">
      <c r="B161" s="150"/>
      <c r="C161" s="161"/>
      <c r="D161" s="144"/>
      <c r="E161" s="161"/>
      <c r="F161" s="161"/>
      <c r="G161" s="161"/>
      <c r="H161" s="161"/>
      <c r="I161" s="161"/>
      <c r="J161" s="161"/>
      <c r="K161" s="161"/>
      <c r="L161" s="161"/>
      <c r="M161" s="161"/>
      <c r="N161" s="157"/>
      <c r="O161" s="157"/>
      <c r="P161" s="157"/>
      <c r="Q161" s="157"/>
      <c r="R161" s="157"/>
      <c r="S161" s="157"/>
    </row>
    <row r="162" spans="2:19" x14ac:dyDescent="0.3">
      <c r="B162" s="150"/>
      <c r="C162" s="161"/>
      <c r="D162" s="144"/>
      <c r="E162" s="161"/>
      <c r="F162" s="161"/>
      <c r="G162" s="161"/>
      <c r="H162" s="161"/>
      <c r="I162" s="161"/>
      <c r="J162" s="161"/>
      <c r="K162" s="161"/>
      <c r="L162" s="161"/>
      <c r="M162" s="161"/>
      <c r="N162" s="157"/>
      <c r="O162" s="157"/>
      <c r="P162" s="157"/>
      <c r="Q162" s="157"/>
      <c r="R162" s="157"/>
      <c r="S162" s="157"/>
    </row>
    <row r="163" spans="2:19" x14ac:dyDescent="0.3">
      <c r="B163" s="150"/>
      <c r="C163" s="161"/>
      <c r="D163" s="144"/>
      <c r="E163" s="161"/>
      <c r="F163" s="161"/>
      <c r="G163" s="161"/>
      <c r="H163" s="161"/>
      <c r="I163" s="161"/>
      <c r="J163" s="161"/>
      <c r="K163" s="161"/>
      <c r="L163" s="161"/>
      <c r="M163" s="161"/>
      <c r="N163" s="157"/>
      <c r="O163" s="157"/>
      <c r="P163" s="157"/>
      <c r="Q163" s="157"/>
      <c r="R163" s="157"/>
      <c r="S163" s="157"/>
    </row>
    <row r="164" spans="2:19" x14ac:dyDescent="0.3">
      <c r="B164" s="150"/>
      <c r="C164" s="161"/>
      <c r="D164" s="144"/>
      <c r="E164" s="161"/>
      <c r="F164" s="161"/>
      <c r="G164" s="161"/>
      <c r="H164" s="161"/>
      <c r="I164" s="161"/>
      <c r="J164" s="161"/>
      <c r="K164" s="161"/>
      <c r="L164" s="161"/>
      <c r="M164" s="161"/>
      <c r="N164" s="157"/>
      <c r="O164" s="157"/>
      <c r="P164" s="157"/>
      <c r="Q164" s="157"/>
      <c r="R164" s="157"/>
      <c r="S164" s="157"/>
    </row>
    <row r="165" spans="2:19" x14ac:dyDescent="0.3">
      <c r="B165" s="150"/>
      <c r="C165" s="161"/>
      <c r="D165" s="144"/>
      <c r="E165" s="161"/>
      <c r="F165" s="161"/>
      <c r="G165" s="161"/>
      <c r="H165" s="161"/>
      <c r="I165" s="161"/>
      <c r="J165" s="161"/>
      <c r="K165" s="161"/>
      <c r="L165" s="161"/>
      <c r="M165" s="161"/>
      <c r="N165" s="157"/>
      <c r="O165" s="157"/>
      <c r="P165" s="157"/>
      <c r="Q165" s="157"/>
      <c r="R165" s="157"/>
      <c r="S165" s="157"/>
    </row>
    <row r="166" spans="2:19" x14ac:dyDescent="0.3">
      <c r="B166" s="150"/>
      <c r="C166" s="161"/>
      <c r="D166" s="144"/>
      <c r="E166" s="161"/>
      <c r="F166" s="161"/>
      <c r="G166" s="161"/>
      <c r="H166" s="161"/>
      <c r="I166" s="161"/>
      <c r="J166" s="161"/>
      <c r="K166" s="161"/>
      <c r="L166" s="161"/>
      <c r="M166" s="161"/>
      <c r="N166" s="157"/>
      <c r="O166" s="157"/>
      <c r="P166" s="157"/>
      <c r="Q166" s="157"/>
      <c r="R166" s="157"/>
      <c r="S166" s="157"/>
    </row>
    <row r="167" spans="2:19" x14ac:dyDescent="0.3">
      <c r="B167" s="150"/>
      <c r="C167" s="161"/>
      <c r="D167" s="144"/>
      <c r="E167" s="161"/>
      <c r="F167" s="161"/>
      <c r="G167" s="161"/>
      <c r="H167" s="161"/>
      <c r="I167" s="161"/>
      <c r="J167" s="161"/>
      <c r="K167" s="161"/>
      <c r="L167" s="161"/>
      <c r="M167" s="161"/>
      <c r="N167" s="157"/>
      <c r="O167" s="157"/>
      <c r="P167" s="157"/>
      <c r="Q167" s="157"/>
      <c r="R167" s="157"/>
      <c r="S167" s="157"/>
    </row>
    <row r="168" spans="2:19" x14ac:dyDescent="0.3">
      <c r="B168" s="150"/>
      <c r="C168" s="161"/>
      <c r="D168" s="144"/>
      <c r="E168" s="161"/>
      <c r="F168" s="161"/>
      <c r="G168" s="161"/>
      <c r="H168" s="161"/>
      <c r="I168" s="161"/>
      <c r="J168" s="161"/>
      <c r="K168" s="161"/>
      <c r="L168" s="161"/>
      <c r="M168" s="161"/>
      <c r="N168" s="157"/>
      <c r="O168" s="157"/>
      <c r="P168" s="157"/>
      <c r="Q168" s="157"/>
      <c r="R168" s="157"/>
      <c r="S168" s="157"/>
    </row>
    <row r="169" spans="2:19" x14ac:dyDescent="0.3">
      <c r="B169" s="150"/>
      <c r="C169" s="161"/>
      <c r="D169" s="144"/>
      <c r="E169" s="161"/>
      <c r="F169" s="161"/>
      <c r="G169" s="161"/>
      <c r="H169" s="161"/>
      <c r="I169" s="161"/>
      <c r="J169" s="161"/>
      <c r="K169" s="161"/>
      <c r="L169" s="161"/>
      <c r="M169" s="161"/>
      <c r="N169" s="157"/>
      <c r="O169" s="157"/>
      <c r="P169" s="157"/>
      <c r="Q169" s="157"/>
      <c r="R169" s="157"/>
      <c r="S169" s="157"/>
    </row>
    <row r="170" spans="2:19" x14ac:dyDescent="0.3">
      <c r="B170" s="150"/>
      <c r="C170" s="161"/>
      <c r="D170" s="144"/>
      <c r="E170" s="161"/>
      <c r="F170" s="161"/>
      <c r="G170" s="161"/>
      <c r="H170" s="161"/>
      <c r="I170" s="161"/>
      <c r="J170" s="161"/>
      <c r="K170" s="161"/>
      <c r="L170" s="161"/>
      <c r="M170" s="161"/>
      <c r="N170" s="157"/>
      <c r="O170" s="157"/>
      <c r="P170" s="157"/>
      <c r="Q170" s="157"/>
      <c r="R170" s="157"/>
      <c r="S170" s="157"/>
    </row>
    <row r="171" spans="2:19" x14ac:dyDescent="0.3">
      <c r="B171" s="150"/>
      <c r="C171" s="161"/>
      <c r="D171" s="144"/>
      <c r="E171" s="161"/>
      <c r="F171" s="161"/>
      <c r="G171" s="161"/>
      <c r="H171" s="161"/>
      <c r="I171" s="161"/>
      <c r="J171" s="161"/>
      <c r="K171" s="161"/>
      <c r="L171" s="161"/>
      <c r="M171" s="161"/>
      <c r="N171" s="157"/>
      <c r="O171" s="157"/>
      <c r="P171" s="157"/>
      <c r="Q171" s="157"/>
      <c r="R171" s="157"/>
      <c r="S171" s="157"/>
    </row>
    <row r="172" spans="2:19" x14ac:dyDescent="0.3">
      <c r="B172" s="150"/>
      <c r="C172" s="161"/>
      <c r="D172" s="144"/>
      <c r="E172" s="161"/>
      <c r="F172" s="161"/>
      <c r="G172" s="161"/>
      <c r="H172" s="161"/>
      <c r="I172" s="161"/>
      <c r="J172" s="161"/>
      <c r="K172" s="161"/>
      <c r="L172" s="161"/>
      <c r="M172" s="161"/>
      <c r="N172" s="157"/>
      <c r="O172" s="157"/>
      <c r="P172" s="157"/>
      <c r="Q172" s="157"/>
      <c r="R172" s="157"/>
      <c r="S172" s="157"/>
    </row>
    <row r="173" spans="2:19" x14ac:dyDescent="0.3">
      <c r="B173" s="150"/>
      <c r="C173" s="161"/>
      <c r="D173" s="144"/>
      <c r="E173" s="161"/>
      <c r="F173" s="161"/>
      <c r="G173" s="161"/>
      <c r="H173" s="161"/>
      <c r="I173" s="161"/>
      <c r="J173" s="161"/>
      <c r="K173" s="161"/>
      <c r="L173" s="161"/>
      <c r="M173" s="161"/>
      <c r="N173" s="157"/>
      <c r="O173" s="157"/>
      <c r="P173" s="157"/>
      <c r="Q173" s="157"/>
      <c r="R173" s="157"/>
      <c r="S173" s="157"/>
    </row>
  </sheetData>
  <sheetProtection algorithmName="SHA-512" hashValue="0Dc9DAcNKbddh/KfiWIJlkCnXCy18AfJHfUq2VYYj6L9DY+PXsEDnraY6VBwZkBYB1enNb201kJTGY26QK6jvg==" saltValue="w4cWgumH2l+8YVIx+4w6lw==" spinCount="100000" sheet="1" objects="1" scenarios="1"/>
  <mergeCells count="39">
    <mergeCell ref="I55:K55"/>
    <mergeCell ref="L55:M55"/>
    <mergeCell ref="BA56:BH56"/>
    <mergeCell ref="CP85:CS85"/>
    <mergeCell ref="CO56:CS56"/>
    <mergeCell ref="AF56:AG56"/>
    <mergeCell ref="AM56:AN56"/>
    <mergeCell ref="AO56:AP56"/>
    <mergeCell ref="AQ56:AT56"/>
    <mergeCell ref="AU56:AX56"/>
    <mergeCell ref="N55:S55"/>
    <mergeCell ref="U55:W55"/>
    <mergeCell ref="CT85:CX85"/>
    <mergeCell ref="BA85:BH85"/>
    <mergeCell ref="BI85:BP85"/>
    <mergeCell ref="BQ85:BX85"/>
    <mergeCell ref="BY85:CF85"/>
    <mergeCell ref="CG85:CJ85"/>
    <mergeCell ref="CK85:CN85"/>
    <mergeCell ref="CT56:CX56"/>
    <mergeCell ref="BI56:BP56"/>
    <mergeCell ref="BQ56:BX56"/>
    <mergeCell ref="BY56:CF56"/>
    <mergeCell ref="CG56:CJ56"/>
    <mergeCell ref="CK56:CN56"/>
    <mergeCell ref="H12:O12"/>
    <mergeCell ref="H13:O13"/>
    <mergeCell ref="H5:O10"/>
    <mergeCell ref="D26:F26"/>
    <mergeCell ref="D27:F27"/>
    <mergeCell ref="B1:F1"/>
    <mergeCell ref="B55:F55"/>
    <mergeCell ref="D20:F21"/>
    <mergeCell ref="D22:F22"/>
    <mergeCell ref="D23:F23"/>
    <mergeCell ref="D28:F30"/>
    <mergeCell ref="B26:B30"/>
    <mergeCell ref="B5:B16"/>
    <mergeCell ref="B20:B23"/>
  </mergeCells>
  <phoneticPr fontId="5" type="noConversion"/>
  <conditionalFormatting sqref="AI4:AI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9:AI7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:AJ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K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8" r:id="rId1" xr:uid="{83316919-0071-4D35-A8DA-3C048D720234}"/>
    <hyperlink ref="H13" r:id="rId2" xr:uid="{6AB3FC26-A084-4D58-82CC-61CB4042482B}"/>
    <hyperlink ref="F18" r:id="rId3" xr:uid="{E4D0238C-DB56-4795-B8D5-1183EE7FC27E}"/>
  </hyperlinks>
  <pageMargins left="0.14000000000000001" right="0.03" top="0.55118110236220474" bottom="0.11811023622047245" header="0.31496062992125984" footer="7.874015748031496E-2"/>
  <pageSetup paperSize="9" scale="43" fitToHeight="0" orientation="landscape" r:id="rId4"/>
  <rowBreaks count="1" manualBreakCount="1">
    <brk id="84" max="18" man="1"/>
  </rowBreaks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 codeName="Tabelle1">
    <tabColor rgb="FF92D050"/>
    <pageSetUpPr fitToPage="1"/>
  </sheetPr>
  <dimension ref="A1:AL188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12" sqref="A12"/>
      <selection pane="bottomRight" activeCell="C27" sqref="C27"/>
    </sheetView>
  </sheetViews>
  <sheetFormatPr baseColWidth="10" defaultRowHeight="15" outlineLevelRow="1" outlineLevelCol="1" x14ac:dyDescent="0.3"/>
  <cols>
    <col min="1" max="1" width="1.28515625" style="144" customWidth="1"/>
    <col min="2" max="2" width="18.5703125" style="133" customWidth="1"/>
    <col min="3" max="3" width="81.28515625" style="79" customWidth="1"/>
    <col min="4" max="4" width="7.28515625" style="134" bestFit="1" customWidth="1"/>
    <col min="5" max="5" width="11.5703125" style="134" bestFit="1" customWidth="1"/>
    <col min="6" max="6" width="25.5703125" style="79" bestFit="1" customWidth="1"/>
    <col min="7" max="12" width="12.42578125" style="134" customWidth="1"/>
    <col min="13" max="14" width="12.42578125" style="134" hidden="1" customWidth="1" outlineLevel="1"/>
    <col min="15" max="15" width="12.42578125" style="134" customWidth="1" collapsed="1"/>
    <col min="16" max="16" width="12.42578125" style="134" customWidth="1"/>
    <col min="17" max="17" width="9.5703125" style="135" customWidth="1"/>
    <col min="18" max="18" width="9.5703125" style="136" customWidth="1"/>
    <col min="19" max="19" width="48.28515625" style="137" customWidth="1"/>
    <col min="20" max="38" width="11.42578125" style="144"/>
    <col min="39" max="16384" width="11.42578125" style="79"/>
  </cols>
  <sheetData>
    <row r="1" spans="1:38" s="144" customFormat="1" ht="24" thickBot="1" x14ac:dyDescent="0.35">
      <c r="B1" s="504" t="str">
        <f>'Übersicht &amp; Anleitung'!B1:F1</f>
        <v>Der "Ära des Goldenen Kaisers"-Crowdfunding-Guide       von       Hinter dem Schwarzen Auge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6"/>
      <c r="Z1" s="148"/>
      <c r="AA1" s="149"/>
      <c r="AB1" s="149"/>
      <c r="AC1" s="148"/>
      <c r="AD1" s="149"/>
      <c r="AE1" s="149"/>
      <c r="AF1" s="148"/>
    </row>
    <row r="2" spans="1:38" s="2" customFormat="1" ht="4.5" customHeight="1" thickBot="1" x14ac:dyDescent="0.35">
      <c r="A2" s="144"/>
      <c r="B2" s="144"/>
      <c r="C2" s="144"/>
      <c r="D2" s="161"/>
      <c r="E2" s="161"/>
      <c r="F2" s="144"/>
      <c r="G2" s="161"/>
      <c r="H2" s="162"/>
      <c r="I2" s="162"/>
      <c r="J2" s="162"/>
      <c r="K2" s="162"/>
      <c r="L2" s="162"/>
      <c r="M2" s="162"/>
      <c r="N2" s="162"/>
      <c r="O2" s="162"/>
      <c r="P2" s="162"/>
      <c r="Q2" s="144"/>
      <c r="R2" s="144"/>
      <c r="S2" s="144"/>
      <c r="T2" s="144"/>
      <c r="U2" s="144"/>
      <c r="V2" s="144"/>
      <c r="W2" s="144"/>
      <c r="X2" s="144"/>
      <c r="Y2" s="144"/>
      <c r="Z2" s="148"/>
      <c r="AA2" s="149"/>
      <c r="AB2" s="149"/>
      <c r="AC2" s="148"/>
      <c r="AD2" s="149"/>
      <c r="AE2" s="149"/>
      <c r="AF2" s="148"/>
      <c r="AG2" s="144"/>
      <c r="AH2" s="144"/>
      <c r="AI2" s="144"/>
      <c r="AJ2" s="144"/>
      <c r="AK2" s="144"/>
      <c r="AL2" s="144"/>
    </row>
    <row r="3" spans="1:38" s="62" customFormat="1" ht="30.75" thickBot="1" x14ac:dyDescent="0.35">
      <c r="A3" s="145"/>
      <c r="B3" s="562" t="s">
        <v>245</v>
      </c>
      <c r="C3" s="563"/>
      <c r="D3" s="568"/>
      <c r="E3" s="568"/>
      <c r="F3" s="569"/>
      <c r="G3" s="576" t="s">
        <v>419</v>
      </c>
      <c r="H3" s="188" t="s">
        <v>283</v>
      </c>
      <c r="I3" s="188" t="s">
        <v>284</v>
      </c>
      <c r="J3" s="188" t="s">
        <v>285</v>
      </c>
      <c r="K3" s="188" t="s">
        <v>286</v>
      </c>
      <c r="L3" s="188" t="s">
        <v>287</v>
      </c>
      <c r="M3" s="188"/>
      <c r="N3" s="188"/>
      <c r="O3" s="188" t="s">
        <v>289</v>
      </c>
      <c r="P3" s="177" t="s">
        <v>288</v>
      </c>
      <c r="Q3" s="566" t="s">
        <v>28</v>
      </c>
      <c r="R3" s="567"/>
      <c r="S3" s="567"/>
      <c r="T3" s="145"/>
      <c r="U3" s="145"/>
      <c r="V3" s="145"/>
      <c r="W3" s="145"/>
      <c r="X3" s="145"/>
      <c r="Y3" s="145"/>
      <c r="Z3" s="148"/>
      <c r="AA3" s="149"/>
      <c r="AB3" s="149"/>
      <c r="AC3" s="148"/>
      <c r="AD3" s="149"/>
      <c r="AE3" s="149"/>
      <c r="AF3" s="148"/>
      <c r="AG3" s="145"/>
      <c r="AH3" s="145"/>
      <c r="AI3" s="145"/>
      <c r="AJ3" s="145"/>
      <c r="AK3" s="145"/>
      <c r="AL3" s="145"/>
    </row>
    <row r="4" spans="1:38" s="2" customFormat="1" ht="33.75" customHeight="1" x14ac:dyDescent="0.3">
      <c r="A4" s="144"/>
      <c r="B4" s="564" t="s">
        <v>1</v>
      </c>
      <c r="C4" s="313"/>
      <c r="D4" s="568"/>
      <c r="E4" s="568"/>
      <c r="F4" s="569"/>
      <c r="G4" s="577"/>
      <c r="H4" s="351"/>
      <c r="I4" s="351"/>
      <c r="J4" s="351"/>
      <c r="K4" s="351"/>
      <c r="L4" s="351"/>
      <c r="M4" s="351"/>
      <c r="N4" s="351"/>
      <c r="O4" s="351"/>
      <c r="P4" s="352"/>
      <c r="Q4" s="566"/>
      <c r="R4" s="567"/>
      <c r="S4" s="567"/>
      <c r="T4" s="144"/>
      <c r="U4" s="144"/>
      <c r="V4" s="144"/>
      <c r="W4" s="144"/>
      <c r="X4" s="144"/>
      <c r="Y4" s="144"/>
      <c r="Z4" s="148"/>
      <c r="AA4" s="149"/>
      <c r="AB4" s="149"/>
      <c r="AC4" s="148"/>
      <c r="AD4" s="149"/>
      <c r="AE4" s="149"/>
      <c r="AF4" s="148"/>
      <c r="AG4" s="144"/>
      <c r="AH4" s="144"/>
      <c r="AI4" s="144"/>
      <c r="AJ4" s="144"/>
      <c r="AK4" s="144"/>
      <c r="AL4" s="144"/>
    </row>
    <row r="5" spans="1:38" s="66" customFormat="1" ht="15.75" thickBot="1" x14ac:dyDescent="0.35">
      <c r="A5" s="146"/>
      <c r="B5" s="565"/>
      <c r="C5" s="317"/>
      <c r="D5" s="317"/>
      <c r="E5" s="182"/>
      <c r="F5" s="178" t="s">
        <v>29</v>
      </c>
      <c r="G5" s="333"/>
      <c r="H5" s="333">
        <f>'Übersicht &amp; Anleitung'!$Z$15</f>
        <v>8</v>
      </c>
      <c r="I5" s="333">
        <f>'Übersicht &amp; Anleitung'!$Z$16</f>
        <v>164</v>
      </c>
      <c r="J5" s="333">
        <f>'Übersicht &amp; Anleitung'!$Z$17</f>
        <v>54</v>
      </c>
      <c r="K5" s="333">
        <f>'Übersicht &amp; Anleitung'!$Z$18</f>
        <v>204</v>
      </c>
      <c r="L5" s="333">
        <f>'Übersicht &amp; Anleitung'!$Z$19</f>
        <v>119</v>
      </c>
      <c r="M5" s="333">
        <f>'Übersicht &amp; Anleitung'!$Z$20</f>
        <v>0</v>
      </c>
      <c r="N5" s="333">
        <f>'Übersicht &amp; Anleitung'!$Z$21</f>
        <v>0</v>
      </c>
      <c r="O5" s="333">
        <f>'Übersicht &amp; Anleitung'!$Z$22</f>
        <v>391</v>
      </c>
      <c r="P5" s="334">
        <f>'Übersicht &amp; Anleitung'!$Z$23</f>
        <v>202</v>
      </c>
      <c r="Q5" s="566"/>
      <c r="R5" s="567"/>
      <c r="S5" s="567"/>
      <c r="T5" s="146"/>
      <c r="U5" s="146"/>
      <c r="V5" s="146"/>
      <c r="W5" s="146"/>
      <c r="X5" s="146"/>
      <c r="Y5" s="146"/>
      <c r="Z5" s="148"/>
      <c r="AA5" s="149"/>
      <c r="AB5" s="149"/>
      <c r="AC5" s="148"/>
      <c r="AD5" s="149"/>
      <c r="AE5" s="149"/>
      <c r="AF5" s="148"/>
      <c r="AG5" s="146"/>
      <c r="AH5" s="146"/>
      <c r="AI5" s="146"/>
      <c r="AJ5" s="146"/>
      <c r="AK5" s="146"/>
      <c r="AL5" s="146"/>
    </row>
    <row r="6" spans="1:38" s="66" customFormat="1" ht="15.75" thickBot="1" x14ac:dyDescent="0.35">
      <c r="A6" s="146"/>
      <c r="B6" s="155"/>
      <c r="C6" s="350"/>
      <c r="D6" s="350"/>
      <c r="E6" s="182"/>
      <c r="F6" s="178" t="s">
        <v>164</v>
      </c>
      <c r="G6" s="212"/>
      <c r="H6" s="212">
        <f>H5/'Übersicht &amp; Anleitung'!$Z$12</f>
        <v>7.0052539404553416E-3</v>
      </c>
      <c r="I6" s="212">
        <f>I5/'Übersicht &amp; Anleitung'!$Z$12</f>
        <v>0.14360770577933449</v>
      </c>
      <c r="J6" s="212">
        <f>J5/'Übersicht &amp; Anleitung'!$Z$12</f>
        <v>4.7285464098073555E-2</v>
      </c>
      <c r="K6" s="212">
        <f>K5/'Übersicht &amp; Anleitung'!$Z$12</f>
        <v>0.1786339754816112</v>
      </c>
      <c r="L6" s="212">
        <f>L5/'Übersicht &amp; Anleitung'!$Z$12</f>
        <v>0.1042031523642732</v>
      </c>
      <c r="M6" s="212">
        <f>M5/'Übersicht &amp; Anleitung'!$Z$12</f>
        <v>0</v>
      </c>
      <c r="N6" s="212">
        <f>N5/'Übersicht &amp; Anleitung'!$Z$12</f>
        <v>0</v>
      </c>
      <c r="O6" s="212">
        <f>O5/'Übersicht &amp; Anleitung'!$Z$12</f>
        <v>0.3423817863397548</v>
      </c>
      <c r="P6" s="213">
        <f>P5/'Übersicht &amp; Anleitung'!$Z$12</f>
        <v>0.17688266199649738</v>
      </c>
      <c r="Q6" s="146"/>
      <c r="R6" s="146"/>
      <c r="S6" s="146"/>
      <c r="T6" s="146"/>
      <c r="U6" s="146"/>
      <c r="V6" s="146"/>
      <c r="W6" s="146"/>
      <c r="X6" s="146"/>
      <c r="Y6" s="146"/>
      <c r="Z6" s="148"/>
      <c r="AA6" s="149"/>
      <c r="AB6" s="149"/>
      <c r="AC6" s="148"/>
      <c r="AD6" s="149"/>
      <c r="AE6" s="149"/>
      <c r="AF6" s="148"/>
      <c r="AG6" s="146"/>
      <c r="AH6" s="146"/>
      <c r="AI6" s="146"/>
      <c r="AJ6" s="146"/>
      <c r="AK6" s="146"/>
      <c r="AL6" s="146"/>
    </row>
    <row r="7" spans="1:38" s="68" customFormat="1" ht="60" x14ac:dyDescent="0.3">
      <c r="A7" s="145"/>
      <c r="B7" s="481" t="s">
        <v>160</v>
      </c>
      <c r="C7" s="482" t="s">
        <v>417</v>
      </c>
      <c r="D7" s="483" t="s">
        <v>418</v>
      </c>
      <c r="E7" s="482" t="s">
        <v>182</v>
      </c>
      <c r="F7" s="484" t="s">
        <v>2</v>
      </c>
      <c r="G7" s="485" t="s">
        <v>235</v>
      </c>
      <c r="H7" s="486">
        <v>40</v>
      </c>
      <c r="I7" s="486">
        <v>40</v>
      </c>
      <c r="J7" s="486">
        <v>60</v>
      </c>
      <c r="K7" s="486">
        <v>110</v>
      </c>
      <c r="L7" s="486">
        <v>125</v>
      </c>
      <c r="M7" s="486"/>
      <c r="N7" s="487"/>
      <c r="O7" s="488">
        <v>230</v>
      </c>
      <c r="P7" s="488">
        <v>330</v>
      </c>
      <c r="Q7" s="489" t="s">
        <v>12</v>
      </c>
      <c r="R7" s="181" t="s">
        <v>3</v>
      </c>
      <c r="S7" s="205" t="s">
        <v>82</v>
      </c>
      <c r="T7" s="145"/>
      <c r="U7" s="145"/>
      <c r="V7" s="145"/>
      <c r="W7" s="145"/>
      <c r="X7" s="145"/>
      <c r="Y7" s="145"/>
      <c r="Z7" s="148"/>
      <c r="AA7" s="149"/>
      <c r="AB7" s="149"/>
      <c r="AC7" s="148"/>
      <c r="AD7" s="149"/>
      <c r="AE7" s="149"/>
      <c r="AF7" s="148"/>
      <c r="AG7" s="145"/>
      <c r="AH7" s="145"/>
      <c r="AI7" s="145"/>
      <c r="AJ7" s="145"/>
      <c r="AK7" s="145"/>
      <c r="AL7" s="145"/>
    </row>
    <row r="8" spans="1:38" ht="18" x14ac:dyDescent="0.3">
      <c r="B8" s="141"/>
      <c r="C8" s="238" t="s">
        <v>267</v>
      </c>
      <c r="D8" s="239" t="s">
        <v>185</v>
      </c>
      <c r="E8" s="239" t="s">
        <v>268</v>
      </c>
      <c r="F8" s="73" t="s">
        <v>181</v>
      </c>
      <c r="G8" s="198" t="s">
        <v>158</v>
      </c>
      <c r="H8" s="198" t="s">
        <v>155</v>
      </c>
      <c r="I8" s="140" t="s">
        <v>4</v>
      </c>
      <c r="J8" s="198" t="s">
        <v>155</v>
      </c>
      <c r="K8" s="140" t="s">
        <v>4</v>
      </c>
      <c r="L8" s="198" t="s">
        <v>155</v>
      </c>
      <c r="M8" s="198"/>
      <c r="N8" s="140"/>
      <c r="O8" s="140" t="s">
        <v>4</v>
      </c>
      <c r="P8" s="140" t="s">
        <v>4</v>
      </c>
      <c r="Q8" s="74">
        <v>40</v>
      </c>
      <c r="R8" s="77">
        <v>39.950000000000003</v>
      </c>
      <c r="S8" s="407"/>
      <c r="Z8" s="148"/>
      <c r="AA8" s="149"/>
      <c r="AB8" s="149"/>
      <c r="AC8" s="148"/>
      <c r="AD8" s="149"/>
      <c r="AE8" s="149"/>
      <c r="AF8" s="148"/>
    </row>
    <row r="9" spans="1:38" ht="18" x14ac:dyDescent="0.3">
      <c r="B9" s="141"/>
      <c r="C9" s="238" t="s">
        <v>269</v>
      </c>
      <c r="D9" s="239" t="s">
        <v>185</v>
      </c>
      <c r="E9" s="239" t="s">
        <v>268</v>
      </c>
      <c r="F9" s="73" t="s">
        <v>290</v>
      </c>
      <c r="G9" s="198" t="s">
        <v>158</v>
      </c>
      <c r="H9" s="198" t="s">
        <v>155</v>
      </c>
      <c r="I9" s="198" t="s">
        <v>155</v>
      </c>
      <c r="J9" s="140" t="s">
        <v>4</v>
      </c>
      <c r="K9" s="198" t="s">
        <v>155</v>
      </c>
      <c r="L9" s="198" t="s">
        <v>155</v>
      </c>
      <c r="M9" s="198"/>
      <c r="N9" s="140"/>
      <c r="O9" s="198" t="s">
        <v>155</v>
      </c>
      <c r="P9" s="140" t="s">
        <v>4</v>
      </c>
      <c r="Q9" s="74">
        <v>60</v>
      </c>
      <c r="R9" s="77">
        <v>59.95</v>
      </c>
      <c r="S9" s="407" t="s">
        <v>291</v>
      </c>
      <c r="Z9" s="148"/>
      <c r="AA9" s="149"/>
      <c r="AB9" s="149"/>
      <c r="AC9" s="148"/>
      <c r="AD9" s="149"/>
      <c r="AE9" s="149"/>
      <c r="AF9" s="148"/>
    </row>
    <row r="10" spans="1:38" s="76" customFormat="1" ht="18" x14ac:dyDescent="0.3">
      <c r="A10" s="147"/>
      <c r="B10" s="141"/>
      <c r="C10" s="72" t="s">
        <v>270</v>
      </c>
      <c r="D10" s="244" t="s">
        <v>234</v>
      </c>
      <c r="E10" s="239" t="s">
        <v>309</v>
      </c>
      <c r="F10" s="73" t="s">
        <v>181</v>
      </c>
      <c r="G10" s="198" t="s">
        <v>158</v>
      </c>
      <c r="H10" s="198" t="s">
        <v>155</v>
      </c>
      <c r="I10" s="198" t="s">
        <v>155</v>
      </c>
      <c r="J10" s="198" t="s">
        <v>155</v>
      </c>
      <c r="K10" s="140" t="s">
        <v>4</v>
      </c>
      <c r="L10" s="198" t="s">
        <v>155</v>
      </c>
      <c r="M10" s="198"/>
      <c r="N10" s="140"/>
      <c r="O10" s="140" t="s">
        <v>4</v>
      </c>
      <c r="P10" s="140" t="s">
        <v>4</v>
      </c>
      <c r="Q10" s="74">
        <v>30</v>
      </c>
      <c r="R10" s="77">
        <v>29.95</v>
      </c>
      <c r="S10" s="407"/>
      <c r="T10" s="147"/>
      <c r="U10" s="147"/>
      <c r="V10" s="147"/>
      <c r="W10" s="147"/>
      <c r="X10" s="147"/>
      <c r="Y10" s="147"/>
      <c r="Z10" s="148"/>
      <c r="AA10" s="149"/>
      <c r="AB10" s="149"/>
      <c r="AC10" s="148"/>
      <c r="AD10" s="149"/>
      <c r="AE10" s="149"/>
      <c r="AF10" s="148"/>
      <c r="AG10" s="147"/>
      <c r="AH10" s="147"/>
      <c r="AI10" s="147"/>
      <c r="AJ10" s="147"/>
      <c r="AK10" s="147"/>
      <c r="AL10" s="147"/>
    </row>
    <row r="11" spans="1:38" s="76" customFormat="1" ht="18" x14ac:dyDescent="0.3">
      <c r="A11" s="147"/>
      <c r="B11" s="141"/>
      <c r="C11" s="72" t="s">
        <v>271</v>
      </c>
      <c r="D11" s="244" t="s">
        <v>234</v>
      </c>
      <c r="E11" s="239" t="s">
        <v>310</v>
      </c>
      <c r="F11" s="73" t="s">
        <v>181</v>
      </c>
      <c r="G11" s="198" t="s">
        <v>158</v>
      </c>
      <c r="H11" s="198" t="s">
        <v>155</v>
      </c>
      <c r="I11" s="198" t="s">
        <v>155</v>
      </c>
      <c r="J11" s="198" t="s">
        <v>155</v>
      </c>
      <c r="K11" s="198" t="s">
        <v>155</v>
      </c>
      <c r="L11" s="198" t="s">
        <v>155</v>
      </c>
      <c r="M11" s="198"/>
      <c r="N11" s="140"/>
      <c r="O11" s="140" t="s">
        <v>4</v>
      </c>
      <c r="P11" s="140" t="s">
        <v>4</v>
      </c>
      <c r="Q11" s="74">
        <v>45</v>
      </c>
      <c r="R11" s="77">
        <v>44.95</v>
      </c>
      <c r="S11" s="407"/>
      <c r="T11" s="147"/>
      <c r="U11" s="147"/>
      <c r="V11" s="147"/>
      <c r="W11" s="147"/>
      <c r="X11" s="147"/>
      <c r="Y11" s="147"/>
      <c r="Z11" s="148"/>
      <c r="AA11" s="149"/>
      <c r="AB11" s="149"/>
      <c r="AC11" s="148"/>
      <c r="AD11" s="149"/>
      <c r="AE11" s="149"/>
      <c r="AF11" s="148"/>
      <c r="AG11" s="147"/>
      <c r="AH11" s="147"/>
      <c r="AI11" s="147"/>
      <c r="AJ11" s="147"/>
      <c r="AK11" s="147"/>
      <c r="AL11" s="147"/>
    </row>
    <row r="12" spans="1:38" s="82" customFormat="1" ht="18" customHeight="1" x14ac:dyDescent="0.3">
      <c r="A12" s="148"/>
      <c r="B12" s="142"/>
      <c r="C12" s="246" t="s">
        <v>392</v>
      </c>
      <c r="D12" s="359" t="s">
        <v>234</v>
      </c>
      <c r="E12" s="360" t="s">
        <v>165</v>
      </c>
      <c r="F12" s="361" t="s">
        <v>393</v>
      </c>
      <c r="G12" s="362" t="s">
        <v>165</v>
      </c>
      <c r="H12" s="362" t="s">
        <v>165</v>
      </c>
      <c r="I12" s="362" t="s">
        <v>165</v>
      </c>
      <c r="J12" s="362" t="s">
        <v>165</v>
      </c>
      <c r="K12" s="362" t="s">
        <v>165</v>
      </c>
      <c r="L12" s="362" t="s">
        <v>165</v>
      </c>
      <c r="M12" s="362"/>
      <c r="N12" s="140"/>
      <c r="O12" s="362" t="s">
        <v>165</v>
      </c>
      <c r="P12" s="362" t="s">
        <v>165</v>
      </c>
      <c r="Q12" s="81" t="s">
        <v>5</v>
      </c>
      <c r="R12" s="363" t="s">
        <v>5</v>
      </c>
      <c r="S12" s="364" t="s">
        <v>192</v>
      </c>
      <c r="T12" s="148"/>
      <c r="U12" s="148"/>
      <c r="V12" s="148"/>
      <c r="W12" s="148"/>
      <c r="X12" s="148"/>
      <c r="Y12" s="148"/>
      <c r="Z12" s="148"/>
      <c r="AA12" s="149"/>
      <c r="AB12" s="149"/>
      <c r="AC12" s="148"/>
      <c r="AD12" s="149"/>
      <c r="AE12" s="149"/>
      <c r="AF12" s="148"/>
      <c r="AG12" s="148"/>
      <c r="AH12" s="148"/>
      <c r="AI12" s="148"/>
      <c r="AJ12" s="148"/>
      <c r="AK12" s="148"/>
      <c r="AL12" s="148"/>
    </row>
    <row r="13" spans="1:38" s="82" customFormat="1" ht="18" customHeight="1" x14ac:dyDescent="0.3">
      <c r="A13" s="148"/>
      <c r="B13" s="142"/>
      <c r="C13" s="246" t="s">
        <v>410</v>
      </c>
      <c r="D13" s="359" t="s">
        <v>234</v>
      </c>
      <c r="E13" s="360" t="s">
        <v>165</v>
      </c>
      <c r="F13" s="361" t="s">
        <v>393</v>
      </c>
      <c r="G13" s="362" t="s">
        <v>165</v>
      </c>
      <c r="H13" s="362" t="s">
        <v>165</v>
      </c>
      <c r="I13" s="362" t="s">
        <v>165</v>
      </c>
      <c r="J13" s="362" t="s">
        <v>165</v>
      </c>
      <c r="K13" s="362" t="s">
        <v>165</v>
      </c>
      <c r="L13" s="362" t="s">
        <v>165</v>
      </c>
      <c r="M13" s="362"/>
      <c r="N13" s="140"/>
      <c r="O13" s="362" t="s">
        <v>165</v>
      </c>
      <c r="P13" s="362" t="s">
        <v>165</v>
      </c>
      <c r="Q13" s="81" t="s">
        <v>5</v>
      </c>
      <c r="R13" s="363" t="s">
        <v>5</v>
      </c>
      <c r="S13" s="364" t="s">
        <v>192</v>
      </c>
      <c r="T13" s="148"/>
      <c r="U13" s="148"/>
      <c r="V13" s="148"/>
      <c r="W13" s="148"/>
      <c r="X13" s="148"/>
      <c r="Y13" s="148"/>
      <c r="Z13" s="148"/>
      <c r="AA13" s="149"/>
      <c r="AB13" s="149"/>
      <c r="AC13" s="148"/>
      <c r="AD13" s="149"/>
      <c r="AE13" s="149"/>
      <c r="AF13" s="148"/>
      <c r="AG13" s="148"/>
      <c r="AH13" s="148"/>
      <c r="AI13" s="148"/>
      <c r="AJ13" s="148"/>
      <c r="AK13" s="148"/>
      <c r="AL13" s="148"/>
    </row>
    <row r="14" spans="1:38" s="68" customFormat="1" ht="18" customHeight="1" x14ac:dyDescent="0.3">
      <c r="B14" s="247"/>
      <c r="C14" s="246" t="s">
        <v>422</v>
      </c>
      <c r="D14" s="359" t="s">
        <v>234</v>
      </c>
      <c r="E14" s="360" t="s">
        <v>165</v>
      </c>
      <c r="F14" s="361" t="s">
        <v>393</v>
      </c>
      <c r="G14" s="362" t="s">
        <v>165</v>
      </c>
      <c r="H14" s="362" t="s">
        <v>165</v>
      </c>
      <c r="I14" s="362" t="s">
        <v>165</v>
      </c>
      <c r="J14" s="362" t="s">
        <v>165</v>
      </c>
      <c r="K14" s="362" t="s">
        <v>165</v>
      </c>
      <c r="L14" s="362" t="s">
        <v>165</v>
      </c>
      <c r="M14" s="362"/>
      <c r="N14" s="140"/>
      <c r="O14" s="362" t="s">
        <v>165</v>
      </c>
      <c r="P14" s="362" t="s">
        <v>165</v>
      </c>
      <c r="Q14" s="81" t="s">
        <v>5</v>
      </c>
      <c r="R14" s="363" t="s">
        <v>5</v>
      </c>
      <c r="S14" s="364" t="s">
        <v>192</v>
      </c>
      <c r="T14" s="148"/>
      <c r="U14" s="148"/>
      <c r="V14" s="148"/>
      <c r="W14" s="148"/>
      <c r="X14" s="148"/>
      <c r="Y14" s="148"/>
      <c r="Z14" s="148"/>
      <c r="AA14" s="149"/>
      <c r="AB14" s="149"/>
      <c r="AC14" s="148"/>
      <c r="AD14" s="149"/>
      <c r="AE14" s="149"/>
      <c r="AF14" s="148"/>
    </row>
    <row r="15" spans="1:38" s="68" customFormat="1" ht="18" customHeight="1" x14ac:dyDescent="0.3">
      <c r="B15" s="247"/>
      <c r="C15" s="246" t="s">
        <v>435</v>
      </c>
      <c r="D15" s="359" t="s">
        <v>234</v>
      </c>
      <c r="E15" s="360" t="s">
        <v>165</v>
      </c>
      <c r="F15" s="361" t="s">
        <v>393</v>
      </c>
      <c r="G15" s="362" t="s">
        <v>165</v>
      </c>
      <c r="H15" s="362" t="s">
        <v>165</v>
      </c>
      <c r="I15" s="362" t="s">
        <v>165</v>
      </c>
      <c r="J15" s="362" t="s">
        <v>165</v>
      </c>
      <c r="K15" s="362" t="s">
        <v>165</v>
      </c>
      <c r="L15" s="362" t="s">
        <v>165</v>
      </c>
      <c r="M15" s="362"/>
      <c r="N15" s="140"/>
      <c r="O15" s="362" t="s">
        <v>165</v>
      </c>
      <c r="P15" s="362" t="s">
        <v>165</v>
      </c>
      <c r="Q15" s="81" t="s">
        <v>5</v>
      </c>
      <c r="R15" s="363" t="s">
        <v>5</v>
      </c>
      <c r="S15" s="364" t="s">
        <v>192</v>
      </c>
      <c r="T15" s="148"/>
      <c r="U15" s="148"/>
      <c r="V15" s="148"/>
      <c r="W15" s="148"/>
      <c r="X15" s="148"/>
      <c r="Y15" s="148"/>
      <c r="Z15" s="148"/>
      <c r="AA15" s="149"/>
      <c r="AB15" s="149"/>
      <c r="AC15" s="148"/>
      <c r="AD15" s="149"/>
      <c r="AE15" s="149"/>
      <c r="AF15" s="148"/>
    </row>
    <row r="16" spans="1:38" s="68" customFormat="1" ht="18" customHeight="1" x14ac:dyDescent="0.3">
      <c r="B16" s="247"/>
      <c r="C16" s="246" t="s">
        <v>442</v>
      </c>
      <c r="D16" s="359" t="s">
        <v>234</v>
      </c>
      <c r="E16" s="360" t="s">
        <v>165</v>
      </c>
      <c r="F16" s="361" t="s">
        <v>393</v>
      </c>
      <c r="G16" s="362" t="s">
        <v>165</v>
      </c>
      <c r="H16" s="362" t="s">
        <v>165</v>
      </c>
      <c r="I16" s="362" t="s">
        <v>165</v>
      </c>
      <c r="J16" s="362" t="s">
        <v>165</v>
      </c>
      <c r="K16" s="362" t="s">
        <v>165</v>
      </c>
      <c r="L16" s="362" t="s">
        <v>165</v>
      </c>
      <c r="M16" s="362"/>
      <c r="N16" s="140"/>
      <c r="O16" s="362" t="s">
        <v>165</v>
      </c>
      <c r="P16" s="362" t="s">
        <v>165</v>
      </c>
      <c r="Q16" s="81" t="s">
        <v>5</v>
      </c>
      <c r="R16" s="363" t="s">
        <v>5</v>
      </c>
      <c r="S16" s="364" t="s">
        <v>192</v>
      </c>
      <c r="T16" s="148"/>
      <c r="U16" s="148"/>
      <c r="V16" s="148"/>
      <c r="W16" s="148"/>
      <c r="X16" s="148"/>
      <c r="Y16" s="148"/>
      <c r="Z16" s="148"/>
      <c r="AA16" s="149"/>
      <c r="AB16" s="149"/>
      <c r="AC16" s="148"/>
      <c r="AD16" s="149"/>
      <c r="AE16" s="149"/>
      <c r="AF16" s="148"/>
    </row>
    <row r="17" spans="1:38" s="68" customFormat="1" ht="18" customHeight="1" x14ac:dyDescent="0.3">
      <c r="B17" s="247"/>
      <c r="C17" s="246" t="s">
        <v>445</v>
      </c>
      <c r="D17" s="359" t="s">
        <v>234</v>
      </c>
      <c r="E17" s="360" t="s">
        <v>165</v>
      </c>
      <c r="F17" s="361" t="s">
        <v>393</v>
      </c>
      <c r="G17" s="362" t="s">
        <v>165</v>
      </c>
      <c r="H17" s="362" t="s">
        <v>165</v>
      </c>
      <c r="I17" s="362" t="s">
        <v>165</v>
      </c>
      <c r="J17" s="362" t="s">
        <v>165</v>
      </c>
      <c r="K17" s="362" t="s">
        <v>165</v>
      </c>
      <c r="L17" s="362" t="s">
        <v>165</v>
      </c>
      <c r="M17" s="362"/>
      <c r="N17" s="140"/>
      <c r="O17" s="362" t="s">
        <v>165</v>
      </c>
      <c r="P17" s="362" t="s">
        <v>165</v>
      </c>
      <c r="Q17" s="81" t="s">
        <v>5</v>
      </c>
      <c r="R17" s="363" t="s">
        <v>5</v>
      </c>
      <c r="S17" s="364" t="s">
        <v>192</v>
      </c>
      <c r="T17" s="148"/>
      <c r="U17" s="148"/>
      <c r="V17" s="148"/>
      <c r="W17" s="148"/>
      <c r="X17" s="148"/>
      <c r="Y17" s="148"/>
      <c r="Z17" s="148"/>
      <c r="AA17" s="149"/>
      <c r="AB17" s="149"/>
      <c r="AC17" s="148"/>
      <c r="AD17" s="149"/>
      <c r="AE17" s="149"/>
      <c r="AF17" s="148"/>
    </row>
    <row r="18" spans="1:38" s="82" customFormat="1" ht="18" customHeight="1" x14ac:dyDescent="0.3">
      <c r="A18" s="148"/>
      <c r="B18" s="142"/>
      <c r="C18" s="246" t="s">
        <v>395</v>
      </c>
      <c r="D18" s="359" t="s">
        <v>234</v>
      </c>
      <c r="E18" s="360" t="s">
        <v>165</v>
      </c>
      <c r="F18" s="361" t="s">
        <v>393</v>
      </c>
      <c r="G18" s="362" t="s">
        <v>165</v>
      </c>
      <c r="H18" s="362" t="s">
        <v>165</v>
      </c>
      <c r="I18" s="362" t="s">
        <v>165</v>
      </c>
      <c r="J18" s="362" t="s">
        <v>165</v>
      </c>
      <c r="K18" s="362" t="s">
        <v>165</v>
      </c>
      <c r="L18" s="362" t="s">
        <v>165</v>
      </c>
      <c r="M18" s="362"/>
      <c r="N18" s="140"/>
      <c r="O18" s="362" t="s">
        <v>165</v>
      </c>
      <c r="P18" s="362" t="s">
        <v>165</v>
      </c>
      <c r="Q18" s="81" t="s">
        <v>5</v>
      </c>
      <c r="R18" s="363" t="s">
        <v>5</v>
      </c>
      <c r="S18" s="364" t="s">
        <v>192</v>
      </c>
      <c r="T18" s="148"/>
      <c r="U18" s="148"/>
      <c r="V18" s="148"/>
      <c r="W18" s="148"/>
      <c r="X18" s="148"/>
      <c r="Y18" s="148"/>
      <c r="Z18" s="148"/>
      <c r="AA18" s="149"/>
      <c r="AB18" s="149"/>
      <c r="AC18" s="148"/>
      <c r="AD18" s="149"/>
      <c r="AE18" s="149"/>
      <c r="AF18" s="148"/>
      <c r="AG18" s="148"/>
      <c r="AH18" s="148"/>
      <c r="AI18" s="148"/>
      <c r="AJ18" s="148"/>
      <c r="AK18" s="148"/>
      <c r="AL18" s="148"/>
    </row>
    <row r="19" spans="1:38" s="82" customFormat="1" ht="18" customHeight="1" x14ac:dyDescent="0.3">
      <c r="A19" s="148"/>
      <c r="B19" s="142"/>
      <c r="C19" s="246" t="s">
        <v>450</v>
      </c>
      <c r="D19" s="359" t="s">
        <v>234</v>
      </c>
      <c r="E19" s="360" t="s">
        <v>165</v>
      </c>
      <c r="F19" s="361" t="s">
        <v>393</v>
      </c>
      <c r="G19" s="362" t="s">
        <v>165</v>
      </c>
      <c r="H19" s="362" t="s">
        <v>165</v>
      </c>
      <c r="I19" s="362" t="s">
        <v>165</v>
      </c>
      <c r="J19" s="362" t="s">
        <v>165</v>
      </c>
      <c r="K19" s="362" t="s">
        <v>165</v>
      </c>
      <c r="L19" s="362" t="s">
        <v>165</v>
      </c>
      <c r="M19" s="362"/>
      <c r="N19" s="140"/>
      <c r="O19" s="362" t="s">
        <v>165</v>
      </c>
      <c r="P19" s="362" t="s">
        <v>165</v>
      </c>
      <c r="Q19" s="81" t="s">
        <v>5</v>
      </c>
      <c r="R19" s="363" t="s">
        <v>5</v>
      </c>
      <c r="S19" s="364" t="s">
        <v>192</v>
      </c>
      <c r="T19" s="148"/>
      <c r="U19" s="148"/>
      <c r="V19" s="148"/>
      <c r="W19" s="148"/>
      <c r="X19" s="148"/>
      <c r="Y19" s="148"/>
      <c r="Z19" s="148"/>
      <c r="AA19" s="149"/>
      <c r="AB19" s="149"/>
      <c r="AC19" s="148"/>
      <c r="AD19" s="149"/>
      <c r="AE19" s="149"/>
      <c r="AF19" s="148"/>
      <c r="AG19" s="148"/>
      <c r="AH19" s="148"/>
      <c r="AI19" s="148"/>
      <c r="AJ19" s="148"/>
      <c r="AK19" s="148"/>
      <c r="AL19" s="148"/>
    </row>
    <row r="20" spans="1:38" s="82" customFormat="1" ht="18" x14ac:dyDescent="0.3">
      <c r="A20" s="148"/>
      <c r="B20" s="142"/>
      <c r="C20" s="246" t="s">
        <v>411</v>
      </c>
      <c r="D20" s="359" t="s">
        <v>234</v>
      </c>
      <c r="E20" s="360" t="s">
        <v>165</v>
      </c>
      <c r="F20" s="361" t="s">
        <v>393</v>
      </c>
      <c r="G20" s="362" t="s">
        <v>165</v>
      </c>
      <c r="H20" s="362" t="s">
        <v>165</v>
      </c>
      <c r="I20" s="362" t="s">
        <v>165</v>
      </c>
      <c r="J20" s="362" t="s">
        <v>165</v>
      </c>
      <c r="K20" s="362" t="s">
        <v>165</v>
      </c>
      <c r="L20" s="362" t="s">
        <v>165</v>
      </c>
      <c r="M20" s="362"/>
      <c r="N20" s="140"/>
      <c r="O20" s="362" t="s">
        <v>165</v>
      </c>
      <c r="P20" s="362" t="s">
        <v>165</v>
      </c>
      <c r="Q20" s="81" t="s">
        <v>5</v>
      </c>
      <c r="R20" s="363" t="s">
        <v>5</v>
      </c>
      <c r="S20" s="364" t="s">
        <v>192</v>
      </c>
      <c r="T20" s="148"/>
      <c r="U20" s="148"/>
      <c r="V20" s="148"/>
      <c r="W20" s="148"/>
      <c r="X20" s="148"/>
      <c r="Y20" s="148"/>
      <c r="Z20" s="148"/>
      <c r="AA20" s="149"/>
      <c r="AB20" s="149"/>
      <c r="AC20" s="148"/>
      <c r="AD20" s="149"/>
      <c r="AE20" s="149"/>
      <c r="AF20" s="148"/>
      <c r="AG20" s="148"/>
      <c r="AH20" s="148"/>
      <c r="AI20" s="148"/>
      <c r="AJ20" s="148"/>
      <c r="AK20" s="148"/>
      <c r="AL20" s="148"/>
    </row>
    <row r="21" spans="1:38" s="82" customFormat="1" ht="18" x14ac:dyDescent="0.3">
      <c r="A21" s="148"/>
      <c r="B21" s="142"/>
      <c r="C21" s="246" t="s">
        <v>412</v>
      </c>
      <c r="D21" s="359" t="s">
        <v>234</v>
      </c>
      <c r="E21" s="360" t="s">
        <v>165</v>
      </c>
      <c r="F21" s="361" t="s">
        <v>393</v>
      </c>
      <c r="G21" s="362" t="s">
        <v>165</v>
      </c>
      <c r="H21" s="362" t="s">
        <v>165</v>
      </c>
      <c r="I21" s="362" t="s">
        <v>165</v>
      </c>
      <c r="J21" s="362" t="s">
        <v>165</v>
      </c>
      <c r="K21" s="362" t="s">
        <v>165</v>
      </c>
      <c r="L21" s="362" t="s">
        <v>165</v>
      </c>
      <c r="M21" s="362"/>
      <c r="N21" s="140"/>
      <c r="O21" s="362" t="s">
        <v>165</v>
      </c>
      <c r="P21" s="362" t="s">
        <v>165</v>
      </c>
      <c r="Q21" s="81" t="s">
        <v>5</v>
      </c>
      <c r="R21" s="363" t="s">
        <v>5</v>
      </c>
      <c r="S21" s="364" t="s">
        <v>192</v>
      </c>
      <c r="T21" s="148"/>
      <c r="U21" s="148"/>
      <c r="V21" s="148"/>
      <c r="W21" s="148"/>
      <c r="X21" s="148"/>
      <c r="Y21" s="148"/>
      <c r="Z21" s="148"/>
      <c r="AA21" s="149"/>
      <c r="AB21" s="149"/>
      <c r="AC21" s="148"/>
      <c r="AD21" s="149"/>
      <c r="AE21" s="149"/>
      <c r="AF21" s="148"/>
      <c r="AG21" s="148"/>
      <c r="AH21" s="148"/>
      <c r="AI21" s="148"/>
      <c r="AJ21" s="148"/>
      <c r="AK21" s="148"/>
      <c r="AL21" s="148"/>
    </row>
    <row r="22" spans="1:38" s="68" customFormat="1" ht="18" customHeight="1" x14ac:dyDescent="0.3">
      <c r="B22" s="247"/>
      <c r="C22" s="246" t="s">
        <v>425</v>
      </c>
      <c r="D22" s="359" t="s">
        <v>234</v>
      </c>
      <c r="E22" s="360" t="s">
        <v>165</v>
      </c>
      <c r="F22" s="361" t="s">
        <v>393</v>
      </c>
      <c r="G22" s="362" t="s">
        <v>165</v>
      </c>
      <c r="H22" s="362" t="s">
        <v>165</v>
      </c>
      <c r="I22" s="362" t="s">
        <v>165</v>
      </c>
      <c r="J22" s="362" t="s">
        <v>165</v>
      </c>
      <c r="K22" s="362" t="s">
        <v>165</v>
      </c>
      <c r="L22" s="362" t="s">
        <v>165</v>
      </c>
      <c r="M22" s="362"/>
      <c r="N22" s="140"/>
      <c r="O22" s="362" t="s">
        <v>165</v>
      </c>
      <c r="P22" s="362" t="s">
        <v>165</v>
      </c>
      <c r="Q22" s="81" t="s">
        <v>5</v>
      </c>
      <c r="R22" s="363" t="s">
        <v>5</v>
      </c>
      <c r="S22" s="364" t="s">
        <v>192</v>
      </c>
      <c r="T22" s="148"/>
      <c r="U22" s="148"/>
      <c r="V22" s="148"/>
      <c r="W22" s="148"/>
      <c r="X22" s="148"/>
      <c r="Y22" s="148"/>
      <c r="Z22" s="148"/>
      <c r="AA22" s="149"/>
      <c r="AB22" s="149"/>
      <c r="AC22" s="148"/>
      <c r="AD22" s="149"/>
      <c r="AE22" s="149"/>
      <c r="AF22" s="148"/>
    </row>
    <row r="23" spans="1:38" s="68" customFormat="1" ht="18" customHeight="1" x14ac:dyDescent="0.3">
      <c r="B23" s="247"/>
      <c r="C23" s="246" t="s">
        <v>433</v>
      </c>
      <c r="D23" s="359" t="s">
        <v>234</v>
      </c>
      <c r="E23" s="360" t="s">
        <v>165</v>
      </c>
      <c r="F23" s="361" t="s">
        <v>393</v>
      </c>
      <c r="G23" s="362" t="s">
        <v>165</v>
      </c>
      <c r="H23" s="362" t="s">
        <v>165</v>
      </c>
      <c r="I23" s="362" t="s">
        <v>165</v>
      </c>
      <c r="J23" s="362" t="s">
        <v>165</v>
      </c>
      <c r="K23" s="362" t="s">
        <v>165</v>
      </c>
      <c r="L23" s="362" t="s">
        <v>165</v>
      </c>
      <c r="M23" s="362"/>
      <c r="N23" s="140"/>
      <c r="O23" s="362" t="s">
        <v>165</v>
      </c>
      <c r="P23" s="362" t="s">
        <v>165</v>
      </c>
      <c r="Q23" s="81" t="s">
        <v>5</v>
      </c>
      <c r="R23" s="363" t="s">
        <v>5</v>
      </c>
      <c r="S23" s="364" t="s">
        <v>192</v>
      </c>
      <c r="T23" s="148"/>
      <c r="U23" s="148"/>
      <c r="V23" s="148"/>
      <c r="W23" s="148"/>
      <c r="X23" s="148"/>
      <c r="Y23" s="148"/>
      <c r="Z23" s="148"/>
      <c r="AA23" s="149"/>
      <c r="AB23" s="149"/>
      <c r="AC23" s="148"/>
      <c r="AD23" s="149"/>
      <c r="AE23" s="149"/>
      <c r="AF23" s="148"/>
    </row>
    <row r="24" spans="1:38" s="68" customFormat="1" ht="18" customHeight="1" x14ac:dyDescent="0.3">
      <c r="B24" s="247"/>
      <c r="C24" s="246" t="s">
        <v>440</v>
      </c>
      <c r="D24" s="359" t="s">
        <v>234</v>
      </c>
      <c r="E24" s="360" t="s">
        <v>165</v>
      </c>
      <c r="F24" s="361" t="s">
        <v>393</v>
      </c>
      <c r="G24" s="362" t="s">
        <v>165</v>
      </c>
      <c r="H24" s="362" t="s">
        <v>165</v>
      </c>
      <c r="I24" s="362" t="s">
        <v>165</v>
      </c>
      <c r="J24" s="362" t="s">
        <v>165</v>
      </c>
      <c r="K24" s="362" t="s">
        <v>165</v>
      </c>
      <c r="L24" s="362" t="s">
        <v>165</v>
      </c>
      <c r="M24" s="362"/>
      <c r="N24" s="140"/>
      <c r="O24" s="362" t="s">
        <v>165</v>
      </c>
      <c r="P24" s="362" t="s">
        <v>165</v>
      </c>
      <c r="Q24" s="81" t="s">
        <v>5</v>
      </c>
      <c r="R24" s="363" t="s">
        <v>5</v>
      </c>
      <c r="S24" s="364" t="s">
        <v>192</v>
      </c>
      <c r="T24" s="148"/>
      <c r="U24" s="148"/>
      <c r="V24" s="148"/>
      <c r="W24" s="148"/>
      <c r="X24" s="148"/>
      <c r="Y24" s="148"/>
      <c r="Z24" s="148"/>
      <c r="AA24" s="149"/>
      <c r="AB24" s="149"/>
      <c r="AC24" s="148"/>
      <c r="AD24" s="149"/>
      <c r="AE24" s="149"/>
      <c r="AF24" s="148"/>
    </row>
    <row r="25" spans="1:38" s="68" customFormat="1" ht="18" customHeight="1" x14ac:dyDescent="0.3">
      <c r="B25" s="247"/>
      <c r="C25" s="246" t="s">
        <v>441</v>
      </c>
      <c r="D25" s="359" t="s">
        <v>234</v>
      </c>
      <c r="E25" s="360" t="s">
        <v>165</v>
      </c>
      <c r="F25" s="361" t="s">
        <v>393</v>
      </c>
      <c r="G25" s="362" t="s">
        <v>165</v>
      </c>
      <c r="H25" s="362" t="s">
        <v>165</v>
      </c>
      <c r="I25" s="362" t="s">
        <v>165</v>
      </c>
      <c r="J25" s="362" t="s">
        <v>165</v>
      </c>
      <c r="K25" s="362" t="s">
        <v>165</v>
      </c>
      <c r="L25" s="362" t="s">
        <v>165</v>
      </c>
      <c r="M25" s="362"/>
      <c r="N25" s="140"/>
      <c r="O25" s="362" t="s">
        <v>165</v>
      </c>
      <c r="P25" s="362" t="s">
        <v>165</v>
      </c>
      <c r="Q25" s="81" t="s">
        <v>5</v>
      </c>
      <c r="R25" s="363" t="s">
        <v>5</v>
      </c>
      <c r="S25" s="364" t="s">
        <v>192</v>
      </c>
      <c r="T25" s="148"/>
      <c r="U25" s="148"/>
      <c r="V25" s="148"/>
      <c r="W25" s="148"/>
      <c r="X25" s="148"/>
      <c r="Y25" s="148"/>
      <c r="Z25" s="148"/>
      <c r="AA25" s="149"/>
      <c r="AB25" s="149"/>
      <c r="AC25" s="148"/>
      <c r="AD25" s="149"/>
      <c r="AE25" s="149"/>
      <c r="AF25" s="148"/>
    </row>
    <row r="26" spans="1:38" s="68" customFormat="1" ht="18" customHeight="1" x14ac:dyDescent="0.3">
      <c r="B26" s="247"/>
      <c r="C26" s="246" t="s">
        <v>451</v>
      </c>
      <c r="D26" s="359" t="s">
        <v>234</v>
      </c>
      <c r="E26" s="360" t="s">
        <v>165</v>
      </c>
      <c r="F26" s="361" t="s">
        <v>393</v>
      </c>
      <c r="G26" s="362" t="s">
        <v>165</v>
      </c>
      <c r="H26" s="362" t="s">
        <v>165</v>
      </c>
      <c r="I26" s="362" t="s">
        <v>165</v>
      </c>
      <c r="J26" s="362" t="s">
        <v>165</v>
      </c>
      <c r="K26" s="362" t="s">
        <v>165</v>
      </c>
      <c r="L26" s="362" t="s">
        <v>165</v>
      </c>
      <c r="M26" s="362"/>
      <c r="N26" s="140"/>
      <c r="O26" s="362" t="s">
        <v>165</v>
      </c>
      <c r="P26" s="362" t="s">
        <v>165</v>
      </c>
      <c r="Q26" s="81" t="s">
        <v>5</v>
      </c>
      <c r="R26" s="363" t="s">
        <v>5</v>
      </c>
      <c r="S26" s="364" t="s">
        <v>192</v>
      </c>
      <c r="T26" s="148"/>
      <c r="U26" s="148"/>
      <c r="V26" s="148"/>
      <c r="W26" s="148"/>
      <c r="X26" s="148"/>
      <c r="Y26" s="148"/>
      <c r="Z26" s="148"/>
      <c r="AA26" s="149"/>
      <c r="AB26" s="149"/>
      <c r="AC26" s="148"/>
      <c r="AD26" s="149"/>
      <c r="AE26" s="149"/>
      <c r="AF26" s="148"/>
    </row>
    <row r="27" spans="1:38" s="68" customFormat="1" ht="18" customHeight="1" x14ac:dyDescent="0.3">
      <c r="B27" s="247"/>
      <c r="C27" s="246" t="s">
        <v>420</v>
      </c>
      <c r="D27" s="359" t="s">
        <v>234</v>
      </c>
      <c r="E27" s="360" t="s">
        <v>165</v>
      </c>
      <c r="F27" s="361" t="s">
        <v>393</v>
      </c>
      <c r="G27" s="362" t="s">
        <v>165</v>
      </c>
      <c r="H27" s="362" t="s">
        <v>165</v>
      </c>
      <c r="I27" s="362" t="s">
        <v>165</v>
      </c>
      <c r="J27" s="362" t="s">
        <v>165</v>
      </c>
      <c r="K27" s="362" t="s">
        <v>165</v>
      </c>
      <c r="L27" s="362" t="s">
        <v>165</v>
      </c>
      <c r="M27" s="362"/>
      <c r="N27" s="140"/>
      <c r="O27" s="362" t="s">
        <v>165</v>
      </c>
      <c r="P27" s="362" t="s">
        <v>165</v>
      </c>
      <c r="Q27" s="81" t="s">
        <v>5</v>
      </c>
      <c r="R27" s="363" t="s">
        <v>5</v>
      </c>
      <c r="S27" s="364" t="s">
        <v>192</v>
      </c>
      <c r="T27" s="148"/>
      <c r="U27" s="148"/>
      <c r="V27" s="148"/>
      <c r="W27" s="148"/>
      <c r="X27" s="148"/>
      <c r="Y27" s="148"/>
      <c r="Z27" s="148"/>
      <c r="AA27" s="149"/>
      <c r="AB27" s="149"/>
      <c r="AC27" s="148"/>
      <c r="AD27" s="149"/>
      <c r="AE27" s="149"/>
      <c r="AF27" s="148"/>
    </row>
    <row r="28" spans="1:38" s="82" customFormat="1" ht="18" x14ac:dyDescent="0.3">
      <c r="A28" s="148"/>
      <c r="B28" s="142"/>
      <c r="C28" s="246" t="s">
        <v>391</v>
      </c>
      <c r="D28" s="359" t="s">
        <v>185</v>
      </c>
      <c r="E28" s="360" t="s">
        <v>165</v>
      </c>
      <c r="F28" s="361" t="s">
        <v>393</v>
      </c>
      <c r="G28" s="362" t="s">
        <v>165</v>
      </c>
      <c r="H28" s="362" t="s">
        <v>165</v>
      </c>
      <c r="I28" s="362" t="s">
        <v>165</v>
      </c>
      <c r="J28" s="362" t="s">
        <v>165</v>
      </c>
      <c r="K28" s="362" t="s">
        <v>165</v>
      </c>
      <c r="L28" s="362" t="s">
        <v>165</v>
      </c>
      <c r="M28" s="362"/>
      <c r="N28" s="140"/>
      <c r="O28" s="362" t="s">
        <v>165</v>
      </c>
      <c r="P28" s="362" t="s">
        <v>165</v>
      </c>
      <c r="Q28" s="81" t="s">
        <v>5</v>
      </c>
      <c r="R28" s="363" t="s">
        <v>5</v>
      </c>
      <c r="S28" s="364" t="s">
        <v>192</v>
      </c>
      <c r="T28" s="148"/>
      <c r="U28" s="148"/>
      <c r="V28" s="148"/>
      <c r="W28" s="148"/>
      <c r="X28" s="148"/>
      <c r="Y28" s="148"/>
      <c r="Z28" s="148"/>
      <c r="AA28" s="149"/>
      <c r="AB28" s="149"/>
      <c r="AC28" s="148"/>
      <c r="AD28" s="149"/>
      <c r="AE28" s="149"/>
      <c r="AF28" s="148"/>
      <c r="AG28" s="148"/>
      <c r="AH28" s="148"/>
      <c r="AI28" s="148"/>
      <c r="AJ28" s="148"/>
      <c r="AK28" s="148"/>
      <c r="AL28" s="148"/>
    </row>
    <row r="29" spans="1:38" s="68" customFormat="1" ht="18" customHeight="1" x14ac:dyDescent="0.3">
      <c r="B29" s="247"/>
      <c r="C29" s="246" t="s">
        <v>423</v>
      </c>
      <c r="D29" s="359" t="s">
        <v>185</v>
      </c>
      <c r="E29" s="360" t="s">
        <v>165</v>
      </c>
      <c r="F29" s="361" t="s">
        <v>393</v>
      </c>
      <c r="G29" s="362" t="s">
        <v>165</v>
      </c>
      <c r="H29" s="362" t="s">
        <v>165</v>
      </c>
      <c r="I29" s="362" t="s">
        <v>165</v>
      </c>
      <c r="J29" s="362" t="s">
        <v>165</v>
      </c>
      <c r="K29" s="362" t="s">
        <v>165</v>
      </c>
      <c r="L29" s="362" t="s">
        <v>165</v>
      </c>
      <c r="M29" s="362"/>
      <c r="N29" s="140"/>
      <c r="O29" s="362" t="s">
        <v>165</v>
      </c>
      <c r="P29" s="362" t="s">
        <v>165</v>
      </c>
      <c r="Q29" s="81" t="s">
        <v>5</v>
      </c>
      <c r="R29" s="363" t="s">
        <v>5</v>
      </c>
      <c r="S29" s="364" t="s">
        <v>192</v>
      </c>
      <c r="T29" s="148"/>
      <c r="U29" s="148"/>
      <c r="V29" s="148"/>
      <c r="W29" s="148"/>
      <c r="X29" s="148"/>
      <c r="Y29" s="148"/>
      <c r="Z29" s="148"/>
      <c r="AA29" s="149"/>
      <c r="AB29" s="149"/>
      <c r="AC29" s="148"/>
      <c r="AD29" s="149"/>
      <c r="AE29" s="149"/>
      <c r="AF29" s="148"/>
    </row>
    <row r="30" spans="1:38" s="68" customFormat="1" ht="18" customHeight="1" x14ac:dyDescent="0.3">
      <c r="B30" s="247"/>
      <c r="C30" s="246" t="s">
        <v>431</v>
      </c>
      <c r="D30" s="359" t="s">
        <v>185</v>
      </c>
      <c r="E30" s="360" t="s">
        <v>165</v>
      </c>
      <c r="F30" s="361" t="s">
        <v>393</v>
      </c>
      <c r="G30" s="362" t="s">
        <v>165</v>
      </c>
      <c r="H30" s="362" t="s">
        <v>165</v>
      </c>
      <c r="I30" s="362" t="s">
        <v>165</v>
      </c>
      <c r="J30" s="362" t="s">
        <v>165</v>
      </c>
      <c r="K30" s="362" t="s">
        <v>165</v>
      </c>
      <c r="L30" s="362" t="s">
        <v>165</v>
      </c>
      <c r="M30" s="362"/>
      <c r="N30" s="140"/>
      <c r="O30" s="362" t="s">
        <v>165</v>
      </c>
      <c r="P30" s="362" t="s">
        <v>165</v>
      </c>
      <c r="Q30" s="81" t="s">
        <v>5</v>
      </c>
      <c r="R30" s="363" t="s">
        <v>5</v>
      </c>
      <c r="S30" s="364" t="s">
        <v>192</v>
      </c>
      <c r="T30" s="148"/>
      <c r="U30" s="148"/>
      <c r="V30" s="148"/>
      <c r="W30" s="148"/>
      <c r="X30" s="148"/>
      <c r="Y30" s="148"/>
      <c r="Z30" s="148"/>
      <c r="AA30" s="149"/>
      <c r="AB30" s="149"/>
      <c r="AC30" s="148"/>
      <c r="AD30" s="149"/>
      <c r="AE30" s="149"/>
      <c r="AF30" s="148"/>
    </row>
    <row r="31" spans="1:38" s="76" customFormat="1" ht="18" x14ac:dyDescent="0.3">
      <c r="A31" s="147"/>
      <c r="B31" s="141"/>
      <c r="C31" s="72" t="s">
        <v>272</v>
      </c>
      <c r="D31" s="244" t="s">
        <v>234</v>
      </c>
      <c r="E31" s="239" t="s">
        <v>268</v>
      </c>
      <c r="F31" s="73" t="s">
        <v>181</v>
      </c>
      <c r="G31" s="198" t="s">
        <v>158</v>
      </c>
      <c r="H31" s="198" t="s">
        <v>155</v>
      </c>
      <c r="I31" s="198" t="s">
        <v>155</v>
      </c>
      <c r="J31" s="198" t="s">
        <v>155</v>
      </c>
      <c r="K31" s="140" t="s">
        <v>4</v>
      </c>
      <c r="L31" s="198" t="s">
        <v>155</v>
      </c>
      <c r="M31" s="198"/>
      <c r="N31" s="140"/>
      <c r="O31" s="140" t="s">
        <v>4</v>
      </c>
      <c r="P31" s="140" t="s">
        <v>4</v>
      </c>
      <c r="Q31" s="74">
        <v>40</v>
      </c>
      <c r="R31" s="77">
        <v>39.950000000000003</v>
      </c>
      <c r="S31" s="407"/>
      <c r="T31" s="148"/>
      <c r="U31" s="148"/>
      <c r="V31" s="148"/>
      <c r="W31" s="148"/>
      <c r="X31" s="148"/>
      <c r="Y31" s="148"/>
      <c r="Z31" s="148"/>
      <c r="AA31" s="149"/>
      <c r="AB31" s="149"/>
      <c r="AC31" s="148"/>
      <c r="AD31" s="149"/>
      <c r="AE31" s="149"/>
      <c r="AF31" s="148"/>
      <c r="AG31" s="147"/>
      <c r="AH31" s="147"/>
      <c r="AI31" s="147"/>
      <c r="AJ31" s="147"/>
      <c r="AK31" s="147"/>
      <c r="AL31" s="147"/>
    </row>
    <row r="32" spans="1:38" ht="18" x14ac:dyDescent="0.3">
      <c r="B32" s="141"/>
      <c r="C32" s="72" t="s">
        <v>273</v>
      </c>
      <c r="D32" s="239" t="s">
        <v>234</v>
      </c>
      <c r="E32" s="239" t="s">
        <v>308</v>
      </c>
      <c r="F32" s="73" t="s">
        <v>183</v>
      </c>
      <c r="G32" s="198" t="s">
        <v>158</v>
      </c>
      <c r="H32" s="198" t="s">
        <v>155</v>
      </c>
      <c r="I32" s="198" t="s">
        <v>155</v>
      </c>
      <c r="J32" s="198" t="s">
        <v>155</v>
      </c>
      <c r="K32" s="198" t="s">
        <v>155</v>
      </c>
      <c r="L32" s="198" t="s">
        <v>155</v>
      </c>
      <c r="M32" s="198"/>
      <c r="N32" s="140"/>
      <c r="O32" s="140" t="s">
        <v>4</v>
      </c>
      <c r="P32" s="140" t="s">
        <v>4</v>
      </c>
      <c r="Q32" s="74">
        <v>20</v>
      </c>
      <c r="R32" s="77">
        <v>19.95</v>
      </c>
      <c r="S32" s="78"/>
      <c r="T32" s="148"/>
      <c r="U32" s="148"/>
      <c r="V32" s="148"/>
      <c r="W32" s="148"/>
      <c r="X32" s="148"/>
      <c r="Y32" s="148"/>
      <c r="Z32" s="148"/>
      <c r="AA32" s="149"/>
      <c r="AB32" s="149"/>
      <c r="AC32" s="148"/>
      <c r="AD32" s="149"/>
      <c r="AE32" s="149"/>
      <c r="AF32" s="148"/>
    </row>
    <row r="33" spans="1:38" s="68" customFormat="1" ht="18" x14ac:dyDescent="0.3">
      <c r="A33" s="145"/>
      <c r="B33" s="141"/>
      <c r="C33" s="72" t="s">
        <v>274</v>
      </c>
      <c r="D33" s="239" t="s">
        <v>185</v>
      </c>
      <c r="E33" s="239" t="s">
        <v>306</v>
      </c>
      <c r="F33" s="73" t="s">
        <v>304</v>
      </c>
      <c r="G33" s="198" t="s">
        <v>158</v>
      </c>
      <c r="H33" s="198" t="s">
        <v>155</v>
      </c>
      <c r="I33" s="198" t="s">
        <v>155</v>
      </c>
      <c r="J33" s="198" t="s">
        <v>155</v>
      </c>
      <c r="K33" s="198" t="s">
        <v>155</v>
      </c>
      <c r="L33" s="198" t="s">
        <v>155</v>
      </c>
      <c r="M33" s="198"/>
      <c r="N33" s="198"/>
      <c r="O33" s="140" t="s">
        <v>4</v>
      </c>
      <c r="P33" s="140" t="s">
        <v>4</v>
      </c>
      <c r="Q33" s="74">
        <v>20</v>
      </c>
      <c r="R33" s="77">
        <v>19.95</v>
      </c>
      <c r="S33" s="78"/>
      <c r="T33" s="148"/>
      <c r="U33" s="148"/>
      <c r="V33" s="148"/>
      <c r="W33" s="148"/>
      <c r="X33" s="148"/>
      <c r="Y33" s="148"/>
      <c r="Z33" s="148"/>
      <c r="AA33" s="149"/>
      <c r="AB33" s="149"/>
      <c r="AC33" s="148"/>
      <c r="AD33" s="149"/>
      <c r="AE33" s="149"/>
      <c r="AF33" s="148"/>
      <c r="AG33" s="145"/>
      <c r="AH33" s="145"/>
      <c r="AI33" s="145"/>
      <c r="AJ33" s="145"/>
      <c r="AK33" s="145"/>
      <c r="AL33" s="145"/>
    </row>
    <row r="34" spans="1:38" s="82" customFormat="1" ht="18" x14ac:dyDescent="0.3">
      <c r="A34" s="148"/>
      <c r="B34" s="142"/>
      <c r="C34" s="246" t="s">
        <v>438</v>
      </c>
      <c r="D34" s="359" t="s">
        <v>185</v>
      </c>
      <c r="E34" s="360" t="s">
        <v>453</v>
      </c>
      <c r="F34" s="361" t="s">
        <v>406</v>
      </c>
      <c r="G34" s="362" t="s">
        <v>165</v>
      </c>
      <c r="H34" s="362" t="s">
        <v>165</v>
      </c>
      <c r="I34" s="362" t="s">
        <v>165</v>
      </c>
      <c r="J34" s="362" t="s">
        <v>165</v>
      </c>
      <c r="K34" s="362" t="s">
        <v>165</v>
      </c>
      <c r="L34" s="362" t="s">
        <v>165</v>
      </c>
      <c r="M34" s="362"/>
      <c r="N34" s="140"/>
      <c r="O34" s="362" t="s">
        <v>165</v>
      </c>
      <c r="P34" s="362" t="s">
        <v>165</v>
      </c>
      <c r="Q34" s="81" t="s">
        <v>5</v>
      </c>
      <c r="R34" s="363" t="s">
        <v>5</v>
      </c>
      <c r="S34" s="364" t="s">
        <v>407</v>
      </c>
      <c r="T34" s="148"/>
      <c r="U34" s="148"/>
      <c r="V34" s="148"/>
      <c r="W34" s="148"/>
      <c r="X34" s="148"/>
      <c r="Y34" s="148"/>
      <c r="Z34" s="148"/>
      <c r="AA34" s="149"/>
      <c r="AB34" s="149"/>
      <c r="AC34" s="148"/>
      <c r="AD34" s="149"/>
      <c r="AE34" s="149"/>
      <c r="AF34" s="148"/>
      <c r="AG34" s="148"/>
      <c r="AH34" s="148"/>
      <c r="AI34" s="148"/>
      <c r="AJ34" s="148"/>
      <c r="AK34" s="148"/>
      <c r="AL34" s="148"/>
    </row>
    <row r="35" spans="1:38" s="82" customFormat="1" ht="18" x14ac:dyDescent="0.3">
      <c r="A35" s="148"/>
      <c r="B35" s="142"/>
      <c r="C35" s="246" t="s">
        <v>452</v>
      </c>
      <c r="D35" s="359" t="s">
        <v>185</v>
      </c>
      <c r="E35" s="360" t="s">
        <v>454</v>
      </c>
      <c r="F35" s="361" t="s">
        <v>406</v>
      </c>
      <c r="G35" s="362" t="s">
        <v>165</v>
      </c>
      <c r="H35" s="362" t="s">
        <v>165</v>
      </c>
      <c r="I35" s="362" t="s">
        <v>165</v>
      </c>
      <c r="J35" s="362" t="s">
        <v>165</v>
      </c>
      <c r="K35" s="362" t="s">
        <v>165</v>
      </c>
      <c r="L35" s="362" t="s">
        <v>165</v>
      </c>
      <c r="M35" s="362"/>
      <c r="N35" s="140"/>
      <c r="O35" s="362" t="s">
        <v>165</v>
      </c>
      <c r="P35" s="362" t="s">
        <v>165</v>
      </c>
      <c r="Q35" s="81" t="s">
        <v>5</v>
      </c>
      <c r="R35" s="363" t="s">
        <v>5</v>
      </c>
      <c r="S35" s="364" t="s">
        <v>407</v>
      </c>
      <c r="T35" s="148"/>
      <c r="U35" s="148"/>
      <c r="V35" s="148"/>
      <c r="W35" s="148"/>
      <c r="X35" s="148"/>
      <c r="Y35" s="148"/>
      <c r="Z35" s="148"/>
      <c r="AA35" s="149"/>
      <c r="AB35" s="149"/>
      <c r="AC35" s="148"/>
      <c r="AD35" s="149"/>
      <c r="AE35" s="149"/>
      <c r="AF35" s="148"/>
      <c r="AG35" s="148"/>
      <c r="AH35" s="148"/>
      <c r="AI35" s="148"/>
      <c r="AJ35" s="148"/>
      <c r="AK35" s="148"/>
      <c r="AL35" s="148"/>
    </row>
    <row r="36" spans="1:38" s="68" customFormat="1" ht="18" x14ac:dyDescent="0.3">
      <c r="A36" s="145"/>
      <c r="B36" s="141"/>
      <c r="C36" s="72" t="s">
        <v>275</v>
      </c>
      <c r="D36" s="239" t="s">
        <v>185</v>
      </c>
      <c r="E36" s="239" t="s">
        <v>307</v>
      </c>
      <c r="F36" s="73" t="s">
        <v>305</v>
      </c>
      <c r="G36" s="198" t="s">
        <v>158</v>
      </c>
      <c r="H36" s="198" t="s">
        <v>155</v>
      </c>
      <c r="I36" s="198" t="s">
        <v>155</v>
      </c>
      <c r="J36" s="198" t="s">
        <v>155</v>
      </c>
      <c r="K36" s="198" t="s">
        <v>155</v>
      </c>
      <c r="L36" s="198" t="s">
        <v>155</v>
      </c>
      <c r="M36" s="198"/>
      <c r="N36" s="198"/>
      <c r="O36" s="140" t="s">
        <v>4</v>
      </c>
      <c r="P36" s="140" t="s">
        <v>4</v>
      </c>
      <c r="Q36" s="74">
        <v>18</v>
      </c>
      <c r="R36" s="77">
        <v>17.95</v>
      </c>
      <c r="S36" s="78"/>
      <c r="T36" s="148"/>
      <c r="U36" s="148"/>
      <c r="V36" s="148"/>
      <c r="W36" s="148"/>
      <c r="X36" s="148"/>
      <c r="Y36" s="148"/>
      <c r="Z36" s="148"/>
      <c r="AA36" s="149"/>
      <c r="AB36" s="149"/>
      <c r="AC36" s="148"/>
      <c r="AD36" s="149"/>
      <c r="AE36" s="149"/>
      <c r="AF36" s="148"/>
      <c r="AG36" s="145"/>
      <c r="AH36" s="145"/>
      <c r="AI36" s="145"/>
      <c r="AJ36" s="145"/>
      <c r="AK36" s="145"/>
      <c r="AL36" s="145"/>
    </row>
    <row r="37" spans="1:38" s="76" customFormat="1" ht="18" x14ac:dyDescent="0.3">
      <c r="A37" s="147"/>
      <c r="B37" s="141"/>
      <c r="C37" s="406" t="s">
        <v>276</v>
      </c>
      <c r="D37" s="239" t="s">
        <v>185</v>
      </c>
      <c r="E37" s="244" t="s">
        <v>302</v>
      </c>
      <c r="F37" s="73" t="s">
        <v>303</v>
      </c>
      <c r="G37" s="198" t="s">
        <v>158</v>
      </c>
      <c r="H37" s="198" t="s">
        <v>155</v>
      </c>
      <c r="I37" s="198" t="s">
        <v>155</v>
      </c>
      <c r="J37" s="198" t="s">
        <v>155</v>
      </c>
      <c r="K37" s="198" t="s">
        <v>155</v>
      </c>
      <c r="L37" s="198" t="s">
        <v>155</v>
      </c>
      <c r="M37" s="198"/>
      <c r="N37" s="140"/>
      <c r="O37" s="140" t="s">
        <v>4</v>
      </c>
      <c r="P37" s="140" t="s">
        <v>4</v>
      </c>
      <c r="Q37" s="74">
        <v>30</v>
      </c>
      <c r="R37" s="75">
        <v>29.95</v>
      </c>
      <c r="S37" s="407" t="s">
        <v>291</v>
      </c>
      <c r="T37" s="148"/>
      <c r="U37" s="148"/>
      <c r="V37" s="148"/>
      <c r="W37" s="148"/>
      <c r="X37" s="148"/>
      <c r="Y37" s="148"/>
      <c r="Z37" s="148"/>
      <c r="AA37" s="149"/>
      <c r="AB37" s="149"/>
      <c r="AC37" s="148"/>
      <c r="AD37" s="149"/>
      <c r="AE37" s="149"/>
      <c r="AF37" s="148"/>
      <c r="AG37" s="147"/>
      <c r="AH37" s="147"/>
      <c r="AI37" s="147"/>
      <c r="AJ37" s="147"/>
      <c r="AK37" s="147"/>
      <c r="AL37" s="147"/>
    </row>
    <row r="38" spans="1:38" s="76" customFormat="1" ht="18" x14ac:dyDescent="0.3">
      <c r="A38" s="147"/>
      <c r="B38" s="141"/>
      <c r="C38" s="406" t="s">
        <v>277</v>
      </c>
      <c r="D38" s="239" t="s">
        <v>185</v>
      </c>
      <c r="E38" s="244" t="s">
        <v>300</v>
      </c>
      <c r="F38" s="73" t="s">
        <v>301</v>
      </c>
      <c r="G38" s="198" t="s">
        <v>158</v>
      </c>
      <c r="H38" s="198" t="s">
        <v>155</v>
      </c>
      <c r="I38" s="198" t="s">
        <v>155</v>
      </c>
      <c r="J38" s="198" t="s">
        <v>155</v>
      </c>
      <c r="K38" s="198" t="s">
        <v>155</v>
      </c>
      <c r="L38" s="198" t="s">
        <v>155</v>
      </c>
      <c r="M38" s="198"/>
      <c r="N38" s="140"/>
      <c r="O38" s="140" t="s">
        <v>4</v>
      </c>
      <c r="P38" s="140" t="s">
        <v>4</v>
      </c>
      <c r="Q38" s="74">
        <v>20</v>
      </c>
      <c r="R38" s="75">
        <v>19.95</v>
      </c>
      <c r="S38" s="407" t="s">
        <v>291</v>
      </c>
      <c r="T38" s="148"/>
      <c r="U38" s="148"/>
      <c r="V38" s="148"/>
      <c r="W38" s="148"/>
      <c r="X38" s="148"/>
      <c r="Y38" s="148"/>
      <c r="Z38" s="148"/>
      <c r="AA38" s="149"/>
      <c r="AB38" s="149"/>
      <c r="AC38" s="148"/>
      <c r="AD38" s="149"/>
      <c r="AE38" s="149"/>
      <c r="AF38" s="148"/>
      <c r="AG38" s="147"/>
      <c r="AH38" s="147"/>
      <c r="AI38" s="147"/>
      <c r="AJ38" s="147"/>
      <c r="AK38" s="147"/>
      <c r="AL38" s="147"/>
    </row>
    <row r="39" spans="1:38" s="76" customFormat="1" ht="18" x14ac:dyDescent="0.3">
      <c r="A39" s="147"/>
      <c r="B39" s="141"/>
      <c r="C39" s="406" t="s">
        <v>278</v>
      </c>
      <c r="D39" s="239" t="s">
        <v>185</v>
      </c>
      <c r="E39" s="244" t="s">
        <v>298</v>
      </c>
      <c r="F39" s="73" t="s">
        <v>299</v>
      </c>
      <c r="G39" s="198" t="s">
        <v>158</v>
      </c>
      <c r="H39" s="198" t="s">
        <v>155</v>
      </c>
      <c r="I39" s="198" t="s">
        <v>155</v>
      </c>
      <c r="J39" s="198" t="s">
        <v>155</v>
      </c>
      <c r="K39" s="198" t="s">
        <v>155</v>
      </c>
      <c r="L39" s="198" t="s">
        <v>155</v>
      </c>
      <c r="M39" s="198"/>
      <c r="N39" s="140"/>
      <c r="O39" s="140" t="s">
        <v>4</v>
      </c>
      <c r="P39" s="140" t="s">
        <v>4</v>
      </c>
      <c r="Q39" s="74">
        <v>20</v>
      </c>
      <c r="R39" s="75">
        <v>19.95</v>
      </c>
      <c r="S39" s="407"/>
      <c r="T39" s="148"/>
      <c r="U39" s="148"/>
      <c r="V39" s="148"/>
      <c r="W39" s="148"/>
      <c r="X39" s="148"/>
      <c r="Y39" s="148"/>
      <c r="Z39" s="148"/>
      <c r="AA39" s="149"/>
      <c r="AB39" s="149"/>
      <c r="AC39" s="148"/>
      <c r="AD39" s="149"/>
      <c r="AE39" s="149"/>
      <c r="AF39" s="148"/>
      <c r="AG39" s="147"/>
      <c r="AH39" s="147"/>
      <c r="AI39" s="147"/>
      <c r="AJ39" s="147"/>
      <c r="AK39" s="147"/>
      <c r="AL39" s="147"/>
    </row>
    <row r="40" spans="1:38" s="76" customFormat="1" ht="18" x14ac:dyDescent="0.3">
      <c r="A40" s="147"/>
      <c r="B40" s="141"/>
      <c r="C40" s="406" t="s">
        <v>279</v>
      </c>
      <c r="D40" s="239" t="s">
        <v>185</v>
      </c>
      <c r="E40" s="244" t="s">
        <v>296</v>
      </c>
      <c r="F40" s="73" t="s">
        <v>297</v>
      </c>
      <c r="G40" s="198" t="s">
        <v>158</v>
      </c>
      <c r="H40" s="198" t="s">
        <v>155</v>
      </c>
      <c r="I40" s="198" t="s">
        <v>155</v>
      </c>
      <c r="J40" s="198" t="s">
        <v>155</v>
      </c>
      <c r="K40" s="198" t="s">
        <v>155</v>
      </c>
      <c r="L40" s="198" t="s">
        <v>155</v>
      </c>
      <c r="M40" s="198"/>
      <c r="N40" s="140"/>
      <c r="O40" s="198" t="s">
        <v>155</v>
      </c>
      <c r="P40" s="140" t="s">
        <v>4</v>
      </c>
      <c r="Q40" s="74">
        <v>15</v>
      </c>
      <c r="R40" s="75">
        <v>14.95</v>
      </c>
      <c r="S40" s="407"/>
      <c r="T40" s="148"/>
      <c r="U40" s="148"/>
      <c r="V40" s="148"/>
      <c r="W40" s="148"/>
      <c r="X40" s="148"/>
      <c r="Y40" s="148"/>
      <c r="Z40" s="148"/>
      <c r="AA40" s="149"/>
      <c r="AB40" s="149"/>
      <c r="AC40" s="148"/>
      <c r="AD40" s="149"/>
      <c r="AE40" s="149"/>
      <c r="AF40" s="148"/>
      <c r="AG40" s="147"/>
      <c r="AH40" s="147"/>
      <c r="AI40" s="147"/>
      <c r="AJ40" s="147"/>
      <c r="AK40" s="147"/>
      <c r="AL40" s="147"/>
    </row>
    <row r="41" spans="1:38" s="76" customFormat="1" ht="18" x14ac:dyDescent="0.3">
      <c r="A41" s="147"/>
      <c r="B41" s="141"/>
      <c r="C41" s="406" t="s">
        <v>280</v>
      </c>
      <c r="D41" s="239" t="s">
        <v>185</v>
      </c>
      <c r="E41" s="244" t="s">
        <v>296</v>
      </c>
      <c r="F41" s="73" t="s">
        <v>297</v>
      </c>
      <c r="G41" s="198" t="s">
        <v>158</v>
      </c>
      <c r="H41" s="198" t="s">
        <v>155</v>
      </c>
      <c r="I41" s="198" t="s">
        <v>155</v>
      </c>
      <c r="J41" s="198" t="s">
        <v>155</v>
      </c>
      <c r="K41" s="198" t="s">
        <v>155</v>
      </c>
      <c r="L41" s="198" t="s">
        <v>155</v>
      </c>
      <c r="M41" s="198"/>
      <c r="N41" s="140"/>
      <c r="O41" s="198" t="s">
        <v>155</v>
      </c>
      <c r="P41" s="140" t="s">
        <v>4</v>
      </c>
      <c r="Q41" s="74">
        <v>15</v>
      </c>
      <c r="R41" s="75">
        <v>14.95</v>
      </c>
      <c r="S41" s="407"/>
      <c r="T41" s="148"/>
      <c r="U41" s="148"/>
      <c r="V41" s="148"/>
      <c r="W41" s="148"/>
      <c r="X41" s="148"/>
      <c r="Y41" s="148"/>
      <c r="Z41" s="148"/>
      <c r="AA41" s="149"/>
      <c r="AB41" s="149"/>
      <c r="AC41" s="148"/>
      <c r="AD41" s="149"/>
      <c r="AE41" s="149"/>
      <c r="AF41" s="148"/>
      <c r="AG41" s="147"/>
      <c r="AH41" s="147"/>
      <c r="AI41" s="147"/>
      <c r="AJ41" s="147"/>
      <c r="AK41" s="147"/>
      <c r="AL41" s="147"/>
    </row>
    <row r="42" spans="1:38" s="76" customFormat="1" ht="18" x14ac:dyDescent="0.3">
      <c r="A42" s="147"/>
      <c r="B42" s="141"/>
      <c r="C42" s="406" t="s">
        <v>281</v>
      </c>
      <c r="D42" s="239" t="s">
        <v>185</v>
      </c>
      <c r="E42" s="244" t="s">
        <v>294</v>
      </c>
      <c r="F42" s="73" t="s">
        <v>295</v>
      </c>
      <c r="G42" s="198" t="s">
        <v>158</v>
      </c>
      <c r="H42" s="198" t="s">
        <v>155</v>
      </c>
      <c r="I42" s="198" t="s">
        <v>155</v>
      </c>
      <c r="J42" s="198" t="s">
        <v>155</v>
      </c>
      <c r="K42" s="198" t="s">
        <v>155</v>
      </c>
      <c r="L42" s="198" t="s">
        <v>155</v>
      </c>
      <c r="M42" s="198"/>
      <c r="N42" s="140"/>
      <c r="O42" s="198" t="s">
        <v>155</v>
      </c>
      <c r="P42" s="140" t="s">
        <v>4</v>
      </c>
      <c r="Q42" s="74">
        <v>20</v>
      </c>
      <c r="R42" s="75">
        <v>19.95</v>
      </c>
      <c r="S42" s="407" t="s">
        <v>291</v>
      </c>
      <c r="T42" s="148"/>
      <c r="U42" s="148"/>
      <c r="V42" s="148"/>
      <c r="W42" s="148"/>
      <c r="X42" s="148"/>
      <c r="Y42" s="148"/>
      <c r="Z42" s="148"/>
      <c r="AA42" s="149"/>
      <c r="AB42" s="149"/>
      <c r="AC42" s="148"/>
      <c r="AD42" s="149"/>
      <c r="AE42" s="149"/>
      <c r="AF42" s="148"/>
      <c r="AG42" s="147"/>
      <c r="AH42" s="147"/>
      <c r="AI42" s="147"/>
      <c r="AJ42" s="147"/>
      <c r="AK42" s="147"/>
      <c r="AL42" s="147"/>
    </row>
    <row r="43" spans="1:38" s="76" customFormat="1" ht="18" x14ac:dyDescent="0.3">
      <c r="A43" s="147"/>
      <c r="B43" s="141"/>
      <c r="C43" s="406" t="s">
        <v>282</v>
      </c>
      <c r="D43" s="239" t="s">
        <v>185</v>
      </c>
      <c r="E43" s="244" t="s">
        <v>293</v>
      </c>
      <c r="F43" s="73" t="s">
        <v>292</v>
      </c>
      <c r="G43" s="198" t="s">
        <v>158</v>
      </c>
      <c r="H43" s="198" t="s">
        <v>155</v>
      </c>
      <c r="I43" s="198" t="s">
        <v>155</v>
      </c>
      <c r="J43" s="198" t="s">
        <v>155</v>
      </c>
      <c r="K43" s="198" t="s">
        <v>155</v>
      </c>
      <c r="L43" s="198" t="s">
        <v>155</v>
      </c>
      <c r="M43" s="198"/>
      <c r="N43" s="140"/>
      <c r="O43" s="198" t="s">
        <v>155</v>
      </c>
      <c r="P43" s="140" t="s">
        <v>4</v>
      </c>
      <c r="Q43" s="74">
        <v>8.9499999999999993</v>
      </c>
      <c r="R43" s="75">
        <v>8.9499999999999993</v>
      </c>
      <c r="S43" s="407"/>
      <c r="T43" s="148"/>
      <c r="U43" s="148"/>
      <c r="V43" s="148"/>
      <c r="W43" s="148"/>
      <c r="X43" s="148"/>
      <c r="Y43" s="148"/>
      <c r="Z43" s="148"/>
      <c r="AA43" s="149"/>
      <c r="AB43" s="149"/>
      <c r="AC43" s="148"/>
      <c r="AD43" s="149"/>
      <c r="AE43" s="149"/>
      <c r="AF43" s="148"/>
      <c r="AG43" s="147"/>
      <c r="AH43" s="147"/>
      <c r="AI43" s="147"/>
      <c r="AJ43" s="147"/>
      <c r="AK43" s="147"/>
      <c r="AL43" s="147"/>
    </row>
    <row r="44" spans="1:38" s="76" customFormat="1" ht="18" x14ac:dyDescent="0.3">
      <c r="A44" s="147"/>
      <c r="B44" s="141"/>
      <c r="C44" s="406" t="s">
        <v>428</v>
      </c>
      <c r="D44" s="239" t="s">
        <v>185</v>
      </c>
      <c r="E44" s="244" t="s">
        <v>293</v>
      </c>
      <c r="F44" s="73" t="s">
        <v>429</v>
      </c>
      <c r="G44" s="198" t="s">
        <v>158</v>
      </c>
      <c r="H44" s="198" t="s">
        <v>155</v>
      </c>
      <c r="I44" s="198" t="s">
        <v>155</v>
      </c>
      <c r="J44" s="198" t="s">
        <v>155</v>
      </c>
      <c r="K44" s="198" t="s">
        <v>155</v>
      </c>
      <c r="L44" s="198" t="s">
        <v>155</v>
      </c>
      <c r="M44" s="198"/>
      <c r="N44" s="140"/>
      <c r="O44" s="198" t="s">
        <v>155</v>
      </c>
      <c r="P44" s="198" t="s">
        <v>155</v>
      </c>
      <c r="Q44" s="74">
        <v>39.950000000000003</v>
      </c>
      <c r="R44" s="75">
        <v>39.950000000000003</v>
      </c>
      <c r="S44" s="407"/>
      <c r="T44" s="148"/>
      <c r="U44" s="148"/>
      <c r="V44" s="148"/>
      <c r="W44" s="148"/>
      <c r="X44" s="148"/>
      <c r="Y44" s="148"/>
      <c r="Z44" s="148"/>
      <c r="AA44" s="149"/>
      <c r="AB44" s="149"/>
      <c r="AC44" s="148"/>
      <c r="AD44" s="149"/>
      <c r="AE44" s="149"/>
      <c r="AF44" s="148"/>
      <c r="AG44" s="147"/>
      <c r="AH44" s="147"/>
      <c r="AI44" s="147"/>
      <c r="AJ44" s="147"/>
      <c r="AK44" s="147"/>
      <c r="AL44" s="147"/>
    </row>
    <row r="45" spans="1:38" s="76" customFormat="1" ht="18" x14ac:dyDescent="0.3">
      <c r="A45" s="147"/>
      <c r="B45" s="494"/>
      <c r="C45" s="428" t="s">
        <v>434</v>
      </c>
      <c r="D45" s="495" t="s">
        <v>185</v>
      </c>
      <c r="E45" s="496" t="s">
        <v>413</v>
      </c>
      <c r="F45" s="497" t="s">
        <v>414</v>
      </c>
      <c r="G45" s="498" t="s">
        <v>155</v>
      </c>
      <c r="H45" s="498" t="s">
        <v>155</v>
      </c>
      <c r="I45" s="498" t="s">
        <v>155</v>
      </c>
      <c r="J45" s="498" t="s">
        <v>155</v>
      </c>
      <c r="K45" s="498" t="s">
        <v>155</v>
      </c>
      <c r="L45" s="498" t="s">
        <v>155</v>
      </c>
      <c r="M45" s="499" t="s">
        <v>155</v>
      </c>
      <c r="N45" s="500" t="s">
        <v>155</v>
      </c>
      <c r="O45" s="498" t="s">
        <v>155</v>
      </c>
      <c r="P45" s="498" t="s">
        <v>155</v>
      </c>
      <c r="Q45" s="501">
        <v>179</v>
      </c>
      <c r="R45" s="501">
        <v>179</v>
      </c>
      <c r="S45" s="502" t="s">
        <v>415</v>
      </c>
      <c r="T45" s="148"/>
      <c r="U45" s="148"/>
      <c r="V45" s="148"/>
      <c r="W45" s="148"/>
      <c r="X45" s="148"/>
      <c r="Y45" s="148"/>
      <c r="Z45" s="148"/>
      <c r="AA45" s="149"/>
      <c r="AB45" s="149"/>
      <c r="AC45" s="148"/>
      <c r="AD45" s="149"/>
      <c r="AE45" s="149"/>
      <c r="AF45" s="148"/>
      <c r="AG45" s="147"/>
      <c r="AH45" s="147"/>
      <c r="AI45" s="147"/>
      <c r="AJ45" s="147"/>
      <c r="AK45" s="147"/>
      <c r="AL45" s="147"/>
    </row>
    <row r="46" spans="1:38" s="68" customFormat="1" ht="18" x14ac:dyDescent="0.3">
      <c r="A46" s="145"/>
      <c r="B46" s="218"/>
      <c r="C46" s="219" t="s">
        <v>311</v>
      </c>
      <c r="D46" s="245" t="s">
        <v>312</v>
      </c>
      <c r="E46" s="245" t="s">
        <v>188</v>
      </c>
      <c r="F46" s="220" t="s">
        <v>184</v>
      </c>
      <c r="G46" s="221" t="s">
        <v>158</v>
      </c>
      <c r="H46" s="140" t="s">
        <v>4</v>
      </c>
      <c r="I46" s="221" t="s">
        <v>155</v>
      </c>
      <c r="J46" s="221" t="s">
        <v>155</v>
      </c>
      <c r="K46" s="221" t="s">
        <v>155</v>
      </c>
      <c r="L46" s="221" t="s">
        <v>155</v>
      </c>
      <c r="M46" s="221" t="s">
        <v>155</v>
      </c>
      <c r="N46" s="221" t="s">
        <v>155</v>
      </c>
      <c r="O46" s="221" t="s">
        <v>155</v>
      </c>
      <c r="P46" s="221" t="s">
        <v>155</v>
      </c>
      <c r="Q46" s="222">
        <v>39.950000000000003</v>
      </c>
      <c r="R46" s="223">
        <v>39.950000000000003</v>
      </c>
      <c r="S46" s="224" t="s">
        <v>313</v>
      </c>
      <c r="T46" s="148"/>
      <c r="U46" s="148"/>
      <c r="V46" s="148"/>
      <c r="W46" s="148"/>
      <c r="X46" s="148"/>
      <c r="Y46" s="148"/>
      <c r="Z46" s="148"/>
      <c r="AA46" s="149"/>
      <c r="AB46" s="149"/>
      <c r="AC46" s="148"/>
      <c r="AD46" s="149"/>
      <c r="AE46" s="149"/>
      <c r="AF46" s="148"/>
      <c r="AG46" s="145"/>
      <c r="AH46" s="145"/>
      <c r="AI46" s="145"/>
      <c r="AJ46" s="145"/>
      <c r="AK46" s="145"/>
      <c r="AL46" s="145"/>
    </row>
    <row r="47" spans="1:38" s="68" customFormat="1" ht="17.25" x14ac:dyDescent="0.3">
      <c r="A47" s="145"/>
      <c r="B47" s="218"/>
      <c r="C47" s="219" t="s">
        <v>314</v>
      </c>
      <c r="D47" s="245" t="s">
        <v>312</v>
      </c>
      <c r="E47" s="245" t="s">
        <v>188</v>
      </c>
      <c r="F47" s="220" t="s">
        <v>184</v>
      </c>
      <c r="G47" s="221" t="s">
        <v>158</v>
      </c>
      <c r="H47" s="221" t="s">
        <v>155</v>
      </c>
      <c r="I47" s="221" t="s">
        <v>155</v>
      </c>
      <c r="J47" s="221" t="s">
        <v>155</v>
      </c>
      <c r="K47" s="221" t="s">
        <v>155</v>
      </c>
      <c r="L47" s="221" t="s">
        <v>155</v>
      </c>
      <c r="M47" s="221" t="s">
        <v>155</v>
      </c>
      <c r="N47" s="221" t="s">
        <v>155</v>
      </c>
      <c r="O47" s="221" t="s">
        <v>155</v>
      </c>
      <c r="P47" s="221" t="s">
        <v>155</v>
      </c>
      <c r="Q47" s="222">
        <v>34.950000000000003</v>
      </c>
      <c r="R47" s="223">
        <v>34.950000000000003</v>
      </c>
      <c r="S47" s="224" t="s">
        <v>313</v>
      </c>
      <c r="T47" s="148"/>
      <c r="U47" s="148"/>
      <c r="V47" s="148"/>
      <c r="W47" s="148"/>
      <c r="X47" s="148"/>
      <c r="Y47" s="148"/>
      <c r="Z47" s="148"/>
      <c r="AA47" s="149"/>
      <c r="AB47" s="149"/>
      <c r="AC47" s="148"/>
      <c r="AD47" s="149"/>
      <c r="AE47" s="149"/>
      <c r="AF47" s="148"/>
      <c r="AG47" s="145"/>
      <c r="AH47" s="145"/>
      <c r="AI47" s="145"/>
      <c r="AJ47" s="145"/>
      <c r="AK47" s="145"/>
      <c r="AL47" s="145"/>
    </row>
    <row r="48" spans="1:38" s="68" customFormat="1" ht="17.25" x14ac:dyDescent="0.3">
      <c r="A48" s="145"/>
      <c r="B48" s="218"/>
      <c r="C48" s="219" t="s">
        <v>349</v>
      </c>
      <c r="D48" s="245" t="s">
        <v>312</v>
      </c>
      <c r="E48" s="245" t="s">
        <v>188</v>
      </c>
      <c r="F48" s="220" t="s">
        <v>350</v>
      </c>
      <c r="G48" s="221" t="s">
        <v>158</v>
      </c>
      <c r="H48" s="221" t="s">
        <v>155</v>
      </c>
      <c r="I48" s="221" t="s">
        <v>155</v>
      </c>
      <c r="J48" s="221" t="s">
        <v>155</v>
      </c>
      <c r="K48" s="221" t="s">
        <v>155</v>
      </c>
      <c r="L48" s="221" t="s">
        <v>155</v>
      </c>
      <c r="M48" s="221"/>
      <c r="N48" s="221"/>
      <c r="O48" s="221" t="s">
        <v>155</v>
      </c>
      <c r="P48" s="221" t="s">
        <v>155</v>
      </c>
      <c r="Q48" s="222">
        <v>54.95</v>
      </c>
      <c r="R48" s="223">
        <v>54.95</v>
      </c>
      <c r="S48" s="224" t="s">
        <v>313</v>
      </c>
      <c r="T48" s="148"/>
      <c r="U48" s="148"/>
      <c r="V48" s="148"/>
      <c r="W48" s="148"/>
      <c r="X48" s="148"/>
      <c r="Y48" s="148"/>
      <c r="Z48" s="148"/>
      <c r="AA48" s="149"/>
      <c r="AB48" s="149"/>
      <c r="AC48" s="148"/>
      <c r="AD48" s="149"/>
      <c r="AE48" s="149"/>
      <c r="AF48" s="148"/>
      <c r="AG48" s="145"/>
      <c r="AH48" s="145"/>
      <c r="AI48" s="145"/>
      <c r="AJ48" s="145"/>
      <c r="AK48" s="145"/>
      <c r="AL48" s="145"/>
    </row>
    <row r="49" spans="1:38" s="68" customFormat="1" ht="17.25" x14ac:dyDescent="0.3">
      <c r="A49" s="145"/>
      <c r="B49" s="218"/>
      <c r="C49" s="219" t="s">
        <v>351</v>
      </c>
      <c r="D49" s="245" t="s">
        <v>312</v>
      </c>
      <c r="E49" s="245" t="s">
        <v>188</v>
      </c>
      <c r="F49" s="220" t="s">
        <v>350</v>
      </c>
      <c r="G49" s="221" t="s">
        <v>158</v>
      </c>
      <c r="H49" s="221" t="s">
        <v>155</v>
      </c>
      <c r="I49" s="221" t="s">
        <v>155</v>
      </c>
      <c r="J49" s="221" t="s">
        <v>155</v>
      </c>
      <c r="K49" s="221" t="s">
        <v>155</v>
      </c>
      <c r="L49" s="221" t="s">
        <v>155</v>
      </c>
      <c r="M49" s="221"/>
      <c r="N49" s="221"/>
      <c r="O49" s="221" t="s">
        <v>155</v>
      </c>
      <c r="P49" s="221" t="s">
        <v>155</v>
      </c>
      <c r="Q49" s="222">
        <v>44.95</v>
      </c>
      <c r="R49" s="223">
        <v>44.95</v>
      </c>
      <c r="S49" s="224" t="s">
        <v>313</v>
      </c>
      <c r="T49" s="148"/>
      <c r="U49" s="148"/>
      <c r="V49" s="148"/>
      <c r="W49" s="148"/>
      <c r="X49" s="148"/>
      <c r="Y49" s="148"/>
      <c r="Z49" s="148"/>
      <c r="AA49" s="149"/>
      <c r="AB49" s="149"/>
      <c r="AC49" s="148"/>
      <c r="AD49" s="149"/>
      <c r="AE49" s="149"/>
      <c r="AF49" s="148"/>
      <c r="AG49" s="145"/>
      <c r="AH49" s="145"/>
      <c r="AI49" s="145"/>
      <c r="AJ49" s="145"/>
      <c r="AK49" s="145"/>
      <c r="AL49" s="145"/>
    </row>
    <row r="50" spans="1:38" s="68" customFormat="1" ht="17.25" x14ac:dyDescent="0.3">
      <c r="A50" s="145"/>
      <c r="B50" s="218"/>
      <c r="C50" s="219" t="s">
        <v>352</v>
      </c>
      <c r="D50" s="245" t="s">
        <v>185</v>
      </c>
      <c r="E50" s="245" t="s">
        <v>300</v>
      </c>
      <c r="F50" s="220" t="s">
        <v>353</v>
      </c>
      <c r="G50" s="221" t="s">
        <v>158</v>
      </c>
      <c r="H50" s="221" t="s">
        <v>155</v>
      </c>
      <c r="I50" s="221" t="s">
        <v>155</v>
      </c>
      <c r="J50" s="221" t="s">
        <v>155</v>
      </c>
      <c r="K50" s="221" t="s">
        <v>155</v>
      </c>
      <c r="L50" s="221" t="s">
        <v>155</v>
      </c>
      <c r="M50" s="221" t="s">
        <v>155</v>
      </c>
      <c r="N50" s="221" t="s">
        <v>155</v>
      </c>
      <c r="O50" s="221" t="s">
        <v>155</v>
      </c>
      <c r="P50" s="221" t="s">
        <v>155</v>
      </c>
      <c r="Q50" s="222">
        <v>39.950000000000003</v>
      </c>
      <c r="R50" s="223">
        <v>39.950000000000003</v>
      </c>
      <c r="S50" s="224" t="s">
        <v>313</v>
      </c>
      <c r="T50" s="148"/>
      <c r="U50" s="148"/>
      <c r="V50" s="148"/>
      <c r="W50" s="148"/>
      <c r="X50" s="148"/>
      <c r="Y50" s="148"/>
      <c r="Z50" s="148"/>
      <c r="AA50" s="149"/>
      <c r="AB50" s="149"/>
      <c r="AC50" s="148"/>
      <c r="AD50" s="149"/>
      <c r="AE50" s="149"/>
      <c r="AF50" s="148"/>
      <c r="AG50" s="145"/>
      <c r="AH50" s="145"/>
      <c r="AI50" s="145"/>
      <c r="AJ50" s="145"/>
      <c r="AK50" s="145"/>
      <c r="AL50" s="145"/>
    </row>
    <row r="51" spans="1:38" s="68" customFormat="1" ht="17.25" x14ac:dyDescent="0.3">
      <c r="A51" s="145"/>
      <c r="B51" s="218"/>
      <c r="C51" s="219" t="s">
        <v>354</v>
      </c>
      <c r="D51" s="245" t="s">
        <v>185</v>
      </c>
      <c r="E51" s="245" t="s">
        <v>300</v>
      </c>
      <c r="F51" s="220" t="s">
        <v>353</v>
      </c>
      <c r="G51" s="221" t="s">
        <v>158</v>
      </c>
      <c r="H51" s="221" t="s">
        <v>155</v>
      </c>
      <c r="I51" s="221" t="s">
        <v>155</v>
      </c>
      <c r="J51" s="221" t="s">
        <v>155</v>
      </c>
      <c r="K51" s="221" t="s">
        <v>155</v>
      </c>
      <c r="L51" s="221" t="s">
        <v>155</v>
      </c>
      <c r="M51" s="221" t="s">
        <v>155</v>
      </c>
      <c r="N51" s="221" t="s">
        <v>155</v>
      </c>
      <c r="O51" s="221" t="s">
        <v>155</v>
      </c>
      <c r="P51" s="221" t="s">
        <v>155</v>
      </c>
      <c r="Q51" s="222">
        <v>39.950000000000003</v>
      </c>
      <c r="R51" s="223">
        <v>39.950000000000003</v>
      </c>
      <c r="S51" s="224" t="s">
        <v>313</v>
      </c>
      <c r="T51" s="148"/>
      <c r="U51" s="148"/>
      <c r="V51" s="148"/>
      <c r="W51" s="148"/>
      <c r="X51" s="148"/>
      <c r="Y51" s="148"/>
      <c r="Z51" s="148"/>
      <c r="AA51" s="149"/>
      <c r="AB51" s="149"/>
      <c r="AC51" s="148"/>
      <c r="AD51" s="149"/>
      <c r="AE51" s="149"/>
      <c r="AF51" s="148"/>
      <c r="AG51" s="145"/>
      <c r="AH51" s="145"/>
      <c r="AI51" s="145"/>
      <c r="AJ51" s="145"/>
      <c r="AK51" s="145"/>
      <c r="AL51" s="145"/>
    </row>
    <row r="52" spans="1:38" s="68" customFormat="1" ht="17.25" x14ac:dyDescent="0.3">
      <c r="A52" s="145"/>
      <c r="B52" s="218"/>
      <c r="C52" s="219" t="s">
        <v>356</v>
      </c>
      <c r="D52" s="245" t="s">
        <v>186</v>
      </c>
      <c r="E52" s="245" t="s">
        <v>188</v>
      </c>
      <c r="F52" s="220" t="s">
        <v>355</v>
      </c>
      <c r="G52" s="221" t="s">
        <v>158</v>
      </c>
      <c r="H52" s="221" t="s">
        <v>155</v>
      </c>
      <c r="I52" s="221" t="s">
        <v>155</v>
      </c>
      <c r="J52" s="221" t="s">
        <v>155</v>
      </c>
      <c r="K52" s="221" t="s">
        <v>155</v>
      </c>
      <c r="L52" s="221" t="s">
        <v>155</v>
      </c>
      <c r="M52" s="221"/>
      <c r="N52" s="221"/>
      <c r="O52" s="221" t="s">
        <v>155</v>
      </c>
      <c r="P52" s="221" t="s">
        <v>155</v>
      </c>
      <c r="Q52" s="222">
        <v>12.95</v>
      </c>
      <c r="R52" s="223">
        <v>12.95</v>
      </c>
      <c r="S52" s="224" t="s">
        <v>313</v>
      </c>
      <c r="T52" s="148"/>
      <c r="U52" s="148"/>
      <c r="V52" s="148"/>
      <c r="W52" s="148"/>
      <c r="X52" s="148"/>
      <c r="Y52" s="148"/>
      <c r="Z52" s="148"/>
      <c r="AA52" s="149"/>
      <c r="AB52" s="149"/>
      <c r="AC52" s="148"/>
      <c r="AD52" s="149"/>
      <c r="AE52" s="149"/>
      <c r="AF52" s="148"/>
      <c r="AG52" s="145"/>
      <c r="AH52" s="145"/>
      <c r="AI52" s="145"/>
      <c r="AJ52" s="145"/>
      <c r="AK52" s="145"/>
      <c r="AL52" s="145"/>
    </row>
    <row r="53" spans="1:38" s="68" customFormat="1" ht="17.25" x14ac:dyDescent="0.3">
      <c r="A53" s="145"/>
      <c r="B53" s="218"/>
      <c r="C53" s="219" t="s">
        <v>359</v>
      </c>
      <c r="D53" s="245" t="s">
        <v>186</v>
      </c>
      <c r="E53" s="245" t="s">
        <v>188</v>
      </c>
      <c r="F53" s="220" t="s">
        <v>355</v>
      </c>
      <c r="G53" s="221" t="s">
        <v>158</v>
      </c>
      <c r="H53" s="221" t="s">
        <v>155</v>
      </c>
      <c r="I53" s="221" t="s">
        <v>155</v>
      </c>
      <c r="J53" s="221" t="s">
        <v>155</v>
      </c>
      <c r="K53" s="221" t="s">
        <v>155</v>
      </c>
      <c r="L53" s="221" t="s">
        <v>155</v>
      </c>
      <c r="M53" s="221"/>
      <c r="N53" s="221"/>
      <c r="O53" s="221" t="s">
        <v>155</v>
      </c>
      <c r="P53" s="221" t="s">
        <v>155</v>
      </c>
      <c r="Q53" s="222">
        <v>19.95</v>
      </c>
      <c r="R53" s="223">
        <v>19.95</v>
      </c>
      <c r="S53" s="224" t="s">
        <v>313</v>
      </c>
      <c r="T53" s="148"/>
      <c r="U53" s="148"/>
      <c r="V53" s="148"/>
      <c r="W53" s="148"/>
      <c r="X53" s="148"/>
      <c r="Y53" s="148"/>
      <c r="Z53" s="148"/>
      <c r="AA53" s="149"/>
      <c r="AB53" s="149"/>
      <c r="AC53" s="148"/>
      <c r="AD53" s="149"/>
      <c r="AE53" s="149"/>
      <c r="AF53" s="148"/>
      <c r="AG53" s="145"/>
      <c r="AH53" s="145"/>
      <c r="AI53" s="145"/>
      <c r="AJ53" s="145"/>
      <c r="AK53" s="145"/>
      <c r="AL53" s="145"/>
    </row>
    <row r="54" spans="1:38" s="68" customFormat="1" ht="17.25" x14ac:dyDescent="0.3">
      <c r="A54" s="145"/>
      <c r="B54" s="218"/>
      <c r="C54" s="219" t="s">
        <v>357</v>
      </c>
      <c r="D54" s="245" t="s">
        <v>186</v>
      </c>
      <c r="E54" s="245" t="s">
        <v>188</v>
      </c>
      <c r="F54" s="220" t="s">
        <v>355</v>
      </c>
      <c r="G54" s="221" t="s">
        <v>158</v>
      </c>
      <c r="H54" s="221" t="s">
        <v>155</v>
      </c>
      <c r="I54" s="221" t="s">
        <v>155</v>
      </c>
      <c r="J54" s="221" t="s">
        <v>155</v>
      </c>
      <c r="K54" s="221" t="s">
        <v>155</v>
      </c>
      <c r="L54" s="221" t="s">
        <v>155</v>
      </c>
      <c r="M54" s="221"/>
      <c r="N54" s="221"/>
      <c r="O54" s="221" t="s">
        <v>155</v>
      </c>
      <c r="P54" s="221" t="s">
        <v>155</v>
      </c>
      <c r="Q54" s="222">
        <v>12.95</v>
      </c>
      <c r="R54" s="223">
        <v>12.95</v>
      </c>
      <c r="S54" s="224" t="s">
        <v>313</v>
      </c>
      <c r="T54" s="148"/>
      <c r="U54" s="148"/>
      <c r="V54" s="148"/>
      <c r="W54" s="148"/>
      <c r="X54" s="148"/>
      <c r="Y54" s="148"/>
      <c r="Z54" s="148"/>
      <c r="AA54" s="149"/>
      <c r="AB54" s="149"/>
      <c r="AC54" s="148"/>
      <c r="AD54" s="149"/>
      <c r="AE54" s="149"/>
      <c r="AF54" s="148"/>
      <c r="AG54" s="145"/>
      <c r="AH54" s="145"/>
      <c r="AI54" s="145"/>
      <c r="AJ54" s="145"/>
      <c r="AK54" s="145"/>
      <c r="AL54" s="145"/>
    </row>
    <row r="55" spans="1:38" s="68" customFormat="1" ht="17.25" x14ac:dyDescent="0.3">
      <c r="A55" s="145"/>
      <c r="B55" s="218"/>
      <c r="C55" s="219" t="s">
        <v>358</v>
      </c>
      <c r="D55" s="245" t="s">
        <v>186</v>
      </c>
      <c r="E55" s="245" t="s">
        <v>188</v>
      </c>
      <c r="F55" s="220" t="s">
        <v>355</v>
      </c>
      <c r="G55" s="221" t="s">
        <v>158</v>
      </c>
      <c r="H55" s="221" t="s">
        <v>155</v>
      </c>
      <c r="I55" s="221" t="s">
        <v>155</v>
      </c>
      <c r="J55" s="221" t="s">
        <v>155</v>
      </c>
      <c r="K55" s="221" t="s">
        <v>155</v>
      </c>
      <c r="L55" s="221" t="s">
        <v>155</v>
      </c>
      <c r="M55" s="221"/>
      <c r="N55" s="221"/>
      <c r="O55" s="221" t="s">
        <v>155</v>
      </c>
      <c r="P55" s="221" t="s">
        <v>155</v>
      </c>
      <c r="Q55" s="222">
        <v>12.95</v>
      </c>
      <c r="R55" s="223">
        <v>12.95</v>
      </c>
      <c r="S55" s="224" t="s">
        <v>313</v>
      </c>
      <c r="T55" s="148"/>
      <c r="U55" s="148"/>
      <c r="V55" s="148"/>
      <c r="W55" s="148"/>
      <c r="X55" s="148"/>
      <c r="Y55" s="148"/>
      <c r="Z55" s="148"/>
      <c r="AA55" s="149"/>
      <c r="AB55" s="149"/>
      <c r="AC55" s="148"/>
      <c r="AD55" s="149"/>
      <c r="AE55" s="149"/>
      <c r="AF55" s="148"/>
      <c r="AG55" s="145"/>
      <c r="AH55" s="145"/>
      <c r="AI55" s="145"/>
      <c r="AJ55" s="145"/>
      <c r="AK55" s="145"/>
      <c r="AL55" s="145"/>
    </row>
    <row r="56" spans="1:38" s="68" customFormat="1" ht="17.25" x14ac:dyDescent="0.3">
      <c r="A56" s="145"/>
      <c r="B56" s="218"/>
      <c r="C56" s="219" t="s">
        <v>375</v>
      </c>
      <c r="D56" s="245" t="s">
        <v>186</v>
      </c>
      <c r="E56" s="240" t="s">
        <v>188</v>
      </c>
      <c r="F56" s="220" t="s">
        <v>355</v>
      </c>
      <c r="G56" s="221" t="s">
        <v>158</v>
      </c>
      <c r="H56" s="221" t="s">
        <v>155</v>
      </c>
      <c r="I56" s="221" t="s">
        <v>155</v>
      </c>
      <c r="J56" s="221" t="s">
        <v>155</v>
      </c>
      <c r="K56" s="221" t="s">
        <v>155</v>
      </c>
      <c r="L56" s="221" t="s">
        <v>155</v>
      </c>
      <c r="M56" s="221" t="s">
        <v>155</v>
      </c>
      <c r="N56" s="221" t="s">
        <v>155</v>
      </c>
      <c r="O56" s="221" t="s">
        <v>155</v>
      </c>
      <c r="P56" s="221" t="s">
        <v>155</v>
      </c>
      <c r="Q56" s="222">
        <v>7.5</v>
      </c>
      <c r="R56" s="223">
        <v>14.95</v>
      </c>
      <c r="S56" s="224" t="s">
        <v>381</v>
      </c>
      <c r="T56" s="148"/>
      <c r="U56" s="148"/>
      <c r="V56" s="148"/>
      <c r="W56" s="148"/>
      <c r="X56" s="148"/>
      <c r="Y56" s="148"/>
      <c r="Z56" s="148"/>
      <c r="AA56" s="149"/>
      <c r="AB56" s="149"/>
      <c r="AC56" s="148"/>
      <c r="AD56" s="149"/>
      <c r="AE56" s="149"/>
      <c r="AF56" s="148"/>
      <c r="AG56" s="145"/>
      <c r="AH56" s="145"/>
      <c r="AI56" s="145"/>
      <c r="AJ56" s="145"/>
      <c r="AK56" s="145"/>
      <c r="AL56" s="145"/>
    </row>
    <row r="57" spans="1:38" s="68" customFormat="1" ht="17.25" x14ac:dyDescent="0.3">
      <c r="A57" s="145"/>
      <c r="B57" s="218"/>
      <c r="C57" s="219" t="s">
        <v>376</v>
      </c>
      <c r="D57" s="240" t="s">
        <v>186</v>
      </c>
      <c r="E57" s="240" t="s">
        <v>188</v>
      </c>
      <c r="F57" s="220" t="s">
        <v>355</v>
      </c>
      <c r="G57" s="221" t="s">
        <v>158</v>
      </c>
      <c r="H57" s="221" t="s">
        <v>155</v>
      </c>
      <c r="I57" s="221" t="s">
        <v>155</v>
      </c>
      <c r="J57" s="221" t="s">
        <v>155</v>
      </c>
      <c r="K57" s="221" t="s">
        <v>155</v>
      </c>
      <c r="L57" s="221" t="s">
        <v>155</v>
      </c>
      <c r="M57" s="221" t="s">
        <v>155</v>
      </c>
      <c r="N57" s="221" t="s">
        <v>155</v>
      </c>
      <c r="O57" s="221" t="s">
        <v>155</v>
      </c>
      <c r="P57" s="221" t="s">
        <v>155</v>
      </c>
      <c r="Q57" s="222">
        <v>7.5</v>
      </c>
      <c r="R57" s="223">
        <v>24.95</v>
      </c>
      <c r="S57" s="224" t="s">
        <v>380</v>
      </c>
      <c r="T57" s="148"/>
      <c r="U57" s="148"/>
      <c r="V57" s="148"/>
      <c r="W57" s="148"/>
      <c r="X57" s="148"/>
      <c r="Y57" s="148"/>
      <c r="Z57" s="148"/>
      <c r="AA57" s="149"/>
      <c r="AB57" s="149"/>
      <c r="AC57" s="148"/>
      <c r="AD57" s="149"/>
      <c r="AE57" s="149"/>
      <c r="AF57" s="148"/>
      <c r="AG57" s="145"/>
      <c r="AH57" s="145"/>
      <c r="AI57" s="145"/>
      <c r="AJ57" s="145"/>
      <c r="AK57" s="145"/>
      <c r="AL57" s="145"/>
    </row>
    <row r="58" spans="1:38" s="68" customFormat="1" ht="17.25" x14ac:dyDescent="0.3">
      <c r="A58" s="145"/>
      <c r="B58" s="218"/>
      <c r="C58" s="219" t="s">
        <v>377</v>
      </c>
      <c r="D58" s="240" t="s">
        <v>186</v>
      </c>
      <c r="E58" s="240" t="s">
        <v>188</v>
      </c>
      <c r="F58" s="220" t="s">
        <v>355</v>
      </c>
      <c r="G58" s="221" t="s">
        <v>158</v>
      </c>
      <c r="H58" s="221" t="s">
        <v>155</v>
      </c>
      <c r="I58" s="221" t="s">
        <v>155</v>
      </c>
      <c r="J58" s="221" t="s">
        <v>155</v>
      </c>
      <c r="K58" s="221" t="s">
        <v>155</v>
      </c>
      <c r="L58" s="221" t="s">
        <v>155</v>
      </c>
      <c r="M58" s="221" t="s">
        <v>155</v>
      </c>
      <c r="N58" s="221" t="s">
        <v>155</v>
      </c>
      <c r="O58" s="221" t="s">
        <v>155</v>
      </c>
      <c r="P58" s="221" t="s">
        <v>155</v>
      </c>
      <c r="Q58" s="222">
        <v>40</v>
      </c>
      <c r="R58" s="223">
        <v>64.95</v>
      </c>
      <c r="S58" s="224" t="s">
        <v>382</v>
      </c>
      <c r="T58" s="148"/>
      <c r="U58" s="148"/>
      <c r="V58" s="148"/>
      <c r="W58" s="148"/>
      <c r="X58" s="148"/>
      <c r="Y58" s="148"/>
      <c r="Z58" s="148"/>
      <c r="AA58" s="149"/>
      <c r="AB58" s="149"/>
      <c r="AC58" s="148"/>
      <c r="AD58" s="149"/>
      <c r="AE58" s="149"/>
      <c r="AF58" s="148"/>
      <c r="AG58" s="145"/>
      <c r="AH58" s="145"/>
      <c r="AI58" s="145"/>
      <c r="AJ58" s="145"/>
      <c r="AK58" s="145"/>
      <c r="AL58" s="145"/>
    </row>
    <row r="59" spans="1:38" s="68" customFormat="1" ht="17.25" x14ac:dyDescent="0.3">
      <c r="A59" s="145"/>
      <c r="B59" s="218"/>
      <c r="C59" s="219" t="s">
        <v>316</v>
      </c>
      <c r="D59" s="240" t="s">
        <v>186</v>
      </c>
      <c r="E59" s="245" t="s">
        <v>188</v>
      </c>
      <c r="F59" s="220" t="s">
        <v>142</v>
      </c>
      <c r="G59" s="221" t="s">
        <v>158</v>
      </c>
      <c r="H59" s="221" t="s">
        <v>155</v>
      </c>
      <c r="I59" s="221" t="s">
        <v>155</v>
      </c>
      <c r="J59" s="221" t="s">
        <v>155</v>
      </c>
      <c r="K59" s="221" t="s">
        <v>155</v>
      </c>
      <c r="L59" s="221" t="s">
        <v>155</v>
      </c>
      <c r="M59" s="221" t="s">
        <v>155</v>
      </c>
      <c r="N59" s="221" t="s">
        <v>155</v>
      </c>
      <c r="O59" s="221" t="s">
        <v>155</v>
      </c>
      <c r="P59" s="221" t="s">
        <v>155</v>
      </c>
      <c r="Q59" s="222">
        <v>5</v>
      </c>
      <c r="R59" s="223">
        <v>9.9499999999999993</v>
      </c>
      <c r="S59" s="224" t="s">
        <v>315</v>
      </c>
      <c r="T59" s="148"/>
      <c r="U59" s="148"/>
      <c r="V59" s="148"/>
      <c r="W59" s="148"/>
      <c r="X59" s="148"/>
      <c r="Y59" s="148"/>
      <c r="Z59" s="148"/>
      <c r="AA59" s="149"/>
      <c r="AB59" s="149"/>
      <c r="AC59" s="148"/>
      <c r="AD59" s="149"/>
      <c r="AE59" s="149"/>
      <c r="AF59" s="148"/>
      <c r="AG59" s="145"/>
      <c r="AH59" s="145"/>
      <c r="AI59" s="145"/>
      <c r="AJ59" s="145"/>
      <c r="AK59" s="145"/>
      <c r="AL59" s="145"/>
    </row>
    <row r="60" spans="1:38" s="68" customFormat="1" ht="17.25" x14ac:dyDescent="0.3">
      <c r="A60" s="145"/>
      <c r="B60" s="218"/>
      <c r="C60" s="219" t="s">
        <v>360</v>
      </c>
      <c r="D60" s="245" t="s">
        <v>185</v>
      </c>
      <c r="E60" s="245" t="s">
        <v>368</v>
      </c>
      <c r="F60" s="220" t="s">
        <v>341</v>
      </c>
      <c r="G60" s="221" t="s">
        <v>158</v>
      </c>
      <c r="H60" s="221" t="s">
        <v>155</v>
      </c>
      <c r="I60" s="221" t="s">
        <v>155</v>
      </c>
      <c r="J60" s="221" t="s">
        <v>155</v>
      </c>
      <c r="K60" s="221" t="s">
        <v>155</v>
      </c>
      <c r="L60" s="221" t="s">
        <v>155</v>
      </c>
      <c r="M60" s="221" t="s">
        <v>155</v>
      </c>
      <c r="N60" s="221" t="s">
        <v>155</v>
      </c>
      <c r="O60" s="221" t="s">
        <v>155</v>
      </c>
      <c r="P60" s="221" t="s">
        <v>155</v>
      </c>
      <c r="Q60" s="222">
        <v>1.5</v>
      </c>
      <c r="R60" s="223">
        <v>4.95</v>
      </c>
      <c r="S60" s="224" t="s">
        <v>369</v>
      </c>
      <c r="T60" s="148"/>
      <c r="U60" s="148"/>
      <c r="V60" s="148"/>
      <c r="W60" s="148"/>
      <c r="X60" s="148"/>
      <c r="Y60" s="148"/>
      <c r="Z60" s="148"/>
      <c r="AA60" s="149"/>
      <c r="AB60" s="149"/>
      <c r="AC60" s="148"/>
      <c r="AD60" s="149"/>
      <c r="AE60" s="149"/>
      <c r="AF60" s="148"/>
      <c r="AG60" s="145"/>
      <c r="AH60" s="145"/>
      <c r="AI60" s="145"/>
      <c r="AJ60" s="145"/>
      <c r="AK60" s="145"/>
      <c r="AL60" s="145"/>
    </row>
    <row r="61" spans="1:38" s="68" customFormat="1" ht="17.25" x14ac:dyDescent="0.3">
      <c r="A61" s="145"/>
      <c r="B61" s="218"/>
      <c r="C61" s="219" t="s">
        <v>361</v>
      </c>
      <c r="D61" s="245" t="s">
        <v>185</v>
      </c>
      <c r="E61" s="245" t="s">
        <v>368</v>
      </c>
      <c r="F61" s="220" t="s">
        <v>341</v>
      </c>
      <c r="G61" s="221" t="s">
        <v>158</v>
      </c>
      <c r="H61" s="221" t="s">
        <v>155</v>
      </c>
      <c r="I61" s="221" t="s">
        <v>155</v>
      </c>
      <c r="J61" s="221" t="s">
        <v>155</v>
      </c>
      <c r="K61" s="221" t="s">
        <v>155</v>
      </c>
      <c r="L61" s="221" t="s">
        <v>155</v>
      </c>
      <c r="M61" s="221" t="s">
        <v>155</v>
      </c>
      <c r="N61" s="221" t="s">
        <v>155</v>
      </c>
      <c r="O61" s="221" t="s">
        <v>155</v>
      </c>
      <c r="P61" s="221" t="s">
        <v>155</v>
      </c>
      <c r="Q61" s="222">
        <v>1.5</v>
      </c>
      <c r="R61" s="223">
        <v>4.95</v>
      </c>
      <c r="S61" s="503" t="s">
        <v>437</v>
      </c>
      <c r="T61" s="148"/>
      <c r="U61" s="148"/>
      <c r="V61" s="148"/>
      <c r="W61" s="148"/>
      <c r="X61" s="148"/>
      <c r="Y61" s="148"/>
      <c r="Z61" s="148"/>
      <c r="AA61" s="149"/>
      <c r="AB61" s="149"/>
      <c r="AC61" s="148"/>
      <c r="AD61" s="149"/>
      <c r="AE61" s="149"/>
      <c r="AF61" s="148"/>
      <c r="AG61" s="145"/>
      <c r="AH61" s="145"/>
      <c r="AI61" s="145"/>
      <c r="AJ61" s="145"/>
      <c r="AK61" s="145"/>
      <c r="AL61" s="145"/>
    </row>
    <row r="62" spans="1:38" s="68" customFormat="1" ht="17.25" x14ac:dyDescent="0.3">
      <c r="A62" s="145"/>
      <c r="B62" s="218"/>
      <c r="C62" s="219" t="s">
        <v>363</v>
      </c>
      <c r="D62" s="245" t="s">
        <v>185</v>
      </c>
      <c r="E62" s="245" t="s">
        <v>368</v>
      </c>
      <c r="F62" s="220" t="s">
        <v>341</v>
      </c>
      <c r="G62" s="221" t="s">
        <v>158</v>
      </c>
      <c r="H62" s="221" t="s">
        <v>155</v>
      </c>
      <c r="I62" s="221" t="s">
        <v>155</v>
      </c>
      <c r="J62" s="221" t="s">
        <v>155</v>
      </c>
      <c r="K62" s="221" t="s">
        <v>155</v>
      </c>
      <c r="L62" s="221" t="s">
        <v>155</v>
      </c>
      <c r="M62" s="221" t="s">
        <v>155</v>
      </c>
      <c r="N62" s="221" t="s">
        <v>155</v>
      </c>
      <c r="O62" s="221" t="s">
        <v>155</v>
      </c>
      <c r="P62" s="221" t="s">
        <v>155</v>
      </c>
      <c r="Q62" s="222">
        <v>1.5</v>
      </c>
      <c r="R62" s="223">
        <v>4.95</v>
      </c>
      <c r="S62" s="503" t="s">
        <v>437</v>
      </c>
      <c r="T62" s="148"/>
      <c r="U62" s="148"/>
      <c r="V62" s="148"/>
      <c r="W62" s="148"/>
      <c r="X62" s="148"/>
      <c r="Y62" s="148"/>
      <c r="Z62" s="148"/>
      <c r="AA62" s="149"/>
      <c r="AB62" s="149"/>
      <c r="AC62" s="148"/>
      <c r="AD62" s="149"/>
      <c r="AE62" s="149"/>
      <c r="AF62" s="148"/>
      <c r="AG62" s="145"/>
      <c r="AH62" s="145"/>
      <c r="AI62" s="145"/>
      <c r="AJ62" s="145"/>
      <c r="AK62" s="145"/>
      <c r="AL62" s="145"/>
    </row>
    <row r="63" spans="1:38" s="68" customFormat="1" ht="17.25" x14ac:dyDescent="0.3">
      <c r="A63" s="145"/>
      <c r="B63" s="218"/>
      <c r="C63" s="219" t="s">
        <v>364</v>
      </c>
      <c r="D63" s="245" t="s">
        <v>185</v>
      </c>
      <c r="E63" s="245" t="s">
        <v>368</v>
      </c>
      <c r="F63" s="220" t="s">
        <v>341</v>
      </c>
      <c r="G63" s="221" t="s">
        <v>158</v>
      </c>
      <c r="H63" s="221" t="s">
        <v>155</v>
      </c>
      <c r="I63" s="221" t="s">
        <v>155</v>
      </c>
      <c r="J63" s="221" t="s">
        <v>155</v>
      </c>
      <c r="K63" s="221" t="s">
        <v>155</v>
      </c>
      <c r="L63" s="221" t="s">
        <v>155</v>
      </c>
      <c r="M63" s="221" t="s">
        <v>155</v>
      </c>
      <c r="N63" s="221" t="s">
        <v>155</v>
      </c>
      <c r="O63" s="221" t="s">
        <v>155</v>
      </c>
      <c r="P63" s="221" t="s">
        <v>155</v>
      </c>
      <c r="Q63" s="222">
        <v>1.5</v>
      </c>
      <c r="R63" s="223">
        <v>4.95</v>
      </c>
      <c r="S63" s="224" t="s">
        <v>369</v>
      </c>
      <c r="T63" s="148"/>
      <c r="U63" s="148"/>
      <c r="V63" s="148"/>
      <c r="W63" s="148"/>
      <c r="X63" s="148"/>
      <c r="Y63" s="148"/>
      <c r="Z63" s="148"/>
      <c r="AA63" s="149"/>
      <c r="AB63" s="149"/>
      <c r="AC63" s="148"/>
      <c r="AD63" s="149"/>
      <c r="AE63" s="149"/>
      <c r="AF63" s="148"/>
      <c r="AG63" s="145"/>
      <c r="AH63" s="145"/>
      <c r="AI63" s="145"/>
      <c r="AJ63" s="145"/>
      <c r="AK63" s="145"/>
      <c r="AL63" s="145"/>
    </row>
    <row r="64" spans="1:38" s="68" customFormat="1" ht="17.25" x14ac:dyDescent="0.3">
      <c r="A64" s="145"/>
      <c r="B64" s="218"/>
      <c r="C64" s="219" t="s">
        <v>365</v>
      </c>
      <c r="D64" s="245" t="s">
        <v>185</v>
      </c>
      <c r="E64" s="245" t="s">
        <v>368</v>
      </c>
      <c r="F64" s="220" t="s">
        <v>341</v>
      </c>
      <c r="G64" s="221" t="s">
        <v>158</v>
      </c>
      <c r="H64" s="221" t="s">
        <v>155</v>
      </c>
      <c r="I64" s="221" t="s">
        <v>155</v>
      </c>
      <c r="J64" s="221" t="s">
        <v>155</v>
      </c>
      <c r="K64" s="221" t="s">
        <v>155</v>
      </c>
      <c r="L64" s="221" t="s">
        <v>155</v>
      </c>
      <c r="M64" s="221" t="s">
        <v>155</v>
      </c>
      <c r="N64" s="221" t="s">
        <v>155</v>
      </c>
      <c r="O64" s="221" t="s">
        <v>155</v>
      </c>
      <c r="P64" s="221" t="s">
        <v>155</v>
      </c>
      <c r="Q64" s="222">
        <v>1.5</v>
      </c>
      <c r="R64" s="223">
        <v>4.95</v>
      </c>
      <c r="S64" s="224" t="s">
        <v>369</v>
      </c>
      <c r="T64" s="148"/>
      <c r="U64" s="148"/>
      <c r="V64" s="148"/>
      <c r="W64" s="148"/>
      <c r="X64" s="148"/>
      <c r="Y64" s="148"/>
      <c r="Z64" s="148"/>
      <c r="AA64" s="149"/>
      <c r="AB64" s="149"/>
      <c r="AC64" s="148"/>
      <c r="AD64" s="149"/>
      <c r="AE64" s="149"/>
      <c r="AF64" s="148"/>
      <c r="AG64" s="145"/>
      <c r="AH64" s="145"/>
      <c r="AI64" s="145"/>
      <c r="AJ64" s="145"/>
      <c r="AK64" s="145"/>
      <c r="AL64" s="145"/>
    </row>
    <row r="65" spans="1:38" s="68" customFormat="1" ht="17.25" x14ac:dyDescent="0.3">
      <c r="A65" s="145"/>
      <c r="B65" s="218"/>
      <c r="C65" s="219" t="s">
        <v>367</v>
      </c>
      <c r="D65" s="245" t="s">
        <v>185</v>
      </c>
      <c r="E65" s="245" t="s">
        <v>368</v>
      </c>
      <c r="F65" s="220" t="s">
        <v>341</v>
      </c>
      <c r="G65" s="221" t="s">
        <v>158</v>
      </c>
      <c r="H65" s="221" t="s">
        <v>155</v>
      </c>
      <c r="I65" s="221" t="s">
        <v>155</v>
      </c>
      <c r="J65" s="221" t="s">
        <v>155</v>
      </c>
      <c r="K65" s="221" t="s">
        <v>155</v>
      </c>
      <c r="L65" s="221" t="s">
        <v>155</v>
      </c>
      <c r="M65" s="221" t="s">
        <v>155</v>
      </c>
      <c r="N65" s="221" t="s">
        <v>155</v>
      </c>
      <c r="O65" s="221" t="s">
        <v>155</v>
      </c>
      <c r="P65" s="221" t="s">
        <v>155</v>
      </c>
      <c r="Q65" s="222">
        <v>1.5</v>
      </c>
      <c r="R65" s="223">
        <v>4.95</v>
      </c>
      <c r="S65" s="503" t="s">
        <v>437</v>
      </c>
      <c r="T65" s="148"/>
      <c r="U65" s="148"/>
      <c r="V65" s="148"/>
      <c r="W65" s="148"/>
      <c r="X65" s="148"/>
      <c r="Y65" s="148"/>
      <c r="Z65" s="148"/>
      <c r="AA65" s="149"/>
      <c r="AB65" s="149"/>
      <c r="AC65" s="148"/>
      <c r="AD65" s="149"/>
      <c r="AE65" s="149"/>
      <c r="AF65" s="148"/>
      <c r="AG65" s="145"/>
      <c r="AH65" s="145"/>
      <c r="AI65" s="145"/>
      <c r="AJ65" s="145"/>
      <c r="AK65" s="145"/>
      <c r="AL65" s="145"/>
    </row>
    <row r="66" spans="1:38" s="68" customFormat="1" ht="17.25" x14ac:dyDescent="0.3">
      <c r="A66" s="145"/>
      <c r="B66" s="218"/>
      <c r="C66" s="219" t="s">
        <v>366</v>
      </c>
      <c r="D66" s="245" t="s">
        <v>185</v>
      </c>
      <c r="E66" s="245" t="s">
        <v>368</v>
      </c>
      <c r="F66" s="220" t="s">
        <v>341</v>
      </c>
      <c r="G66" s="221" t="s">
        <v>158</v>
      </c>
      <c r="H66" s="221" t="s">
        <v>155</v>
      </c>
      <c r="I66" s="221" t="s">
        <v>155</v>
      </c>
      <c r="J66" s="221" t="s">
        <v>155</v>
      </c>
      <c r="K66" s="221" t="s">
        <v>155</v>
      </c>
      <c r="L66" s="221" t="s">
        <v>155</v>
      </c>
      <c r="M66" s="221" t="s">
        <v>155</v>
      </c>
      <c r="N66" s="221" t="s">
        <v>155</v>
      </c>
      <c r="O66" s="221" t="s">
        <v>155</v>
      </c>
      <c r="P66" s="221" t="s">
        <v>155</v>
      </c>
      <c r="Q66" s="222">
        <v>1.5</v>
      </c>
      <c r="R66" s="223">
        <v>4.95</v>
      </c>
      <c r="S66" s="224" t="s">
        <v>369</v>
      </c>
      <c r="T66" s="148"/>
      <c r="U66" s="148"/>
      <c r="V66" s="148"/>
      <c r="W66" s="148"/>
      <c r="X66" s="148"/>
      <c r="Y66" s="148"/>
      <c r="Z66" s="148"/>
      <c r="AA66" s="149"/>
      <c r="AB66" s="149"/>
      <c r="AC66" s="148"/>
      <c r="AD66" s="149"/>
      <c r="AE66" s="149"/>
      <c r="AF66" s="148"/>
      <c r="AG66" s="145"/>
      <c r="AH66" s="145"/>
      <c r="AI66" s="145"/>
      <c r="AJ66" s="145"/>
      <c r="AK66" s="145"/>
      <c r="AL66" s="145"/>
    </row>
    <row r="67" spans="1:38" s="68" customFormat="1" ht="17.25" x14ac:dyDescent="0.3">
      <c r="A67" s="145"/>
      <c r="B67" s="218"/>
      <c r="C67" s="219" t="s">
        <v>342</v>
      </c>
      <c r="D67" s="240" t="s">
        <v>185</v>
      </c>
      <c r="E67" s="240" t="s">
        <v>343</v>
      </c>
      <c r="F67" s="220" t="s">
        <v>341</v>
      </c>
      <c r="G67" s="221" t="s">
        <v>158</v>
      </c>
      <c r="H67" s="221" t="s">
        <v>155</v>
      </c>
      <c r="I67" s="221" t="s">
        <v>155</v>
      </c>
      <c r="J67" s="221" t="s">
        <v>155</v>
      </c>
      <c r="K67" s="221" t="s">
        <v>155</v>
      </c>
      <c r="L67" s="221" t="s">
        <v>155</v>
      </c>
      <c r="M67" s="221" t="s">
        <v>155</v>
      </c>
      <c r="N67" s="221" t="s">
        <v>155</v>
      </c>
      <c r="O67" s="221" t="s">
        <v>155</v>
      </c>
      <c r="P67" s="221" t="s">
        <v>155</v>
      </c>
      <c r="Q67" s="222">
        <v>6.5</v>
      </c>
      <c r="R67" s="223">
        <v>12.95</v>
      </c>
      <c r="S67" s="224" t="s">
        <v>315</v>
      </c>
      <c r="T67" s="148"/>
      <c r="U67" s="148"/>
      <c r="V67" s="148"/>
      <c r="W67" s="148"/>
      <c r="X67" s="148"/>
      <c r="Y67" s="148"/>
      <c r="Z67" s="148"/>
      <c r="AA67" s="149"/>
      <c r="AB67" s="149"/>
      <c r="AC67" s="148"/>
      <c r="AD67" s="149"/>
      <c r="AE67" s="149"/>
      <c r="AF67" s="148"/>
      <c r="AG67" s="145"/>
      <c r="AH67" s="145"/>
      <c r="AI67" s="145"/>
      <c r="AJ67" s="145"/>
      <c r="AK67" s="145"/>
      <c r="AL67" s="145"/>
    </row>
    <row r="68" spans="1:38" s="68" customFormat="1" ht="17.25" x14ac:dyDescent="0.3">
      <c r="A68" s="145"/>
      <c r="B68" s="218"/>
      <c r="C68" s="219" t="s">
        <v>344</v>
      </c>
      <c r="D68" s="240" t="s">
        <v>185</v>
      </c>
      <c r="E68" s="240" t="s">
        <v>343</v>
      </c>
      <c r="F68" s="220" t="s">
        <v>341</v>
      </c>
      <c r="G68" s="221" t="s">
        <v>158</v>
      </c>
      <c r="H68" s="221" t="s">
        <v>155</v>
      </c>
      <c r="I68" s="221" t="s">
        <v>155</v>
      </c>
      <c r="J68" s="221" t="s">
        <v>155</v>
      </c>
      <c r="K68" s="221" t="s">
        <v>155</v>
      </c>
      <c r="L68" s="221" t="s">
        <v>155</v>
      </c>
      <c r="M68" s="221" t="s">
        <v>155</v>
      </c>
      <c r="N68" s="221" t="s">
        <v>155</v>
      </c>
      <c r="O68" s="221" t="s">
        <v>155</v>
      </c>
      <c r="P68" s="221" t="s">
        <v>155</v>
      </c>
      <c r="Q68" s="222">
        <v>6.5</v>
      </c>
      <c r="R68" s="223">
        <v>12.95</v>
      </c>
      <c r="S68" s="224" t="s">
        <v>315</v>
      </c>
      <c r="T68" s="148"/>
      <c r="U68" s="148"/>
      <c r="V68" s="148"/>
      <c r="W68" s="148"/>
      <c r="X68" s="148"/>
      <c r="Y68" s="148"/>
      <c r="Z68" s="148"/>
      <c r="AA68" s="149"/>
      <c r="AB68" s="149"/>
      <c r="AC68" s="148"/>
      <c r="AD68" s="149"/>
      <c r="AE68" s="149"/>
      <c r="AF68" s="148"/>
      <c r="AG68" s="145"/>
      <c r="AH68" s="145"/>
      <c r="AI68" s="145"/>
      <c r="AJ68" s="145"/>
      <c r="AK68" s="145"/>
      <c r="AL68" s="145"/>
    </row>
    <row r="69" spans="1:38" s="68" customFormat="1" ht="17.25" x14ac:dyDescent="0.3">
      <c r="A69" s="145"/>
      <c r="B69" s="218"/>
      <c r="C69" s="219" t="s">
        <v>345</v>
      </c>
      <c r="D69" s="240" t="s">
        <v>185</v>
      </c>
      <c r="E69" s="240" t="s">
        <v>343</v>
      </c>
      <c r="F69" s="220" t="s">
        <v>341</v>
      </c>
      <c r="G69" s="221" t="s">
        <v>158</v>
      </c>
      <c r="H69" s="221" t="s">
        <v>155</v>
      </c>
      <c r="I69" s="221" t="s">
        <v>155</v>
      </c>
      <c r="J69" s="221" t="s">
        <v>155</v>
      </c>
      <c r="K69" s="221" t="s">
        <v>155</v>
      </c>
      <c r="L69" s="221" t="s">
        <v>155</v>
      </c>
      <c r="M69" s="221" t="s">
        <v>155</v>
      </c>
      <c r="N69" s="221" t="s">
        <v>155</v>
      </c>
      <c r="O69" s="221" t="s">
        <v>155</v>
      </c>
      <c r="P69" s="221" t="s">
        <v>155</v>
      </c>
      <c r="Q69" s="222">
        <v>6.5</v>
      </c>
      <c r="R69" s="223">
        <v>12.95</v>
      </c>
      <c r="S69" s="224" t="s">
        <v>315</v>
      </c>
      <c r="T69" s="148"/>
      <c r="U69" s="148"/>
      <c r="V69" s="148"/>
      <c r="W69" s="148"/>
      <c r="X69" s="148"/>
      <c r="Y69" s="148"/>
      <c r="Z69" s="148"/>
      <c r="AA69" s="149"/>
      <c r="AB69" s="149"/>
      <c r="AC69" s="148"/>
      <c r="AD69" s="149"/>
      <c r="AE69" s="149"/>
      <c r="AF69" s="148"/>
      <c r="AG69" s="145"/>
      <c r="AH69" s="145"/>
      <c r="AI69" s="145"/>
      <c r="AJ69" s="145"/>
      <c r="AK69" s="145"/>
      <c r="AL69" s="145"/>
    </row>
    <row r="70" spans="1:38" s="68" customFormat="1" ht="17.25" x14ac:dyDescent="0.3">
      <c r="A70" s="145"/>
      <c r="B70" s="218"/>
      <c r="C70" s="219" t="s">
        <v>346</v>
      </c>
      <c r="D70" s="240" t="s">
        <v>185</v>
      </c>
      <c r="E70" s="240" t="s">
        <v>343</v>
      </c>
      <c r="F70" s="220" t="s">
        <v>341</v>
      </c>
      <c r="G70" s="221" t="s">
        <v>158</v>
      </c>
      <c r="H70" s="221" t="s">
        <v>155</v>
      </c>
      <c r="I70" s="221" t="s">
        <v>155</v>
      </c>
      <c r="J70" s="221" t="s">
        <v>155</v>
      </c>
      <c r="K70" s="221" t="s">
        <v>155</v>
      </c>
      <c r="L70" s="221" t="s">
        <v>155</v>
      </c>
      <c r="M70" s="221" t="s">
        <v>155</v>
      </c>
      <c r="N70" s="221" t="s">
        <v>155</v>
      </c>
      <c r="O70" s="221" t="s">
        <v>155</v>
      </c>
      <c r="P70" s="221" t="s">
        <v>155</v>
      </c>
      <c r="Q70" s="222">
        <v>6.5</v>
      </c>
      <c r="R70" s="223">
        <v>12.95</v>
      </c>
      <c r="S70" s="224" t="s">
        <v>315</v>
      </c>
      <c r="T70" s="148"/>
      <c r="U70" s="148"/>
      <c r="V70" s="148"/>
      <c r="W70" s="148"/>
      <c r="X70" s="148"/>
      <c r="Y70" s="148"/>
      <c r="Z70" s="148"/>
      <c r="AA70" s="149"/>
      <c r="AB70" s="149"/>
      <c r="AC70" s="148"/>
      <c r="AD70" s="149"/>
      <c r="AE70" s="149"/>
      <c r="AF70" s="148"/>
      <c r="AG70" s="145"/>
      <c r="AH70" s="145"/>
      <c r="AI70" s="145"/>
      <c r="AJ70" s="145"/>
      <c r="AK70" s="145"/>
      <c r="AL70" s="145"/>
    </row>
    <row r="71" spans="1:38" s="68" customFormat="1" ht="17.25" x14ac:dyDescent="0.3">
      <c r="A71" s="145"/>
      <c r="B71" s="218"/>
      <c r="C71" s="219" t="s">
        <v>347</v>
      </c>
      <c r="D71" s="240" t="s">
        <v>185</v>
      </c>
      <c r="E71" s="240" t="s">
        <v>348</v>
      </c>
      <c r="F71" s="220" t="s">
        <v>325</v>
      </c>
      <c r="G71" s="221" t="s">
        <v>158</v>
      </c>
      <c r="H71" s="221" t="s">
        <v>155</v>
      </c>
      <c r="I71" s="221" t="s">
        <v>155</v>
      </c>
      <c r="J71" s="221" t="s">
        <v>155</v>
      </c>
      <c r="K71" s="221" t="s">
        <v>155</v>
      </c>
      <c r="L71" s="221" t="s">
        <v>155</v>
      </c>
      <c r="M71" s="221" t="s">
        <v>155</v>
      </c>
      <c r="N71" s="221" t="s">
        <v>155</v>
      </c>
      <c r="O71" s="221" t="s">
        <v>155</v>
      </c>
      <c r="P71" s="221" t="s">
        <v>155</v>
      </c>
      <c r="Q71" s="222">
        <v>7.5</v>
      </c>
      <c r="R71" s="223">
        <v>12.95</v>
      </c>
      <c r="S71" s="224" t="s">
        <v>370</v>
      </c>
      <c r="T71" s="148"/>
      <c r="U71" s="148"/>
      <c r="V71" s="148"/>
      <c r="W71" s="148"/>
      <c r="X71" s="148"/>
      <c r="Y71" s="148"/>
      <c r="Z71" s="148"/>
      <c r="AA71" s="149"/>
      <c r="AB71" s="149"/>
      <c r="AC71" s="148"/>
      <c r="AD71" s="149"/>
      <c r="AE71" s="149"/>
      <c r="AF71" s="148"/>
      <c r="AG71" s="145"/>
      <c r="AH71" s="145"/>
      <c r="AI71" s="145"/>
      <c r="AJ71" s="145"/>
      <c r="AK71" s="145"/>
      <c r="AL71" s="145"/>
    </row>
    <row r="72" spans="1:38" s="68" customFormat="1" ht="17.25" x14ac:dyDescent="0.3">
      <c r="A72" s="145"/>
      <c r="B72" s="218"/>
      <c r="C72" s="219" t="s">
        <v>323</v>
      </c>
      <c r="D72" s="240" t="s">
        <v>185</v>
      </c>
      <c r="E72" s="240" t="s">
        <v>324</v>
      </c>
      <c r="F72" s="220" t="s">
        <v>325</v>
      </c>
      <c r="G72" s="221" t="s">
        <v>158</v>
      </c>
      <c r="H72" s="221" t="s">
        <v>155</v>
      </c>
      <c r="I72" s="221" t="s">
        <v>155</v>
      </c>
      <c r="J72" s="221" t="s">
        <v>155</v>
      </c>
      <c r="K72" s="221" t="s">
        <v>155</v>
      </c>
      <c r="L72" s="221" t="s">
        <v>155</v>
      </c>
      <c r="M72" s="221" t="s">
        <v>155</v>
      </c>
      <c r="N72" s="221" t="s">
        <v>155</v>
      </c>
      <c r="O72" s="221" t="s">
        <v>155</v>
      </c>
      <c r="P72" s="221" t="s">
        <v>155</v>
      </c>
      <c r="Q72" s="222">
        <v>7.5</v>
      </c>
      <c r="R72" s="223">
        <v>14.95</v>
      </c>
      <c r="S72" s="224" t="s">
        <v>315</v>
      </c>
      <c r="T72" s="148"/>
      <c r="U72" s="148"/>
      <c r="V72" s="148"/>
      <c r="W72" s="148"/>
      <c r="X72" s="148"/>
      <c r="Y72" s="148"/>
      <c r="Z72" s="148"/>
      <c r="AA72" s="149"/>
      <c r="AB72" s="149"/>
      <c r="AC72" s="148"/>
      <c r="AD72" s="149"/>
      <c r="AE72" s="149"/>
      <c r="AF72" s="148"/>
      <c r="AG72" s="145"/>
      <c r="AH72" s="145"/>
      <c r="AI72" s="145"/>
      <c r="AJ72" s="145"/>
      <c r="AK72" s="145"/>
      <c r="AL72" s="145"/>
    </row>
    <row r="73" spans="1:38" s="68" customFormat="1" ht="17.25" x14ac:dyDescent="0.3">
      <c r="A73" s="145"/>
      <c r="B73" s="218"/>
      <c r="C73" s="219" t="s">
        <v>374</v>
      </c>
      <c r="D73" s="240" t="s">
        <v>185</v>
      </c>
      <c r="E73" s="240" t="s">
        <v>324</v>
      </c>
      <c r="F73" s="220" t="s">
        <v>325</v>
      </c>
      <c r="G73" s="221" t="s">
        <v>158</v>
      </c>
      <c r="H73" s="221" t="s">
        <v>155</v>
      </c>
      <c r="I73" s="221" t="s">
        <v>155</v>
      </c>
      <c r="J73" s="221" t="s">
        <v>155</v>
      </c>
      <c r="K73" s="221" t="s">
        <v>155</v>
      </c>
      <c r="L73" s="221" t="s">
        <v>155</v>
      </c>
      <c r="M73" s="221" t="s">
        <v>155</v>
      </c>
      <c r="N73" s="221" t="s">
        <v>155</v>
      </c>
      <c r="O73" s="221" t="s">
        <v>155</v>
      </c>
      <c r="P73" s="221" t="s">
        <v>155</v>
      </c>
      <c r="Q73" s="222">
        <v>7.5</v>
      </c>
      <c r="R73" s="223">
        <v>14.95</v>
      </c>
      <c r="S73" s="224" t="s">
        <v>315</v>
      </c>
      <c r="T73" s="148"/>
      <c r="U73" s="148"/>
      <c r="V73" s="148"/>
      <c r="W73" s="148"/>
      <c r="X73" s="148"/>
      <c r="Y73" s="148"/>
      <c r="Z73" s="148"/>
      <c r="AA73" s="149"/>
      <c r="AB73" s="149"/>
      <c r="AC73" s="148"/>
      <c r="AD73" s="149"/>
      <c r="AE73" s="149"/>
      <c r="AF73" s="148"/>
      <c r="AG73" s="145"/>
      <c r="AH73" s="145"/>
      <c r="AI73" s="145"/>
      <c r="AJ73" s="145"/>
      <c r="AK73" s="145"/>
      <c r="AL73" s="145"/>
    </row>
    <row r="74" spans="1:38" s="68" customFormat="1" ht="17.25" x14ac:dyDescent="0.3">
      <c r="A74" s="145"/>
      <c r="B74" s="218"/>
      <c r="C74" s="219" t="s">
        <v>327</v>
      </c>
      <c r="D74" s="245" t="s">
        <v>187</v>
      </c>
      <c r="E74" s="240" t="s">
        <v>326</v>
      </c>
      <c r="F74" s="220" t="s">
        <v>317</v>
      </c>
      <c r="G74" s="221" t="s">
        <v>158</v>
      </c>
      <c r="H74" s="221" t="s">
        <v>155</v>
      </c>
      <c r="I74" s="221" t="s">
        <v>155</v>
      </c>
      <c r="J74" s="221" t="s">
        <v>155</v>
      </c>
      <c r="K74" s="221" t="s">
        <v>155</v>
      </c>
      <c r="L74" s="221" t="s">
        <v>155</v>
      </c>
      <c r="M74" s="221" t="s">
        <v>155</v>
      </c>
      <c r="N74" s="221" t="s">
        <v>155</v>
      </c>
      <c r="O74" s="221" t="s">
        <v>155</v>
      </c>
      <c r="P74" s="221" t="s">
        <v>155</v>
      </c>
      <c r="Q74" s="222">
        <v>5</v>
      </c>
      <c r="R74" s="223">
        <v>9.9499999999999993</v>
      </c>
      <c r="S74" s="224" t="s">
        <v>315</v>
      </c>
      <c r="T74" s="148"/>
      <c r="U74" s="148"/>
      <c r="V74" s="148"/>
      <c r="W74" s="148"/>
      <c r="X74" s="148"/>
      <c r="Y74" s="148"/>
      <c r="Z74" s="148"/>
      <c r="AA74" s="149"/>
      <c r="AB74" s="149"/>
      <c r="AC74" s="148"/>
      <c r="AD74" s="149"/>
      <c r="AE74" s="149"/>
      <c r="AF74" s="148"/>
      <c r="AG74" s="145"/>
      <c r="AH74" s="145"/>
      <c r="AI74" s="145"/>
      <c r="AJ74" s="145"/>
      <c r="AK74" s="145"/>
      <c r="AL74" s="145"/>
    </row>
    <row r="75" spans="1:38" s="68" customFormat="1" ht="17.25" x14ac:dyDescent="0.3">
      <c r="A75" s="145"/>
      <c r="B75" s="218"/>
      <c r="C75" s="219" t="s">
        <v>328</v>
      </c>
      <c r="D75" s="245" t="s">
        <v>187</v>
      </c>
      <c r="E75" s="240" t="s">
        <v>326</v>
      </c>
      <c r="F75" s="220" t="s">
        <v>317</v>
      </c>
      <c r="G75" s="221" t="s">
        <v>158</v>
      </c>
      <c r="H75" s="221" t="s">
        <v>155</v>
      </c>
      <c r="I75" s="221" t="s">
        <v>155</v>
      </c>
      <c r="J75" s="221" t="s">
        <v>155</v>
      </c>
      <c r="K75" s="221" t="s">
        <v>155</v>
      </c>
      <c r="L75" s="221" t="s">
        <v>155</v>
      </c>
      <c r="M75" s="221" t="s">
        <v>155</v>
      </c>
      <c r="N75" s="221" t="s">
        <v>155</v>
      </c>
      <c r="O75" s="221" t="s">
        <v>155</v>
      </c>
      <c r="P75" s="221" t="s">
        <v>155</v>
      </c>
      <c r="Q75" s="222">
        <v>5</v>
      </c>
      <c r="R75" s="223">
        <v>9.9499999999999993</v>
      </c>
      <c r="S75" s="224" t="s">
        <v>315</v>
      </c>
      <c r="T75" s="148"/>
      <c r="U75" s="148"/>
      <c r="V75" s="148"/>
      <c r="W75" s="148"/>
      <c r="X75" s="148"/>
      <c r="Y75" s="148"/>
      <c r="Z75" s="148"/>
      <c r="AA75" s="149"/>
      <c r="AB75" s="149"/>
      <c r="AC75" s="148"/>
      <c r="AD75" s="149"/>
      <c r="AE75" s="149"/>
      <c r="AF75" s="148"/>
      <c r="AG75" s="145"/>
      <c r="AH75" s="145"/>
      <c r="AI75" s="145"/>
      <c r="AJ75" s="145"/>
      <c r="AK75" s="145"/>
      <c r="AL75" s="145"/>
    </row>
    <row r="76" spans="1:38" s="68" customFormat="1" ht="17.25" x14ac:dyDescent="0.3">
      <c r="A76" s="145"/>
      <c r="B76" s="218"/>
      <c r="C76" s="219" t="s">
        <v>329</v>
      </c>
      <c r="D76" s="245" t="s">
        <v>187</v>
      </c>
      <c r="E76" s="240" t="s">
        <v>326</v>
      </c>
      <c r="F76" s="220" t="s">
        <v>317</v>
      </c>
      <c r="G76" s="221" t="s">
        <v>158</v>
      </c>
      <c r="H76" s="221" t="s">
        <v>155</v>
      </c>
      <c r="I76" s="221" t="s">
        <v>155</v>
      </c>
      <c r="J76" s="221" t="s">
        <v>155</v>
      </c>
      <c r="K76" s="221" t="s">
        <v>155</v>
      </c>
      <c r="L76" s="221" t="s">
        <v>155</v>
      </c>
      <c r="M76" s="221" t="s">
        <v>155</v>
      </c>
      <c r="N76" s="221" t="s">
        <v>155</v>
      </c>
      <c r="O76" s="221" t="s">
        <v>155</v>
      </c>
      <c r="P76" s="221" t="s">
        <v>155</v>
      </c>
      <c r="Q76" s="222">
        <v>5</v>
      </c>
      <c r="R76" s="223">
        <v>9.9499999999999993</v>
      </c>
      <c r="S76" s="224" t="s">
        <v>315</v>
      </c>
      <c r="T76" s="148"/>
      <c r="U76" s="148"/>
      <c r="V76" s="148"/>
      <c r="W76" s="148"/>
      <c r="X76" s="148"/>
      <c r="Y76" s="148"/>
      <c r="Z76" s="148"/>
      <c r="AA76" s="149"/>
      <c r="AB76" s="149"/>
      <c r="AC76" s="148"/>
      <c r="AD76" s="149"/>
      <c r="AE76" s="149"/>
      <c r="AF76" s="148"/>
      <c r="AG76" s="145"/>
      <c r="AH76" s="145"/>
      <c r="AI76" s="145"/>
      <c r="AJ76" s="145"/>
      <c r="AK76" s="145"/>
      <c r="AL76" s="145"/>
    </row>
    <row r="77" spans="1:38" s="68" customFormat="1" ht="17.25" x14ac:dyDescent="0.3">
      <c r="A77" s="145"/>
      <c r="B77" s="218"/>
      <c r="C77" s="219" t="s">
        <v>330</v>
      </c>
      <c r="D77" s="240" t="s">
        <v>187</v>
      </c>
      <c r="E77" s="240" t="s">
        <v>326</v>
      </c>
      <c r="F77" s="220" t="s">
        <v>317</v>
      </c>
      <c r="G77" s="221" t="s">
        <v>158</v>
      </c>
      <c r="H77" s="221" t="s">
        <v>155</v>
      </c>
      <c r="I77" s="221" t="s">
        <v>155</v>
      </c>
      <c r="J77" s="221" t="s">
        <v>155</v>
      </c>
      <c r="K77" s="221" t="s">
        <v>155</v>
      </c>
      <c r="L77" s="221" t="s">
        <v>155</v>
      </c>
      <c r="M77" s="221" t="s">
        <v>155</v>
      </c>
      <c r="N77" s="221" t="s">
        <v>155</v>
      </c>
      <c r="O77" s="221" t="s">
        <v>155</v>
      </c>
      <c r="P77" s="221" t="s">
        <v>155</v>
      </c>
      <c r="Q77" s="222">
        <v>5</v>
      </c>
      <c r="R77" s="223">
        <v>9.9499999999999993</v>
      </c>
      <c r="S77" s="224" t="s">
        <v>315</v>
      </c>
      <c r="T77" s="148"/>
      <c r="U77" s="148"/>
      <c r="V77" s="148"/>
      <c r="W77" s="148"/>
      <c r="X77" s="148"/>
      <c r="Y77" s="148"/>
      <c r="Z77" s="148"/>
      <c r="AA77" s="149"/>
      <c r="AB77" s="149"/>
      <c r="AC77" s="148"/>
      <c r="AD77" s="149"/>
      <c r="AE77" s="149"/>
      <c r="AF77" s="148"/>
      <c r="AG77" s="145"/>
      <c r="AH77" s="145"/>
      <c r="AI77" s="145"/>
      <c r="AJ77" s="145"/>
      <c r="AK77" s="145"/>
      <c r="AL77" s="145"/>
    </row>
    <row r="78" spans="1:38" s="68" customFormat="1" ht="17.25" x14ac:dyDescent="0.3">
      <c r="A78" s="145"/>
      <c r="B78" s="218"/>
      <c r="C78" s="219" t="s">
        <v>331</v>
      </c>
      <c r="D78" s="240" t="s">
        <v>186</v>
      </c>
      <c r="E78" s="240" t="s">
        <v>326</v>
      </c>
      <c r="F78" s="220" t="s">
        <v>317</v>
      </c>
      <c r="G78" s="221" t="s">
        <v>158</v>
      </c>
      <c r="H78" s="221" t="s">
        <v>155</v>
      </c>
      <c r="I78" s="221" t="s">
        <v>155</v>
      </c>
      <c r="J78" s="221" t="s">
        <v>155</v>
      </c>
      <c r="K78" s="221" t="s">
        <v>155</v>
      </c>
      <c r="L78" s="221" t="s">
        <v>155</v>
      </c>
      <c r="M78" s="221" t="s">
        <v>155</v>
      </c>
      <c r="N78" s="221" t="s">
        <v>155</v>
      </c>
      <c r="O78" s="221" t="s">
        <v>155</v>
      </c>
      <c r="P78" s="221" t="s">
        <v>155</v>
      </c>
      <c r="Q78" s="222">
        <v>5</v>
      </c>
      <c r="R78" s="223">
        <v>9.9499999999999993</v>
      </c>
      <c r="S78" s="224" t="s">
        <v>315</v>
      </c>
      <c r="T78" s="148"/>
      <c r="U78" s="148"/>
      <c r="V78" s="148"/>
      <c r="W78" s="148"/>
      <c r="X78" s="148"/>
      <c r="Y78" s="148"/>
      <c r="Z78" s="148"/>
      <c r="AA78" s="149"/>
      <c r="AB78" s="149"/>
      <c r="AC78" s="148"/>
      <c r="AD78" s="149"/>
      <c r="AE78" s="149"/>
      <c r="AF78" s="148"/>
      <c r="AG78" s="145"/>
      <c r="AH78" s="145"/>
      <c r="AI78" s="145"/>
      <c r="AJ78" s="145"/>
      <c r="AK78" s="145"/>
      <c r="AL78" s="145"/>
    </row>
    <row r="79" spans="1:38" s="68" customFormat="1" ht="17.25" x14ac:dyDescent="0.3">
      <c r="A79" s="145"/>
      <c r="B79" s="218"/>
      <c r="C79" s="219" t="s">
        <v>332</v>
      </c>
      <c r="D79" s="240" t="s">
        <v>186</v>
      </c>
      <c r="E79" s="240" t="s">
        <v>326</v>
      </c>
      <c r="F79" s="220" t="s">
        <v>317</v>
      </c>
      <c r="G79" s="221" t="s">
        <v>158</v>
      </c>
      <c r="H79" s="221" t="s">
        <v>155</v>
      </c>
      <c r="I79" s="221" t="s">
        <v>155</v>
      </c>
      <c r="J79" s="221" t="s">
        <v>155</v>
      </c>
      <c r="K79" s="221" t="s">
        <v>155</v>
      </c>
      <c r="L79" s="221" t="s">
        <v>155</v>
      </c>
      <c r="M79" s="221" t="s">
        <v>155</v>
      </c>
      <c r="N79" s="221" t="s">
        <v>155</v>
      </c>
      <c r="O79" s="221" t="s">
        <v>155</v>
      </c>
      <c r="P79" s="221" t="s">
        <v>155</v>
      </c>
      <c r="Q79" s="222">
        <v>5</v>
      </c>
      <c r="R79" s="223">
        <v>12.95</v>
      </c>
      <c r="S79" s="224" t="s">
        <v>371</v>
      </c>
      <c r="T79" s="148"/>
      <c r="U79" s="148"/>
      <c r="V79" s="148"/>
      <c r="W79" s="148"/>
      <c r="X79" s="148"/>
      <c r="Y79" s="148"/>
      <c r="Z79" s="148"/>
      <c r="AA79" s="149"/>
      <c r="AB79" s="149"/>
      <c r="AC79" s="148"/>
      <c r="AD79" s="149"/>
      <c r="AE79" s="149"/>
      <c r="AF79" s="148"/>
      <c r="AG79" s="145"/>
      <c r="AH79" s="145"/>
      <c r="AI79" s="145"/>
      <c r="AJ79" s="145"/>
      <c r="AK79" s="145"/>
      <c r="AL79" s="145"/>
    </row>
    <row r="80" spans="1:38" s="68" customFormat="1" ht="17.25" x14ac:dyDescent="0.3">
      <c r="A80" s="145"/>
      <c r="B80" s="218"/>
      <c r="C80" s="219" t="s">
        <v>333</v>
      </c>
      <c r="D80" s="240" t="s">
        <v>186</v>
      </c>
      <c r="E80" s="240" t="s">
        <v>326</v>
      </c>
      <c r="F80" s="220" t="s">
        <v>317</v>
      </c>
      <c r="G80" s="221" t="s">
        <v>158</v>
      </c>
      <c r="H80" s="221" t="s">
        <v>155</v>
      </c>
      <c r="I80" s="221" t="s">
        <v>155</v>
      </c>
      <c r="J80" s="221" t="s">
        <v>155</v>
      </c>
      <c r="K80" s="221" t="s">
        <v>155</v>
      </c>
      <c r="L80" s="221" t="s">
        <v>155</v>
      </c>
      <c r="M80" s="221" t="s">
        <v>155</v>
      </c>
      <c r="N80" s="221" t="s">
        <v>155</v>
      </c>
      <c r="O80" s="221" t="s">
        <v>155</v>
      </c>
      <c r="P80" s="221" t="s">
        <v>155</v>
      </c>
      <c r="Q80" s="222">
        <v>5</v>
      </c>
      <c r="R80" s="223">
        <v>12.95</v>
      </c>
      <c r="S80" s="224" t="s">
        <v>371</v>
      </c>
      <c r="T80" s="148"/>
      <c r="U80" s="148"/>
      <c r="V80" s="148"/>
      <c r="W80" s="148"/>
      <c r="X80" s="148"/>
      <c r="Y80" s="148"/>
      <c r="Z80" s="148"/>
      <c r="AA80" s="149"/>
      <c r="AB80" s="149"/>
      <c r="AC80" s="148"/>
      <c r="AD80" s="149"/>
      <c r="AE80" s="149"/>
      <c r="AF80" s="148"/>
      <c r="AG80" s="145"/>
      <c r="AH80" s="145"/>
      <c r="AI80" s="145"/>
      <c r="AJ80" s="145"/>
      <c r="AK80" s="145"/>
      <c r="AL80" s="145"/>
    </row>
    <row r="81" spans="1:38" s="68" customFormat="1" ht="17.25" x14ac:dyDescent="0.3">
      <c r="A81" s="145"/>
      <c r="B81" s="218"/>
      <c r="C81" s="219" t="s">
        <v>334</v>
      </c>
      <c r="D81" s="240" t="s">
        <v>186</v>
      </c>
      <c r="E81" s="240" t="s">
        <v>326</v>
      </c>
      <c r="F81" s="220" t="s">
        <v>317</v>
      </c>
      <c r="G81" s="221" t="s">
        <v>158</v>
      </c>
      <c r="H81" s="221" t="s">
        <v>155</v>
      </c>
      <c r="I81" s="221" t="s">
        <v>155</v>
      </c>
      <c r="J81" s="221" t="s">
        <v>155</v>
      </c>
      <c r="K81" s="221" t="s">
        <v>155</v>
      </c>
      <c r="L81" s="221" t="s">
        <v>155</v>
      </c>
      <c r="M81" s="221" t="s">
        <v>155</v>
      </c>
      <c r="N81" s="221" t="s">
        <v>155</v>
      </c>
      <c r="O81" s="221" t="s">
        <v>155</v>
      </c>
      <c r="P81" s="221" t="s">
        <v>155</v>
      </c>
      <c r="Q81" s="222">
        <v>5</v>
      </c>
      <c r="R81" s="223">
        <v>12.95</v>
      </c>
      <c r="S81" s="224" t="s">
        <v>371</v>
      </c>
      <c r="T81" s="148"/>
      <c r="U81" s="148"/>
      <c r="V81" s="148"/>
      <c r="W81" s="148"/>
      <c r="X81" s="148"/>
      <c r="Y81" s="148"/>
      <c r="Z81" s="148"/>
      <c r="AA81" s="149"/>
      <c r="AB81" s="149"/>
      <c r="AC81" s="148"/>
      <c r="AD81" s="149"/>
      <c r="AE81" s="149"/>
      <c r="AF81" s="148"/>
      <c r="AG81" s="145"/>
      <c r="AH81" s="145"/>
      <c r="AI81" s="145"/>
      <c r="AJ81" s="145"/>
      <c r="AK81" s="145"/>
      <c r="AL81" s="145"/>
    </row>
    <row r="82" spans="1:38" s="68" customFormat="1" ht="17.25" x14ac:dyDescent="0.3">
      <c r="A82" s="145"/>
      <c r="B82" s="218"/>
      <c r="C82" s="219" t="s">
        <v>335</v>
      </c>
      <c r="D82" s="240" t="s">
        <v>186</v>
      </c>
      <c r="E82" s="240" t="s">
        <v>326</v>
      </c>
      <c r="F82" s="220" t="s">
        <v>317</v>
      </c>
      <c r="G82" s="221" t="s">
        <v>158</v>
      </c>
      <c r="H82" s="221" t="s">
        <v>155</v>
      </c>
      <c r="I82" s="221" t="s">
        <v>155</v>
      </c>
      <c r="J82" s="221" t="s">
        <v>155</v>
      </c>
      <c r="K82" s="221" t="s">
        <v>155</v>
      </c>
      <c r="L82" s="221" t="s">
        <v>155</v>
      </c>
      <c r="M82" s="221" t="s">
        <v>155</v>
      </c>
      <c r="N82" s="221" t="s">
        <v>155</v>
      </c>
      <c r="O82" s="221" t="s">
        <v>155</v>
      </c>
      <c r="P82" s="221" t="s">
        <v>155</v>
      </c>
      <c r="Q82" s="222">
        <v>5</v>
      </c>
      <c r="R82" s="223">
        <v>9.9499999999999993</v>
      </c>
      <c r="S82" s="224" t="s">
        <v>315</v>
      </c>
      <c r="T82" s="148"/>
      <c r="U82" s="148"/>
      <c r="V82" s="148"/>
      <c r="W82" s="148"/>
      <c r="X82" s="148"/>
      <c r="Y82" s="148"/>
      <c r="Z82" s="148"/>
      <c r="AA82" s="149"/>
      <c r="AB82" s="149"/>
      <c r="AC82" s="148"/>
      <c r="AD82" s="149"/>
      <c r="AE82" s="149"/>
      <c r="AF82" s="148"/>
      <c r="AG82" s="145"/>
      <c r="AH82" s="145"/>
      <c r="AI82" s="145"/>
      <c r="AJ82" s="145"/>
      <c r="AK82" s="145"/>
      <c r="AL82" s="145"/>
    </row>
    <row r="83" spans="1:38" s="68" customFormat="1" ht="17.25" x14ac:dyDescent="0.3">
      <c r="A83" s="145"/>
      <c r="B83" s="218"/>
      <c r="C83" s="219" t="s">
        <v>336</v>
      </c>
      <c r="D83" s="240" t="s">
        <v>186</v>
      </c>
      <c r="E83" s="240" t="s">
        <v>326</v>
      </c>
      <c r="F83" s="220" t="s">
        <v>317</v>
      </c>
      <c r="G83" s="221" t="s">
        <v>158</v>
      </c>
      <c r="H83" s="221" t="s">
        <v>155</v>
      </c>
      <c r="I83" s="221" t="s">
        <v>155</v>
      </c>
      <c r="J83" s="221" t="s">
        <v>155</v>
      </c>
      <c r="K83" s="221" t="s">
        <v>155</v>
      </c>
      <c r="L83" s="221" t="s">
        <v>155</v>
      </c>
      <c r="M83" s="221" t="s">
        <v>155</v>
      </c>
      <c r="N83" s="221" t="s">
        <v>155</v>
      </c>
      <c r="O83" s="221" t="s">
        <v>155</v>
      </c>
      <c r="P83" s="221" t="s">
        <v>155</v>
      </c>
      <c r="Q83" s="222">
        <v>7.5</v>
      </c>
      <c r="R83" s="223">
        <v>12.95</v>
      </c>
      <c r="S83" s="224" t="s">
        <v>370</v>
      </c>
      <c r="T83" s="148"/>
      <c r="U83" s="148"/>
      <c r="V83" s="148"/>
      <c r="W83" s="148"/>
      <c r="X83" s="148"/>
      <c r="Y83" s="148"/>
      <c r="Z83" s="148"/>
      <c r="AA83" s="149"/>
      <c r="AB83" s="149"/>
      <c r="AC83" s="148"/>
      <c r="AD83" s="149"/>
      <c r="AE83" s="149"/>
      <c r="AF83" s="148"/>
      <c r="AG83" s="145"/>
      <c r="AH83" s="145"/>
      <c r="AI83" s="145"/>
      <c r="AJ83" s="145"/>
      <c r="AK83" s="145"/>
      <c r="AL83" s="145"/>
    </row>
    <row r="84" spans="1:38" s="68" customFormat="1" ht="17.25" x14ac:dyDescent="0.3">
      <c r="A84" s="145"/>
      <c r="B84" s="218"/>
      <c r="C84" s="219" t="s">
        <v>372</v>
      </c>
      <c r="D84" s="240" t="s">
        <v>186</v>
      </c>
      <c r="E84" s="240" t="s">
        <v>373</v>
      </c>
      <c r="F84" s="220" t="s">
        <v>386</v>
      </c>
      <c r="G84" s="221" t="s">
        <v>158</v>
      </c>
      <c r="H84" s="221" t="s">
        <v>155</v>
      </c>
      <c r="I84" s="221" t="s">
        <v>155</v>
      </c>
      <c r="J84" s="221" t="s">
        <v>155</v>
      </c>
      <c r="K84" s="221" t="s">
        <v>155</v>
      </c>
      <c r="L84" s="221" t="s">
        <v>155</v>
      </c>
      <c r="M84" s="221" t="s">
        <v>155</v>
      </c>
      <c r="N84" s="221" t="s">
        <v>155</v>
      </c>
      <c r="O84" s="221" t="s">
        <v>155</v>
      </c>
      <c r="P84" s="221" t="s">
        <v>155</v>
      </c>
      <c r="Q84" s="222">
        <v>5</v>
      </c>
      <c r="R84" s="223">
        <v>8.9499999999999993</v>
      </c>
      <c r="S84" s="224" t="s">
        <v>383</v>
      </c>
      <c r="T84" s="148"/>
      <c r="U84" s="148"/>
      <c r="V84" s="148"/>
      <c r="W84" s="148"/>
      <c r="X84" s="148"/>
      <c r="Y84" s="148"/>
      <c r="Z84" s="148"/>
      <c r="AA84" s="149"/>
      <c r="AB84" s="149"/>
      <c r="AC84" s="148"/>
      <c r="AD84" s="149"/>
      <c r="AE84" s="149"/>
      <c r="AF84" s="148"/>
      <c r="AG84" s="145"/>
      <c r="AH84" s="145"/>
      <c r="AI84" s="145"/>
      <c r="AJ84" s="145"/>
      <c r="AK84" s="145"/>
      <c r="AL84" s="145"/>
    </row>
    <row r="85" spans="1:38" s="68" customFormat="1" ht="17.25" x14ac:dyDescent="0.3">
      <c r="A85" s="145"/>
      <c r="B85" s="218"/>
      <c r="C85" s="219" t="s">
        <v>337</v>
      </c>
      <c r="D85" s="240" t="s">
        <v>187</v>
      </c>
      <c r="E85" s="240" t="s">
        <v>387</v>
      </c>
      <c r="F85" s="220" t="s">
        <v>386</v>
      </c>
      <c r="G85" s="221" t="s">
        <v>158</v>
      </c>
      <c r="H85" s="221" t="s">
        <v>155</v>
      </c>
      <c r="I85" s="221" t="s">
        <v>155</v>
      </c>
      <c r="J85" s="221" t="s">
        <v>155</v>
      </c>
      <c r="K85" s="221" t="s">
        <v>155</v>
      </c>
      <c r="L85" s="221" t="s">
        <v>155</v>
      </c>
      <c r="M85" s="221" t="s">
        <v>155</v>
      </c>
      <c r="N85" s="221" t="s">
        <v>155</v>
      </c>
      <c r="O85" s="221" t="s">
        <v>155</v>
      </c>
      <c r="P85" s="221" t="s">
        <v>155</v>
      </c>
      <c r="Q85" s="222">
        <v>10</v>
      </c>
      <c r="R85" s="223">
        <v>19.95</v>
      </c>
      <c r="S85" s="224" t="s">
        <v>315</v>
      </c>
      <c r="T85" s="148"/>
      <c r="U85" s="148"/>
      <c r="V85" s="148"/>
      <c r="W85" s="148"/>
      <c r="X85" s="148"/>
      <c r="Y85" s="148"/>
      <c r="Z85" s="148"/>
      <c r="AA85" s="149"/>
      <c r="AB85" s="149"/>
      <c r="AC85" s="148"/>
      <c r="AD85" s="149"/>
      <c r="AE85" s="149"/>
      <c r="AF85" s="148"/>
      <c r="AG85" s="145"/>
      <c r="AH85" s="145"/>
      <c r="AI85" s="145"/>
      <c r="AJ85" s="145"/>
      <c r="AK85" s="145"/>
      <c r="AL85" s="145"/>
    </row>
    <row r="86" spans="1:38" s="68" customFormat="1" ht="17.25" x14ac:dyDescent="0.3">
      <c r="A86" s="145"/>
      <c r="B86" s="218"/>
      <c r="C86" s="219" t="s">
        <v>338</v>
      </c>
      <c r="D86" s="240" t="s">
        <v>187</v>
      </c>
      <c r="E86" s="240" t="s">
        <v>388</v>
      </c>
      <c r="F86" s="220" t="s">
        <v>386</v>
      </c>
      <c r="G86" s="221" t="s">
        <v>158</v>
      </c>
      <c r="H86" s="221" t="s">
        <v>155</v>
      </c>
      <c r="I86" s="221" t="s">
        <v>155</v>
      </c>
      <c r="J86" s="221" t="s">
        <v>155</v>
      </c>
      <c r="K86" s="221" t="s">
        <v>155</v>
      </c>
      <c r="L86" s="221" t="s">
        <v>155</v>
      </c>
      <c r="M86" s="221" t="s">
        <v>155</v>
      </c>
      <c r="N86" s="221" t="s">
        <v>155</v>
      </c>
      <c r="O86" s="221" t="s">
        <v>155</v>
      </c>
      <c r="P86" s="221" t="s">
        <v>155</v>
      </c>
      <c r="Q86" s="222">
        <v>10</v>
      </c>
      <c r="R86" s="223">
        <v>19.95</v>
      </c>
      <c r="S86" s="224" t="s">
        <v>315</v>
      </c>
      <c r="T86" s="148"/>
      <c r="U86" s="148"/>
      <c r="V86" s="148"/>
      <c r="W86" s="148"/>
      <c r="X86" s="148"/>
      <c r="Y86" s="148"/>
      <c r="Z86" s="148"/>
      <c r="AA86" s="149"/>
      <c r="AB86" s="149"/>
      <c r="AC86" s="148"/>
      <c r="AD86" s="149"/>
      <c r="AE86" s="149"/>
      <c r="AF86" s="148"/>
      <c r="AG86" s="145"/>
      <c r="AH86" s="145"/>
      <c r="AI86" s="145"/>
      <c r="AJ86" s="145"/>
      <c r="AK86" s="145"/>
      <c r="AL86" s="145"/>
    </row>
    <row r="87" spans="1:38" s="68" customFormat="1" ht="17.25" x14ac:dyDescent="0.3">
      <c r="A87" s="145"/>
      <c r="B87" s="218"/>
      <c r="C87" s="219" t="s">
        <v>339</v>
      </c>
      <c r="D87" s="240" t="s">
        <v>187</v>
      </c>
      <c r="E87" s="240" t="s">
        <v>389</v>
      </c>
      <c r="F87" s="220" t="s">
        <v>386</v>
      </c>
      <c r="G87" s="221" t="s">
        <v>158</v>
      </c>
      <c r="H87" s="221" t="s">
        <v>155</v>
      </c>
      <c r="I87" s="221" t="s">
        <v>155</v>
      </c>
      <c r="J87" s="221" t="s">
        <v>155</v>
      </c>
      <c r="K87" s="221" t="s">
        <v>155</v>
      </c>
      <c r="L87" s="221" t="s">
        <v>155</v>
      </c>
      <c r="M87" s="221" t="s">
        <v>155</v>
      </c>
      <c r="N87" s="221" t="s">
        <v>155</v>
      </c>
      <c r="O87" s="221" t="s">
        <v>155</v>
      </c>
      <c r="P87" s="221" t="s">
        <v>155</v>
      </c>
      <c r="Q87" s="222">
        <v>12.5</v>
      </c>
      <c r="R87" s="223">
        <v>29.95</v>
      </c>
      <c r="S87" s="224" t="s">
        <v>378</v>
      </c>
      <c r="T87" s="148"/>
      <c r="U87" s="148"/>
      <c r="V87" s="148"/>
      <c r="W87" s="148"/>
      <c r="X87" s="148"/>
      <c r="Y87" s="148"/>
      <c r="Z87" s="148"/>
      <c r="AA87" s="149"/>
      <c r="AB87" s="149"/>
      <c r="AC87" s="148"/>
      <c r="AD87" s="149"/>
      <c r="AE87" s="149"/>
      <c r="AF87" s="148"/>
      <c r="AG87" s="145"/>
      <c r="AH87" s="145"/>
      <c r="AI87" s="145"/>
      <c r="AJ87" s="145"/>
      <c r="AK87" s="145"/>
      <c r="AL87" s="145"/>
    </row>
    <row r="88" spans="1:38" s="68" customFormat="1" ht="17.25" x14ac:dyDescent="0.3">
      <c r="A88" s="145"/>
      <c r="B88" s="218"/>
      <c r="C88" s="219" t="s">
        <v>340</v>
      </c>
      <c r="D88" s="240" t="s">
        <v>187</v>
      </c>
      <c r="E88" s="240" t="s">
        <v>390</v>
      </c>
      <c r="F88" s="220" t="s">
        <v>386</v>
      </c>
      <c r="G88" s="221" t="s">
        <v>158</v>
      </c>
      <c r="H88" s="221" t="s">
        <v>155</v>
      </c>
      <c r="I88" s="221" t="s">
        <v>155</v>
      </c>
      <c r="J88" s="221" t="s">
        <v>155</v>
      </c>
      <c r="K88" s="221" t="s">
        <v>155</v>
      </c>
      <c r="L88" s="221" t="s">
        <v>155</v>
      </c>
      <c r="M88" s="221" t="s">
        <v>155</v>
      </c>
      <c r="N88" s="221" t="s">
        <v>155</v>
      </c>
      <c r="O88" s="221" t="s">
        <v>155</v>
      </c>
      <c r="P88" s="221" t="s">
        <v>155</v>
      </c>
      <c r="Q88" s="222">
        <v>10</v>
      </c>
      <c r="R88" s="223">
        <v>19.95</v>
      </c>
      <c r="S88" s="224" t="s">
        <v>315</v>
      </c>
      <c r="T88" s="148"/>
      <c r="U88" s="148"/>
      <c r="V88" s="148"/>
      <c r="W88" s="148"/>
      <c r="X88" s="148"/>
      <c r="Y88" s="148"/>
      <c r="Z88" s="148"/>
      <c r="AA88" s="149"/>
      <c r="AB88" s="149"/>
      <c r="AC88" s="148"/>
      <c r="AD88" s="149"/>
      <c r="AE88" s="149"/>
      <c r="AF88" s="148"/>
      <c r="AG88" s="145"/>
      <c r="AH88" s="145"/>
      <c r="AI88" s="145"/>
      <c r="AJ88" s="145"/>
      <c r="AK88" s="145"/>
      <c r="AL88" s="145"/>
    </row>
    <row r="89" spans="1:38" s="68" customFormat="1" ht="17.25" x14ac:dyDescent="0.3">
      <c r="A89" s="145"/>
      <c r="B89" s="218"/>
      <c r="C89" s="219" t="s">
        <v>362</v>
      </c>
      <c r="D89" s="240" t="s">
        <v>186</v>
      </c>
      <c r="E89" s="240" t="s">
        <v>379</v>
      </c>
      <c r="F89" s="220" t="s">
        <v>317</v>
      </c>
      <c r="G89" s="221" t="s">
        <v>158</v>
      </c>
      <c r="H89" s="221" t="s">
        <v>155</v>
      </c>
      <c r="I89" s="221" t="s">
        <v>155</v>
      </c>
      <c r="J89" s="221" t="s">
        <v>155</v>
      </c>
      <c r="K89" s="221" t="s">
        <v>155</v>
      </c>
      <c r="L89" s="221" t="s">
        <v>155</v>
      </c>
      <c r="M89" s="221" t="s">
        <v>155</v>
      </c>
      <c r="N89" s="221" t="s">
        <v>155</v>
      </c>
      <c r="O89" s="221" t="s">
        <v>155</v>
      </c>
      <c r="P89" s="221" t="s">
        <v>155</v>
      </c>
      <c r="Q89" s="222">
        <v>12.5</v>
      </c>
      <c r="R89" s="223">
        <v>24.95</v>
      </c>
      <c r="S89" s="224" t="s">
        <v>380</v>
      </c>
      <c r="T89" s="148"/>
      <c r="U89" s="148"/>
      <c r="V89" s="148"/>
      <c r="W89" s="148"/>
      <c r="X89" s="148"/>
      <c r="Y89" s="148"/>
      <c r="Z89" s="148"/>
      <c r="AA89" s="149"/>
      <c r="AB89" s="149"/>
      <c r="AC89" s="148"/>
      <c r="AD89" s="149"/>
      <c r="AE89" s="149"/>
      <c r="AF89" s="148"/>
      <c r="AG89" s="145"/>
      <c r="AH89" s="145"/>
      <c r="AI89" s="145"/>
      <c r="AJ89" s="145"/>
      <c r="AK89" s="145"/>
      <c r="AL89" s="145"/>
    </row>
    <row r="90" spans="1:38" s="68" customFormat="1" ht="17.25" x14ac:dyDescent="0.3">
      <c r="A90" s="145"/>
      <c r="B90" s="218"/>
      <c r="C90" s="219" t="s">
        <v>318</v>
      </c>
      <c r="D90" s="240" t="s">
        <v>185</v>
      </c>
      <c r="E90" s="240" t="s">
        <v>188</v>
      </c>
      <c r="F90" s="220" t="s">
        <v>385</v>
      </c>
      <c r="G90" s="221" t="s">
        <v>158</v>
      </c>
      <c r="H90" s="221" t="s">
        <v>155</v>
      </c>
      <c r="I90" s="221" t="s">
        <v>155</v>
      </c>
      <c r="J90" s="221" t="s">
        <v>155</v>
      </c>
      <c r="K90" s="221" t="s">
        <v>155</v>
      </c>
      <c r="L90" s="221" t="s">
        <v>155</v>
      </c>
      <c r="M90" s="221" t="s">
        <v>155</v>
      </c>
      <c r="N90" s="221" t="s">
        <v>155</v>
      </c>
      <c r="O90" s="221" t="s">
        <v>155</v>
      </c>
      <c r="P90" s="221" t="s">
        <v>155</v>
      </c>
      <c r="Q90" s="222">
        <v>10</v>
      </c>
      <c r="R90" s="223">
        <v>19.95</v>
      </c>
      <c r="S90" s="224" t="s">
        <v>384</v>
      </c>
      <c r="T90" s="148"/>
      <c r="U90" s="148"/>
      <c r="V90" s="148"/>
      <c r="W90" s="148"/>
      <c r="X90" s="148"/>
      <c r="Y90" s="148"/>
      <c r="Z90" s="148"/>
      <c r="AA90" s="149"/>
      <c r="AB90" s="149"/>
      <c r="AC90" s="148"/>
      <c r="AD90" s="149"/>
      <c r="AE90" s="149"/>
      <c r="AF90" s="148"/>
      <c r="AG90" s="145"/>
      <c r="AH90" s="145"/>
      <c r="AI90" s="145"/>
      <c r="AJ90" s="145"/>
      <c r="AK90" s="145"/>
      <c r="AL90" s="145"/>
    </row>
    <row r="91" spans="1:38" s="68" customFormat="1" ht="17.25" x14ac:dyDescent="0.3">
      <c r="A91" s="145"/>
      <c r="B91" s="218"/>
      <c r="C91" s="219" t="s">
        <v>319</v>
      </c>
      <c r="D91" s="240" t="s">
        <v>185</v>
      </c>
      <c r="E91" s="240" t="s">
        <v>188</v>
      </c>
      <c r="F91" s="220" t="s">
        <v>385</v>
      </c>
      <c r="G91" s="221" t="s">
        <v>158</v>
      </c>
      <c r="H91" s="221" t="s">
        <v>155</v>
      </c>
      <c r="I91" s="221" t="s">
        <v>155</v>
      </c>
      <c r="J91" s="221" t="s">
        <v>155</v>
      </c>
      <c r="K91" s="221" t="s">
        <v>155</v>
      </c>
      <c r="L91" s="221" t="s">
        <v>155</v>
      </c>
      <c r="M91" s="221" t="s">
        <v>155</v>
      </c>
      <c r="N91" s="221" t="s">
        <v>155</v>
      </c>
      <c r="O91" s="221" t="s">
        <v>155</v>
      </c>
      <c r="P91" s="221" t="s">
        <v>155</v>
      </c>
      <c r="Q91" s="222">
        <v>10</v>
      </c>
      <c r="R91" s="223">
        <v>19.95</v>
      </c>
      <c r="S91" s="224" t="s">
        <v>384</v>
      </c>
      <c r="T91" s="148"/>
      <c r="U91" s="148"/>
      <c r="V91" s="148"/>
      <c r="W91" s="148"/>
      <c r="X91" s="148"/>
      <c r="Y91" s="148"/>
      <c r="Z91" s="148"/>
      <c r="AA91" s="149"/>
      <c r="AB91" s="149"/>
      <c r="AC91" s="148"/>
      <c r="AD91" s="149"/>
      <c r="AE91" s="149"/>
      <c r="AF91" s="148"/>
      <c r="AG91" s="145"/>
      <c r="AH91" s="145"/>
      <c r="AI91" s="145"/>
      <c r="AJ91" s="145"/>
      <c r="AK91" s="145"/>
      <c r="AL91" s="145"/>
    </row>
    <row r="92" spans="1:38" s="68" customFormat="1" ht="17.25" x14ac:dyDescent="0.3">
      <c r="A92" s="145"/>
      <c r="B92" s="218"/>
      <c r="C92" s="219" t="s">
        <v>320</v>
      </c>
      <c r="D92" s="240" t="s">
        <v>185</v>
      </c>
      <c r="E92" s="240" t="s">
        <v>188</v>
      </c>
      <c r="F92" s="220" t="s">
        <v>385</v>
      </c>
      <c r="G92" s="221" t="s">
        <v>158</v>
      </c>
      <c r="H92" s="221" t="s">
        <v>155</v>
      </c>
      <c r="I92" s="221" t="s">
        <v>155</v>
      </c>
      <c r="J92" s="221" t="s">
        <v>155</v>
      </c>
      <c r="K92" s="221" t="s">
        <v>155</v>
      </c>
      <c r="L92" s="221" t="s">
        <v>155</v>
      </c>
      <c r="M92" s="221" t="s">
        <v>155</v>
      </c>
      <c r="N92" s="221" t="s">
        <v>155</v>
      </c>
      <c r="O92" s="221" t="s">
        <v>155</v>
      </c>
      <c r="P92" s="221" t="s">
        <v>155</v>
      </c>
      <c r="Q92" s="222">
        <v>10</v>
      </c>
      <c r="R92" s="223">
        <v>19.95</v>
      </c>
      <c r="S92" s="224" t="s">
        <v>384</v>
      </c>
      <c r="T92" s="148"/>
      <c r="U92" s="148"/>
      <c r="V92" s="148"/>
      <c r="W92" s="148"/>
      <c r="X92" s="148"/>
      <c r="Y92" s="148"/>
      <c r="Z92" s="148"/>
      <c r="AA92" s="149"/>
      <c r="AB92" s="149"/>
      <c r="AC92" s="148"/>
      <c r="AD92" s="149"/>
      <c r="AE92" s="149"/>
      <c r="AF92" s="148"/>
      <c r="AG92" s="145"/>
      <c r="AH92" s="145"/>
      <c r="AI92" s="145"/>
      <c r="AJ92" s="145"/>
      <c r="AK92" s="145"/>
      <c r="AL92" s="145"/>
    </row>
    <row r="93" spans="1:38" s="68" customFormat="1" ht="17.25" x14ac:dyDescent="0.3">
      <c r="A93" s="145"/>
      <c r="B93" s="218"/>
      <c r="C93" s="219" t="s">
        <v>321</v>
      </c>
      <c r="D93" s="240" t="s">
        <v>185</v>
      </c>
      <c r="E93" s="240" t="s">
        <v>188</v>
      </c>
      <c r="F93" s="220" t="s">
        <v>385</v>
      </c>
      <c r="G93" s="221" t="s">
        <v>158</v>
      </c>
      <c r="H93" s="221" t="s">
        <v>155</v>
      </c>
      <c r="I93" s="221" t="s">
        <v>155</v>
      </c>
      <c r="J93" s="221" t="s">
        <v>155</v>
      </c>
      <c r="K93" s="221" t="s">
        <v>155</v>
      </c>
      <c r="L93" s="221" t="s">
        <v>155</v>
      </c>
      <c r="M93" s="221" t="s">
        <v>155</v>
      </c>
      <c r="N93" s="221" t="s">
        <v>155</v>
      </c>
      <c r="O93" s="221" t="s">
        <v>155</v>
      </c>
      <c r="P93" s="221" t="s">
        <v>155</v>
      </c>
      <c r="Q93" s="222">
        <v>10</v>
      </c>
      <c r="R93" s="223">
        <v>19.95</v>
      </c>
      <c r="S93" s="224" t="s">
        <v>384</v>
      </c>
      <c r="T93" s="148"/>
      <c r="U93" s="148"/>
      <c r="V93" s="148"/>
      <c r="W93" s="148"/>
      <c r="X93" s="148"/>
      <c r="Y93" s="148"/>
      <c r="Z93" s="148"/>
      <c r="AA93" s="149"/>
      <c r="AB93" s="149"/>
      <c r="AC93" s="148"/>
      <c r="AD93" s="149"/>
      <c r="AE93" s="149"/>
      <c r="AF93" s="148"/>
      <c r="AG93" s="145"/>
      <c r="AH93" s="145"/>
      <c r="AI93" s="145"/>
      <c r="AJ93" s="145"/>
      <c r="AK93" s="145"/>
      <c r="AL93" s="145"/>
    </row>
    <row r="94" spans="1:38" s="68" customFormat="1" ht="18" thickBot="1" x14ac:dyDescent="0.35">
      <c r="A94" s="145"/>
      <c r="B94" s="304"/>
      <c r="C94" s="219" t="s">
        <v>322</v>
      </c>
      <c r="D94" s="240" t="s">
        <v>185</v>
      </c>
      <c r="E94" s="240" t="s">
        <v>188</v>
      </c>
      <c r="F94" s="220" t="s">
        <v>385</v>
      </c>
      <c r="G94" s="221" t="s">
        <v>158</v>
      </c>
      <c r="H94" s="221" t="s">
        <v>155</v>
      </c>
      <c r="I94" s="221" t="s">
        <v>155</v>
      </c>
      <c r="J94" s="221" t="s">
        <v>155</v>
      </c>
      <c r="K94" s="221" t="s">
        <v>155</v>
      </c>
      <c r="L94" s="221" t="s">
        <v>155</v>
      </c>
      <c r="M94" s="221" t="s">
        <v>155</v>
      </c>
      <c r="N94" s="221" t="s">
        <v>155</v>
      </c>
      <c r="O94" s="221" t="s">
        <v>155</v>
      </c>
      <c r="P94" s="221" t="s">
        <v>155</v>
      </c>
      <c r="Q94" s="222">
        <v>10</v>
      </c>
      <c r="R94" s="223">
        <v>19.95</v>
      </c>
      <c r="S94" s="303" t="s">
        <v>384</v>
      </c>
      <c r="T94" s="148"/>
      <c r="U94" s="148"/>
      <c r="V94" s="148"/>
      <c r="W94" s="148"/>
      <c r="X94" s="148"/>
      <c r="Y94" s="148"/>
      <c r="Z94" s="148"/>
      <c r="AA94" s="149"/>
      <c r="AB94" s="149"/>
      <c r="AC94" s="148"/>
      <c r="AD94" s="149"/>
      <c r="AE94" s="149"/>
      <c r="AF94" s="148"/>
      <c r="AG94" s="145"/>
      <c r="AH94" s="145"/>
      <c r="AI94" s="145"/>
      <c r="AJ94" s="145"/>
      <c r="AK94" s="145"/>
      <c r="AL94" s="145"/>
    </row>
    <row r="95" spans="1:38" s="1" customFormat="1" ht="15.75" thickBot="1" x14ac:dyDescent="0.35">
      <c r="A95" s="149"/>
      <c r="B95" s="206" t="s">
        <v>161</v>
      </c>
      <c r="C95" s="581" t="s">
        <v>194</v>
      </c>
      <c r="D95" s="582"/>
      <c r="E95" s="582"/>
      <c r="F95" s="583"/>
      <c r="G95" s="207">
        <f t="shared" ref="G95:P95" si="0">SUMIF(G$8:G$94,"µ",$R$8:$R$94)</f>
        <v>0</v>
      </c>
      <c r="H95" s="207">
        <f t="shared" si="0"/>
        <v>39.950000000000003</v>
      </c>
      <c r="I95" s="207">
        <f t="shared" si="0"/>
        <v>39.950000000000003</v>
      </c>
      <c r="J95" s="207">
        <f t="shared" si="0"/>
        <v>59.95</v>
      </c>
      <c r="K95" s="207">
        <f t="shared" si="0"/>
        <v>109.85000000000001</v>
      </c>
      <c r="L95" s="207">
        <f t="shared" si="0"/>
        <v>0</v>
      </c>
      <c r="M95" s="207">
        <f t="shared" si="0"/>
        <v>0</v>
      </c>
      <c r="N95" s="207">
        <f t="shared" si="0"/>
        <v>0</v>
      </c>
      <c r="O95" s="207">
        <f t="shared" si="0"/>
        <v>282.49999999999994</v>
      </c>
      <c r="P95" s="208">
        <f t="shared" si="0"/>
        <v>401.24999999999989</v>
      </c>
      <c r="Q95" s="209">
        <f>SUM(Q8:Q94)</f>
        <v>1215.9000000000005</v>
      </c>
      <c r="R95" s="210">
        <f>SUM(R8:R94)</f>
        <v>1512.750000000002</v>
      </c>
      <c r="S95" s="149"/>
      <c r="T95" s="148"/>
      <c r="U95" s="148"/>
      <c r="V95" s="148"/>
      <c r="W95" s="148"/>
      <c r="X95" s="148"/>
      <c r="Y95" s="148"/>
      <c r="Z95" s="148"/>
      <c r="AA95" s="149"/>
      <c r="AB95" s="149"/>
      <c r="AC95" s="148"/>
      <c r="AD95" s="149"/>
      <c r="AE95" s="149"/>
      <c r="AF95" s="148"/>
      <c r="AG95" s="149"/>
      <c r="AH95" s="149"/>
      <c r="AI95" s="149"/>
      <c r="AJ95" s="149"/>
      <c r="AK95" s="149"/>
      <c r="AL95" s="149"/>
    </row>
    <row r="96" spans="1:38" s="2" customFormat="1" ht="15.75" thickBot="1" x14ac:dyDescent="0.35">
      <c r="A96" s="144"/>
      <c r="B96" s="155"/>
      <c r="C96" s="144"/>
      <c r="D96" s="161"/>
      <c r="E96" s="161"/>
      <c r="F96" s="144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57"/>
      <c r="R96" s="158"/>
      <c r="S96" s="163"/>
      <c r="T96" s="148"/>
      <c r="U96" s="148"/>
      <c r="V96" s="148"/>
      <c r="W96" s="148"/>
      <c r="X96" s="148"/>
      <c r="Y96" s="148"/>
      <c r="Z96" s="148"/>
      <c r="AA96" s="149"/>
      <c r="AB96" s="149"/>
      <c r="AC96" s="148"/>
      <c r="AD96" s="149"/>
      <c r="AE96" s="149"/>
      <c r="AF96" s="148"/>
      <c r="AG96" s="144"/>
      <c r="AH96" s="144"/>
      <c r="AI96" s="144"/>
      <c r="AJ96" s="144"/>
      <c r="AK96" s="144"/>
      <c r="AL96" s="144"/>
    </row>
    <row r="97" spans="1:38" s="68" customFormat="1" ht="60" x14ac:dyDescent="0.3">
      <c r="A97" s="145"/>
      <c r="B97" s="179" t="s">
        <v>160</v>
      </c>
      <c r="C97" s="203" t="s">
        <v>159</v>
      </c>
      <c r="D97" s="203"/>
      <c r="E97" s="203"/>
      <c r="F97" s="204" t="s">
        <v>2</v>
      </c>
      <c r="G97" s="189" t="s">
        <v>13</v>
      </c>
      <c r="H97" s="189" t="str">
        <f t="shared" ref="H97:P97" si="1">H3</f>
        <v>Neu in Aventurien</v>
      </c>
      <c r="I97" s="190" t="str">
        <f t="shared" si="1"/>
        <v>Ritterin</v>
      </c>
      <c r="J97" s="189" t="str">
        <f t="shared" si="1"/>
        <v>Baron</v>
      </c>
      <c r="K97" s="190" t="str">
        <f t="shared" si="1"/>
        <v>Gräfin</v>
      </c>
      <c r="L97" s="190" t="str">
        <f t="shared" si="1"/>
        <v>Digitaler Fürst</v>
      </c>
      <c r="M97" s="189">
        <f t="shared" si="1"/>
        <v>0</v>
      </c>
      <c r="N97" s="191">
        <f t="shared" si="1"/>
        <v>0</v>
      </c>
      <c r="O97" s="191" t="str">
        <f t="shared" si="1"/>
        <v>Fürst</v>
      </c>
      <c r="P97" s="191" t="str">
        <f t="shared" si="1"/>
        <v>Herzogin</v>
      </c>
      <c r="Q97" s="180" t="s">
        <v>12</v>
      </c>
      <c r="R97" s="181" t="s">
        <v>144</v>
      </c>
      <c r="S97" s="205" t="s">
        <v>82</v>
      </c>
      <c r="T97" s="148"/>
      <c r="U97" s="148"/>
      <c r="V97" s="148"/>
      <c r="W97" s="148"/>
      <c r="X97" s="148"/>
      <c r="Y97" s="148"/>
      <c r="Z97" s="148"/>
      <c r="AA97" s="149"/>
      <c r="AB97" s="149"/>
      <c r="AC97" s="148"/>
      <c r="AD97" s="149"/>
      <c r="AE97" s="149"/>
      <c r="AF97" s="148"/>
      <c r="AG97" s="145"/>
      <c r="AH97" s="145"/>
      <c r="AI97" s="145"/>
      <c r="AJ97" s="145"/>
      <c r="AK97" s="145"/>
      <c r="AL97" s="145"/>
    </row>
    <row r="98" spans="1:38" ht="18" x14ac:dyDescent="0.3">
      <c r="B98" s="141"/>
      <c r="C98" s="238" t="s">
        <v>267</v>
      </c>
      <c r="D98" s="239" t="s">
        <v>185</v>
      </c>
      <c r="E98" s="239" t="s">
        <v>268</v>
      </c>
      <c r="F98" s="73" t="s">
        <v>128</v>
      </c>
      <c r="G98" s="198" t="s">
        <v>158</v>
      </c>
      <c r="H98" s="198" t="str">
        <f>IF(OR($B8="x",$B8="x"),"enthalten","Kauf nach CF")</f>
        <v>Kauf nach CF</v>
      </c>
      <c r="I98" s="198" t="str">
        <f>IF(OR($B8="x",$B8="x"),"enthalten","Kauf nach CF")</f>
        <v>Kauf nach CF</v>
      </c>
      <c r="J98" s="198" t="str">
        <f>IF(OR($B8="x",$B8="x"),"enthalten","Kauf nach CF")</f>
        <v>Kauf nach CF</v>
      </c>
      <c r="K98" s="140" t="s">
        <v>4</v>
      </c>
      <c r="L98" s="140" t="s">
        <v>4</v>
      </c>
      <c r="M98" s="140"/>
      <c r="N98" s="140"/>
      <c r="O98" s="140" t="s">
        <v>4</v>
      </c>
      <c r="P98" s="140" t="s">
        <v>4</v>
      </c>
      <c r="Q98" s="81" t="s">
        <v>5</v>
      </c>
      <c r="R98" s="75">
        <v>24.99</v>
      </c>
      <c r="S98" s="78" t="s">
        <v>6</v>
      </c>
      <c r="T98" s="148"/>
      <c r="U98" s="148"/>
      <c r="V98" s="148"/>
      <c r="W98" s="148"/>
      <c r="X98" s="148"/>
      <c r="Y98" s="148"/>
      <c r="Z98" s="148"/>
      <c r="AA98" s="149"/>
      <c r="AB98" s="149"/>
      <c r="AC98" s="148"/>
      <c r="AD98" s="149"/>
      <c r="AE98" s="149"/>
      <c r="AF98" s="148"/>
    </row>
    <row r="99" spans="1:38" s="76" customFormat="1" ht="18" x14ac:dyDescent="0.3">
      <c r="A99" s="147"/>
      <c r="B99" s="141"/>
      <c r="C99" s="72" t="s">
        <v>270</v>
      </c>
      <c r="D99" s="244" t="s">
        <v>234</v>
      </c>
      <c r="E99" s="239" t="s">
        <v>309</v>
      </c>
      <c r="F99" s="73" t="s">
        <v>128</v>
      </c>
      <c r="G99" s="198" t="s">
        <v>158</v>
      </c>
      <c r="H99" s="198" t="str">
        <f t="shared" ref="H99:J100" si="2">IF($B10="x","enthalten","Kauf nach CF")</f>
        <v>Kauf nach CF</v>
      </c>
      <c r="I99" s="198" t="str">
        <f t="shared" si="2"/>
        <v>Kauf nach CF</v>
      </c>
      <c r="J99" s="198" t="str">
        <f t="shared" si="2"/>
        <v>Kauf nach CF</v>
      </c>
      <c r="K99" s="140" t="s">
        <v>4</v>
      </c>
      <c r="L99" s="140" t="s">
        <v>4</v>
      </c>
      <c r="M99" s="140"/>
      <c r="N99" s="140"/>
      <c r="O99" s="140" t="s">
        <v>4</v>
      </c>
      <c r="P99" s="140" t="s">
        <v>4</v>
      </c>
      <c r="Q99" s="81" t="s">
        <v>5</v>
      </c>
      <c r="R99" s="75">
        <v>17.989999999999998</v>
      </c>
      <c r="S99" s="78" t="s">
        <v>6</v>
      </c>
      <c r="T99" s="148"/>
      <c r="U99" s="148"/>
      <c r="V99" s="148"/>
      <c r="W99" s="148"/>
      <c r="X99" s="148"/>
      <c r="Y99" s="148"/>
      <c r="Z99" s="148"/>
      <c r="AA99" s="149"/>
      <c r="AB99" s="149"/>
      <c r="AC99" s="148"/>
      <c r="AD99" s="149"/>
      <c r="AE99" s="149"/>
      <c r="AF99" s="148"/>
      <c r="AG99" s="147"/>
      <c r="AH99" s="147"/>
      <c r="AI99" s="147"/>
      <c r="AJ99" s="147"/>
      <c r="AK99" s="147"/>
      <c r="AL99" s="147"/>
    </row>
    <row r="100" spans="1:38" s="76" customFormat="1" ht="18" x14ac:dyDescent="0.3">
      <c r="A100" s="147"/>
      <c r="B100" s="141"/>
      <c r="C100" s="72" t="s">
        <v>271</v>
      </c>
      <c r="D100" s="244" t="s">
        <v>234</v>
      </c>
      <c r="E100" s="239" t="s">
        <v>310</v>
      </c>
      <c r="F100" s="73" t="s">
        <v>128</v>
      </c>
      <c r="G100" s="198" t="s">
        <v>158</v>
      </c>
      <c r="H100" s="198" t="str">
        <f t="shared" si="2"/>
        <v>Kauf nach CF</v>
      </c>
      <c r="I100" s="198" t="str">
        <f t="shared" si="2"/>
        <v>Kauf nach CF</v>
      </c>
      <c r="J100" s="198" t="str">
        <f t="shared" si="2"/>
        <v>Kauf nach CF</v>
      </c>
      <c r="K100" s="140" t="s">
        <v>4</v>
      </c>
      <c r="L100" s="140" t="s">
        <v>4</v>
      </c>
      <c r="M100" s="140"/>
      <c r="N100" s="140"/>
      <c r="O100" s="140" t="s">
        <v>4</v>
      </c>
      <c r="P100" s="140" t="s">
        <v>4</v>
      </c>
      <c r="Q100" s="81" t="s">
        <v>5</v>
      </c>
      <c r="R100" s="75">
        <v>26.99</v>
      </c>
      <c r="S100" s="78" t="s">
        <v>6</v>
      </c>
      <c r="T100" s="148"/>
      <c r="U100" s="148"/>
      <c r="V100" s="148"/>
      <c r="W100" s="148"/>
      <c r="X100" s="148"/>
      <c r="Y100" s="148"/>
      <c r="Z100" s="148"/>
      <c r="AA100" s="149"/>
      <c r="AB100" s="149"/>
      <c r="AC100" s="148"/>
      <c r="AD100" s="149"/>
      <c r="AE100" s="149"/>
      <c r="AF100" s="148"/>
      <c r="AG100" s="147"/>
      <c r="AH100" s="147"/>
      <c r="AI100" s="147"/>
      <c r="AJ100" s="147"/>
      <c r="AK100" s="147"/>
      <c r="AL100" s="147"/>
    </row>
    <row r="101" spans="1:38" s="82" customFormat="1" ht="18" x14ac:dyDescent="0.3">
      <c r="A101" s="148"/>
      <c r="B101" s="142"/>
      <c r="C101" s="246" t="s">
        <v>392</v>
      </c>
      <c r="D101" s="359" t="s">
        <v>234</v>
      </c>
      <c r="E101" s="360" t="s">
        <v>165</v>
      </c>
      <c r="F101" s="361" t="s">
        <v>393</v>
      </c>
      <c r="G101" s="362" t="s">
        <v>165</v>
      </c>
      <c r="H101" s="362" t="s">
        <v>165</v>
      </c>
      <c r="I101" s="362" t="s">
        <v>165</v>
      </c>
      <c r="J101" s="362" t="s">
        <v>165</v>
      </c>
      <c r="K101" s="362" t="s">
        <v>165</v>
      </c>
      <c r="L101" s="362" t="s">
        <v>165</v>
      </c>
      <c r="M101" s="362"/>
      <c r="N101" s="140"/>
      <c r="O101" s="362" t="s">
        <v>165</v>
      </c>
      <c r="P101" s="362" t="s">
        <v>165</v>
      </c>
      <c r="Q101" s="81" t="s">
        <v>5</v>
      </c>
      <c r="R101" s="363" t="s">
        <v>5</v>
      </c>
      <c r="S101" s="364" t="s">
        <v>192</v>
      </c>
      <c r="T101" s="148"/>
      <c r="U101" s="148"/>
      <c r="V101" s="148"/>
      <c r="W101" s="148"/>
      <c r="X101" s="148"/>
      <c r="Y101" s="148"/>
      <c r="Z101" s="148"/>
      <c r="AA101" s="149"/>
      <c r="AB101" s="149"/>
      <c r="AC101" s="148"/>
      <c r="AD101" s="149"/>
      <c r="AE101" s="149"/>
      <c r="AF101" s="148"/>
      <c r="AG101" s="148"/>
      <c r="AH101" s="148"/>
      <c r="AI101" s="148"/>
      <c r="AJ101" s="148"/>
      <c r="AK101" s="148"/>
      <c r="AL101" s="148"/>
    </row>
    <row r="102" spans="1:38" s="68" customFormat="1" ht="18" customHeight="1" x14ac:dyDescent="0.3">
      <c r="B102" s="142"/>
      <c r="C102" s="246" t="s">
        <v>410</v>
      </c>
      <c r="D102" s="359" t="s">
        <v>234</v>
      </c>
      <c r="E102" s="360" t="s">
        <v>165</v>
      </c>
      <c r="F102" s="361" t="s">
        <v>393</v>
      </c>
      <c r="G102" s="362" t="s">
        <v>165</v>
      </c>
      <c r="H102" s="362" t="s">
        <v>165</v>
      </c>
      <c r="I102" s="362" t="s">
        <v>165</v>
      </c>
      <c r="J102" s="362" t="s">
        <v>165</v>
      </c>
      <c r="K102" s="362" t="s">
        <v>165</v>
      </c>
      <c r="L102" s="362" t="s">
        <v>165</v>
      </c>
      <c r="M102" s="362"/>
      <c r="N102" s="140"/>
      <c r="O102" s="362" t="s">
        <v>165</v>
      </c>
      <c r="P102" s="362" t="s">
        <v>165</v>
      </c>
      <c r="Q102" s="81" t="s">
        <v>5</v>
      </c>
      <c r="R102" s="363" t="s">
        <v>5</v>
      </c>
      <c r="S102" s="364" t="s">
        <v>192</v>
      </c>
      <c r="T102" s="148"/>
      <c r="U102" s="148"/>
      <c r="V102" s="148"/>
      <c r="W102" s="148"/>
      <c r="X102" s="148"/>
      <c r="Y102" s="148"/>
      <c r="Z102" s="148"/>
      <c r="AA102" s="149"/>
      <c r="AB102" s="149"/>
      <c r="AC102" s="148"/>
      <c r="AD102" s="149"/>
      <c r="AE102" s="149"/>
      <c r="AF102" s="148"/>
    </row>
    <row r="103" spans="1:38" s="82" customFormat="1" ht="18.75" customHeight="1" x14ac:dyDescent="0.3">
      <c r="A103" s="148"/>
      <c r="B103" s="247"/>
      <c r="C103" s="246" t="s">
        <v>422</v>
      </c>
      <c r="D103" s="359" t="s">
        <v>234</v>
      </c>
      <c r="E103" s="360" t="s">
        <v>165</v>
      </c>
      <c r="F103" s="361" t="s">
        <v>393</v>
      </c>
      <c r="G103" s="362" t="s">
        <v>165</v>
      </c>
      <c r="H103" s="362" t="s">
        <v>165</v>
      </c>
      <c r="I103" s="362" t="s">
        <v>165</v>
      </c>
      <c r="J103" s="362" t="s">
        <v>165</v>
      </c>
      <c r="K103" s="362" t="s">
        <v>165</v>
      </c>
      <c r="L103" s="362" t="s">
        <v>165</v>
      </c>
      <c r="M103" s="362"/>
      <c r="N103" s="140"/>
      <c r="O103" s="362" t="s">
        <v>165</v>
      </c>
      <c r="P103" s="362" t="s">
        <v>165</v>
      </c>
      <c r="Q103" s="81" t="s">
        <v>5</v>
      </c>
      <c r="R103" s="363" t="s">
        <v>5</v>
      </c>
      <c r="S103" s="364" t="s">
        <v>192</v>
      </c>
      <c r="T103" s="148"/>
      <c r="U103" s="148"/>
      <c r="V103" s="148"/>
      <c r="W103" s="148"/>
      <c r="X103" s="148"/>
      <c r="Y103" s="148"/>
      <c r="Z103" s="148"/>
      <c r="AA103" s="149"/>
      <c r="AB103" s="149"/>
      <c r="AC103" s="148"/>
      <c r="AD103" s="149"/>
      <c r="AE103" s="149"/>
      <c r="AF103" s="148"/>
      <c r="AG103" s="148"/>
      <c r="AH103" s="148"/>
      <c r="AI103" s="148"/>
      <c r="AJ103" s="148"/>
      <c r="AK103" s="148"/>
      <c r="AL103" s="148"/>
    </row>
    <row r="104" spans="1:38" s="68" customFormat="1" ht="18" customHeight="1" x14ac:dyDescent="0.3">
      <c r="B104" s="247"/>
      <c r="C104" s="246" t="s">
        <v>435</v>
      </c>
      <c r="D104" s="359" t="s">
        <v>234</v>
      </c>
      <c r="E104" s="360" t="s">
        <v>165</v>
      </c>
      <c r="F104" s="361" t="s">
        <v>393</v>
      </c>
      <c r="G104" s="362" t="s">
        <v>165</v>
      </c>
      <c r="H104" s="362" t="s">
        <v>165</v>
      </c>
      <c r="I104" s="362" t="s">
        <v>165</v>
      </c>
      <c r="J104" s="362" t="s">
        <v>165</v>
      </c>
      <c r="K104" s="362" t="s">
        <v>165</v>
      </c>
      <c r="L104" s="362" t="s">
        <v>165</v>
      </c>
      <c r="M104" s="362"/>
      <c r="N104" s="140"/>
      <c r="O104" s="362" t="s">
        <v>165</v>
      </c>
      <c r="P104" s="362" t="s">
        <v>165</v>
      </c>
      <c r="Q104" s="81" t="s">
        <v>5</v>
      </c>
      <c r="R104" s="363" t="s">
        <v>5</v>
      </c>
      <c r="S104" s="364" t="s">
        <v>192</v>
      </c>
      <c r="T104" s="148"/>
      <c r="U104" s="148"/>
      <c r="V104" s="148"/>
      <c r="W104" s="148"/>
      <c r="X104" s="148"/>
      <c r="Y104" s="148"/>
      <c r="Z104" s="148"/>
      <c r="AA104" s="149"/>
      <c r="AB104" s="149"/>
      <c r="AC104" s="148"/>
      <c r="AD104" s="149"/>
      <c r="AE104" s="149"/>
      <c r="AF104" s="148"/>
    </row>
    <row r="105" spans="1:38" s="68" customFormat="1" ht="18" customHeight="1" x14ac:dyDescent="0.3">
      <c r="B105" s="247"/>
      <c r="C105" s="246" t="s">
        <v>442</v>
      </c>
      <c r="D105" s="359" t="s">
        <v>234</v>
      </c>
      <c r="E105" s="360" t="s">
        <v>165</v>
      </c>
      <c r="F105" s="361" t="s">
        <v>393</v>
      </c>
      <c r="G105" s="362" t="s">
        <v>165</v>
      </c>
      <c r="H105" s="362" t="s">
        <v>165</v>
      </c>
      <c r="I105" s="362" t="s">
        <v>165</v>
      </c>
      <c r="J105" s="362" t="s">
        <v>165</v>
      </c>
      <c r="K105" s="362" t="s">
        <v>165</v>
      </c>
      <c r="L105" s="362" t="s">
        <v>165</v>
      </c>
      <c r="M105" s="362"/>
      <c r="N105" s="140"/>
      <c r="O105" s="362" t="s">
        <v>165</v>
      </c>
      <c r="P105" s="362" t="s">
        <v>165</v>
      </c>
      <c r="Q105" s="81" t="s">
        <v>5</v>
      </c>
      <c r="R105" s="363" t="s">
        <v>5</v>
      </c>
      <c r="S105" s="364" t="s">
        <v>192</v>
      </c>
      <c r="T105" s="148"/>
      <c r="U105" s="148"/>
      <c r="V105" s="148"/>
      <c r="W105" s="148"/>
      <c r="X105" s="148"/>
      <c r="Y105" s="148"/>
      <c r="Z105" s="148"/>
      <c r="AA105" s="149"/>
      <c r="AB105" s="149"/>
      <c r="AC105" s="148"/>
      <c r="AD105" s="149"/>
      <c r="AE105" s="149"/>
      <c r="AF105" s="148"/>
    </row>
    <row r="106" spans="1:38" s="68" customFormat="1" ht="18" customHeight="1" x14ac:dyDescent="0.3">
      <c r="B106" s="247"/>
      <c r="C106" s="246" t="s">
        <v>445</v>
      </c>
      <c r="D106" s="359" t="s">
        <v>234</v>
      </c>
      <c r="E106" s="360" t="s">
        <v>165</v>
      </c>
      <c r="F106" s="361" t="s">
        <v>393</v>
      </c>
      <c r="G106" s="362" t="s">
        <v>165</v>
      </c>
      <c r="H106" s="362" t="s">
        <v>165</v>
      </c>
      <c r="I106" s="362" t="s">
        <v>165</v>
      </c>
      <c r="J106" s="362" t="s">
        <v>165</v>
      </c>
      <c r="K106" s="362" t="s">
        <v>165</v>
      </c>
      <c r="L106" s="362" t="s">
        <v>165</v>
      </c>
      <c r="M106" s="362"/>
      <c r="N106" s="140"/>
      <c r="O106" s="362" t="s">
        <v>165</v>
      </c>
      <c r="P106" s="362" t="s">
        <v>165</v>
      </c>
      <c r="Q106" s="81" t="s">
        <v>5</v>
      </c>
      <c r="R106" s="363" t="s">
        <v>5</v>
      </c>
      <c r="S106" s="364" t="s">
        <v>192</v>
      </c>
      <c r="T106" s="148"/>
      <c r="U106" s="148"/>
      <c r="V106" s="148"/>
      <c r="W106" s="148"/>
      <c r="X106" s="148"/>
      <c r="Y106" s="148"/>
      <c r="Z106" s="148"/>
      <c r="AA106" s="149"/>
      <c r="AB106" s="149"/>
      <c r="AC106" s="148"/>
      <c r="AD106" s="149"/>
      <c r="AE106" s="149"/>
      <c r="AF106" s="148"/>
    </row>
    <row r="107" spans="1:38" s="82" customFormat="1" ht="18" x14ac:dyDescent="0.3">
      <c r="A107" s="148"/>
      <c r="B107" s="142"/>
      <c r="C107" s="246" t="s">
        <v>395</v>
      </c>
      <c r="D107" s="359" t="s">
        <v>234</v>
      </c>
      <c r="E107" s="360" t="s">
        <v>165</v>
      </c>
      <c r="F107" s="361" t="s">
        <v>393</v>
      </c>
      <c r="G107" s="362" t="s">
        <v>165</v>
      </c>
      <c r="H107" s="362" t="s">
        <v>165</v>
      </c>
      <c r="I107" s="362" t="s">
        <v>165</v>
      </c>
      <c r="J107" s="362" t="s">
        <v>165</v>
      </c>
      <c r="K107" s="362" t="s">
        <v>165</v>
      </c>
      <c r="L107" s="362" t="s">
        <v>165</v>
      </c>
      <c r="M107" s="362"/>
      <c r="N107" s="140"/>
      <c r="O107" s="362" t="s">
        <v>165</v>
      </c>
      <c r="P107" s="362" t="s">
        <v>165</v>
      </c>
      <c r="Q107" s="81" t="s">
        <v>5</v>
      </c>
      <c r="R107" s="363" t="s">
        <v>5</v>
      </c>
      <c r="S107" s="364" t="s">
        <v>192</v>
      </c>
      <c r="T107" s="148"/>
      <c r="U107" s="148"/>
      <c r="V107" s="148"/>
      <c r="W107" s="148"/>
      <c r="X107" s="148"/>
      <c r="Y107" s="148"/>
      <c r="Z107" s="148"/>
      <c r="AA107" s="149"/>
      <c r="AB107" s="149"/>
      <c r="AC107" s="148"/>
      <c r="AD107" s="149"/>
      <c r="AE107" s="149"/>
      <c r="AF107" s="148"/>
      <c r="AG107" s="148"/>
      <c r="AH107" s="148"/>
      <c r="AI107" s="148"/>
      <c r="AJ107" s="148"/>
      <c r="AK107" s="148"/>
      <c r="AL107" s="148"/>
    </row>
    <row r="108" spans="1:38" s="82" customFormat="1" ht="18" customHeight="1" x14ac:dyDescent="0.3">
      <c r="A108" s="148"/>
      <c r="B108" s="142"/>
      <c r="C108" s="246" t="s">
        <v>450</v>
      </c>
      <c r="D108" s="359" t="s">
        <v>234</v>
      </c>
      <c r="E108" s="360" t="s">
        <v>165</v>
      </c>
      <c r="F108" s="361" t="s">
        <v>393</v>
      </c>
      <c r="G108" s="362" t="s">
        <v>165</v>
      </c>
      <c r="H108" s="362" t="s">
        <v>165</v>
      </c>
      <c r="I108" s="362" t="s">
        <v>165</v>
      </c>
      <c r="J108" s="362" t="s">
        <v>165</v>
      </c>
      <c r="K108" s="362" t="s">
        <v>165</v>
      </c>
      <c r="L108" s="362" t="s">
        <v>165</v>
      </c>
      <c r="M108" s="362"/>
      <c r="N108" s="140"/>
      <c r="O108" s="362" t="s">
        <v>165</v>
      </c>
      <c r="P108" s="362" t="s">
        <v>165</v>
      </c>
      <c r="Q108" s="81" t="s">
        <v>5</v>
      </c>
      <c r="R108" s="363" t="s">
        <v>5</v>
      </c>
      <c r="S108" s="364" t="s">
        <v>192</v>
      </c>
      <c r="T108" s="148"/>
      <c r="U108" s="148"/>
      <c r="V108" s="148"/>
      <c r="W108" s="148"/>
      <c r="X108" s="148"/>
      <c r="Y108" s="148"/>
      <c r="Z108" s="148"/>
      <c r="AA108" s="149"/>
      <c r="AB108" s="149"/>
      <c r="AC108" s="148"/>
      <c r="AD108" s="149"/>
      <c r="AE108" s="149"/>
      <c r="AF108" s="148"/>
      <c r="AG108" s="148"/>
      <c r="AH108" s="148"/>
      <c r="AI108" s="148"/>
      <c r="AJ108" s="148"/>
      <c r="AK108" s="148"/>
      <c r="AL108" s="148"/>
    </row>
    <row r="109" spans="1:38" s="82" customFormat="1" ht="18" x14ac:dyDescent="0.3">
      <c r="A109" s="148"/>
      <c r="B109" s="142"/>
      <c r="C109" s="246" t="s">
        <v>411</v>
      </c>
      <c r="D109" s="359" t="s">
        <v>234</v>
      </c>
      <c r="E109" s="360" t="s">
        <v>165</v>
      </c>
      <c r="F109" s="361" t="s">
        <v>393</v>
      </c>
      <c r="G109" s="362" t="s">
        <v>165</v>
      </c>
      <c r="H109" s="362" t="s">
        <v>165</v>
      </c>
      <c r="I109" s="362" t="s">
        <v>165</v>
      </c>
      <c r="J109" s="362" t="s">
        <v>165</v>
      </c>
      <c r="K109" s="362" t="s">
        <v>165</v>
      </c>
      <c r="L109" s="362" t="s">
        <v>165</v>
      </c>
      <c r="M109" s="362"/>
      <c r="N109" s="140"/>
      <c r="O109" s="362" t="s">
        <v>165</v>
      </c>
      <c r="P109" s="362" t="s">
        <v>165</v>
      </c>
      <c r="Q109" s="81" t="s">
        <v>5</v>
      </c>
      <c r="R109" s="363" t="s">
        <v>5</v>
      </c>
      <c r="S109" s="364" t="s">
        <v>192</v>
      </c>
      <c r="T109" s="148"/>
      <c r="U109" s="148"/>
      <c r="V109" s="148"/>
      <c r="W109" s="148"/>
      <c r="X109" s="148"/>
      <c r="Y109" s="148"/>
      <c r="Z109" s="148"/>
      <c r="AA109" s="149"/>
      <c r="AB109" s="149"/>
      <c r="AC109" s="148"/>
      <c r="AD109" s="149"/>
      <c r="AE109" s="149"/>
      <c r="AF109" s="148"/>
      <c r="AG109" s="148"/>
      <c r="AH109" s="148"/>
      <c r="AI109" s="148"/>
      <c r="AJ109" s="148"/>
      <c r="AK109" s="148"/>
      <c r="AL109" s="148"/>
    </row>
    <row r="110" spans="1:38" s="82" customFormat="1" ht="18.75" customHeight="1" x14ac:dyDescent="0.3">
      <c r="A110" s="148"/>
      <c r="B110" s="142"/>
      <c r="C110" s="246" t="s">
        <v>412</v>
      </c>
      <c r="D110" s="359" t="s">
        <v>234</v>
      </c>
      <c r="E110" s="360" t="s">
        <v>165</v>
      </c>
      <c r="F110" s="361" t="s">
        <v>393</v>
      </c>
      <c r="G110" s="362" t="s">
        <v>165</v>
      </c>
      <c r="H110" s="362" t="s">
        <v>165</v>
      </c>
      <c r="I110" s="362" t="s">
        <v>165</v>
      </c>
      <c r="J110" s="362" t="s">
        <v>165</v>
      </c>
      <c r="K110" s="362" t="s">
        <v>165</v>
      </c>
      <c r="L110" s="362" t="s">
        <v>165</v>
      </c>
      <c r="M110" s="362"/>
      <c r="N110" s="140"/>
      <c r="O110" s="362" t="s">
        <v>165</v>
      </c>
      <c r="P110" s="362" t="s">
        <v>165</v>
      </c>
      <c r="Q110" s="81" t="s">
        <v>5</v>
      </c>
      <c r="R110" s="363" t="s">
        <v>5</v>
      </c>
      <c r="S110" s="364" t="s">
        <v>192</v>
      </c>
      <c r="T110" s="148"/>
      <c r="U110" s="148"/>
      <c r="V110" s="148"/>
      <c r="W110" s="148"/>
      <c r="X110" s="148"/>
      <c r="Y110" s="148"/>
      <c r="Z110" s="148"/>
      <c r="AA110" s="149"/>
      <c r="AB110" s="149"/>
      <c r="AC110" s="148"/>
      <c r="AD110" s="149"/>
      <c r="AE110" s="149"/>
      <c r="AF110" s="148"/>
      <c r="AG110" s="148"/>
      <c r="AH110" s="148"/>
      <c r="AI110" s="148"/>
      <c r="AJ110" s="148"/>
      <c r="AK110" s="148"/>
      <c r="AL110" s="148"/>
    </row>
    <row r="111" spans="1:38" s="68" customFormat="1" ht="18" customHeight="1" x14ac:dyDescent="0.3">
      <c r="B111" s="247"/>
      <c r="C111" s="246" t="s">
        <v>425</v>
      </c>
      <c r="D111" s="359" t="s">
        <v>234</v>
      </c>
      <c r="E111" s="360" t="s">
        <v>165</v>
      </c>
      <c r="F111" s="361" t="s">
        <v>393</v>
      </c>
      <c r="G111" s="362" t="s">
        <v>165</v>
      </c>
      <c r="H111" s="362" t="s">
        <v>165</v>
      </c>
      <c r="I111" s="362" t="s">
        <v>165</v>
      </c>
      <c r="J111" s="362" t="s">
        <v>165</v>
      </c>
      <c r="K111" s="362" t="s">
        <v>165</v>
      </c>
      <c r="L111" s="362" t="s">
        <v>165</v>
      </c>
      <c r="M111" s="362"/>
      <c r="N111" s="140"/>
      <c r="O111" s="362" t="s">
        <v>165</v>
      </c>
      <c r="P111" s="362" t="s">
        <v>165</v>
      </c>
      <c r="Q111" s="81" t="s">
        <v>5</v>
      </c>
      <c r="R111" s="363" t="s">
        <v>5</v>
      </c>
      <c r="S111" s="364" t="s">
        <v>192</v>
      </c>
      <c r="T111" s="148"/>
      <c r="U111" s="148"/>
      <c r="V111" s="148"/>
      <c r="W111" s="148"/>
      <c r="X111" s="148"/>
      <c r="Y111" s="148"/>
      <c r="Z111" s="148"/>
      <c r="AA111" s="149"/>
      <c r="AB111" s="149"/>
      <c r="AC111" s="148"/>
      <c r="AD111" s="149"/>
      <c r="AE111" s="149"/>
      <c r="AF111" s="148"/>
    </row>
    <row r="112" spans="1:38" s="68" customFormat="1" ht="18" customHeight="1" x14ac:dyDescent="0.3">
      <c r="B112" s="247"/>
      <c r="C112" s="246" t="s">
        <v>433</v>
      </c>
      <c r="D112" s="359" t="s">
        <v>234</v>
      </c>
      <c r="E112" s="360" t="s">
        <v>165</v>
      </c>
      <c r="F112" s="361" t="s">
        <v>393</v>
      </c>
      <c r="G112" s="362" t="s">
        <v>165</v>
      </c>
      <c r="H112" s="362" t="s">
        <v>165</v>
      </c>
      <c r="I112" s="362" t="s">
        <v>165</v>
      </c>
      <c r="J112" s="362" t="s">
        <v>165</v>
      </c>
      <c r="K112" s="362" t="s">
        <v>165</v>
      </c>
      <c r="L112" s="362" t="s">
        <v>165</v>
      </c>
      <c r="M112" s="362"/>
      <c r="N112" s="140"/>
      <c r="O112" s="362" t="s">
        <v>165</v>
      </c>
      <c r="P112" s="362" t="s">
        <v>165</v>
      </c>
      <c r="Q112" s="81" t="s">
        <v>5</v>
      </c>
      <c r="R112" s="363" t="s">
        <v>5</v>
      </c>
      <c r="S112" s="364" t="s">
        <v>192</v>
      </c>
      <c r="T112" s="148"/>
      <c r="U112" s="148"/>
      <c r="V112" s="148"/>
      <c r="W112" s="148"/>
      <c r="X112" s="148"/>
      <c r="Y112" s="148"/>
      <c r="Z112" s="148"/>
      <c r="AA112" s="149"/>
      <c r="AB112" s="149"/>
      <c r="AC112" s="148"/>
      <c r="AD112" s="149"/>
      <c r="AE112" s="149"/>
      <c r="AF112" s="148"/>
    </row>
    <row r="113" spans="1:38" s="68" customFormat="1" ht="18" customHeight="1" x14ac:dyDescent="0.3">
      <c r="B113" s="247"/>
      <c r="C113" s="246" t="s">
        <v>440</v>
      </c>
      <c r="D113" s="359" t="s">
        <v>234</v>
      </c>
      <c r="E113" s="360" t="s">
        <v>165</v>
      </c>
      <c r="F113" s="361" t="s">
        <v>393</v>
      </c>
      <c r="G113" s="362" t="s">
        <v>165</v>
      </c>
      <c r="H113" s="362" t="s">
        <v>165</v>
      </c>
      <c r="I113" s="362" t="s">
        <v>165</v>
      </c>
      <c r="J113" s="362" t="s">
        <v>165</v>
      </c>
      <c r="K113" s="362" t="s">
        <v>165</v>
      </c>
      <c r="L113" s="362" t="s">
        <v>165</v>
      </c>
      <c r="M113" s="362"/>
      <c r="N113" s="140"/>
      <c r="O113" s="362" t="s">
        <v>165</v>
      </c>
      <c r="P113" s="362" t="s">
        <v>165</v>
      </c>
      <c r="Q113" s="81" t="s">
        <v>5</v>
      </c>
      <c r="R113" s="363" t="s">
        <v>5</v>
      </c>
      <c r="S113" s="364" t="s">
        <v>192</v>
      </c>
      <c r="T113" s="148"/>
      <c r="U113" s="148"/>
      <c r="V113" s="148"/>
      <c r="W113" s="148"/>
      <c r="X113" s="148"/>
      <c r="Y113" s="148"/>
      <c r="Z113" s="148"/>
      <c r="AA113" s="149"/>
      <c r="AB113" s="149"/>
      <c r="AC113" s="148"/>
      <c r="AD113" s="149"/>
      <c r="AE113" s="149"/>
      <c r="AF113" s="148"/>
    </row>
    <row r="114" spans="1:38" s="68" customFormat="1" ht="18" customHeight="1" x14ac:dyDescent="0.3">
      <c r="B114" s="247"/>
      <c r="C114" s="246" t="s">
        <v>441</v>
      </c>
      <c r="D114" s="359" t="s">
        <v>234</v>
      </c>
      <c r="E114" s="360" t="s">
        <v>165</v>
      </c>
      <c r="F114" s="361" t="s">
        <v>393</v>
      </c>
      <c r="G114" s="362" t="s">
        <v>165</v>
      </c>
      <c r="H114" s="362" t="s">
        <v>165</v>
      </c>
      <c r="I114" s="362" t="s">
        <v>165</v>
      </c>
      <c r="J114" s="362" t="s">
        <v>165</v>
      </c>
      <c r="K114" s="362" t="s">
        <v>165</v>
      </c>
      <c r="L114" s="362" t="s">
        <v>165</v>
      </c>
      <c r="M114" s="362"/>
      <c r="N114" s="140"/>
      <c r="O114" s="362" t="s">
        <v>165</v>
      </c>
      <c r="P114" s="362" t="s">
        <v>165</v>
      </c>
      <c r="Q114" s="81" t="s">
        <v>5</v>
      </c>
      <c r="R114" s="363" t="s">
        <v>5</v>
      </c>
      <c r="S114" s="364" t="s">
        <v>192</v>
      </c>
      <c r="T114" s="148"/>
      <c r="U114" s="148"/>
      <c r="V114" s="148"/>
      <c r="W114" s="148"/>
      <c r="X114" s="148"/>
      <c r="Y114" s="148"/>
      <c r="Z114" s="148"/>
      <c r="AA114" s="149"/>
      <c r="AB114" s="149"/>
      <c r="AC114" s="148"/>
      <c r="AD114" s="149"/>
      <c r="AE114" s="149"/>
      <c r="AF114" s="148"/>
    </row>
    <row r="115" spans="1:38" s="68" customFormat="1" ht="18" customHeight="1" x14ac:dyDescent="0.3">
      <c r="B115" s="247"/>
      <c r="C115" s="246" t="s">
        <v>451</v>
      </c>
      <c r="D115" s="359" t="s">
        <v>234</v>
      </c>
      <c r="E115" s="360" t="s">
        <v>165</v>
      </c>
      <c r="F115" s="361" t="s">
        <v>393</v>
      </c>
      <c r="G115" s="362" t="s">
        <v>165</v>
      </c>
      <c r="H115" s="362" t="s">
        <v>165</v>
      </c>
      <c r="I115" s="362" t="s">
        <v>165</v>
      </c>
      <c r="J115" s="362" t="s">
        <v>165</v>
      </c>
      <c r="K115" s="362" t="s">
        <v>165</v>
      </c>
      <c r="L115" s="362" t="s">
        <v>165</v>
      </c>
      <c r="M115" s="362"/>
      <c r="N115" s="140"/>
      <c r="O115" s="362" t="s">
        <v>165</v>
      </c>
      <c r="P115" s="362" t="s">
        <v>165</v>
      </c>
      <c r="Q115" s="81" t="s">
        <v>5</v>
      </c>
      <c r="R115" s="363" t="s">
        <v>5</v>
      </c>
      <c r="S115" s="364" t="s">
        <v>192</v>
      </c>
      <c r="T115" s="148"/>
      <c r="U115" s="148"/>
      <c r="V115" s="148"/>
      <c r="W115" s="148"/>
      <c r="X115" s="148"/>
      <c r="Y115" s="148"/>
      <c r="Z115" s="148"/>
      <c r="AA115" s="149"/>
      <c r="AB115" s="149"/>
      <c r="AC115" s="148"/>
      <c r="AD115" s="149"/>
      <c r="AE115" s="149"/>
      <c r="AF115" s="148"/>
    </row>
    <row r="116" spans="1:38" s="68" customFormat="1" ht="18" customHeight="1" x14ac:dyDescent="0.3">
      <c r="B116" s="247"/>
      <c r="C116" s="246" t="s">
        <v>420</v>
      </c>
      <c r="D116" s="359" t="s">
        <v>234</v>
      </c>
      <c r="E116" s="360" t="s">
        <v>165</v>
      </c>
      <c r="F116" s="361" t="s">
        <v>393</v>
      </c>
      <c r="G116" s="362" t="s">
        <v>165</v>
      </c>
      <c r="H116" s="362" t="s">
        <v>165</v>
      </c>
      <c r="I116" s="362" t="s">
        <v>165</v>
      </c>
      <c r="J116" s="362" t="s">
        <v>165</v>
      </c>
      <c r="K116" s="362" t="s">
        <v>165</v>
      </c>
      <c r="L116" s="362" t="s">
        <v>165</v>
      </c>
      <c r="M116" s="362"/>
      <c r="N116" s="140"/>
      <c r="O116" s="362" t="s">
        <v>165</v>
      </c>
      <c r="P116" s="362" t="s">
        <v>165</v>
      </c>
      <c r="Q116" s="81" t="s">
        <v>5</v>
      </c>
      <c r="R116" s="363" t="s">
        <v>5</v>
      </c>
      <c r="S116" s="364" t="s">
        <v>192</v>
      </c>
      <c r="T116" s="148"/>
      <c r="U116" s="148"/>
      <c r="V116" s="148"/>
      <c r="W116" s="148"/>
      <c r="X116" s="148"/>
      <c r="Y116" s="148"/>
      <c r="Z116" s="148"/>
      <c r="AA116" s="149"/>
      <c r="AB116" s="149"/>
      <c r="AC116" s="148"/>
      <c r="AD116" s="149"/>
      <c r="AE116" s="149"/>
      <c r="AF116" s="148"/>
    </row>
    <row r="117" spans="1:38" s="82" customFormat="1" ht="18" x14ac:dyDescent="0.3">
      <c r="A117" s="148"/>
      <c r="B117" s="142"/>
      <c r="C117" s="246" t="s">
        <v>391</v>
      </c>
      <c r="D117" s="359" t="s">
        <v>185</v>
      </c>
      <c r="E117" s="360" t="s">
        <v>165</v>
      </c>
      <c r="F117" s="361" t="s">
        <v>393</v>
      </c>
      <c r="G117" s="362" t="s">
        <v>165</v>
      </c>
      <c r="H117" s="362" t="s">
        <v>165</v>
      </c>
      <c r="I117" s="362" t="s">
        <v>165</v>
      </c>
      <c r="J117" s="362" t="s">
        <v>165</v>
      </c>
      <c r="K117" s="362" t="s">
        <v>165</v>
      </c>
      <c r="L117" s="362" t="s">
        <v>165</v>
      </c>
      <c r="M117" s="362"/>
      <c r="N117" s="140"/>
      <c r="O117" s="362" t="s">
        <v>165</v>
      </c>
      <c r="P117" s="362" t="s">
        <v>165</v>
      </c>
      <c r="Q117" s="81" t="s">
        <v>5</v>
      </c>
      <c r="R117" s="363" t="s">
        <v>5</v>
      </c>
      <c r="S117" s="364" t="s">
        <v>192</v>
      </c>
      <c r="T117" s="148"/>
      <c r="U117" s="148"/>
      <c r="V117" s="148"/>
      <c r="W117" s="148"/>
      <c r="X117" s="148"/>
      <c r="Y117" s="148"/>
      <c r="Z117" s="148"/>
      <c r="AA117" s="149"/>
      <c r="AB117" s="149"/>
      <c r="AC117" s="148"/>
      <c r="AD117" s="149"/>
      <c r="AE117" s="149"/>
      <c r="AF117" s="148"/>
      <c r="AG117" s="148"/>
      <c r="AH117" s="148"/>
      <c r="AI117" s="148"/>
      <c r="AJ117" s="148"/>
      <c r="AK117" s="148"/>
      <c r="AL117" s="148"/>
    </row>
    <row r="118" spans="1:38" s="68" customFormat="1" ht="18" customHeight="1" x14ac:dyDescent="0.3">
      <c r="B118" s="247"/>
      <c r="C118" s="246" t="s">
        <v>423</v>
      </c>
      <c r="D118" s="359" t="s">
        <v>185</v>
      </c>
      <c r="E118" s="360" t="s">
        <v>165</v>
      </c>
      <c r="F118" s="361" t="s">
        <v>393</v>
      </c>
      <c r="G118" s="362" t="s">
        <v>165</v>
      </c>
      <c r="H118" s="362" t="s">
        <v>165</v>
      </c>
      <c r="I118" s="362" t="s">
        <v>165</v>
      </c>
      <c r="J118" s="362" t="s">
        <v>165</v>
      </c>
      <c r="K118" s="362" t="s">
        <v>165</v>
      </c>
      <c r="L118" s="362" t="s">
        <v>165</v>
      </c>
      <c r="M118" s="362"/>
      <c r="N118" s="140"/>
      <c r="O118" s="362" t="s">
        <v>165</v>
      </c>
      <c r="P118" s="362" t="s">
        <v>165</v>
      </c>
      <c r="Q118" s="81" t="s">
        <v>5</v>
      </c>
      <c r="R118" s="363" t="s">
        <v>5</v>
      </c>
      <c r="S118" s="364" t="s">
        <v>192</v>
      </c>
      <c r="T118" s="148"/>
      <c r="U118" s="148"/>
      <c r="V118" s="148"/>
      <c r="W118" s="148"/>
      <c r="X118" s="148"/>
      <c r="Y118" s="148"/>
      <c r="Z118" s="148"/>
      <c r="AA118" s="149"/>
      <c r="AB118" s="149"/>
      <c r="AC118" s="148"/>
      <c r="AD118" s="149"/>
      <c r="AE118" s="149"/>
      <c r="AF118" s="148"/>
    </row>
    <row r="119" spans="1:38" s="68" customFormat="1" ht="18" customHeight="1" x14ac:dyDescent="0.3">
      <c r="B119" s="247"/>
      <c r="C119" s="246" t="s">
        <v>431</v>
      </c>
      <c r="D119" s="359" t="s">
        <v>185</v>
      </c>
      <c r="E119" s="360" t="s">
        <v>165</v>
      </c>
      <c r="F119" s="361" t="s">
        <v>393</v>
      </c>
      <c r="G119" s="362" t="s">
        <v>165</v>
      </c>
      <c r="H119" s="362" t="s">
        <v>165</v>
      </c>
      <c r="I119" s="362" t="s">
        <v>165</v>
      </c>
      <c r="J119" s="362" t="s">
        <v>165</v>
      </c>
      <c r="K119" s="362" t="s">
        <v>165</v>
      </c>
      <c r="L119" s="362" t="s">
        <v>165</v>
      </c>
      <c r="M119" s="362"/>
      <c r="N119" s="140"/>
      <c r="O119" s="362" t="s">
        <v>165</v>
      </c>
      <c r="P119" s="362" t="s">
        <v>165</v>
      </c>
      <c r="Q119" s="81" t="s">
        <v>5</v>
      </c>
      <c r="R119" s="363" t="s">
        <v>5</v>
      </c>
      <c r="S119" s="364" t="s">
        <v>192</v>
      </c>
      <c r="T119" s="148"/>
      <c r="U119" s="148"/>
      <c r="V119" s="148"/>
      <c r="W119" s="148"/>
      <c r="X119" s="148"/>
      <c r="Y119" s="148"/>
      <c r="Z119" s="148"/>
      <c r="AA119" s="149"/>
      <c r="AB119" s="149"/>
      <c r="AC119" s="148"/>
      <c r="AD119" s="149"/>
      <c r="AE119" s="149"/>
      <c r="AF119" s="148"/>
    </row>
    <row r="120" spans="1:38" s="76" customFormat="1" ht="18" x14ac:dyDescent="0.3">
      <c r="A120" s="147"/>
      <c r="B120" s="141"/>
      <c r="C120" s="72" t="s">
        <v>272</v>
      </c>
      <c r="D120" s="244" t="s">
        <v>234</v>
      </c>
      <c r="E120" s="239" t="s">
        <v>268</v>
      </c>
      <c r="F120" s="73" t="s">
        <v>128</v>
      </c>
      <c r="G120" s="198" t="s">
        <v>158</v>
      </c>
      <c r="H120" s="198" t="str">
        <f t="shared" ref="H120:J122" si="3">IF($B31="x","enthalten","Kauf nach CF")</f>
        <v>Kauf nach CF</v>
      </c>
      <c r="I120" s="198" t="str">
        <f t="shared" si="3"/>
        <v>Kauf nach CF</v>
      </c>
      <c r="J120" s="198" t="str">
        <f t="shared" si="3"/>
        <v>Kauf nach CF</v>
      </c>
      <c r="K120" s="140" t="s">
        <v>4</v>
      </c>
      <c r="L120" s="140" t="s">
        <v>4</v>
      </c>
      <c r="M120" s="140"/>
      <c r="N120" s="140"/>
      <c r="O120" s="140" t="s">
        <v>4</v>
      </c>
      <c r="P120" s="140" t="s">
        <v>4</v>
      </c>
      <c r="Q120" s="81" t="s">
        <v>5</v>
      </c>
      <c r="R120" s="75">
        <v>24.99</v>
      </c>
      <c r="S120" s="78" t="s">
        <v>6</v>
      </c>
      <c r="T120" s="148"/>
      <c r="U120" s="148"/>
      <c r="V120" s="148"/>
      <c r="W120" s="148"/>
      <c r="X120" s="148"/>
      <c r="Y120" s="148"/>
      <c r="Z120" s="148"/>
      <c r="AA120" s="149"/>
      <c r="AB120" s="149"/>
      <c r="AC120" s="148"/>
      <c r="AD120" s="149"/>
      <c r="AE120" s="149"/>
      <c r="AF120" s="148"/>
      <c r="AG120" s="147"/>
      <c r="AH120" s="147"/>
      <c r="AI120" s="147"/>
      <c r="AJ120" s="147"/>
      <c r="AK120" s="147"/>
      <c r="AL120" s="147"/>
    </row>
    <row r="121" spans="1:38" ht="18" x14ac:dyDescent="0.3">
      <c r="B121" s="141"/>
      <c r="C121" s="72" t="s">
        <v>273</v>
      </c>
      <c r="D121" s="239" t="s">
        <v>234</v>
      </c>
      <c r="E121" s="239" t="s">
        <v>308</v>
      </c>
      <c r="F121" s="73" t="s">
        <v>128</v>
      </c>
      <c r="G121" s="198" t="s">
        <v>158</v>
      </c>
      <c r="H121" s="198" t="str">
        <f t="shared" si="3"/>
        <v>Kauf nach CF</v>
      </c>
      <c r="I121" s="198" t="str">
        <f t="shared" si="3"/>
        <v>Kauf nach CF</v>
      </c>
      <c r="J121" s="198" t="str">
        <f t="shared" si="3"/>
        <v>Kauf nach CF</v>
      </c>
      <c r="K121" s="198" t="str">
        <f>IF($B32="x","enthalten","Kauf nach CF")</f>
        <v>Kauf nach CF</v>
      </c>
      <c r="L121" s="140" t="s">
        <v>4</v>
      </c>
      <c r="M121" s="140"/>
      <c r="N121" s="140"/>
      <c r="O121" s="140" t="s">
        <v>4</v>
      </c>
      <c r="P121" s="140" t="s">
        <v>4</v>
      </c>
      <c r="Q121" s="81" t="s">
        <v>5</v>
      </c>
      <c r="R121" s="75">
        <v>11.99</v>
      </c>
      <c r="S121" s="78" t="s">
        <v>6</v>
      </c>
      <c r="T121" s="148"/>
      <c r="U121" s="148"/>
      <c r="V121" s="148"/>
      <c r="W121" s="148"/>
      <c r="X121" s="148"/>
      <c r="Y121" s="148"/>
      <c r="Z121" s="148"/>
      <c r="AA121" s="149"/>
      <c r="AB121" s="149"/>
      <c r="AC121" s="148"/>
      <c r="AD121" s="149"/>
      <c r="AE121" s="149"/>
      <c r="AF121" s="148"/>
    </row>
    <row r="122" spans="1:38" s="76" customFormat="1" ht="18" x14ac:dyDescent="0.3">
      <c r="A122" s="147"/>
      <c r="B122" s="141"/>
      <c r="C122" s="72" t="s">
        <v>274</v>
      </c>
      <c r="D122" s="239" t="s">
        <v>185</v>
      </c>
      <c r="E122" s="239" t="s">
        <v>306</v>
      </c>
      <c r="F122" s="73" t="s">
        <v>128</v>
      </c>
      <c r="G122" s="198" t="s">
        <v>158</v>
      </c>
      <c r="H122" s="198" t="str">
        <f t="shared" si="3"/>
        <v>Kauf nach CF</v>
      </c>
      <c r="I122" s="198" t="str">
        <f t="shared" si="3"/>
        <v>Kauf nach CF</v>
      </c>
      <c r="J122" s="198" t="str">
        <f t="shared" si="3"/>
        <v>Kauf nach CF</v>
      </c>
      <c r="K122" s="198" t="str">
        <f>IF($B33="x","enthalten","Kauf nach CF")</f>
        <v>Kauf nach CF</v>
      </c>
      <c r="L122" s="140" t="s">
        <v>4</v>
      </c>
      <c r="M122" s="140"/>
      <c r="N122" s="140"/>
      <c r="O122" s="140" t="s">
        <v>4</v>
      </c>
      <c r="P122" s="140" t="s">
        <v>4</v>
      </c>
      <c r="Q122" s="81" t="s">
        <v>5</v>
      </c>
      <c r="R122" s="75">
        <v>11.99</v>
      </c>
      <c r="S122" s="78" t="s">
        <v>6</v>
      </c>
      <c r="T122" s="148"/>
      <c r="U122" s="148"/>
      <c r="V122" s="148"/>
      <c r="W122" s="148"/>
      <c r="X122" s="148"/>
      <c r="Y122" s="148"/>
      <c r="Z122" s="148"/>
      <c r="AA122" s="149"/>
      <c r="AB122" s="149"/>
      <c r="AC122" s="148"/>
      <c r="AD122" s="149"/>
      <c r="AE122" s="149"/>
      <c r="AF122" s="148"/>
      <c r="AG122" s="147"/>
      <c r="AH122" s="147"/>
      <c r="AI122" s="147"/>
      <c r="AJ122" s="147"/>
      <c r="AK122" s="147"/>
      <c r="AL122" s="147"/>
    </row>
    <row r="123" spans="1:38" s="82" customFormat="1" ht="18.75" customHeight="1" x14ac:dyDescent="0.3">
      <c r="A123" s="148"/>
      <c r="B123" s="247"/>
      <c r="C123" s="246" t="s">
        <v>438</v>
      </c>
      <c r="D123" s="359" t="s">
        <v>185</v>
      </c>
      <c r="E123" s="360" t="s">
        <v>453</v>
      </c>
      <c r="F123" s="361" t="s">
        <v>406</v>
      </c>
      <c r="G123" s="362" t="s">
        <v>165</v>
      </c>
      <c r="H123" s="362" t="s">
        <v>165</v>
      </c>
      <c r="I123" s="362" t="s">
        <v>165</v>
      </c>
      <c r="J123" s="362" t="s">
        <v>165</v>
      </c>
      <c r="K123" s="362" t="s">
        <v>165</v>
      </c>
      <c r="L123" s="362" t="s">
        <v>165</v>
      </c>
      <c r="M123" s="362"/>
      <c r="N123" s="140"/>
      <c r="O123" s="362" t="s">
        <v>165</v>
      </c>
      <c r="P123" s="362" t="s">
        <v>165</v>
      </c>
      <c r="Q123" s="81" t="s">
        <v>5</v>
      </c>
      <c r="R123" s="363" t="s">
        <v>5</v>
      </c>
      <c r="S123" s="364" t="s">
        <v>407</v>
      </c>
      <c r="T123" s="148"/>
      <c r="U123" s="148"/>
      <c r="V123" s="148"/>
      <c r="W123" s="148"/>
      <c r="X123" s="148"/>
      <c r="Y123" s="148"/>
      <c r="Z123" s="148"/>
      <c r="AA123" s="149"/>
      <c r="AB123" s="149"/>
      <c r="AC123" s="148"/>
      <c r="AD123" s="149"/>
      <c r="AE123" s="149"/>
      <c r="AF123" s="148"/>
      <c r="AG123" s="148"/>
      <c r="AH123" s="148"/>
      <c r="AI123" s="148"/>
      <c r="AJ123" s="148"/>
      <c r="AK123" s="148"/>
      <c r="AL123" s="148"/>
    </row>
    <row r="124" spans="1:38" s="82" customFormat="1" ht="18" x14ac:dyDescent="0.3">
      <c r="A124" s="148"/>
      <c r="B124" s="142"/>
      <c r="C124" s="246" t="s">
        <v>452</v>
      </c>
      <c r="D124" s="359" t="s">
        <v>185</v>
      </c>
      <c r="E124" s="360" t="s">
        <v>454</v>
      </c>
      <c r="F124" s="361" t="s">
        <v>406</v>
      </c>
      <c r="G124" s="362" t="s">
        <v>165</v>
      </c>
      <c r="H124" s="362" t="s">
        <v>165</v>
      </c>
      <c r="I124" s="362" t="s">
        <v>165</v>
      </c>
      <c r="J124" s="362" t="s">
        <v>165</v>
      </c>
      <c r="K124" s="362" t="s">
        <v>165</v>
      </c>
      <c r="L124" s="362" t="s">
        <v>165</v>
      </c>
      <c r="M124" s="362"/>
      <c r="N124" s="140"/>
      <c r="O124" s="362" t="s">
        <v>165</v>
      </c>
      <c r="P124" s="362" t="s">
        <v>165</v>
      </c>
      <c r="Q124" s="81" t="s">
        <v>5</v>
      </c>
      <c r="R124" s="363" t="s">
        <v>5</v>
      </c>
      <c r="S124" s="364" t="s">
        <v>407</v>
      </c>
      <c r="T124" s="148"/>
      <c r="U124" s="148"/>
      <c r="V124" s="148"/>
      <c r="W124" s="148"/>
      <c r="X124" s="148"/>
      <c r="Y124" s="148"/>
      <c r="Z124" s="148"/>
      <c r="AA124" s="149"/>
      <c r="AB124" s="149"/>
      <c r="AC124" s="148"/>
      <c r="AD124" s="149"/>
      <c r="AE124" s="149"/>
      <c r="AF124" s="148"/>
      <c r="AG124" s="148"/>
      <c r="AH124" s="148"/>
      <c r="AI124" s="148"/>
      <c r="AJ124" s="148"/>
      <c r="AK124" s="148"/>
      <c r="AL124" s="148"/>
    </row>
    <row r="125" spans="1:38" s="76" customFormat="1" ht="18" x14ac:dyDescent="0.3">
      <c r="A125" s="147"/>
      <c r="B125" s="141"/>
      <c r="C125" s="72" t="s">
        <v>275</v>
      </c>
      <c r="D125" s="239" t="s">
        <v>185</v>
      </c>
      <c r="E125" s="239" t="s">
        <v>307</v>
      </c>
      <c r="F125" s="73" t="s">
        <v>128</v>
      </c>
      <c r="G125" s="198" t="s">
        <v>158</v>
      </c>
      <c r="H125" s="198" t="str">
        <f>IF($B36="x","enthalten","Kauf nach CF")</f>
        <v>Kauf nach CF</v>
      </c>
      <c r="I125" s="198" t="str">
        <f>IF($B36="x","enthalten","Kauf nach CF")</f>
        <v>Kauf nach CF</v>
      </c>
      <c r="J125" s="198" t="str">
        <f>IF($B36="x","enthalten","Kauf nach CF")</f>
        <v>Kauf nach CF</v>
      </c>
      <c r="K125" s="198" t="str">
        <f>IF($B36="x","enthalten","Kauf nach CF")</f>
        <v>Kauf nach CF</v>
      </c>
      <c r="L125" s="140" t="s">
        <v>4</v>
      </c>
      <c r="M125" s="140"/>
      <c r="N125" s="140"/>
      <c r="O125" s="140" t="s">
        <v>4</v>
      </c>
      <c r="P125" s="140" t="s">
        <v>4</v>
      </c>
      <c r="Q125" s="81" t="s">
        <v>5</v>
      </c>
      <c r="R125" s="75">
        <v>12.99</v>
      </c>
      <c r="S125" s="78" t="s">
        <v>6</v>
      </c>
      <c r="T125" s="148"/>
      <c r="U125" s="148"/>
      <c r="V125" s="148"/>
      <c r="W125" s="148"/>
      <c r="X125" s="148"/>
      <c r="Y125" s="148"/>
      <c r="Z125" s="148"/>
      <c r="AA125" s="149"/>
      <c r="AB125" s="149"/>
      <c r="AC125" s="148"/>
      <c r="AD125" s="149"/>
      <c r="AE125" s="149"/>
      <c r="AF125" s="148"/>
      <c r="AG125" s="147"/>
      <c r="AH125" s="147"/>
      <c r="AI125" s="147"/>
      <c r="AJ125" s="147"/>
      <c r="AK125" s="147"/>
      <c r="AL125" s="147"/>
    </row>
    <row r="126" spans="1:38" s="76" customFormat="1" ht="18" x14ac:dyDescent="0.3">
      <c r="A126" s="147"/>
      <c r="B126" s="141"/>
      <c r="C126" s="214" t="s">
        <v>277</v>
      </c>
      <c r="D126" s="244" t="s">
        <v>185</v>
      </c>
      <c r="E126" s="244" t="s">
        <v>300</v>
      </c>
      <c r="F126" s="73" t="s">
        <v>128</v>
      </c>
      <c r="G126" s="198" t="s">
        <v>158</v>
      </c>
      <c r="H126" s="198" t="str">
        <f t="shared" ref="H126:K127" si="4">IF($B38="x","enthalten","Kauf nach CF")</f>
        <v>Kauf nach CF</v>
      </c>
      <c r="I126" s="198" t="str">
        <f t="shared" si="4"/>
        <v>Kauf nach CF</v>
      </c>
      <c r="J126" s="198" t="str">
        <f t="shared" si="4"/>
        <v>Kauf nach CF</v>
      </c>
      <c r="K126" s="198" t="str">
        <f t="shared" si="4"/>
        <v>Kauf nach CF</v>
      </c>
      <c r="L126" s="140" t="s">
        <v>4</v>
      </c>
      <c r="M126" s="140"/>
      <c r="N126" s="140"/>
      <c r="O126" s="140" t="s">
        <v>4</v>
      </c>
      <c r="P126" s="140" t="s">
        <v>4</v>
      </c>
      <c r="Q126" s="81" t="s">
        <v>5</v>
      </c>
      <c r="R126" s="75">
        <v>11.99</v>
      </c>
      <c r="S126" s="78" t="s">
        <v>6</v>
      </c>
      <c r="T126" s="148"/>
      <c r="U126" s="148"/>
      <c r="V126" s="148"/>
      <c r="W126" s="148"/>
      <c r="X126" s="148"/>
      <c r="Y126" s="148"/>
      <c r="Z126" s="148"/>
      <c r="AA126" s="149"/>
      <c r="AB126" s="149"/>
      <c r="AC126" s="148"/>
      <c r="AD126" s="149"/>
      <c r="AE126" s="149"/>
      <c r="AF126" s="148"/>
      <c r="AG126" s="147"/>
      <c r="AH126" s="147"/>
      <c r="AI126" s="147"/>
      <c r="AJ126" s="147"/>
      <c r="AK126" s="147"/>
      <c r="AL126" s="147"/>
    </row>
    <row r="127" spans="1:38" s="76" customFormat="1" ht="18.75" thickBot="1" x14ac:dyDescent="0.35">
      <c r="A127" s="147"/>
      <c r="B127" s="141"/>
      <c r="C127" s="214" t="s">
        <v>278</v>
      </c>
      <c r="D127" s="244" t="s">
        <v>185</v>
      </c>
      <c r="E127" s="244" t="s">
        <v>298</v>
      </c>
      <c r="F127" s="73" t="s">
        <v>394</v>
      </c>
      <c r="G127" s="198" t="s">
        <v>158</v>
      </c>
      <c r="H127" s="198" t="str">
        <f t="shared" si="4"/>
        <v>Kauf nach CF</v>
      </c>
      <c r="I127" s="198" t="str">
        <f t="shared" si="4"/>
        <v>Kauf nach CF</v>
      </c>
      <c r="J127" s="198" t="str">
        <f t="shared" si="4"/>
        <v>Kauf nach CF</v>
      </c>
      <c r="K127" s="198" t="str">
        <f t="shared" si="4"/>
        <v>Kauf nach CF</v>
      </c>
      <c r="L127" s="140" t="s">
        <v>4</v>
      </c>
      <c r="M127" s="140"/>
      <c r="N127" s="140"/>
      <c r="O127" s="140" t="s">
        <v>4</v>
      </c>
      <c r="P127" s="140" t="s">
        <v>4</v>
      </c>
      <c r="Q127" s="81" t="s">
        <v>5</v>
      </c>
      <c r="R127" s="75">
        <v>9.99</v>
      </c>
      <c r="S127" s="78" t="s">
        <v>6</v>
      </c>
      <c r="T127" s="148"/>
      <c r="U127" s="148"/>
      <c r="V127" s="148"/>
      <c r="W127" s="148"/>
      <c r="X127" s="148"/>
      <c r="Y127" s="148"/>
      <c r="Z127" s="148"/>
      <c r="AA127" s="149"/>
      <c r="AB127" s="149"/>
      <c r="AC127" s="148"/>
      <c r="AD127" s="149"/>
      <c r="AE127" s="149"/>
      <c r="AF127" s="148"/>
      <c r="AG127" s="147"/>
      <c r="AH127" s="147"/>
      <c r="AI127" s="147"/>
      <c r="AJ127" s="147"/>
      <c r="AK127" s="147"/>
      <c r="AL127" s="147"/>
    </row>
    <row r="128" spans="1:38" s="1" customFormat="1" ht="15.75" thickBot="1" x14ac:dyDescent="0.35">
      <c r="A128" s="149"/>
      <c r="B128" s="305" t="s">
        <v>162</v>
      </c>
      <c r="C128" s="581" t="s">
        <v>195</v>
      </c>
      <c r="D128" s="582"/>
      <c r="E128" s="582"/>
      <c r="F128" s="583"/>
      <c r="G128" s="207">
        <f t="shared" ref="G128:P128" si="5">SUMIF(G$98:G$127,"µ",$R$98:$R$127)</f>
        <v>0</v>
      </c>
      <c r="H128" s="207">
        <f t="shared" si="5"/>
        <v>0</v>
      </c>
      <c r="I128" s="207">
        <f t="shared" si="5"/>
        <v>0</v>
      </c>
      <c r="J128" s="207">
        <f t="shared" si="5"/>
        <v>0</v>
      </c>
      <c r="K128" s="207">
        <f t="shared" si="5"/>
        <v>94.96</v>
      </c>
      <c r="L128" s="207">
        <f t="shared" si="5"/>
        <v>153.91</v>
      </c>
      <c r="M128" s="207">
        <f t="shared" si="5"/>
        <v>0</v>
      </c>
      <c r="N128" s="207">
        <f t="shared" si="5"/>
        <v>0</v>
      </c>
      <c r="O128" s="207">
        <f t="shared" si="5"/>
        <v>153.91</v>
      </c>
      <c r="P128" s="208">
        <f t="shared" si="5"/>
        <v>153.91</v>
      </c>
      <c r="Q128" s="209">
        <f>SUM(Q98:Q127)</f>
        <v>0</v>
      </c>
      <c r="R128" s="210">
        <f>SUM(R98:R127)</f>
        <v>153.91</v>
      </c>
      <c r="S128" s="314"/>
      <c r="T128" s="148"/>
      <c r="U128" s="148"/>
      <c r="V128" s="148"/>
      <c r="W128" s="148"/>
      <c r="X128" s="148"/>
      <c r="Y128" s="148"/>
      <c r="Z128" s="148"/>
      <c r="AA128" s="149"/>
      <c r="AB128" s="149"/>
      <c r="AC128" s="148"/>
      <c r="AD128" s="149"/>
      <c r="AE128" s="149"/>
      <c r="AF128" s="148"/>
      <c r="AG128" s="149"/>
      <c r="AH128" s="149"/>
      <c r="AI128" s="149"/>
      <c r="AJ128" s="149"/>
      <c r="AK128" s="149"/>
      <c r="AL128" s="149"/>
    </row>
    <row r="129" spans="1:38" s="1" customFormat="1" ht="15.75" thickBot="1" x14ac:dyDescent="0.35">
      <c r="A129" s="149"/>
      <c r="B129" s="206" t="s">
        <v>163</v>
      </c>
      <c r="C129" s="581" t="s">
        <v>196</v>
      </c>
      <c r="D129" s="582"/>
      <c r="E129" s="582"/>
      <c r="F129" s="583"/>
      <c r="G129" s="207">
        <f t="shared" ref="G129:R129" si="6">G95+G128</f>
        <v>0</v>
      </c>
      <c r="H129" s="207">
        <f t="shared" si="6"/>
        <v>39.950000000000003</v>
      </c>
      <c r="I129" s="207">
        <f t="shared" si="6"/>
        <v>39.950000000000003</v>
      </c>
      <c r="J129" s="207">
        <f t="shared" si="6"/>
        <v>59.95</v>
      </c>
      <c r="K129" s="207">
        <f t="shared" si="6"/>
        <v>204.81</v>
      </c>
      <c r="L129" s="207">
        <f t="shared" si="6"/>
        <v>153.91</v>
      </c>
      <c r="M129" s="207">
        <f t="shared" si="6"/>
        <v>0</v>
      </c>
      <c r="N129" s="207">
        <f t="shared" si="6"/>
        <v>0</v>
      </c>
      <c r="O129" s="207">
        <f t="shared" si="6"/>
        <v>436.40999999999997</v>
      </c>
      <c r="P129" s="208">
        <f t="shared" si="6"/>
        <v>555.15999999999985</v>
      </c>
      <c r="Q129" s="209">
        <f t="shared" si="6"/>
        <v>1215.9000000000005</v>
      </c>
      <c r="R129" s="210">
        <f t="shared" si="6"/>
        <v>1666.6600000000021</v>
      </c>
      <c r="S129" s="149"/>
      <c r="T129" s="148"/>
      <c r="U129" s="148"/>
      <c r="V129" s="148"/>
      <c r="W129" s="148"/>
      <c r="X129" s="148"/>
      <c r="Y129" s="148"/>
      <c r="Z129" s="148"/>
      <c r="AA129" s="149"/>
      <c r="AB129" s="149"/>
      <c r="AC129" s="148"/>
      <c r="AD129" s="149"/>
      <c r="AE129" s="149"/>
      <c r="AF129" s="148"/>
      <c r="AG129" s="149"/>
      <c r="AH129" s="149"/>
      <c r="AI129" s="149"/>
      <c r="AJ129" s="149"/>
      <c r="AK129" s="149"/>
      <c r="AL129" s="149"/>
    </row>
    <row r="130" spans="1:38" s="1" customFormat="1" ht="6.75" customHeight="1" thickBot="1" x14ac:dyDescent="0.35">
      <c r="A130" s="149"/>
      <c r="B130" s="164"/>
      <c r="C130" s="165"/>
      <c r="D130" s="241"/>
      <c r="E130" s="241"/>
      <c r="F130" s="165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7"/>
      <c r="R130" s="168"/>
      <c r="S130" s="149"/>
      <c r="T130" s="148"/>
      <c r="U130" s="148"/>
      <c r="V130" s="148"/>
      <c r="W130" s="148"/>
      <c r="X130" s="148"/>
      <c r="Y130" s="148"/>
      <c r="Z130" s="148"/>
      <c r="AA130" s="149"/>
      <c r="AB130" s="149"/>
      <c r="AC130" s="148"/>
      <c r="AD130" s="149"/>
      <c r="AE130" s="149"/>
      <c r="AF130" s="148"/>
      <c r="AG130" s="149"/>
      <c r="AH130" s="149"/>
      <c r="AI130" s="149"/>
      <c r="AJ130" s="149"/>
      <c r="AK130" s="149"/>
      <c r="AL130" s="149"/>
    </row>
    <row r="131" spans="1:38" s="1" customFormat="1" ht="15.75" thickBot="1" x14ac:dyDescent="0.35">
      <c r="A131" s="149"/>
      <c r="B131" s="211" t="s">
        <v>7</v>
      </c>
      <c r="C131" s="578" t="s">
        <v>197</v>
      </c>
      <c r="D131" s="579"/>
      <c r="E131" s="579"/>
      <c r="F131" s="580"/>
      <c r="G131" s="183">
        <f t="shared" ref="G131:L131" si="7">G$7+SUMIFS($Q$8:$Q$127,$B$8:$B$127,"x",G$8:G$127,"Zusatzprodukt")+SUMIFS($R$8:$R$127,$B$8:$B$127,"x",G$8:G$127,"Kauf nach CF")</f>
        <v>0</v>
      </c>
      <c r="H131" s="183">
        <f t="shared" si="7"/>
        <v>40</v>
      </c>
      <c r="I131" s="183">
        <f t="shared" si="7"/>
        <v>40</v>
      </c>
      <c r="J131" s="183">
        <f t="shared" si="7"/>
        <v>60</v>
      </c>
      <c r="K131" s="183">
        <f t="shared" si="7"/>
        <v>110</v>
      </c>
      <c r="L131" s="183">
        <f t="shared" si="7"/>
        <v>125</v>
      </c>
      <c r="M131" s="183"/>
      <c r="N131" s="183"/>
      <c r="O131" s="183">
        <f>O$7+SUMIFS($Q$8:$Q$127,$B$8:$B$127,"x",O$8:O$127,"Zusatzprodukt")+SUMIFS($R$8:$R$127,$B$8:$B$127,"x",O$8:O$127,"Kauf nach CF")</f>
        <v>230</v>
      </c>
      <c r="P131" s="184">
        <f>P$7+SUMIFS($Q$8:$Q$127,$B$8:$B$127,"x",P$8:P$127,"Zusatzprodukt")+SUMIFS($R$8:$R$127,$B$8:$B$127,"x",P$8:P$127,"Kauf nach CF")</f>
        <v>330</v>
      </c>
      <c r="Q131" s="167"/>
      <c r="R131" s="168"/>
      <c r="S131" s="149"/>
      <c r="T131" s="148"/>
      <c r="U131" s="148"/>
      <c r="V131" s="148"/>
      <c r="W131" s="148"/>
      <c r="X131" s="148"/>
      <c r="Y131" s="148"/>
      <c r="Z131" s="148"/>
      <c r="AA131" s="149"/>
      <c r="AB131" s="149"/>
      <c r="AC131" s="148"/>
      <c r="AD131" s="149"/>
      <c r="AE131" s="149"/>
      <c r="AF131" s="148"/>
      <c r="AG131" s="149"/>
      <c r="AH131" s="149"/>
      <c r="AI131" s="149"/>
      <c r="AJ131" s="149"/>
      <c r="AK131" s="149"/>
      <c r="AL131" s="149"/>
    </row>
    <row r="132" spans="1:38" s="1" customFormat="1" x14ac:dyDescent="0.3">
      <c r="A132" s="149"/>
      <c r="B132" s="164"/>
      <c r="C132" s="570" t="s">
        <v>193</v>
      </c>
      <c r="D132" s="571"/>
      <c r="E132" s="571"/>
      <c r="F132" s="228" t="s">
        <v>217</v>
      </c>
      <c r="G132" s="230" t="s">
        <v>8</v>
      </c>
      <c r="H132" s="229">
        <f>$G$131-H$131</f>
        <v>-40</v>
      </c>
      <c r="I132" s="229">
        <f>$G$131-I$131</f>
        <v>-40</v>
      </c>
      <c r="J132" s="229">
        <f>$G$131-J$131</f>
        <v>-60</v>
      </c>
      <c r="K132" s="229">
        <f>$G$131-K$131</f>
        <v>-110</v>
      </c>
      <c r="L132" s="229">
        <f>$G$131-L$131</f>
        <v>-125</v>
      </c>
      <c r="M132" s="229"/>
      <c r="N132" s="229"/>
      <c r="O132" s="229">
        <f>$G$131-O$131</f>
        <v>-230</v>
      </c>
      <c r="P132" s="231">
        <f>$G$131-P$131</f>
        <v>-330</v>
      </c>
      <c r="Q132" s="167"/>
      <c r="R132" s="168"/>
      <c r="S132" s="149"/>
      <c r="T132" s="148"/>
      <c r="U132" s="148"/>
      <c r="V132" s="148"/>
      <c r="W132" s="148"/>
      <c r="X132" s="148"/>
      <c r="Y132" s="148"/>
      <c r="Z132" s="148"/>
      <c r="AA132" s="149"/>
      <c r="AB132" s="149"/>
      <c r="AC132" s="148"/>
      <c r="AD132" s="149"/>
      <c r="AE132" s="149"/>
      <c r="AF132" s="148"/>
      <c r="AG132" s="149"/>
      <c r="AH132" s="149"/>
      <c r="AI132" s="149"/>
      <c r="AJ132" s="149"/>
      <c r="AK132" s="149"/>
      <c r="AL132" s="149"/>
    </row>
    <row r="133" spans="1:38" s="1" customFormat="1" ht="18" customHeight="1" x14ac:dyDescent="0.3">
      <c r="A133" s="149"/>
      <c r="B133" s="164"/>
      <c r="C133" s="572"/>
      <c r="D133" s="573"/>
      <c r="E133" s="573"/>
      <c r="F133" s="228" t="str">
        <f>H3</f>
        <v>Neu in Aventurien</v>
      </c>
      <c r="G133" s="229">
        <f>$H$131-G$131</f>
        <v>40</v>
      </c>
      <c r="H133" s="230" t="s">
        <v>8</v>
      </c>
      <c r="I133" s="229">
        <f>$H$131-I$131</f>
        <v>0</v>
      </c>
      <c r="J133" s="229">
        <f>$H$131-J$131</f>
        <v>-20</v>
      </c>
      <c r="K133" s="229">
        <f>$H$131-K$131</f>
        <v>-70</v>
      </c>
      <c r="L133" s="229">
        <f>$H$131-L$131</f>
        <v>-85</v>
      </c>
      <c r="M133" s="229"/>
      <c r="N133" s="229"/>
      <c r="O133" s="229">
        <f>$H$131-O$131</f>
        <v>-190</v>
      </c>
      <c r="P133" s="231">
        <f>$H$131-P$131</f>
        <v>-290</v>
      </c>
      <c r="Q133" s="167"/>
      <c r="R133" s="168"/>
      <c r="S133" s="149"/>
      <c r="T133" s="148"/>
      <c r="U133" s="148"/>
      <c r="V133" s="148"/>
      <c r="W133" s="148"/>
      <c r="X133" s="148"/>
      <c r="Y133" s="148"/>
      <c r="Z133" s="148"/>
      <c r="AA133" s="149"/>
      <c r="AB133" s="149"/>
      <c r="AC133" s="148"/>
      <c r="AD133" s="149"/>
      <c r="AE133" s="149"/>
      <c r="AF133" s="148"/>
      <c r="AG133" s="149"/>
      <c r="AH133" s="149"/>
      <c r="AI133" s="149"/>
      <c r="AJ133" s="149"/>
      <c r="AK133" s="149"/>
      <c r="AL133" s="149"/>
    </row>
    <row r="134" spans="1:38" s="1" customFormat="1" ht="18" customHeight="1" x14ac:dyDescent="0.3">
      <c r="A134" s="149"/>
      <c r="B134" s="164"/>
      <c r="C134" s="572"/>
      <c r="D134" s="573"/>
      <c r="E134" s="573"/>
      <c r="F134" s="228" t="str">
        <f>I3</f>
        <v>Ritterin</v>
      </c>
      <c r="G134" s="229">
        <f>$I$131-G$131</f>
        <v>40</v>
      </c>
      <c r="H134" s="229">
        <f>$I$131-H$131</f>
        <v>0</v>
      </c>
      <c r="I134" s="230" t="s">
        <v>8</v>
      </c>
      <c r="J134" s="229">
        <f>$I$131-J$131</f>
        <v>-20</v>
      </c>
      <c r="K134" s="229">
        <f>$I$131-K$131</f>
        <v>-70</v>
      </c>
      <c r="L134" s="229">
        <f>$I$131-L$131</f>
        <v>-85</v>
      </c>
      <c r="M134" s="229"/>
      <c r="N134" s="229"/>
      <c r="O134" s="229">
        <f>$I$131-O$131</f>
        <v>-190</v>
      </c>
      <c r="P134" s="231">
        <f>$I$131-P$131</f>
        <v>-290</v>
      </c>
      <c r="Q134" s="167"/>
      <c r="R134" s="168"/>
      <c r="S134" s="149"/>
      <c r="T134" s="148"/>
      <c r="U134" s="148"/>
      <c r="V134" s="148"/>
      <c r="W134" s="148"/>
      <c r="X134" s="148"/>
      <c r="Y134" s="148"/>
      <c r="Z134" s="148"/>
      <c r="AA134" s="149"/>
      <c r="AB134" s="149"/>
      <c r="AC134" s="148"/>
      <c r="AD134" s="149"/>
      <c r="AE134" s="149"/>
      <c r="AF134" s="148"/>
      <c r="AG134" s="149"/>
      <c r="AH134" s="149"/>
      <c r="AI134" s="149"/>
      <c r="AJ134" s="149"/>
      <c r="AK134" s="149"/>
      <c r="AL134" s="149"/>
    </row>
    <row r="135" spans="1:38" s="1" customFormat="1" ht="18" customHeight="1" x14ac:dyDescent="0.25">
      <c r="A135" s="149"/>
      <c r="B135" s="164"/>
      <c r="C135" s="572"/>
      <c r="D135" s="573"/>
      <c r="E135" s="573"/>
      <c r="F135" s="228" t="str">
        <f>J3</f>
        <v>Baron</v>
      </c>
      <c r="G135" s="229">
        <f>$J$131-G$131</f>
        <v>60</v>
      </c>
      <c r="H135" s="229">
        <f>$J$131-H$131</f>
        <v>20</v>
      </c>
      <c r="I135" s="229">
        <f>$J$131-I$131</f>
        <v>20</v>
      </c>
      <c r="J135" s="230" t="s">
        <v>8</v>
      </c>
      <c r="K135" s="229">
        <f>$J$131-K$131</f>
        <v>-50</v>
      </c>
      <c r="L135" s="229">
        <f>$J$131-L$131</f>
        <v>-65</v>
      </c>
      <c r="M135" s="229"/>
      <c r="N135" s="229"/>
      <c r="O135" s="229">
        <f>$J$131-O$131</f>
        <v>-170</v>
      </c>
      <c r="P135" s="231">
        <f>$J$131-P$131</f>
        <v>-270</v>
      </c>
      <c r="Q135" s="167"/>
      <c r="R135" s="168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</row>
    <row r="136" spans="1:38" s="1" customFormat="1" ht="18" customHeight="1" x14ac:dyDescent="0.25">
      <c r="A136" s="149"/>
      <c r="B136" s="164"/>
      <c r="C136" s="572"/>
      <c r="D136" s="573"/>
      <c r="E136" s="573"/>
      <c r="F136" s="228" t="str">
        <f>K3</f>
        <v>Gräfin</v>
      </c>
      <c r="G136" s="229">
        <f>$K$131-G$131</f>
        <v>110</v>
      </c>
      <c r="H136" s="229">
        <f>$K$131-H$131</f>
        <v>70</v>
      </c>
      <c r="I136" s="229">
        <f>$K$131-I$131</f>
        <v>70</v>
      </c>
      <c r="J136" s="229">
        <f>$K$131-J$131</f>
        <v>50</v>
      </c>
      <c r="K136" s="230" t="s">
        <v>8</v>
      </c>
      <c r="L136" s="229">
        <f>$K$131-L$131</f>
        <v>-15</v>
      </c>
      <c r="M136" s="229"/>
      <c r="N136" s="229"/>
      <c r="O136" s="229">
        <f>$K$131-O$131</f>
        <v>-120</v>
      </c>
      <c r="P136" s="231">
        <f>$K$131-P$131</f>
        <v>-220</v>
      </c>
      <c r="Q136" s="167"/>
      <c r="R136" s="168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</row>
    <row r="137" spans="1:38" s="1" customFormat="1" ht="18" customHeight="1" x14ac:dyDescent="0.25">
      <c r="A137" s="149"/>
      <c r="B137" s="164"/>
      <c r="C137" s="572"/>
      <c r="D137" s="573"/>
      <c r="E137" s="573"/>
      <c r="F137" s="228" t="str">
        <f>L3</f>
        <v>Digitaler Fürst</v>
      </c>
      <c r="G137" s="229">
        <f>$L$131-G$131</f>
        <v>125</v>
      </c>
      <c r="H137" s="229">
        <f>$L$131-H$131</f>
        <v>85</v>
      </c>
      <c r="I137" s="229">
        <f>$L$131-I$131</f>
        <v>85</v>
      </c>
      <c r="J137" s="229">
        <f>$L$131-J$131</f>
        <v>65</v>
      </c>
      <c r="K137" s="229">
        <f>$L$131-K$131</f>
        <v>15</v>
      </c>
      <c r="L137" s="230" t="s">
        <v>8</v>
      </c>
      <c r="M137" s="229"/>
      <c r="N137" s="229"/>
      <c r="O137" s="229">
        <f>$L$131-O$131</f>
        <v>-105</v>
      </c>
      <c r="P137" s="231">
        <f>$L$131-P$131</f>
        <v>-205</v>
      </c>
      <c r="Q137" s="167"/>
      <c r="R137" s="168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</row>
    <row r="138" spans="1:38" s="1" customFormat="1" ht="18" hidden="1" customHeight="1" outlineLevel="1" x14ac:dyDescent="0.25">
      <c r="A138" s="149"/>
      <c r="B138" s="164"/>
      <c r="C138" s="572"/>
      <c r="D138" s="573"/>
      <c r="E138" s="573"/>
      <c r="F138" s="228">
        <f>M3</f>
        <v>0</v>
      </c>
      <c r="G138" s="229">
        <f t="shared" ref="G138:L138" si="8">$M$131-G$131</f>
        <v>0</v>
      </c>
      <c r="H138" s="229">
        <f t="shared" si="8"/>
        <v>-40</v>
      </c>
      <c r="I138" s="229">
        <f t="shared" si="8"/>
        <v>-40</v>
      </c>
      <c r="J138" s="229">
        <f t="shared" si="8"/>
        <v>-60</v>
      </c>
      <c r="K138" s="229">
        <f t="shared" si="8"/>
        <v>-110</v>
      </c>
      <c r="L138" s="229">
        <f t="shared" si="8"/>
        <v>-125</v>
      </c>
      <c r="M138" s="230"/>
      <c r="N138" s="229"/>
      <c r="O138" s="229">
        <f>$M$131-O$131</f>
        <v>-230</v>
      </c>
      <c r="P138" s="231">
        <f>$M$131-P$131</f>
        <v>-330</v>
      </c>
      <c r="Q138" s="167"/>
      <c r="R138" s="168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</row>
    <row r="139" spans="1:38" s="1" customFormat="1" ht="18" hidden="1" customHeight="1" outlineLevel="1" x14ac:dyDescent="0.25">
      <c r="A139" s="149"/>
      <c r="B139" s="164"/>
      <c r="C139" s="572"/>
      <c r="D139" s="573"/>
      <c r="E139" s="573"/>
      <c r="F139" s="228">
        <f>N3</f>
        <v>0</v>
      </c>
      <c r="G139" s="229">
        <f t="shared" ref="G139:L139" si="9">$N$131-G$131</f>
        <v>0</v>
      </c>
      <c r="H139" s="229">
        <f t="shared" si="9"/>
        <v>-40</v>
      </c>
      <c r="I139" s="229">
        <f t="shared" si="9"/>
        <v>-40</v>
      </c>
      <c r="J139" s="229">
        <f t="shared" si="9"/>
        <v>-60</v>
      </c>
      <c r="K139" s="229">
        <f t="shared" si="9"/>
        <v>-110</v>
      </c>
      <c r="L139" s="229">
        <f t="shared" si="9"/>
        <v>-125</v>
      </c>
      <c r="M139" s="229"/>
      <c r="N139" s="230"/>
      <c r="O139" s="229">
        <f>$N$131-O$131</f>
        <v>-230</v>
      </c>
      <c r="P139" s="231">
        <f>$N$131-P$131</f>
        <v>-330</v>
      </c>
      <c r="Q139" s="167"/>
      <c r="R139" s="168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</row>
    <row r="140" spans="1:38" s="1" customFormat="1" ht="18" customHeight="1" collapsed="1" x14ac:dyDescent="0.25">
      <c r="A140" s="149"/>
      <c r="B140" s="164"/>
      <c r="C140" s="572"/>
      <c r="D140" s="573"/>
      <c r="E140" s="573"/>
      <c r="F140" s="228" t="str">
        <f>O3</f>
        <v>Fürst</v>
      </c>
      <c r="G140" s="229">
        <f t="shared" ref="G140:L140" si="10">$O$131-G$131</f>
        <v>230</v>
      </c>
      <c r="H140" s="229">
        <f t="shared" si="10"/>
        <v>190</v>
      </c>
      <c r="I140" s="229">
        <f t="shared" si="10"/>
        <v>190</v>
      </c>
      <c r="J140" s="229">
        <f t="shared" si="10"/>
        <v>170</v>
      </c>
      <c r="K140" s="229">
        <f t="shared" si="10"/>
        <v>120</v>
      </c>
      <c r="L140" s="229">
        <f t="shared" si="10"/>
        <v>105</v>
      </c>
      <c r="M140" s="229"/>
      <c r="N140" s="229"/>
      <c r="O140" s="230" t="s">
        <v>8</v>
      </c>
      <c r="P140" s="231">
        <f>$O$131-P$131</f>
        <v>-100</v>
      </c>
      <c r="Q140" s="167"/>
      <c r="R140" s="168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</row>
    <row r="141" spans="1:38" s="1" customFormat="1" ht="18.75" customHeight="1" thickBot="1" x14ac:dyDescent="0.3">
      <c r="A141" s="149"/>
      <c r="B141" s="164"/>
      <c r="C141" s="574"/>
      <c r="D141" s="575"/>
      <c r="E141" s="575"/>
      <c r="F141" s="232" t="str">
        <f>P3</f>
        <v>Herzogin</v>
      </c>
      <c r="G141" s="233">
        <f t="shared" ref="G141:L141" si="11">$P$131-G$131</f>
        <v>330</v>
      </c>
      <c r="H141" s="233">
        <f t="shared" si="11"/>
        <v>290</v>
      </c>
      <c r="I141" s="233">
        <f t="shared" si="11"/>
        <v>290</v>
      </c>
      <c r="J141" s="233">
        <f t="shared" si="11"/>
        <v>270</v>
      </c>
      <c r="K141" s="233">
        <f t="shared" si="11"/>
        <v>220</v>
      </c>
      <c r="L141" s="233">
        <f t="shared" si="11"/>
        <v>205</v>
      </c>
      <c r="M141" s="233"/>
      <c r="N141" s="233"/>
      <c r="O141" s="233">
        <f>$P$131-O$131</f>
        <v>100</v>
      </c>
      <c r="P141" s="234" t="s">
        <v>8</v>
      </c>
      <c r="Q141" s="167"/>
      <c r="R141" s="168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</row>
    <row r="142" spans="1:38" s="1" customFormat="1" ht="15.75" thickBot="1" x14ac:dyDescent="0.3">
      <c r="A142" s="149"/>
      <c r="B142" s="164"/>
      <c r="C142" s="165"/>
      <c r="D142" s="241"/>
      <c r="E142" s="241"/>
      <c r="F142" s="165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7"/>
      <c r="R142" s="168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</row>
    <row r="143" spans="1:38" s="1" customFormat="1" x14ac:dyDescent="0.3">
      <c r="A143" s="149"/>
      <c r="B143" s="584" t="s">
        <v>9</v>
      </c>
      <c r="C143" s="592" t="s">
        <v>198</v>
      </c>
      <c r="D143" s="593"/>
      <c r="E143" s="593"/>
      <c r="F143" s="594"/>
      <c r="G143" s="589">
        <f>SUMIF($B$8:$B$127,"x",$R$8:$R$127)</f>
        <v>0</v>
      </c>
      <c r="H143" s="590"/>
      <c r="I143" s="590"/>
      <c r="J143" s="590"/>
      <c r="K143" s="590"/>
      <c r="L143" s="590"/>
      <c r="M143" s="590"/>
      <c r="N143" s="590"/>
      <c r="O143" s="590"/>
      <c r="P143" s="591"/>
      <c r="Q143" s="169"/>
      <c r="R143" s="170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</row>
    <row r="144" spans="1:38" s="1" customFormat="1" x14ac:dyDescent="0.3">
      <c r="A144" s="149"/>
      <c r="B144" s="585"/>
      <c r="C144" s="601" t="s">
        <v>199</v>
      </c>
      <c r="D144" s="602"/>
      <c r="E144" s="602"/>
      <c r="F144" s="603"/>
      <c r="G144" s="201">
        <f t="shared" ref="G144:L144" si="12">$G$143-G131</f>
        <v>0</v>
      </c>
      <c r="H144" s="201">
        <f t="shared" si="12"/>
        <v>-40</v>
      </c>
      <c r="I144" s="201">
        <f t="shared" si="12"/>
        <v>-40</v>
      </c>
      <c r="J144" s="201">
        <f t="shared" si="12"/>
        <v>-60</v>
      </c>
      <c r="K144" s="201">
        <f t="shared" si="12"/>
        <v>-110</v>
      </c>
      <c r="L144" s="201">
        <f t="shared" si="12"/>
        <v>-125</v>
      </c>
      <c r="M144" s="201"/>
      <c r="N144" s="201"/>
      <c r="O144" s="201">
        <f>$G$143-O131</f>
        <v>-230</v>
      </c>
      <c r="P144" s="202">
        <f>$G$143-P131</f>
        <v>-330</v>
      </c>
      <c r="Q144" s="169"/>
      <c r="R144" s="170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</row>
    <row r="145" spans="1:38" s="1" customFormat="1" ht="15.75" thickBot="1" x14ac:dyDescent="0.35">
      <c r="A145" s="149"/>
      <c r="B145" s="586"/>
      <c r="C145" s="604" t="s">
        <v>156</v>
      </c>
      <c r="D145" s="605"/>
      <c r="E145" s="605"/>
      <c r="F145" s="606"/>
      <c r="G145" s="199">
        <f>IFERROR(G144/$G$143,)</f>
        <v>0</v>
      </c>
      <c r="H145" s="199">
        <f t="shared" ref="H145:I145" si="13">IFERROR(H144/$G$143,)</f>
        <v>0</v>
      </c>
      <c r="I145" s="199">
        <f t="shared" si="13"/>
        <v>0</v>
      </c>
      <c r="J145" s="199">
        <f>IFERROR(J144/$G$143,)</f>
        <v>0</v>
      </c>
      <c r="K145" s="199">
        <f>IFERROR(K144/$G$143,)</f>
        <v>0</v>
      </c>
      <c r="L145" s="199">
        <f>IFERROR(L144/$G$143,)</f>
        <v>0</v>
      </c>
      <c r="M145" s="199"/>
      <c r="N145" s="199"/>
      <c r="O145" s="199">
        <f>IFERROR(O144/$G$143,)</f>
        <v>0</v>
      </c>
      <c r="P145" s="200">
        <f>IFERROR(P144/$G$143,)</f>
        <v>0</v>
      </c>
      <c r="Q145" s="169"/>
      <c r="R145" s="170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</row>
    <row r="146" spans="1:38" s="2" customFormat="1" ht="15.75" thickBot="1" x14ac:dyDescent="0.35">
      <c r="A146" s="144"/>
      <c r="B146" s="173"/>
      <c r="C146" s="144"/>
      <c r="D146" s="161"/>
      <c r="E146" s="161"/>
      <c r="F146" s="144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57"/>
      <c r="R146" s="158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</row>
    <row r="147" spans="1:38" s="1" customFormat="1" ht="18" customHeight="1" x14ac:dyDescent="0.3">
      <c r="A147" s="149"/>
      <c r="B147" s="587" t="s">
        <v>10</v>
      </c>
      <c r="C147" s="598" t="s">
        <v>200</v>
      </c>
      <c r="D147" s="599"/>
      <c r="E147" s="599"/>
      <c r="F147" s="600"/>
      <c r="G147" s="248">
        <f t="shared" ref="G147:L147" si="14">SUMIFS($R$8:$R$127,$B$8:$B$127,"",G$8:G$127,"µ")</f>
        <v>0</v>
      </c>
      <c r="H147" s="248">
        <f t="shared" si="14"/>
        <v>39.950000000000003</v>
      </c>
      <c r="I147" s="248">
        <f t="shared" si="14"/>
        <v>39.950000000000003</v>
      </c>
      <c r="J147" s="248">
        <f t="shared" si="14"/>
        <v>59.95</v>
      </c>
      <c r="K147" s="248">
        <f t="shared" si="14"/>
        <v>204.81000000000003</v>
      </c>
      <c r="L147" s="248">
        <f t="shared" si="14"/>
        <v>153.91</v>
      </c>
      <c r="M147" s="248"/>
      <c r="N147" s="248"/>
      <c r="O147" s="248">
        <f>SUMIFS($R$8:$R$127,$B$8:$B$127,"",O$8:O$127,"µ")</f>
        <v>436.41</v>
      </c>
      <c r="P147" s="249">
        <f>SUMIFS($R$8:$R$127,$B$8:$B$127,"",P$8:P$127,"µ")</f>
        <v>555.16</v>
      </c>
      <c r="Q147" s="169"/>
      <c r="R147" s="170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</row>
    <row r="148" spans="1:38" s="1" customFormat="1" ht="15.75" thickBot="1" x14ac:dyDescent="0.35">
      <c r="A148" s="149"/>
      <c r="B148" s="588"/>
      <c r="C148" s="595" t="s">
        <v>218</v>
      </c>
      <c r="D148" s="596"/>
      <c r="E148" s="596"/>
      <c r="F148" s="597"/>
      <c r="G148" s="250">
        <f t="shared" ref="G148:L148" si="15">$G$143+G147</f>
        <v>0</v>
      </c>
      <c r="H148" s="250">
        <f t="shared" si="15"/>
        <v>39.950000000000003</v>
      </c>
      <c r="I148" s="250">
        <f t="shared" si="15"/>
        <v>39.950000000000003</v>
      </c>
      <c r="J148" s="250">
        <f t="shared" si="15"/>
        <v>59.95</v>
      </c>
      <c r="K148" s="250">
        <f t="shared" si="15"/>
        <v>204.81000000000003</v>
      </c>
      <c r="L148" s="250">
        <f t="shared" si="15"/>
        <v>153.91</v>
      </c>
      <c r="M148" s="250"/>
      <c r="N148" s="250"/>
      <c r="O148" s="250">
        <f>$G$143+O147</f>
        <v>436.41</v>
      </c>
      <c r="P148" s="251">
        <f>$G$143+P147</f>
        <v>555.16</v>
      </c>
      <c r="Q148" s="169"/>
      <c r="R148" s="170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</row>
    <row r="149" spans="1:38" s="1" customFormat="1" x14ac:dyDescent="0.3">
      <c r="A149" s="149"/>
      <c r="B149" s="587" t="s">
        <v>157</v>
      </c>
      <c r="C149" s="598" t="s">
        <v>405</v>
      </c>
      <c r="D149" s="599"/>
      <c r="E149" s="599"/>
      <c r="F149" s="600"/>
      <c r="G149" s="252">
        <f t="shared" ref="G149:P149" si="16">G148-G131</f>
        <v>0</v>
      </c>
      <c r="H149" s="252">
        <f t="shared" si="16"/>
        <v>-4.9999999999997158E-2</v>
      </c>
      <c r="I149" s="252">
        <f t="shared" si="16"/>
        <v>-4.9999999999997158E-2</v>
      </c>
      <c r="J149" s="252">
        <f t="shared" si="16"/>
        <v>-4.9999999999997158E-2</v>
      </c>
      <c r="K149" s="252">
        <f t="shared" si="16"/>
        <v>94.810000000000031</v>
      </c>
      <c r="L149" s="252">
        <f t="shared" ref="L149" si="17">L148-L131</f>
        <v>28.909999999999997</v>
      </c>
      <c r="M149" s="252"/>
      <c r="N149" s="252"/>
      <c r="O149" s="252">
        <f t="shared" si="16"/>
        <v>206.41000000000003</v>
      </c>
      <c r="P149" s="253">
        <f t="shared" si="16"/>
        <v>225.15999999999997</v>
      </c>
      <c r="Q149" s="169"/>
      <c r="R149" s="170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</row>
    <row r="150" spans="1:38" s="1" customFormat="1" ht="15.75" thickBot="1" x14ac:dyDescent="0.35">
      <c r="A150" s="149"/>
      <c r="B150" s="588"/>
      <c r="C150" s="595" t="s">
        <v>156</v>
      </c>
      <c r="D150" s="596"/>
      <c r="E150" s="596"/>
      <c r="F150" s="597"/>
      <c r="G150" s="254">
        <f>IFERROR(G149/G148,)</f>
        <v>0</v>
      </c>
      <c r="H150" s="254">
        <f t="shared" ref="H150:I150" si="18">IFERROR(H149/H148,)</f>
        <v>-1.2515644555693905E-3</v>
      </c>
      <c r="I150" s="254">
        <f t="shared" si="18"/>
        <v>-1.2515644555693905E-3</v>
      </c>
      <c r="J150" s="254">
        <f t="shared" ref="J150:P150" si="19">IFERROR(J149/J148,)</f>
        <v>-8.3402835696408937E-4</v>
      </c>
      <c r="K150" s="254">
        <f t="shared" si="19"/>
        <v>0.46291684976319525</v>
      </c>
      <c r="L150" s="254">
        <f t="shared" ref="L150" si="20">IFERROR(L149/L148,)</f>
        <v>0.18783704762523551</v>
      </c>
      <c r="M150" s="254"/>
      <c r="N150" s="254"/>
      <c r="O150" s="254">
        <f t="shared" si="19"/>
        <v>0.47297266332118881</v>
      </c>
      <c r="P150" s="255">
        <f t="shared" si="19"/>
        <v>0.40557677066071041</v>
      </c>
      <c r="Q150" s="169"/>
      <c r="R150" s="170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</row>
    <row r="151" spans="1:38" s="2" customFormat="1" ht="13.5" x14ac:dyDescent="0.25">
      <c r="A151" s="144"/>
      <c r="B151" s="173"/>
      <c r="C151" s="144"/>
      <c r="D151" s="161"/>
      <c r="E151" s="161"/>
      <c r="F151" s="144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58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</row>
    <row r="152" spans="1:38" s="2" customFormat="1" collapsed="1" x14ac:dyDescent="0.3">
      <c r="A152" s="150"/>
      <c r="B152" s="144"/>
      <c r="C152" s="144"/>
      <c r="D152" s="161"/>
      <c r="E152" s="161"/>
      <c r="F152" s="144"/>
      <c r="G152" s="161"/>
      <c r="H152" s="161"/>
      <c r="I152" s="161"/>
      <c r="J152" s="161"/>
      <c r="K152" s="161"/>
      <c r="M152" s="174"/>
      <c r="N152" s="171"/>
      <c r="O152" s="159"/>
      <c r="P152" s="161"/>
      <c r="Q152" s="161"/>
      <c r="R152" s="172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</row>
    <row r="153" spans="1:38" s="2" customFormat="1" ht="19.5" hidden="1" customHeight="1" outlineLevel="1" thickBot="1" x14ac:dyDescent="0.35">
      <c r="A153" s="144"/>
      <c r="B153" s="176" t="s">
        <v>11</v>
      </c>
      <c r="C153" s="144"/>
      <c r="D153" s="161"/>
      <c r="E153" s="161"/>
      <c r="F153" s="144"/>
      <c r="G153" s="161"/>
      <c r="H153" s="161"/>
      <c r="I153" s="161"/>
      <c r="J153" s="161"/>
      <c r="K153" s="161"/>
      <c r="L153" s="161"/>
      <c r="M153" s="161"/>
      <c r="N153" s="174"/>
      <c r="O153" s="161"/>
      <c r="P153" s="161"/>
      <c r="Q153" s="157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</row>
    <row r="154" spans="1:38" s="2" customFormat="1" ht="19.5" hidden="1" customHeight="1" outlineLevel="1" thickBot="1" x14ac:dyDescent="0.35">
      <c r="A154" s="144"/>
      <c r="B154" s="176"/>
      <c r="C154" s="144"/>
      <c r="D154" s="161"/>
      <c r="E154" s="161"/>
      <c r="F154" s="144"/>
      <c r="G154" s="161"/>
      <c r="H154" s="161"/>
      <c r="I154" s="161"/>
      <c r="J154" s="161"/>
      <c r="K154" s="161"/>
      <c r="L154" s="161"/>
      <c r="M154" s="161"/>
      <c r="N154" s="174"/>
      <c r="O154" s="161"/>
      <c r="P154" s="161"/>
      <c r="Q154" s="157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</row>
    <row r="155" spans="1:38" s="2" customFormat="1" collapsed="1" x14ac:dyDescent="0.3">
      <c r="A155" s="144"/>
      <c r="B155" s="150"/>
      <c r="C155" s="144"/>
      <c r="D155" s="161"/>
      <c r="E155" s="161"/>
      <c r="F155" s="144"/>
      <c r="G155" s="161"/>
      <c r="H155" s="161"/>
      <c r="I155" s="161"/>
      <c r="J155" s="161"/>
      <c r="K155" s="161"/>
      <c r="L155" s="161"/>
      <c r="M155" s="161"/>
      <c r="N155" s="174"/>
      <c r="O155" s="161"/>
      <c r="P155" s="161"/>
      <c r="Q155" s="157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</row>
    <row r="156" spans="1:38" s="2" customFormat="1" x14ac:dyDescent="0.3">
      <c r="A156" s="144"/>
      <c r="B156" s="150"/>
      <c r="C156" s="144"/>
      <c r="D156" s="161"/>
      <c r="E156" s="161"/>
      <c r="F156" s="144"/>
      <c r="G156" s="161"/>
      <c r="H156" s="161"/>
      <c r="I156" s="161"/>
      <c r="J156" s="161"/>
      <c r="K156" s="161"/>
      <c r="L156" s="161"/>
      <c r="M156" s="161"/>
      <c r="N156" s="174"/>
      <c r="O156" s="161"/>
      <c r="P156" s="161"/>
      <c r="Q156" s="157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</row>
    <row r="157" spans="1:38" s="2" customFormat="1" x14ac:dyDescent="0.3">
      <c r="A157" s="144"/>
      <c r="B157" s="150"/>
      <c r="C157" s="144"/>
      <c r="D157" s="161"/>
      <c r="E157" s="161"/>
      <c r="F157" s="144"/>
      <c r="G157" s="161"/>
      <c r="H157" s="161"/>
      <c r="I157" s="161"/>
      <c r="J157" s="161"/>
      <c r="K157" s="161"/>
      <c r="L157" s="161"/>
      <c r="M157" s="161"/>
      <c r="N157" s="174"/>
      <c r="O157" s="161"/>
      <c r="P157" s="161"/>
      <c r="Q157" s="157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</row>
    <row r="158" spans="1:38" s="2" customFormat="1" x14ac:dyDescent="0.3">
      <c r="A158" s="144"/>
      <c r="B158" s="150"/>
      <c r="C158" s="144"/>
      <c r="D158" s="161"/>
      <c r="E158" s="161"/>
      <c r="F158" s="144"/>
      <c r="G158" s="161"/>
      <c r="H158" s="161"/>
      <c r="I158" s="161"/>
      <c r="J158" s="161"/>
      <c r="K158" s="161"/>
      <c r="L158" s="161"/>
      <c r="M158" s="161"/>
      <c r="N158" s="174"/>
      <c r="O158" s="161"/>
      <c r="P158" s="161"/>
      <c r="Q158" s="157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</row>
    <row r="159" spans="1:38" s="2" customFormat="1" x14ac:dyDescent="0.3">
      <c r="A159" s="144"/>
      <c r="B159" s="150"/>
      <c r="C159" s="144"/>
      <c r="D159" s="161"/>
      <c r="E159" s="161"/>
      <c r="F159" s="144"/>
      <c r="G159" s="161"/>
      <c r="H159" s="161"/>
      <c r="I159" s="161"/>
      <c r="J159" s="161"/>
      <c r="K159" s="161"/>
      <c r="L159" s="161"/>
      <c r="M159" s="161"/>
      <c r="N159" s="174"/>
      <c r="O159" s="161"/>
      <c r="P159" s="161"/>
      <c r="Q159" s="157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</row>
    <row r="160" spans="1:38" s="2" customFormat="1" x14ac:dyDescent="0.3">
      <c r="A160" s="144"/>
      <c r="B160" s="150"/>
      <c r="C160" s="144"/>
      <c r="D160" s="161"/>
      <c r="E160" s="161"/>
      <c r="F160" s="144"/>
      <c r="G160" s="161"/>
      <c r="H160" s="161"/>
      <c r="I160" s="161"/>
      <c r="J160" s="161"/>
      <c r="K160" s="161"/>
      <c r="L160" s="161"/>
      <c r="M160" s="161"/>
      <c r="N160" s="174"/>
      <c r="O160" s="161"/>
      <c r="P160" s="161"/>
      <c r="Q160" s="157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</row>
    <row r="161" spans="1:38" s="2" customFormat="1" x14ac:dyDescent="0.3">
      <c r="A161" s="144"/>
      <c r="B161" s="150"/>
      <c r="C161" s="144"/>
      <c r="D161" s="161"/>
      <c r="E161" s="161"/>
      <c r="F161" s="144"/>
      <c r="G161" s="161"/>
      <c r="H161" s="161"/>
      <c r="I161" s="161"/>
      <c r="J161" s="161"/>
      <c r="K161" s="161"/>
      <c r="L161" s="161"/>
      <c r="M161" s="161"/>
      <c r="N161" s="174"/>
      <c r="O161" s="161"/>
      <c r="P161" s="161"/>
      <c r="Q161" s="157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</row>
    <row r="162" spans="1:38" s="2" customFormat="1" x14ac:dyDescent="0.3">
      <c r="A162" s="144"/>
      <c r="B162" s="150"/>
      <c r="C162" s="144"/>
      <c r="D162" s="161"/>
      <c r="E162" s="161"/>
      <c r="F162" s="144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57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</row>
    <row r="163" spans="1:38" s="2" customFormat="1" x14ac:dyDescent="0.3">
      <c r="A163" s="144"/>
      <c r="B163" s="150"/>
      <c r="C163" s="144"/>
      <c r="D163" s="161"/>
      <c r="E163" s="161"/>
      <c r="F163" s="144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57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</row>
    <row r="164" spans="1:38" s="2" customFormat="1" x14ac:dyDescent="0.3">
      <c r="A164" s="144"/>
      <c r="B164" s="150"/>
      <c r="C164" s="144"/>
      <c r="D164" s="161"/>
      <c r="E164" s="161"/>
      <c r="F164" s="144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57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</row>
    <row r="165" spans="1:38" s="2" customFormat="1" x14ac:dyDescent="0.3">
      <c r="A165" s="144"/>
      <c r="B165" s="150"/>
      <c r="C165" s="144"/>
      <c r="D165" s="161"/>
      <c r="E165" s="161"/>
      <c r="F165" s="144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57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</row>
    <row r="166" spans="1:38" s="2" customFormat="1" x14ac:dyDescent="0.3">
      <c r="A166" s="144"/>
      <c r="B166" s="150"/>
      <c r="C166" s="144"/>
      <c r="D166" s="161"/>
      <c r="E166" s="161"/>
      <c r="F166" s="144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57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</row>
    <row r="167" spans="1:38" s="2" customFormat="1" x14ac:dyDescent="0.3">
      <c r="A167" s="144"/>
      <c r="B167" s="150"/>
      <c r="C167" s="144"/>
      <c r="D167" s="161"/>
      <c r="E167" s="161"/>
      <c r="F167" s="144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57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</row>
    <row r="168" spans="1:38" s="2" customFormat="1" x14ac:dyDescent="0.3">
      <c r="A168" s="144"/>
      <c r="B168" s="150"/>
      <c r="C168" s="144"/>
      <c r="D168" s="161"/>
      <c r="E168" s="161"/>
      <c r="F168" s="144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57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</row>
    <row r="169" spans="1:38" s="2" customFormat="1" x14ac:dyDescent="0.3">
      <c r="A169" s="144"/>
      <c r="B169" s="150"/>
      <c r="C169" s="144"/>
      <c r="D169" s="161"/>
      <c r="E169" s="161"/>
      <c r="F169" s="144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57"/>
      <c r="R169" s="158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</row>
    <row r="170" spans="1:38" s="2" customFormat="1" x14ac:dyDescent="0.3">
      <c r="A170" s="144"/>
      <c r="B170" s="150"/>
      <c r="C170" s="144"/>
      <c r="D170" s="161"/>
      <c r="E170" s="161"/>
      <c r="F170" s="144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57"/>
      <c r="R170" s="158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</row>
    <row r="171" spans="1:38" s="2" customFormat="1" x14ac:dyDescent="0.3">
      <c r="A171" s="144"/>
      <c r="B171" s="150"/>
      <c r="C171" s="144"/>
      <c r="D171" s="161"/>
      <c r="E171" s="161"/>
      <c r="F171" s="144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57"/>
      <c r="R171" s="158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</row>
    <row r="172" spans="1:38" s="2" customFormat="1" x14ac:dyDescent="0.3">
      <c r="A172" s="144"/>
      <c r="B172" s="150"/>
      <c r="C172" s="144"/>
      <c r="D172" s="161"/>
      <c r="E172" s="161"/>
      <c r="F172" s="144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57"/>
      <c r="R172" s="158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</row>
    <row r="173" spans="1:38" s="2" customFormat="1" x14ac:dyDescent="0.3">
      <c r="A173" s="144"/>
      <c r="B173" s="150"/>
      <c r="C173" s="144"/>
      <c r="D173" s="161"/>
      <c r="E173" s="161"/>
      <c r="F173" s="144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7"/>
      <c r="R173" s="158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</row>
    <row r="174" spans="1:38" s="2" customFormat="1" x14ac:dyDescent="0.3">
      <c r="A174" s="144"/>
      <c r="B174" s="150"/>
      <c r="C174" s="144"/>
      <c r="D174" s="161"/>
      <c r="E174" s="161"/>
      <c r="F174" s="144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57"/>
      <c r="R174" s="158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</row>
    <row r="175" spans="1:38" s="2" customFormat="1" x14ac:dyDescent="0.3">
      <c r="A175" s="144"/>
      <c r="B175" s="150"/>
      <c r="C175" s="144"/>
      <c r="D175" s="161"/>
      <c r="E175" s="161"/>
      <c r="F175" s="144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57"/>
      <c r="R175" s="158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</row>
    <row r="176" spans="1:38" s="2" customFormat="1" x14ac:dyDescent="0.3">
      <c r="A176" s="144"/>
      <c r="B176" s="150"/>
      <c r="C176" s="144"/>
      <c r="D176" s="161"/>
      <c r="E176" s="161"/>
      <c r="F176" s="144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57"/>
      <c r="R176" s="158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</row>
    <row r="177" spans="1:38" s="2" customFormat="1" x14ac:dyDescent="0.3">
      <c r="A177" s="144"/>
      <c r="B177" s="150"/>
      <c r="C177" s="144"/>
      <c r="D177" s="161"/>
      <c r="E177" s="161"/>
      <c r="F177" s="144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57"/>
      <c r="R177" s="158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</row>
    <row r="178" spans="1:38" s="2" customFormat="1" x14ac:dyDescent="0.3">
      <c r="A178" s="144"/>
      <c r="B178" s="150"/>
      <c r="C178" s="144"/>
      <c r="D178" s="161"/>
      <c r="E178" s="161"/>
      <c r="F178" s="144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57"/>
      <c r="R178" s="158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</row>
    <row r="179" spans="1:38" s="2" customFormat="1" x14ac:dyDescent="0.3">
      <c r="A179" s="144"/>
      <c r="B179" s="150"/>
      <c r="C179" s="144"/>
      <c r="D179" s="161"/>
      <c r="E179" s="161"/>
      <c r="F179" s="144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57"/>
      <c r="R179" s="158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</row>
    <row r="180" spans="1:38" s="2" customFormat="1" x14ac:dyDescent="0.3">
      <c r="A180" s="144"/>
      <c r="B180" s="150"/>
      <c r="C180" s="144"/>
      <c r="D180" s="161"/>
      <c r="E180" s="161"/>
      <c r="F180" s="144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57"/>
      <c r="R180" s="158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</row>
    <row r="181" spans="1:38" s="2" customFormat="1" x14ac:dyDescent="0.3">
      <c r="A181" s="144"/>
      <c r="B181" s="150"/>
      <c r="C181" s="144"/>
      <c r="D181" s="161"/>
      <c r="E181" s="161"/>
      <c r="F181" s="144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57"/>
      <c r="R181" s="158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</row>
    <row r="182" spans="1:38" s="2" customFormat="1" x14ac:dyDescent="0.3">
      <c r="A182" s="144"/>
      <c r="B182" s="150"/>
      <c r="C182" s="144"/>
      <c r="D182" s="161"/>
      <c r="E182" s="161"/>
      <c r="F182" s="144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57"/>
      <c r="R182" s="158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</row>
    <row r="183" spans="1:38" s="2" customFormat="1" x14ac:dyDescent="0.3">
      <c r="A183" s="144"/>
      <c r="B183" s="150"/>
      <c r="C183" s="144"/>
      <c r="D183" s="161"/>
      <c r="E183" s="161"/>
      <c r="F183" s="144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57"/>
      <c r="R183" s="158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</row>
    <row r="184" spans="1:38" s="2" customFormat="1" x14ac:dyDescent="0.3">
      <c r="A184" s="144"/>
      <c r="B184" s="150"/>
      <c r="C184" s="144"/>
      <c r="D184" s="161"/>
      <c r="E184" s="161"/>
      <c r="F184" s="144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57"/>
      <c r="R184" s="158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</row>
    <row r="185" spans="1:38" s="2" customFormat="1" x14ac:dyDescent="0.3">
      <c r="A185" s="144"/>
      <c r="B185" s="150"/>
      <c r="C185" s="144"/>
      <c r="D185" s="161"/>
      <c r="E185" s="161"/>
      <c r="F185" s="144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57"/>
      <c r="R185" s="158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</row>
    <row r="186" spans="1:38" s="2" customFormat="1" x14ac:dyDescent="0.3">
      <c r="A186" s="144"/>
      <c r="B186" s="150"/>
      <c r="C186" s="144"/>
      <c r="D186" s="161"/>
      <c r="E186" s="161"/>
      <c r="F186" s="144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57"/>
      <c r="R186" s="158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</row>
    <row r="187" spans="1:38" s="2" customFormat="1" x14ac:dyDescent="0.3">
      <c r="A187" s="144"/>
      <c r="B187" s="150"/>
      <c r="C187" s="144"/>
      <c r="D187" s="161"/>
      <c r="E187" s="161"/>
      <c r="F187" s="144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57"/>
      <c r="R187" s="158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</row>
    <row r="188" spans="1:38" x14ac:dyDescent="0.3">
      <c r="B188" s="150"/>
      <c r="C188" s="144"/>
      <c r="D188" s="161"/>
      <c r="E188" s="161"/>
      <c r="F188" s="144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57"/>
      <c r="R188" s="158"/>
      <c r="S188" s="144"/>
    </row>
  </sheetData>
  <sheetProtection algorithmName="SHA-512" hashValue="1kAyro1fYRkZxspSG7NGFH8NhT1lcm44vL+vzRGaRA56JCNbDUvBAOLlAeWE29+79LB/AikGvk6+sVOvsnuVgQ==" saltValue="GkLQ1cDn783uChRh5JhN2Q==" spinCount="100000" sheet="1" objects="1" scenarios="1"/>
  <protectedRanges>
    <protectedRange sqref="B8:B11 B31:B33 B98:B100 B120:B122 B125:B127 B36:B94" name="Auswahlfelder"/>
  </protectedRanges>
  <mergeCells count="22">
    <mergeCell ref="B143:B145"/>
    <mergeCell ref="B147:B148"/>
    <mergeCell ref="B149:B150"/>
    <mergeCell ref="G143:P143"/>
    <mergeCell ref="C143:F143"/>
    <mergeCell ref="C148:F148"/>
    <mergeCell ref="C149:F149"/>
    <mergeCell ref="C150:F150"/>
    <mergeCell ref="C144:F144"/>
    <mergeCell ref="C145:F145"/>
    <mergeCell ref="C147:F147"/>
    <mergeCell ref="C132:E141"/>
    <mergeCell ref="G3:G4"/>
    <mergeCell ref="C131:F131"/>
    <mergeCell ref="C129:F129"/>
    <mergeCell ref="C128:F128"/>
    <mergeCell ref="C95:F95"/>
    <mergeCell ref="B1:S1"/>
    <mergeCell ref="B3:C3"/>
    <mergeCell ref="B4:B5"/>
    <mergeCell ref="Q3:S5"/>
    <mergeCell ref="D3:F4"/>
  </mergeCells>
  <phoneticPr fontId="5" type="noConversion"/>
  <conditionalFormatting sqref="G8:P127">
    <cfRule type="expression" dxfId="6" priority="81">
      <formula>OR(AND($B8="x",G8="µ"),AND($B8="x",G8="enthalten"))</formula>
    </cfRule>
    <cfRule type="expression" dxfId="5" priority="189">
      <formula>OR(AND($B8="x",G8="Zusatzprodukt"),AND($B8="x",G8="Kauf nach CF"))</formula>
    </cfRule>
    <cfRule type="expression" dxfId="4" priority="190">
      <formula>AND($B8="x",G8="enthalten")</formula>
    </cfRule>
  </conditionalFormatting>
  <conditionalFormatting sqref="G131:P131">
    <cfRule type="top10" dxfId="3" priority="191" bottom="1" rank="1"/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:P141">
    <cfRule type="cellIs" dxfId="2" priority="571" operator="lessThan">
      <formula>0</formula>
    </cfRule>
  </conditionalFormatting>
  <conditionalFormatting sqref="G144:P144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4:P145">
    <cfRule type="cellIs" dxfId="1" priority="927" operator="lessThan">
      <formula>0</formula>
    </cfRule>
  </conditionalFormatting>
  <conditionalFormatting sqref="G145:P145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9:P149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0:P150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53" operator="lessThan">
      <formula>0</formula>
    </cfRule>
  </conditionalFormatting>
  <dataValidations count="1">
    <dataValidation type="list" allowBlank="1" showInputMessage="1" showErrorMessage="1" sqref="B8:B11 B36:B94 B31:B33 B98:B100 B120:B123 B125:B127" xr:uid="{D30EEA0A-86A0-48D5-A10D-3ABC9F2C4A3A}">
      <formula1>$B$153:$B$154</formula1>
    </dataValidation>
  </dataValidations>
  <pageMargins left="0.15748031496062992" right="3.937007874015748E-2" top="0.44" bottom="0.11811023622047245" header="0.31496062992125984" footer="7.874015748031496E-2"/>
  <pageSetup paperSize="9" scale="47" fitToHeight="0" orientation="landscape" r:id="rId1"/>
  <rowBreaks count="2" manualBreakCount="2">
    <brk id="45" max="18" man="1"/>
    <brk id="96" max="18" man="1"/>
  </rowBreaks>
  <ignoredErrors>
    <ignoredError sqref="G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sheetPr codeName="Tabelle3">
    <tabColor rgb="FFFF0000"/>
  </sheetPr>
  <dimension ref="A1:BT60"/>
  <sheetViews>
    <sheetView showGridLines="0" workbookViewId="0">
      <pane xSplit="2" ySplit="2" topLeftCell="AP19" activePane="bottomRight" state="frozen"/>
      <selection pane="topRight" activeCell="C1" sqref="C1"/>
      <selection pane="bottomLeft" activeCell="A3" sqref="A3"/>
      <selection pane="bottomRight" activeCell="BI55" sqref="BI55"/>
    </sheetView>
  </sheetViews>
  <sheetFormatPr baseColWidth="10" defaultRowHeight="15" outlineLevelCol="1" x14ac:dyDescent="0.25"/>
  <cols>
    <col min="3" max="3" width="14.7109375" style="3" customWidth="1"/>
    <col min="4" max="4" width="19.5703125" style="3" customWidth="1"/>
    <col min="5" max="5" width="13.140625" style="4" hidden="1" customWidth="1" outlineLevel="1"/>
    <col min="6" max="6" width="18" style="4" hidden="1" customWidth="1" outlineLevel="1"/>
    <col min="7" max="7" width="15.140625" style="4" hidden="1" customWidth="1" outlineLevel="1"/>
    <col min="8" max="10" width="20" style="4" hidden="1" customWidth="1" outlineLevel="1"/>
    <col min="11" max="14" width="11" style="4" hidden="1" customWidth="1" outlineLevel="1"/>
    <col min="15" max="15" width="11.42578125" style="20" collapsed="1"/>
    <col min="16" max="38" width="11.42578125" style="20"/>
    <col min="45" max="45" width="11.42578125" style="270"/>
    <col min="46" max="46" width="5.28515625" bestFit="1" customWidth="1"/>
    <col min="47" max="47" width="4.5703125" bestFit="1" customWidth="1"/>
    <col min="48" max="48" width="5.28515625" bestFit="1" customWidth="1"/>
    <col min="49" max="49" width="11.42578125" style="5"/>
    <col min="50" max="50" width="11.42578125" style="6"/>
    <col min="51" max="51" width="11.42578125" style="5"/>
    <col min="52" max="52" width="11.42578125" style="6"/>
    <col min="53" max="53" width="11.42578125" style="18"/>
    <col min="54" max="54" width="11.42578125" style="21"/>
    <col min="55" max="55" width="11.42578125" style="5"/>
    <col min="56" max="56" width="11.42578125" style="6"/>
    <col min="57" max="57" width="11.42578125" style="5"/>
    <col min="58" max="58" width="11.42578125" style="6"/>
    <col min="59" max="59" width="11.42578125" style="5"/>
    <col min="60" max="60" width="11.42578125" style="6"/>
    <col min="61" max="61" width="11.42578125" style="5"/>
    <col min="62" max="62" width="11.42578125" style="6"/>
    <col min="63" max="63" width="11.42578125" style="5"/>
    <col min="64" max="64" width="11.42578125" style="6"/>
    <col min="65" max="65" width="11.42578125" style="5"/>
    <col min="66" max="66" width="11.42578125" style="6"/>
    <col min="67" max="67" width="11.42578125" style="5"/>
    <col min="68" max="68" width="11.42578125" style="6"/>
    <col min="69" max="69" width="11.42578125" style="5"/>
    <col min="70" max="70" width="11.42578125" style="6"/>
    <col min="71" max="71" width="11.42578125" style="5"/>
    <col min="72" max="72" width="11.42578125" style="6"/>
  </cols>
  <sheetData>
    <row r="1" spans="2:72" x14ac:dyDescent="0.25">
      <c r="C1" s="3" t="s">
        <v>51</v>
      </c>
      <c r="D1" s="3" t="s">
        <v>51</v>
      </c>
      <c r="E1" s="4" t="s">
        <v>52</v>
      </c>
      <c r="F1" s="4" t="s">
        <v>52</v>
      </c>
      <c r="G1" s="4" t="s">
        <v>52</v>
      </c>
      <c r="H1" s="4" t="s">
        <v>52</v>
      </c>
      <c r="I1" s="4" t="s">
        <v>52</v>
      </c>
      <c r="J1" s="4" t="s">
        <v>52</v>
      </c>
      <c r="K1" s="4" t="s">
        <v>52</v>
      </c>
      <c r="L1" s="4" t="s">
        <v>52</v>
      </c>
      <c r="M1" s="4" t="s">
        <v>52</v>
      </c>
      <c r="N1" s="4" t="s">
        <v>52</v>
      </c>
      <c r="O1" s="3" t="s">
        <v>51</v>
      </c>
      <c r="P1" s="3" t="s">
        <v>51</v>
      </c>
      <c r="Q1" s="3" t="s">
        <v>51</v>
      </c>
      <c r="R1" s="3" t="s">
        <v>51</v>
      </c>
      <c r="S1" s="3" t="s">
        <v>51</v>
      </c>
      <c r="T1" s="3" t="s">
        <v>51</v>
      </c>
      <c r="U1" s="3" t="s">
        <v>51</v>
      </c>
      <c r="V1" s="3" t="s">
        <v>51</v>
      </c>
      <c r="W1" s="3" t="s">
        <v>51</v>
      </c>
      <c r="X1" s="3" t="s">
        <v>51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72" x14ac:dyDescent="0.25">
      <c r="B2" t="s">
        <v>32</v>
      </c>
      <c r="C2" s="290" t="s">
        <v>95</v>
      </c>
      <c r="D2" s="291" t="s">
        <v>96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73</v>
      </c>
      <c r="J2" s="4" t="s">
        <v>74</v>
      </c>
      <c r="K2" s="3" t="s">
        <v>99</v>
      </c>
      <c r="L2" s="3" t="s">
        <v>100</v>
      </c>
      <c r="M2" s="3" t="s">
        <v>150</v>
      </c>
      <c r="N2" s="3" t="s">
        <v>151</v>
      </c>
      <c r="O2" s="294" t="s">
        <v>62</v>
      </c>
      <c r="P2" s="295" t="s">
        <v>63</v>
      </c>
      <c r="Q2" s="292" t="s">
        <v>58</v>
      </c>
      <c r="R2" s="293" t="s">
        <v>59</v>
      </c>
      <c r="S2" s="294" t="s">
        <v>60</v>
      </c>
      <c r="T2" s="295" t="s">
        <v>61</v>
      </c>
      <c r="U2" s="296" t="s">
        <v>205</v>
      </c>
      <c r="V2" s="297" t="s">
        <v>206</v>
      </c>
      <c r="W2" s="290" t="s">
        <v>97</v>
      </c>
      <c r="X2" s="291" t="s">
        <v>98</v>
      </c>
      <c r="Y2" s="292" t="s">
        <v>131</v>
      </c>
      <c r="Z2" s="293" t="s">
        <v>132</v>
      </c>
      <c r="AA2" s="3" t="s">
        <v>148</v>
      </c>
      <c r="AB2" s="3" t="s">
        <v>149</v>
      </c>
      <c r="AC2" s="3" t="s">
        <v>169</v>
      </c>
      <c r="AD2" s="3" t="s">
        <v>172</v>
      </c>
      <c r="AE2" s="296" t="s">
        <v>201</v>
      </c>
      <c r="AF2" s="297" t="s">
        <v>202</v>
      </c>
      <c r="AG2" s="292" t="s">
        <v>203</v>
      </c>
      <c r="AH2" s="293" t="s">
        <v>204</v>
      </c>
      <c r="AI2" s="296" t="s">
        <v>228</v>
      </c>
      <c r="AJ2" s="297" t="s">
        <v>227</v>
      </c>
      <c r="AK2" s="3" t="s">
        <v>263</v>
      </c>
      <c r="AL2" s="3" t="s">
        <v>264</v>
      </c>
      <c r="AM2" s="7" t="s">
        <v>64</v>
      </c>
      <c r="AN2" s="7" t="s">
        <v>65</v>
      </c>
      <c r="AO2" s="7" t="s">
        <v>66</v>
      </c>
      <c r="AP2" s="7" t="s">
        <v>67</v>
      </c>
      <c r="AQ2" s="7" t="s">
        <v>68</v>
      </c>
      <c r="AR2" s="7" t="s">
        <v>69</v>
      </c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</row>
    <row r="3" spans="2:72" x14ac:dyDescent="0.25">
      <c r="B3">
        <v>0</v>
      </c>
      <c r="C3" s="3">
        <v>0</v>
      </c>
      <c r="D3" s="3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225">
        <v>0</v>
      </c>
      <c r="AL3" s="225">
        <v>0</v>
      </c>
      <c r="AM3" s="9">
        <f>Tabelle3[[#This Row],[Nedime (€)]]/C$24</f>
        <v>0</v>
      </c>
      <c r="AN3" s="9">
        <f>Tabelle3[[#This Row],[Nedime (Backer)]]/D$24</f>
        <v>0</v>
      </c>
      <c r="AO3" s="9">
        <f>Tabelle3[[#This Row],[Thorwal (€)]]/Q$24</f>
        <v>0</v>
      </c>
      <c r="AP3" s="9">
        <f>Tabelle3[[#This Row],[Thorwal (Backer)]]/R$24</f>
        <v>0</v>
      </c>
      <c r="AQ3" s="9">
        <f>Tabelle3[[#This Row],[Werkzeuge (€)]]/S$24</f>
        <v>0</v>
      </c>
      <c r="AR3" s="9">
        <f>Tabelle3[[#This Row],[Werkzeuge (Backer)]]/T$24</f>
        <v>0</v>
      </c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2:72" x14ac:dyDescent="0.25">
      <c r="B4">
        <v>1</v>
      </c>
      <c r="C4" s="3">
        <v>14771</v>
      </c>
      <c r="D4" s="3">
        <v>73</v>
      </c>
      <c r="E4" s="4">
        <f>Tabelle3[[#This Row],[Thorwal (€)]]/Q24*E24</f>
        <v>15228.039651881134</v>
      </c>
      <c r="F4" s="4">
        <f>Tabelle3[[#This Row],[Thorwal (Backer)]]/R24*F24</f>
        <v>110.36895674300254</v>
      </c>
      <c r="G4" s="4">
        <f>Tabelle3[[#This Row],[Werkzeuge (€)]]/$S$24*$G$24</f>
        <v>15864.463389201001</v>
      </c>
      <c r="H4" s="4">
        <f>Tabelle3[[#This Row],[Werkzeuge (Backer)]]/$T$24*$H$24</f>
        <v>82.160052910052912</v>
      </c>
      <c r="I4" s="4">
        <f>Tabelle3[[#This Row],[DSK Fasar (€)]]/$U$24*$I$24</f>
        <v>18347.556793377207</v>
      </c>
      <c r="J4" s="4">
        <f>Tabelle3[[#This Row],[DSK Fasar (Backer)]]/$V$24*$J$24</f>
        <v>102.83434650455926</v>
      </c>
      <c r="K4" s="4">
        <f>Tabelle3[[#This Row],[Mythen (€)]]/$W$24*$K$24</f>
        <v>13587.026924914715</v>
      </c>
      <c r="L4" s="4">
        <f>Tabelle3[[#This Row],[Mythen (Backer)]]/$X$24*$L$24</f>
        <v>80.291750503018108</v>
      </c>
      <c r="M4" s="4">
        <f>Tabelle3[[#This Row],[SOK (€)]]/$Y$24*$K$24</f>
        <v>23400.530268490904</v>
      </c>
      <c r="N4" s="4">
        <f>Tabelle3[[#This Row],[SOK (Backer)]]/$Z$24*$L$24</f>
        <v>130.33353365384616</v>
      </c>
      <c r="O4" s="10">
        <f>O3+($O$6-$O$3)/3</f>
        <v>15333.333333333334</v>
      </c>
      <c r="P4" s="10">
        <f>P3+($P$6-$P$3)/3</f>
        <v>100</v>
      </c>
      <c r="Q4" s="3">
        <v>65000</v>
      </c>
      <c r="R4" s="3">
        <v>500</v>
      </c>
      <c r="S4" s="3">
        <v>43437</v>
      </c>
      <c r="T4" s="3">
        <v>179</v>
      </c>
      <c r="U4" s="3">
        <v>36402</v>
      </c>
      <c r="V4" s="3">
        <v>195</v>
      </c>
      <c r="W4" s="3">
        <v>19612</v>
      </c>
      <c r="X4" s="3">
        <v>115</v>
      </c>
      <c r="Y4" s="3">
        <v>89735</v>
      </c>
      <c r="Z4" s="3">
        <v>625</v>
      </c>
      <c r="AA4" s="3">
        <v>82966</v>
      </c>
      <c r="AB4" s="3">
        <v>341</v>
      </c>
      <c r="AC4" s="3">
        <v>76466</v>
      </c>
      <c r="AD4" s="3">
        <v>317</v>
      </c>
      <c r="AE4" s="3">
        <v>26725</v>
      </c>
      <c r="AF4" s="3">
        <v>136</v>
      </c>
      <c r="AG4" s="3">
        <v>97183</v>
      </c>
      <c r="AH4" s="3">
        <v>489</v>
      </c>
      <c r="AI4" s="3">
        <v>8357</v>
      </c>
      <c r="AJ4" s="3">
        <v>67</v>
      </c>
      <c r="AK4" s="225">
        <f>'Übersicht &amp; Anleitung'!AF59</f>
        <v>39596</v>
      </c>
      <c r="AL4" s="225">
        <f>'Übersicht &amp; Anleitung'!AG59</f>
        <v>180</v>
      </c>
      <c r="AM4" s="9">
        <f>Tabelle3[[#This Row],[Nedime (€)]]/C$24</f>
        <v>0.23692357045472773</v>
      </c>
      <c r="AN4" s="9">
        <f>Tabelle3[[#This Row],[Nedime (Backer)]]/D$24</f>
        <v>0.21037463976945245</v>
      </c>
      <c r="AO4" s="9">
        <f>Tabelle3[[#This Row],[Thorwal (€)]]/Q$24</f>
        <v>0.24425438530565619</v>
      </c>
      <c r="AP4" s="9">
        <f>Tabelle3[[#This Row],[Thorwal (Backer)]]/R$24</f>
        <v>0.31806615776081426</v>
      </c>
      <c r="AQ4" s="9">
        <f>Tabelle3[[#This Row],[Werkzeuge (€)]]/S$24</f>
        <v>0.25446248118054376</v>
      </c>
      <c r="AR4" s="9">
        <f>Tabelle3[[#This Row],[Werkzeuge (Backer)]]/T$24</f>
        <v>0.23677248677248677</v>
      </c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2:72" x14ac:dyDescent="0.25">
      <c r="B5">
        <v>2</v>
      </c>
      <c r="C5" s="3">
        <v>16764</v>
      </c>
      <c r="D5" s="3">
        <v>82</v>
      </c>
      <c r="E5" s="11">
        <f t="shared" ref="E5:E13" si="0">E4+($E$14-$E$4)/10</f>
        <v>16633.704850516315</v>
      </c>
      <c r="F5" s="11">
        <f>F4+($F$14-$F$4)/10</f>
        <v>119.19847328244275</v>
      </c>
      <c r="G5" s="4">
        <f>Tabelle3[[#This Row],[Werkzeuge (€)]]/$S$24*$G$24</f>
        <v>18086.883439464327</v>
      </c>
      <c r="H5" s="4">
        <f>Tabelle3[[#This Row],[Werkzeuge (Backer)]]/$T$24*$H$24</f>
        <v>94.55291005291005</v>
      </c>
      <c r="I5" s="4">
        <f>Tabelle3[[#This Row],[DSK Fasar (€)]]/$U$24*$I$24</f>
        <v>21501.247877827544</v>
      </c>
      <c r="J5" s="4">
        <f>Tabelle3[[#This Row],[DSK Fasar (Backer)]]/$V$24*$J$24</f>
        <v>122.87386018237082</v>
      </c>
      <c r="K5" s="4">
        <f>Tabelle3[[#This Row],[Mythen (€)]]/$W$24*$K$24</f>
        <v>16995.561111666721</v>
      </c>
      <c r="L5" s="4">
        <f>Tabelle3[[#This Row],[Mythen (Backer)]]/$X$24*$L$24</f>
        <v>101.23742454728371</v>
      </c>
      <c r="M5" s="4">
        <f>Tabelle3[[#This Row],[SOK (€)]]/$Y$24*$K$24</f>
        <v>29728.987041831711</v>
      </c>
      <c r="N5" s="4">
        <f>Tabelle3[[#This Row],[SOK (Backer)]]/$Z$24*$L$24</f>
        <v>164.53305288461539</v>
      </c>
      <c r="O5" s="10">
        <f>O4+($O$6-$O$3)/3</f>
        <v>30666.666666666668</v>
      </c>
      <c r="P5" s="10">
        <f>P4+($P$6-$P$3)/3</f>
        <v>200</v>
      </c>
      <c r="Q5" s="10">
        <f>Q4+($Q$14-$Q$4)/10</f>
        <v>71000</v>
      </c>
      <c r="R5" s="10">
        <f>R4+($R$14-$R$4)/10</f>
        <v>540</v>
      </c>
      <c r="S5" s="3">
        <v>49522</v>
      </c>
      <c r="T5" s="3">
        <v>206</v>
      </c>
      <c r="U5" s="3">
        <v>42659</v>
      </c>
      <c r="V5" s="3">
        <v>233</v>
      </c>
      <c r="W5" s="3">
        <v>24532</v>
      </c>
      <c r="X5" s="3">
        <v>145</v>
      </c>
      <c r="Y5" s="3">
        <v>114003</v>
      </c>
      <c r="Z5" s="3">
        <v>789</v>
      </c>
      <c r="AA5" s="3">
        <v>96328</v>
      </c>
      <c r="AB5" s="3">
        <v>404</v>
      </c>
      <c r="AC5" s="3">
        <v>100197</v>
      </c>
      <c r="AD5" s="3">
        <v>417</v>
      </c>
      <c r="AE5" s="3">
        <v>32416</v>
      </c>
      <c r="AF5" s="3">
        <v>172</v>
      </c>
      <c r="AG5" s="3">
        <v>121393</v>
      </c>
      <c r="AH5" s="3">
        <v>618</v>
      </c>
      <c r="AI5" s="3">
        <v>11433</v>
      </c>
      <c r="AJ5" s="3">
        <v>89</v>
      </c>
      <c r="AK5" s="225">
        <f>'Übersicht &amp; Anleitung'!AF60</f>
        <v>55623</v>
      </c>
      <c r="AL5" s="225">
        <f>'Übersicht &amp; Anleitung'!AG60</f>
        <v>256</v>
      </c>
      <c r="AM5" s="9">
        <f>Tabelle3[[#This Row],[Nedime (€)]]/C$24</f>
        <v>0.2688908493062796</v>
      </c>
      <c r="AN5" s="9">
        <f>Tabelle3[[#This Row],[Nedime (Backer)]]/D$24</f>
        <v>0.23631123919308358</v>
      </c>
      <c r="AO5" s="9"/>
      <c r="AP5" s="9"/>
      <c r="AQ5" s="9">
        <f>Tabelle3[[#This Row],[Werkzeuge (€)]]/S$24</f>
        <v>0.29010960685643317</v>
      </c>
      <c r="AR5" s="9">
        <f>Tabelle3[[#This Row],[Werkzeuge (Backer)]]/T$24</f>
        <v>0.2724867724867725</v>
      </c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2:72" ht="15.75" thickBot="1" x14ac:dyDescent="0.3">
      <c r="B6">
        <v>3</v>
      </c>
      <c r="C6" s="3">
        <v>17674</v>
      </c>
      <c r="D6" s="3">
        <v>90</v>
      </c>
      <c r="E6" s="11">
        <f t="shared" si="0"/>
        <v>18039.370049151497</v>
      </c>
      <c r="F6" s="11">
        <f t="shared" ref="F6:F13" si="1">F5+($F$14-$F$4)/10</f>
        <v>128.02798982188295</v>
      </c>
      <c r="G6" s="4">
        <f>Tabelle3[[#This Row],[Werkzeuge (€)]]/$S$24*$G$24</f>
        <v>19686.222371280779</v>
      </c>
      <c r="H6" s="4">
        <f>Tabelle3[[#This Row],[Werkzeuge (Backer)]]/$T$24*$H$24</f>
        <v>102.81481481481481</v>
      </c>
      <c r="I6" s="4">
        <f>Tabelle3[[#This Row],[DSK Fasar (€)]]/$U$24*$I$24</f>
        <v>22818.772009960063</v>
      </c>
      <c r="J6" s="4">
        <f>Tabelle3[[#This Row],[DSK Fasar (Backer)]]/$V$24*$J$24</f>
        <v>130.78419452887539</v>
      </c>
      <c r="K6" s="4">
        <f>Tabelle3[[#This Row],[Mythen (€)]]/$W$24*$K$24</f>
        <v>19170.23363447456</v>
      </c>
      <c r="L6" s="4">
        <f>Tabelle3[[#This Row],[Mythen (Backer)]]/$X$24*$L$24</f>
        <v>113.10663983903422</v>
      </c>
      <c r="M6" s="4">
        <f>Tabelle3[[#This Row],[SOK (€)]]/$Y$24*$K$24</f>
        <v>31949.736089209753</v>
      </c>
      <c r="N6" s="4">
        <f>Tabelle3[[#This Row],[SOK (Backer)]]/$Z$24*$L$24</f>
        <v>177.67067307692307</v>
      </c>
      <c r="O6" s="3">
        <v>46000</v>
      </c>
      <c r="P6" s="3">
        <v>300</v>
      </c>
      <c r="Q6" s="10">
        <f t="shared" ref="Q6:Q13" si="2">Q5+($Q$14-$Q$4)/10</f>
        <v>77000</v>
      </c>
      <c r="R6" s="10">
        <f t="shared" ref="R6:R13" si="3">R5+($R$14-$R$4)/10</f>
        <v>580</v>
      </c>
      <c r="S6" s="3">
        <v>53901</v>
      </c>
      <c r="T6" s="3">
        <v>224</v>
      </c>
      <c r="U6" s="3">
        <v>45273</v>
      </c>
      <c r="V6" s="3">
        <v>248</v>
      </c>
      <c r="W6" s="3">
        <v>27671</v>
      </c>
      <c r="X6" s="3">
        <v>162</v>
      </c>
      <c r="Y6" s="3">
        <v>122519</v>
      </c>
      <c r="Z6" s="3">
        <v>852</v>
      </c>
      <c r="AA6" s="3">
        <v>115147</v>
      </c>
      <c r="AB6" s="3">
        <v>480</v>
      </c>
      <c r="AC6" s="3">
        <v>110488</v>
      </c>
      <c r="AD6" s="3">
        <v>458</v>
      </c>
      <c r="AE6" s="3">
        <v>38191</v>
      </c>
      <c r="AF6" s="3">
        <v>199</v>
      </c>
      <c r="AG6" s="3">
        <v>143837</v>
      </c>
      <c r="AH6" s="3">
        <v>731</v>
      </c>
      <c r="AI6" s="3">
        <v>13158</v>
      </c>
      <c r="AJ6" s="3">
        <v>101</v>
      </c>
      <c r="AK6" s="225">
        <f>'Übersicht &amp; Anleitung'!AF61</f>
        <v>65490</v>
      </c>
      <c r="AL6" s="225">
        <f>'Übersicht &amp; Anleitung'!AG61</f>
        <v>301</v>
      </c>
      <c r="AM6" s="9">
        <f>Tabelle3[[#This Row],[Nedime (€)]]/C$24</f>
        <v>0.2834870478787393</v>
      </c>
      <c r="AN6" s="9">
        <f>Tabelle3[[#This Row],[Nedime (Backer)]]/D$24</f>
        <v>0.25936599423631124</v>
      </c>
      <c r="AO6" s="9"/>
      <c r="AP6" s="9"/>
      <c r="AQ6" s="9">
        <f>Tabelle3[[#This Row],[Werkzeuge (€)]]/S$24</f>
        <v>0.31576264931078318</v>
      </c>
      <c r="AR6" s="9">
        <f>Tabelle3[[#This Row],[Werkzeuge (Backer)]]/T$24</f>
        <v>0.29629629629629628</v>
      </c>
      <c r="AW6" s="5" t="s">
        <v>233</v>
      </c>
      <c r="AX6" s="8"/>
      <c r="AZ6" s="8"/>
      <c r="BB6" s="19"/>
      <c r="BD6" s="8"/>
      <c r="BF6" s="8"/>
      <c r="BG6" s="5" t="s">
        <v>232</v>
      </c>
      <c r="BH6" s="8"/>
      <c r="BI6" s="5" t="s">
        <v>233</v>
      </c>
      <c r="BJ6" s="8"/>
      <c r="BK6" s="5" t="s">
        <v>232</v>
      </c>
      <c r="BL6" s="8"/>
      <c r="BN6" s="8"/>
      <c r="BP6" s="8"/>
      <c r="BR6" s="8"/>
      <c r="BS6" s="5" t="s">
        <v>455</v>
      </c>
      <c r="BT6" s="8"/>
    </row>
    <row r="7" spans="2:72" x14ac:dyDescent="0.25">
      <c r="B7">
        <v>4</v>
      </c>
      <c r="C7" s="3">
        <v>18881</v>
      </c>
      <c r="D7" s="3">
        <v>95</v>
      </c>
      <c r="E7" s="11">
        <f t="shared" si="0"/>
        <v>19445.03524778668</v>
      </c>
      <c r="F7" s="11">
        <f t="shared" si="1"/>
        <v>136.85750636132315</v>
      </c>
      <c r="G7" s="4">
        <f>Tabelle3[[#This Row],[Werkzeuge (€)]]/$S$24*$G$24</f>
        <v>21900.242148552148</v>
      </c>
      <c r="H7" s="4">
        <f>Tabelle3[[#This Row],[Werkzeuge (Backer)]]/$T$24*$H$24</f>
        <v>113.37169312169313</v>
      </c>
      <c r="I7" s="4">
        <f>Tabelle3[[#This Row],[DSK Fasar (€)]]/$U$24*$I$24</f>
        <v>24171.577966594985</v>
      </c>
      <c r="J7" s="4">
        <f>Tabelle3[[#This Row],[DSK Fasar (Backer)]]/$V$24*$J$24</f>
        <v>139.22188449848025</v>
      </c>
      <c r="K7" s="4">
        <f>Tabelle3[[#This Row],[Mythen (€)]]/$W$24*$K$24</f>
        <v>21008.20948761543</v>
      </c>
      <c r="L7" s="4">
        <f>Tabelle3[[#This Row],[Mythen (Backer)]]/$X$24*$L$24</f>
        <v>124.27766599597587</v>
      </c>
      <c r="M7" s="4">
        <f>Tabelle3[[#This Row],[SOK (€)]]/$Y$24*$K$24</f>
        <v>33275.770483986329</v>
      </c>
      <c r="N7" s="4">
        <f>Tabelle3[[#This Row],[SOK (Backer)]]/$Z$24*$L$24</f>
        <v>185.80348557692307</v>
      </c>
      <c r="O7" s="10">
        <f>O6+($O$24-$O$6)/18</f>
        <v>50100.388888888891</v>
      </c>
      <c r="P7" s="10">
        <f>P6+($P$24-$P$6)/18</f>
        <v>322.83333333333331</v>
      </c>
      <c r="Q7" s="10">
        <f t="shared" si="2"/>
        <v>83000</v>
      </c>
      <c r="R7" s="10">
        <f t="shared" si="3"/>
        <v>620</v>
      </c>
      <c r="S7" s="3">
        <v>59963</v>
      </c>
      <c r="T7" s="3">
        <v>247</v>
      </c>
      <c r="U7" s="3">
        <v>47957</v>
      </c>
      <c r="V7" s="3">
        <v>264</v>
      </c>
      <c r="W7" s="3">
        <v>30324</v>
      </c>
      <c r="X7" s="3">
        <v>178</v>
      </c>
      <c r="Y7" s="3">
        <v>127604</v>
      </c>
      <c r="Z7" s="3">
        <v>891</v>
      </c>
      <c r="AA7" s="3">
        <v>123834</v>
      </c>
      <c r="AB7" s="3">
        <v>520</v>
      </c>
      <c r="AC7" s="3">
        <v>117325</v>
      </c>
      <c r="AD7" s="3">
        <v>486</v>
      </c>
      <c r="AE7" s="3">
        <v>41597</v>
      </c>
      <c r="AF7" s="3">
        <v>218</v>
      </c>
      <c r="AG7" s="3">
        <v>156839</v>
      </c>
      <c r="AH7" s="3">
        <v>797</v>
      </c>
      <c r="AI7" s="3">
        <v>14235</v>
      </c>
      <c r="AJ7" s="3">
        <v>110</v>
      </c>
      <c r="AK7" s="225">
        <f>'Übersicht &amp; Anleitung'!AF62</f>
        <v>69834</v>
      </c>
      <c r="AL7" s="225">
        <f>'Übersicht &amp; Anleitung'!AG62</f>
        <v>323</v>
      </c>
      <c r="AM7" s="9">
        <f>Tabelle3[[#This Row],[Nedime (€)]]/C$24</f>
        <v>0.30284706071056222</v>
      </c>
      <c r="AN7" s="9">
        <f>Tabelle3[[#This Row],[Nedime (Backer)]]/D$24</f>
        <v>0.2737752161383285</v>
      </c>
      <c r="AO7" s="9"/>
      <c r="AP7" s="9"/>
      <c r="AQ7" s="9">
        <f>Tabelle3[[#This Row],[Werkzeuge (€)]]/S$24</f>
        <v>0.35127503646727321</v>
      </c>
      <c r="AR7" s="9">
        <f>Tabelle3[[#This Row],[Werkzeuge (Backer)]]/T$24</f>
        <v>0.32671957671957674</v>
      </c>
      <c r="AU7" t="s">
        <v>17</v>
      </c>
      <c r="AV7" t="s">
        <v>78</v>
      </c>
      <c r="AW7" s="277" t="s">
        <v>53</v>
      </c>
      <c r="AX7" s="278" t="s">
        <v>53</v>
      </c>
      <c r="AY7" s="279" t="s">
        <v>53</v>
      </c>
      <c r="AZ7" s="280" t="s">
        <v>53</v>
      </c>
      <c r="BA7" s="281" t="s">
        <v>53</v>
      </c>
      <c r="BB7" s="282" t="s">
        <v>53</v>
      </c>
      <c r="BC7" s="283" t="s">
        <v>53</v>
      </c>
      <c r="BD7" s="284" t="s">
        <v>53</v>
      </c>
      <c r="BE7" s="285" t="s">
        <v>53</v>
      </c>
      <c r="BF7" s="286" t="s">
        <v>53</v>
      </c>
      <c r="BG7" s="279" t="s">
        <v>53</v>
      </c>
      <c r="BH7" s="287" t="s">
        <v>53</v>
      </c>
      <c r="BI7" s="288" t="s">
        <v>53</v>
      </c>
      <c r="BJ7" s="289" t="s">
        <v>53</v>
      </c>
      <c r="BK7" s="288" t="s">
        <v>53</v>
      </c>
      <c r="BL7" s="289" t="s">
        <v>53</v>
      </c>
      <c r="BM7" s="283" t="s">
        <v>53</v>
      </c>
      <c r="BN7" s="284" t="s">
        <v>53</v>
      </c>
      <c r="BO7" s="279" t="s">
        <v>53</v>
      </c>
      <c r="BP7" s="287" t="s">
        <v>53</v>
      </c>
      <c r="BQ7" s="283" t="s">
        <v>53</v>
      </c>
      <c r="BR7" s="284" t="s">
        <v>53</v>
      </c>
      <c r="BS7" s="288" t="s">
        <v>53</v>
      </c>
      <c r="BT7" s="289" t="s">
        <v>53</v>
      </c>
    </row>
    <row r="8" spans="2:72" x14ac:dyDescent="0.25">
      <c r="B8">
        <v>5</v>
      </c>
      <c r="C8" s="3">
        <v>21886</v>
      </c>
      <c r="D8" s="3">
        <v>111</v>
      </c>
      <c r="E8" s="11">
        <f t="shared" si="0"/>
        <v>20850.700446421863</v>
      </c>
      <c r="F8" s="11">
        <f t="shared" si="1"/>
        <v>145.68702290076334</v>
      </c>
      <c r="G8" s="4">
        <f>Tabelle3[[#This Row],[Werkzeuge (€)]]/$S$24*$G$24</f>
        <v>23051.444777710734</v>
      </c>
      <c r="H8" s="4">
        <f>Tabelle3[[#This Row],[Werkzeuge (Backer)]]/$T$24*$H$24</f>
        <v>121.17460317460316</v>
      </c>
      <c r="I8" s="4">
        <f>Tabelle3[[#This Row],[DSK Fasar (€)]]/$U$24*$I$24</f>
        <v>25585.875103076945</v>
      </c>
      <c r="J8" s="4">
        <f>Tabelle3[[#This Row],[DSK Fasar (Backer)]]/$V$24*$J$24</f>
        <v>147.65957446808511</v>
      </c>
      <c r="K8" s="4">
        <f>Tabelle3[[#This Row],[Mythen (€)]]/$W$24*$K$24</f>
        <v>22599.551566267739</v>
      </c>
      <c r="L8" s="4">
        <f>Tabelle3[[#This Row],[Mythen (Backer)]]/$X$24*$L$24</f>
        <v>133.35412474849096</v>
      </c>
      <c r="M8" s="4">
        <f>Tabelle3[[#This Row],[SOK (€)]]/$Y$24*$K$24</f>
        <v>34232.810057010916</v>
      </c>
      <c r="N8" s="4">
        <f>Tabelle3[[#This Row],[SOK (Backer)]]/$Z$24*$L$24</f>
        <v>191.43389423076923</v>
      </c>
      <c r="O8" s="10">
        <f t="shared" ref="O8:O23" si="4">O7+($O$24-$O$6)/18</f>
        <v>54200.777777777781</v>
      </c>
      <c r="P8" s="10">
        <f t="shared" ref="P8:P23" si="5">P7+($P$24-$P$6)/18</f>
        <v>345.66666666666663</v>
      </c>
      <c r="Q8" s="10">
        <f t="shared" si="2"/>
        <v>89000</v>
      </c>
      <c r="R8" s="10">
        <f t="shared" si="3"/>
        <v>660</v>
      </c>
      <c r="S8" s="3">
        <v>63115</v>
      </c>
      <c r="T8" s="3">
        <v>264</v>
      </c>
      <c r="U8" s="3">
        <v>50763</v>
      </c>
      <c r="V8" s="3">
        <v>280</v>
      </c>
      <c r="W8" s="3">
        <v>32621</v>
      </c>
      <c r="X8" s="3">
        <v>191</v>
      </c>
      <c r="Y8" s="3">
        <v>131274</v>
      </c>
      <c r="Z8" s="3">
        <v>918</v>
      </c>
      <c r="AA8" s="3">
        <v>132002</v>
      </c>
      <c r="AB8" s="3">
        <v>564</v>
      </c>
      <c r="AC8" s="3">
        <v>120368</v>
      </c>
      <c r="AD8" s="3">
        <v>497</v>
      </c>
      <c r="AE8" s="3">
        <v>44358</v>
      </c>
      <c r="AF8" s="3">
        <v>235</v>
      </c>
      <c r="AG8" s="3">
        <v>166947</v>
      </c>
      <c r="AH8" s="3">
        <v>847</v>
      </c>
      <c r="AI8" s="3">
        <v>15015</v>
      </c>
      <c r="AJ8" s="3">
        <v>116</v>
      </c>
      <c r="AK8" s="225">
        <f>'Übersicht &amp; Anleitung'!AF63</f>
        <v>75551</v>
      </c>
      <c r="AL8" s="225">
        <f>'Übersicht &amp; Anleitung'!AG63</f>
        <v>351</v>
      </c>
      <c r="AM8" s="9">
        <f>Tabelle3[[#This Row],[Nedime (€)]]/C$24</f>
        <v>0.35104659555698131</v>
      </c>
      <c r="AN8" s="9">
        <f>Tabelle3[[#This Row],[Nedime (Backer)]]/D$24</f>
        <v>0.31988472622478387</v>
      </c>
      <c r="AO8" s="9"/>
      <c r="AP8" s="9"/>
      <c r="AQ8" s="9">
        <f>Tabelle3[[#This Row],[Werkzeuge (€)]]/S$24</f>
        <v>0.36974007182148905</v>
      </c>
      <c r="AR8" s="9">
        <f>Tabelle3[[#This Row],[Werkzeuge (Backer)]]/T$24</f>
        <v>0.34920634920634919</v>
      </c>
      <c r="AS8" s="271" t="s">
        <v>103</v>
      </c>
      <c r="AT8" s="15" t="s">
        <v>76</v>
      </c>
      <c r="AU8" s="22">
        <f>MIN(AW9,AY9,BA9,BC9,BE9,BG9,BI9,BK9,BM9,BO9,BQ9)</f>
        <v>2.664255864489887</v>
      </c>
      <c r="AV8" s="22">
        <f>MIN(AX9,AZ9,BB9,BD9,BF9,BH9,BJ9,BL9,BN9,BP9,BR9)</f>
        <v>2.6623999999999999</v>
      </c>
      <c r="AW8" s="290" t="s">
        <v>207</v>
      </c>
      <c r="AX8" s="291" t="s">
        <v>208</v>
      </c>
      <c r="AY8" s="292" t="s">
        <v>70</v>
      </c>
      <c r="AZ8" s="293" t="s">
        <v>71</v>
      </c>
      <c r="BA8" s="294" t="s">
        <v>211</v>
      </c>
      <c r="BB8" s="295" t="s">
        <v>212</v>
      </c>
      <c r="BC8" s="296" t="s">
        <v>209</v>
      </c>
      <c r="BD8" s="297" t="s">
        <v>210</v>
      </c>
      <c r="BE8" s="298" t="s">
        <v>129</v>
      </c>
      <c r="BF8" s="299" t="s">
        <v>130</v>
      </c>
      <c r="BG8" s="292" t="s">
        <v>152</v>
      </c>
      <c r="BH8" s="300" t="s">
        <v>153</v>
      </c>
      <c r="BI8" s="301" t="s">
        <v>170</v>
      </c>
      <c r="BJ8" s="302" t="s">
        <v>171</v>
      </c>
      <c r="BK8" s="301" t="s">
        <v>213</v>
      </c>
      <c r="BL8" s="302" t="s">
        <v>214</v>
      </c>
      <c r="BM8" s="296" t="s">
        <v>215</v>
      </c>
      <c r="BN8" s="297" t="s">
        <v>216</v>
      </c>
      <c r="BO8" s="292" t="s">
        <v>229</v>
      </c>
      <c r="BP8" s="300" t="s">
        <v>230</v>
      </c>
      <c r="BQ8" s="296" t="s">
        <v>265</v>
      </c>
      <c r="BR8" s="297" t="s">
        <v>266</v>
      </c>
      <c r="BS8" s="301" t="s">
        <v>456</v>
      </c>
      <c r="BT8" s="302" t="s">
        <v>457</v>
      </c>
    </row>
    <row r="9" spans="2:72" x14ac:dyDescent="0.25">
      <c r="B9">
        <v>6</v>
      </c>
      <c r="C9" s="3">
        <v>22571</v>
      </c>
      <c r="D9" s="3">
        <v>114.99999999999999</v>
      </c>
      <c r="E9" s="11">
        <f t="shared" si="0"/>
        <v>22256.365645057045</v>
      </c>
      <c r="F9" s="11">
        <f t="shared" si="1"/>
        <v>154.51653944020353</v>
      </c>
      <c r="G9" s="4">
        <f>Tabelle3[[#This Row],[Werkzeuge (€)]]/$S$24*$G$24</f>
        <v>23793.955864347601</v>
      </c>
      <c r="H9" s="4">
        <f>Tabelle3[[#This Row],[Werkzeuge (Backer)]]/$T$24*$H$24</f>
        <v>125.76455026455027</v>
      </c>
      <c r="I9" s="4">
        <f>Tabelle3[[#This Row],[DSK Fasar (€)]]/$U$24*$I$24</f>
        <v>27131.219016282117</v>
      </c>
      <c r="J9" s="4">
        <f>Tabelle3[[#This Row],[DSK Fasar (Backer)]]/$V$24*$J$24</f>
        <v>155.04255319148936</v>
      </c>
      <c r="K9" s="4">
        <f>Tabelle3[[#This Row],[Mythen (€)]]/$W$24*$K$24</f>
        <v>25966.518262937403</v>
      </c>
      <c r="L9" s="4">
        <f>Tabelle3[[#This Row],[Mythen (Backer)]]/$X$24*$L$24</f>
        <v>153.60160965794768</v>
      </c>
      <c r="M9" s="4">
        <f>Tabelle3[[#This Row],[SOK (€)]]/$Y$24*$K$24</f>
        <v>35359.091777962749</v>
      </c>
      <c r="N9" s="4">
        <f>Tabelle3[[#This Row],[SOK (Backer)]]/$Z$24*$L$24</f>
        <v>198.73257211538461</v>
      </c>
      <c r="O9" s="10">
        <f t="shared" si="4"/>
        <v>58301.166666666672</v>
      </c>
      <c r="P9" s="10">
        <f t="shared" si="5"/>
        <v>368.49999999999994</v>
      </c>
      <c r="Q9" s="10">
        <f t="shared" si="2"/>
        <v>95000</v>
      </c>
      <c r="R9" s="10">
        <f t="shared" si="3"/>
        <v>700</v>
      </c>
      <c r="S9" s="3">
        <v>65148</v>
      </c>
      <c r="T9" s="3">
        <v>274</v>
      </c>
      <c r="U9" s="3">
        <v>53829</v>
      </c>
      <c r="V9" s="3">
        <v>294</v>
      </c>
      <c r="W9" s="3">
        <v>37481</v>
      </c>
      <c r="X9" s="3">
        <v>220</v>
      </c>
      <c r="Y9" s="3">
        <v>135593</v>
      </c>
      <c r="Z9" s="3">
        <v>953</v>
      </c>
      <c r="AA9" s="3">
        <v>150957</v>
      </c>
      <c r="AB9" s="3">
        <v>652</v>
      </c>
      <c r="AC9" s="3">
        <v>123198</v>
      </c>
      <c r="AD9" s="3">
        <v>508</v>
      </c>
      <c r="AE9" s="3">
        <v>45558</v>
      </c>
      <c r="AF9" s="3">
        <v>241</v>
      </c>
      <c r="AG9" s="3">
        <v>175946</v>
      </c>
      <c r="AH9" s="3">
        <v>901</v>
      </c>
      <c r="AI9" s="3">
        <v>16237</v>
      </c>
      <c r="AJ9" s="3">
        <v>123</v>
      </c>
      <c r="AK9" s="225">
        <f>'Übersicht &amp; Anleitung'!AF64</f>
        <v>85403</v>
      </c>
      <c r="AL9" s="225">
        <f>'Übersicht &amp; Anleitung'!AG64</f>
        <v>395</v>
      </c>
      <c r="AM9" s="9">
        <f>Tabelle3[[#This Row],[Nedime (€)]]/C$24</f>
        <v>0.36203384393295374</v>
      </c>
      <c r="AN9" s="9">
        <f>Tabelle3[[#This Row],[Nedime (Backer)]]/D$24</f>
        <v>0.33141210374639768</v>
      </c>
      <c r="AO9" s="9"/>
      <c r="AP9" s="9"/>
      <c r="AQ9" s="9">
        <f>Tabelle3[[#This Row],[Werkzeuge (€)]]/S$24</f>
        <v>0.38164978529709842</v>
      </c>
      <c r="AR9" s="9">
        <f>Tabelle3[[#This Row],[Werkzeuge (Backer)]]/T$24</f>
        <v>0.36243386243386244</v>
      </c>
      <c r="AT9" t="s">
        <v>77</v>
      </c>
      <c r="AU9" s="23">
        <f>MAX(AW9,AY9,BA9,BC9,BE9,BG9,BI9,BK9,BM9,BO9,BQ9)</f>
        <v>4.7068317141961771</v>
      </c>
      <c r="AV9" s="23">
        <f>MAX(AX9,AZ9,BB9,BD9,BF9,BH9,BJ9,BL9,BN9,BP9,BR9)</f>
        <v>4.8621700879765397</v>
      </c>
      <c r="AW9" s="26">
        <f>C24/C4</f>
        <v>4.2207704285424139</v>
      </c>
      <c r="AX9" s="8">
        <f>D24/D4</f>
        <v>4.7534246575342465</v>
      </c>
      <c r="AY9" s="5">
        <f t="shared" ref="AY9:BR9" si="6">Q24/Q4</f>
        <v>4.0940923076923079</v>
      </c>
      <c r="AZ9" s="8">
        <f t="shared" si="6"/>
        <v>3.1440000000000001</v>
      </c>
      <c r="BA9" s="5">
        <f t="shared" si="6"/>
        <v>3.9298524299560285</v>
      </c>
      <c r="BB9" s="8">
        <f t="shared" si="6"/>
        <v>4.2234636871508382</v>
      </c>
      <c r="BC9" s="18">
        <f t="shared" si="6"/>
        <v>3.3980001098840722</v>
      </c>
      <c r="BD9" s="42">
        <f t="shared" si="6"/>
        <v>3.3743589743589744</v>
      </c>
      <c r="BE9" s="18">
        <f t="shared" si="6"/>
        <v>4.5885682235366101</v>
      </c>
      <c r="BF9" s="42">
        <f t="shared" si="6"/>
        <v>4.321739130434783</v>
      </c>
      <c r="BG9" s="18">
        <f t="shared" si="6"/>
        <v>2.664255864489887</v>
      </c>
      <c r="BH9" s="42">
        <f t="shared" si="6"/>
        <v>2.6623999999999999</v>
      </c>
      <c r="BI9" s="18">
        <f t="shared" si="6"/>
        <v>4.7068317141961771</v>
      </c>
      <c r="BJ9" s="42">
        <f t="shared" si="6"/>
        <v>4.8621700879765397</v>
      </c>
      <c r="BK9" s="18">
        <f t="shared" si="6"/>
        <v>3.0265739021264353</v>
      </c>
      <c r="BL9" s="42">
        <f t="shared" si="6"/>
        <v>3.0757097791798107</v>
      </c>
      <c r="BM9" s="18">
        <f t="shared" si="6"/>
        <v>4.3073152478952288</v>
      </c>
      <c r="BN9" s="42">
        <f t="shared" si="6"/>
        <v>4.742647058823529</v>
      </c>
      <c r="BO9" s="18">
        <f t="shared" si="6"/>
        <v>3.3383925172098001</v>
      </c>
      <c r="BP9" s="42">
        <f t="shared" si="6"/>
        <v>3.4355828220858897</v>
      </c>
      <c r="BQ9" s="18">
        <f t="shared" si="6"/>
        <v>4.3374416656694983</v>
      </c>
      <c r="BR9" s="42">
        <f t="shared" si="6"/>
        <v>4.0149253731343286</v>
      </c>
      <c r="BS9" s="18">
        <f t="shared" ref="BS9" si="7">AK24/AK4</f>
        <v>6.294044853015456</v>
      </c>
      <c r="BT9" s="42">
        <f t="shared" ref="BT9" si="8">AL24/AL4</f>
        <v>6.3111111111111109</v>
      </c>
    </row>
    <row r="10" spans="2:72" ht="15.75" thickBot="1" x14ac:dyDescent="0.3">
      <c r="B10">
        <v>7</v>
      </c>
      <c r="C10" s="3">
        <v>24180</v>
      </c>
      <c r="D10" s="3">
        <v>124</v>
      </c>
      <c r="E10" s="11">
        <f t="shared" si="0"/>
        <v>23662.030843692228</v>
      </c>
      <c r="F10" s="11">
        <f t="shared" si="1"/>
        <v>163.34605597964372</v>
      </c>
      <c r="G10" s="4">
        <f>Tabelle3[[#This Row],[Werkzeuge (€)]]/$S$24*$G$24</f>
        <v>25428.35680517396</v>
      </c>
      <c r="H10" s="4">
        <f>Tabelle3[[#This Row],[Werkzeuge (Backer)]]/$T$24*$H$24</f>
        <v>135.40343915343917</v>
      </c>
      <c r="I10" s="4">
        <f>Tabelle3[[#This Row],[DSK Fasar (€)]]/$U$24*$I$24</f>
        <v>28215.883106698791</v>
      </c>
      <c r="J10" s="4">
        <f>Tabelle3[[#This Row],[DSK Fasar (Backer)]]/$V$24*$J$24</f>
        <v>162.42553191489361</v>
      </c>
      <c r="K10" s="4">
        <f>Tabelle3[[#This Row],[Mythen (€)]]/$W$24*$K$24</f>
        <v>27866.152559700415</v>
      </c>
      <c r="L10" s="4">
        <f>Tabelle3[[#This Row],[Mythen (Backer)]]/$X$24*$L$24</f>
        <v>164.77263581488933</v>
      </c>
      <c r="M10" s="4">
        <f>Tabelle3[[#This Row],[SOK (€)]]/$Y$24*$K$24</f>
        <v>38411.187462616646</v>
      </c>
      <c r="N10" s="4">
        <f>Tabelle3[[#This Row],[SOK (Backer)]]/$Z$24*$L$24</f>
        <v>217.70913461538461</v>
      </c>
      <c r="O10" s="10">
        <f t="shared" si="4"/>
        <v>62401.555555555562</v>
      </c>
      <c r="P10" s="10">
        <f t="shared" si="5"/>
        <v>391.33333333333326</v>
      </c>
      <c r="Q10" s="10">
        <f t="shared" si="2"/>
        <v>101000</v>
      </c>
      <c r="R10" s="10">
        <f t="shared" si="3"/>
        <v>740</v>
      </c>
      <c r="S10" s="3">
        <v>69623</v>
      </c>
      <c r="T10" s="3">
        <v>295</v>
      </c>
      <c r="U10" s="3">
        <v>55981</v>
      </c>
      <c r="V10" s="3">
        <v>308</v>
      </c>
      <c r="W10" s="3">
        <v>40223</v>
      </c>
      <c r="X10" s="3">
        <v>236</v>
      </c>
      <c r="Y10" s="3">
        <v>147297</v>
      </c>
      <c r="Z10" s="3">
        <v>1044</v>
      </c>
      <c r="AA10" s="3">
        <v>164491</v>
      </c>
      <c r="AB10" s="3">
        <v>709</v>
      </c>
      <c r="AC10" s="3">
        <v>126713</v>
      </c>
      <c r="AD10" s="3">
        <v>523</v>
      </c>
      <c r="AE10" s="3">
        <v>50019</v>
      </c>
      <c r="AF10" s="3">
        <v>262</v>
      </c>
      <c r="AG10" s="3">
        <v>184883</v>
      </c>
      <c r="AH10" s="3">
        <v>953</v>
      </c>
      <c r="AI10" s="3">
        <v>16727</v>
      </c>
      <c r="AJ10" s="3">
        <v>127</v>
      </c>
      <c r="AK10" s="225">
        <f>'Übersicht &amp; Anleitung'!AF65</f>
        <v>94449</v>
      </c>
      <c r="AL10" s="225">
        <f>'Übersicht &amp; Anleitung'!AG65</f>
        <v>435</v>
      </c>
      <c r="AM10" s="9">
        <f>Tabelle3[[#This Row],[Nedime (€)]]/C$24</f>
        <v>0.38784184778250058</v>
      </c>
      <c r="AN10" s="9">
        <f>Tabelle3[[#This Row],[Nedime (Backer)]]/D$24</f>
        <v>0.35734870317002881</v>
      </c>
      <c r="AO10" s="9"/>
      <c r="AP10" s="9"/>
      <c r="AQ10" s="9">
        <f>Tabelle3[[#This Row],[Werkzeuge (€)]]/S$24</f>
        <v>0.40786521461502862</v>
      </c>
      <c r="AR10" s="9">
        <f>Tabelle3[[#This Row],[Werkzeuge (Backer)]]/T$24</f>
        <v>0.39021164021164023</v>
      </c>
      <c r="AT10" s="270" t="s">
        <v>231</v>
      </c>
      <c r="AU10" s="23">
        <f>AVERAGE(AW9,AY9,BA9,BC9,BE9,BG9,BI9,BK9,BM9,BO9,BQ9)</f>
        <v>3.8738267646544062</v>
      </c>
      <c r="AV10" s="23">
        <f>AVERAGE(AX9,AZ9,BB9,BD9,BF9,BH9,BJ9,BL9,BN9,BP9,BR9)</f>
        <v>3.8736746882435411</v>
      </c>
      <c r="AW10" s="28"/>
      <c r="AX10" s="32">
        <f>AW9-AX9</f>
        <v>-0.53265422899183257</v>
      </c>
      <c r="AY10" s="33"/>
      <c r="AZ10" s="32">
        <f>AY9-AZ9</f>
        <v>0.95009230769230779</v>
      </c>
      <c r="BA10" s="33"/>
      <c r="BB10" s="32">
        <f>BA9-BB9</f>
        <v>-0.29361125719480974</v>
      </c>
      <c r="BC10" s="33"/>
      <c r="BD10" s="29">
        <f>BC9-BD9</f>
        <v>2.3641135525097834E-2</v>
      </c>
      <c r="BE10" s="33"/>
      <c r="BF10" s="29">
        <f>BE9-BF9</f>
        <v>0.26682909310182712</v>
      </c>
      <c r="BG10" s="33"/>
      <c r="BH10" s="29">
        <f>BG9-BH9</f>
        <v>1.8558644898871712E-3</v>
      </c>
      <c r="BI10" s="33"/>
      <c r="BJ10" s="29">
        <f>BI9-BJ9</f>
        <v>-0.15533837378036264</v>
      </c>
      <c r="BK10" s="33"/>
      <c r="BL10" s="29">
        <f>BK9-BL9</f>
        <v>-4.913587705337541E-2</v>
      </c>
      <c r="BM10" s="33"/>
      <c r="BN10" s="29">
        <f>BM9-BN9</f>
        <v>-0.4353318109283002</v>
      </c>
      <c r="BO10" s="33"/>
      <c r="BP10" s="29">
        <f>BO9-BP9</f>
        <v>-9.7190304876089595E-2</v>
      </c>
      <c r="BQ10" s="33"/>
      <c r="BR10" s="29">
        <f>BQ9-BR9</f>
        <v>0.32251629253516967</v>
      </c>
      <c r="BS10" s="33"/>
      <c r="BT10" s="29">
        <f>BS9-BT9</f>
        <v>-1.7066258095654874E-2</v>
      </c>
    </row>
    <row r="11" spans="2:72" ht="15.75" thickBot="1" x14ac:dyDescent="0.3">
      <c r="B11">
        <v>8</v>
      </c>
      <c r="C11" s="3">
        <v>26679</v>
      </c>
      <c r="D11" s="3">
        <v>136</v>
      </c>
      <c r="E11" s="11">
        <f t="shared" si="0"/>
        <v>25067.69604232741</v>
      </c>
      <c r="F11" s="11">
        <f t="shared" si="1"/>
        <v>172.17557251908391</v>
      </c>
      <c r="G11" s="4">
        <f>Tabelle3[[#This Row],[Werkzeuge (€)]]/$S$24*$G$24</f>
        <v>26582.481268416705</v>
      </c>
      <c r="H11" s="4">
        <f>Tabelle3[[#This Row],[Werkzeuge (Backer)]]/$T$24*$H$24</f>
        <v>141.37037037037035</v>
      </c>
      <c r="I11" s="4">
        <f>Tabelle3[[#This Row],[DSK Fasar (€)]]/$U$24*$I$24</f>
        <v>29634.212451695312</v>
      </c>
      <c r="J11" s="4">
        <f>Tabelle3[[#This Row],[DSK Fasar (Backer)]]/$V$24*$J$24</f>
        <v>171.39057750759878</v>
      </c>
      <c r="K11" s="4">
        <f>Tabelle3[[#This Row],[Mythen (€)]]/$W$24*$K$24</f>
        <v>30320.712849062682</v>
      </c>
      <c r="L11" s="4">
        <f>Tabelle3[[#This Row],[Mythen (Backer)]]/$X$24*$L$24</f>
        <v>176.64185110663985</v>
      </c>
      <c r="M11" s="4">
        <f>Tabelle3[[#This Row],[SOK (€)]]/$Y$24*$K$24</f>
        <v>40199.312899191471</v>
      </c>
      <c r="N11" s="4">
        <f>Tabelle3[[#This Row],[SOK (Backer)]]/$Z$24*$L$24</f>
        <v>226.05048076923077</v>
      </c>
      <c r="O11" s="10">
        <f t="shared" si="4"/>
        <v>66501.944444444453</v>
      </c>
      <c r="P11" s="10">
        <f t="shared" si="5"/>
        <v>414.16666666666657</v>
      </c>
      <c r="Q11" s="10">
        <f t="shared" si="2"/>
        <v>107000</v>
      </c>
      <c r="R11" s="10">
        <f t="shared" si="3"/>
        <v>780</v>
      </c>
      <c r="S11" s="3">
        <v>72783</v>
      </c>
      <c r="T11" s="3">
        <v>308</v>
      </c>
      <c r="U11" s="3">
        <v>58795</v>
      </c>
      <c r="V11" s="3">
        <v>325</v>
      </c>
      <c r="W11" s="3">
        <v>43766</v>
      </c>
      <c r="X11" s="3">
        <v>253</v>
      </c>
      <c r="Y11" s="3">
        <v>154154</v>
      </c>
      <c r="Z11" s="3">
        <v>1084</v>
      </c>
      <c r="AA11" s="3">
        <v>182858</v>
      </c>
      <c r="AB11" s="3">
        <v>792</v>
      </c>
      <c r="AC11" s="3">
        <v>130050</v>
      </c>
      <c r="AD11" s="3">
        <v>539</v>
      </c>
      <c r="AE11" s="3">
        <v>54482</v>
      </c>
      <c r="AF11" s="3">
        <v>287</v>
      </c>
      <c r="AG11" s="3">
        <v>193287</v>
      </c>
      <c r="AH11" s="3">
        <v>994</v>
      </c>
      <c r="AI11" s="3">
        <v>17672</v>
      </c>
      <c r="AJ11" s="3">
        <v>134</v>
      </c>
      <c r="AK11" s="225">
        <f>'Übersicht &amp; Anleitung'!AF66</f>
        <v>103073</v>
      </c>
      <c r="AL11" s="225">
        <f>'Übersicht &amp; Anleitung'!AG66</f>
        <v>476</v>
      </c>
      <c r="AM11" s="9">
        <f>Tabelle3[[#This Row],[Nedime (€)]]/C$24</f>
        <v>0.42792525463148606</v>
      </c>
      <c r="AN11" s="9">
        <f>Tabelle3[[#This Row],[Nedime (Backer)]]/D$24</f>
        <v>0.39193083573487031</v>
      </c>
      <c r="AO11" s="9"/>
      <c r="AP11" s="9"/>
      <c r="AQ11" s="9">
        <f>Tabelle3[[#This Row],[Werkzeuge (€)]]/S$24</f>
        <v>0.42637711554120949</v>
      </c>
      <c r="AR11" s="9">
        <f>Tabelle3[[#This Row],[Werkzeuge (Backer)]]/T$24</f>
        <v>0.40740740740740738</v>
      </c>
    </row>
    <row r="12" spans="2:72" x14ac:dyDescent="0.25">
      <c r="B12">
        <v>9</v>
      </c>
      <c r="C12" s="3">
        <v>27868</v>
      </c>
      <c r="D12" s="3">
        <v>142</v>
      </c>
      <c r="E12" s="11">
        <f t="shared" si="0"/>
        <v>26473.361240962593</v>
      </c>
      <c r="F12" s="11">
        <f t="shared" si="1"/>
        <v>181.00508905852411</v>
      </c>
      <c r="G12" s="4">
        <f>Tabelle3[[#This Row],[Werkzeuge (€)]]/$S$24*$G$24</f>
        <v>27975.465668039436</v>
      </c>
      <c r="H12" s="4">
        <f>Tabelle3[[#This Row],[Werkzeuge (Backer)]]/$T$24*$H$24</f>
        <v>151.00925925925927</v>
      </c>
      <c r="I12" s="4">
        <f>Tabelle3[[#This Row],[DSK Fasar (€)]]/$U$24*$I$24</f>
        <v>31904.84987145698</v>
      </c>
      <c r="J12" s="4">
        <f>Tabelle3[[#This Row],[DSK Fasar (Backer)]]/$V$24*$J$24</f>
        <v>184.57446808510639</v>
      </c>
      <c r="K12" s="4">
        <f>Tabelle3[[#This Row],[Mythen (€)]]/$W$24*$K$24</f>
        <v>31848.318109588741</v>
      </c>
      <c r="L12" s="4">
        <f>Tabelle3[[#This Row],[Mythen (Backer)]]/$X$24*$L$24</f>
        <v>186.41649899396378</v>
      </c>
      <c r="M12" s="4">
        <f>Tabelle3[[#This Row],[SOK (€)]]/$Y$24*$K$24</f>
        <v>41369.665379773047</v>
      </c>
      <c r="N12" s="4">
        <f>Tabelle3[[#This Row],[SOK (Backer)]]/$Z$24*$L$24</f>
        <v>231.88942307692307</v>
      </c>
      <c r="O12" s="10">
        <f t="shared" si="4"/>
        <v>70602.333333333343</v>
      </c>
      <c r="P12" s="10">
        <f t="shared" si="5"/>
        <v>436.99999999999989</v>
      </c>
      <c r="Q12" s="10">
        <f t="shared" si="2"/>
        <v>113000</v>
      </c>
      <c r="R12" s="10">
        <f t="shared" si="3"/>
        <v>820</v>
      </c>
      <c r="S12" s="3">
        <v>76597</v>
      </c>
      <c r="T12" s="3">
        <v>329</v>
      </c>
      <c r="U12" s="3">
        <v>63300</v>
      </c>
      <c r="V12" s="3">
        <v>350</v>
      </c>
      <c r="W12" s="3">
        <v>45971</v>
      </c>
      <c r="X12" s="3">
        <v>267</v>
      </c>
      <c r="Y12" s="3">
        <v>158642</v>
      </c>
      <c r="Z12" s="3">
        <v>1112</v>
      </c>
      <c r="AA12" s="3">
        <v>195000</v>
      </c>
      <c r="AB12" s="3">
        <v>851</v>
      </c>
      <c r="AC12" s="3">
        <v>133215</v>
      </c>
      <c r="AD12" s="3">
        <v>551</v>
      </c>
      <c r="AE12" s="3">
        <v>60464</v>
      </c>
      <c r="AF12" s="3">
        <v>324</v>
      </c>
      <c r="AG12" s="3">
        <v>202015</v>
      </c>
      <c r="AH12" s="3">
        <v>1040</v>
      </c>
      <c r="AI12" s="3">
        <v>17982</v>
      </c>
      <c r="AJ12" s="3">
        <v>138</v>
      </c>
      <c r="AK12" s="225">
        <f>'Übersicht &amp; Anleitung'!AF67</f>
        <v>113149</v>
      </c>
      <c r="AL12" s="225">
        <f>'Übersicht &amp; Anleitung'!AG67</f>
        <v>524</v>
      </c>
      <c r="AM12" s="9">
        <f>Tabelle3[[#This Row],[Nedime (€)]]/C$24</f>
        <v>0.44699655144759004</v>
      </c>
      <c r="AN12" s="9">
        <f>Tabelle3[[#This Row],[Nedime (Backer)]]/D$24</f>
        <v>0.40922190201729108</v>
      </c>
      <c r="AO12" s="9"/>
      <c r="AP12" s="9"/>
      <c r="AQ12" s="9">
        <f>Tabelle3[[#This Row],[Werkzeuge (€)]]/S$24</f>
        <v>0.4487202769755303</v>
      </c>
      <c r="AR12" s="9">
        <f>Tabelle3[[#This Row],[Werkzeuge (Backer)]]/T$24</f>
        <v>0.43518518518518517</v>
      </c>
      <c r="AW12" s="24" t="s">
        <v>75</v>
      </c>
      <c r="AX12" s="30" t="s">
        <v>75</v>
      </c>
      <c r="AY12" s="47"/>
      <c r="AZ12" s="48"/>
      <c r="BA12" s="43" t="s">
        <v>75</v>
      </c>
      <c r="BB12" s="44" t="s">
        <v>75</v>
      </c>
      <c r="BC12" s="31" t="s">
        <v>75</v>
      </c>
      <c r="BD12" s="25" t="s">
        <v>75</v>
      </c>
      <c r="BE12" s="31" t="s">
        <v>75</v>
      </c>
      <c r="BF12" s="25" t="s">
        <v>75</v>
      </c>
      <c r="BG12" s="31" t="s">
        <v>75</v>
      </c>
      <c r="BH12" s="25" t="s">
        <v>75</v>
      </c>
      <c r="BI12" s="31" t="s">
        <v>75</v>
      </c>
      <c r="BJ12" s="25" t="s">
        <v>75</v>
      </c>
      <c r="BK12" s="31" t="s">
        <v>75</v>
      </c>
      <c r="BL12" s="25" t="s">
        <v>75</v>
      </c>
      <c r="BM12" s="31" t="s">
        <v>75</v>
      </c>
      <c r="BN12" s="25" t="s">
        <v>75</v>
      </c>
      <c r="BO12" s="31" t="s">
        <v>75</v>
      </c>
      <c r="BP12" s="25" t="s">
        <v>75</v>
      </c>
      <c r="BQ12" s="31" t="s">
        <v>75</v>
      </c>
      <c r="BR12" s="25" t="s">
        <v>75</v>
      </c>
      <c r="BS12" s="31" t="s">
        <v>75</v>
      </c>
      <c r="BT12" s="25" t="s">
        <v>75</v>
      </c>
    </row>
    <row r="13" spans="2:72" x14ac:dyDescent="0.25">
      <c r="B13">
        <v>10</v>
      </c>
      <c r="C13" s="3">
        <v>31587</v>
      </c>
      <c r="D13" s="3">
        <v>161</v>
      </c>
      <c r="E13" s="11">
        <f t="shared" si="0"/>
        <v>27879.026439597776</v>
      </c>
      <c r="F13" s="11">
        <f t="shared" si="1"/>
        <v>189.8346055979643</v>
      </c>
      <c r="G13" s="4">
        <f>Tabelle3[[#This Row],[Werkzeuge (€)]]/$S$24*$G$24</f>
        <v>29703.00007029836</v>
      </c>
      <c r="H13" s="4">
        <f>Tabelle3[[#This Row],[Werkzeuge (Backer)]]/$T$24*$H$24</f>
        <v>160.64814814814815</v>
      </c>
      <c r="I13" s="4">
        <f>Tabelle3[[#This Row],[DSK Fasar (€)]]/$U$24*$I$24</f>
        <v>33593.337186929035</v>
      </c>
      <c r="J13" s="4">
        <f>Tabelle3[[#This Row],[DSK Fasar (Backer)]]/$V$24*$J$24</f>
        <v>194.59422492401217</v>
      </c>
      <c r="K13" s="4">
        <f>Tabelle3[[#This Row],[Mythen (€)]]/$W$24*$K$24</f>
        <v>33844.943216543877</v>
      </c>
      <c r="L13" s="4">
        <f>Tabelle3[[#This Row],[Mythen (Backer)]]/$X$24*$L$24</f>
        <v>196.88933601609659</v>
      </c>
      <c r="M13" s="4">
        <f>Tabelle3[[#This Row],[SOK (€)]]/$Y$24*$K$24</f>
        <v>42556.707378794279</v>
      </c>
      <c r="N13" s="4">
        <f>Tabelle3[[#This Row],[SOK (Backer)]]/$Z$24*$L$24</f>
        <v>237.72836538461539</v>
      </c>
      <c r="O13" s="10">
        <f t="shared" si="4"/>
        <v>74702.722222222234</v>
      </c>
      <c r="P13" s="10">
        <f t="shared" si="5"/>
        <v>459.8333333333332</v>
      </c>
      <c r="Q13" s="10">
        <f t="shared" si="2"/>
        <v>119000</v>
      </c>
      <c r="R13" s="10">
        <f t="shared" si="3"/>
        <v>860</v>
      </c>
      <c r="S13" s="3">
        <v>81327</v>
      </c>
      <c r="T13" s="3">
        <v>350</v>
      </c>
      <c r="U13" s="3">
        <v>66650</v>
      </c>
      <c r="V13" s="3">
        <v>369</v>
      </c>
      <c r="W13" s="3">
        <v>48853</v>
      </c>
      <c r="X13" s="3">
        <v>282</v>
      </c>
      <c r="Y13" s="3">
        <v>163194</v>
      </c>
      <c r="Z13" s="3">
        <v>1140</v>
      </c>
      <c r="AA13" s="3">
        <v>203877</v>
      </c>
      <c r="AB13" s="3">
        <v>893</v>
      </c>
      <c r="AC13" s="3">
        <v>136715</v>
      </c>
      <c r="AD13" s="3">
        <v>565</v>
      </c>
      <c r="AE13" s="3">
        <v>62608</v>
      </c>
      <c r="AF13" s="3">
        <v>336</v>
      </c>
      <c r="AG13" s="3">
        <v>209016</v>
      </c>
      <c r="AH13" s="3">
        <v>1073</v>
      </c>
      <c r="AI13" s="3">
        <v>18530</v>
      </c>
      <c r="AJ13" s="3">
        <v>143</v>
      </c>
      <c r="AK13" s="225">
        <f>'Übersicht &amp; Anleitung'!AF68</f>
        <v>120667</v>
      </c>
      <c r="AL13" s="225">
        <f>'Übersicht &amp; Anleitung'!AG68</f>
        <v>564</v>
      </c>
      <c r="AM13" s="9">
        <f>Tabelle3[[#This Row],[Nedime (€)]]/C$24</f>
        <v>0.50664848825086217</v>
      </c>
      <c r="AN13" s="9">
        <f>Tabelle3[[#This Row],[Nedime (Backer)]]/D$24</f>
        <v>0.46397694524495675</v>
      </c>
      <c r="AO13" s="9"/>
      <c r="AP13" s="9"/>
      <c r="AQ13" s="9">
        <f>Tabelle3[[#This Row],[Werkzeuge (€)]]/S$24</f>
        <v>0.47642954639984536</v>
      </c>
      <c r="AR13" s="9">
        <f>Tabelle3[[#This Row],[Werkzeuge (Backer)]]/T$24</f>
        <v>0.46296296296296297</v>
      </c>
      <c r="AS13" s="271" t="s">
        <v>104</v>
      </c>
      <c r="AT13" s="15" t="s">
        <v>76</v>
      </c>
      <c r="AU13" s="22">
        <f t="shared" ref="AU13" si="9">MIN(AW14,AY14,BA14,BC14,BE14,BG14,BI14,BK14,BM14,BO14,BQ14)</f>
        <v>2.0971114795224688</v>
      </c>
      <c r="AV13" s="22">
        <f t="shared" ref="AV13" si="10">MIN(AX14,AZ14,BB14,BD14,BF14,BH14,BJ14,BL14,BN14,BP14,BR14)</f>
        <v>2.1089987325728772</v>
      </c>
      <c r="AW13" s="26" t="s">
        <v>207</v>
      </c>
      <c r="AX13" s="8" t="s">
        <v>208</v>
      </c>
      <c r="AY13" s="41"/>
      <c r="AZ13" s="49"/>
      <c r="BA13" s="5" t="s">
        <v>211</v>
      </c>
      <c r="BB13" s="8" t="s">
        <v>212</v>
      </c>
      <c r="BC13" s="5" t="s">
        <v>209</v>
      </c>
      <c r="BD13" s="27" t="s">
        <v>210</v>
      </c>
      <c r="BE13" s="5" t="s">
        <v>129</v>
      </c>
      <c r="BF13" s="27" t="s">
        <v>130</v>
      </c>
      <c r="BG13" s="5" t="s">
        <v>152</v>
      </c>
      <c r="BH13" s="27" t="s">
        <v>153</v>
      </c>
      <c r="BI13" s="5" t="s">
        <v>170</v>
      </c>
      <c r="BJ13" s="27" t="s">
        <v>171</v>
      </c>
      <c r="BK13" s="5" t="s">
        <v>213</v>
      </c>
      <c r="BL13" s="27" t="s">
        <v>214</v>
      </c>
      <c r="BM13" s="5" t="s">
        <v>215</v>
      </c>
      <c r="BN13" s="27" t="s">
        <v>216</v>
      </c>
      <c r="BO13" s="5" t="s">
        <v>215</v>
      </c>
      <c r="BP13" s="27" t="s">
        <v>216</v>
      </c>
      <c r="BQ13" s="5" t="s">
        <v>215</v>
      </c>
      <c r="BR13" s="27" t="s">
        <v>216</v>
      </c>
      <c r="BS13" s="5" t="s">
        <v>213</v>
      </c>
      <c r="BT13" s="27" t="s">
        <v>214</v>
      </c>
    </row>
    <row r="14" spans="2:72" x14ac:dyDescent="0.25">
      <c r="B14">
        <v>11</v>
      </c>
      <c r="C14" s="3">
        <v>34703</v>
      </c>
      <c r="D14" s="3">
        <v>178</v>
      </c>
      <c r="E14" s="4">
        <f>Tabelle3[[#This Row],[Thorwal (€)]]/Q24*E24</f>
        <v>29284.691638232951</v>
      </c>
      <c r="F14" s="4">
        <f>Tabelle3[[#This Row],[Thorwal (Backer)]]/R24*F24</f>
        <v>198.66412213740458</v>
      </c>
      <c r="G14" s="4">
        <f>Tabelle3[[#This Row],[Werkzeuge (€)]]/$S$24*$G$24</f>
        <v>30336.672837300306</v>
      </c>
      <c r="H14" s="4">
        <f>Tabelle3[[#This Row],[Werkzeuge (Backer)]]/$T$24*$H$24</f>
        <v>163.40211640211641</v>
      </c>
      <c r="I14" s="4">
        <f>Tabelle3[[#This Row],[DSK Fasar (€)]]/$U$24*$I$24</f>
        <v>35114.48784904684</v>
      </c>
      <c r="J14" s="4">
        <f>Tabelle3[[#This Row],[DSK Fasar (Backer)]]/$V$24*$J$24</f>
        <v>203.55927051671733</v>
      </c>
      <c r="K14" s="4">
        <f>Tabelle3[[#This Row],[Mythen (€)]]/$W$24*$K$24</f>
        <v>34836.327855007723</v>
      </c>
      <c r="L14" s="4">
        <f>Tabelle3[[#This Row],[Mythen (Backer)]]/$X$24*$L$24</f>
        <v>203.17303822937623</v>
      </c>
      <c r="M14" s="4">
        <f>Tabelle3[[#This Row],[SOK (€)]]/$Y$24*$K$24</f>
        <v>43394.051811759389</v>
      </c>
      <c r="N14" s="4">
        <f>Tabelle3[[#This Row],[SOK (Backer)]]/$Z$24*$L$24</f>
        <v>242.52463942307693</v>
      </c>
      <c r="O14" s="10">
        <f t="shared" si="4"/>
        <v>78803.111111111124</v>
      </c>
      <c r="P14" s="10">
        <f t="shared" si="5"/>
        <v>482.66666666666652</v>
      </c>
      <c r="Q14" s="3">
        <v>125000</v>
      </c>
      <c r="R14" s="3">
        <v>900</v>
      </c>
      <c r="S14" s="3">
        <v>83062</v>
      </c>
      <c r="T14" s="3">
        <v>356</v>
      </c>
      <c r="U14" s="3">
        <v>69668</v>
      </c>
      <c r="V14" s="3">
        <v>386</v>
      </c>
      <c r="W14" s="3">
        <v>50284</v>
      </c>
      <c r="X14" s="3">
        <v>291</v>
      </c>
      <c r="Y14" s="3">
        <v>166405</v>
      </c>
      <c r="Z14" s="3">
        <v>1163</v>
      </c>
      <c r="AA14" s="3">
        <v>212794</v>
      </c>
      <c r="AB14" s="3">
        <v>935</v>
      </c>
      <c r="AC14" s="3">
        <v>139670</v>
      </c>
      <c r="AD14" s="3">
        <v>582</v>
      </c>
      <c r="AE14" s="3">
        <v>63707</v>
      </c>
      <c r="AF14" s="3">
        <v>345</v>
      </c>
      <c r="AG14" s="3">
        <v>214911</v>
      </c>
      <c r="AH14" s="3">
        <v>1104</v>
      </c>
      <c r="AI14" s="3">
        <v>19542</v>
      </c>
      <c r="AJ14" s="3">
        <v>150</v>
      </c>
      <c r="AK14" s="225">
        <f>'Übersicht &amp; Anleitung'!AF69</f>
        <v>127353</v>
      </c>
      <c r="AL14" s="225">
        <f>'Übersicht &amp; Anleitung'!AG69</f>
        <v>596</v>
      </c>
      <c r="AM14" s="9">
        <f>Tabelle3[[#This Row],[Nedime (€)]]/C$24</f>
        <v>0.55662843852754829</v>
      </c>
      <c r="AN14" s="9">
        <f>Tabelle3[[#This Row],[Nedime (Backer)]]/D$24</f>
        <v>0.51296829971181557</v>
      </c>
      <c r="AO14" s="9">
        <f>Tabelle3[[#This Row],[Thorwal (€)]]/Q$24</f>
        <v>0.46971997174164648</v>
      </c>
      <c r="AP14" s="9">
        <f>Tabelle3[[#This Row],[Thorwal (Backer)]]/R$24</f>
        <v>0.5725190839694656</v>
      </c>
      <c r="AQ14" s="9">
        <f>Tabelle3[[#This Row],[Werkzeuge (€)]]/S$24</f>
        <v>0.48659351731975792</v>
      </c>
      <c r="AR14" s="9">
        <f>Tabelle3[[#This Row],[Werkzeuge (Backer)]]/T$24</f>
        <v>0.47089947089947087</v>
      </c>
      <c r="AT14" t="s">
        <v>77</v>
      </c>
      <c r="AU14" s="23">
        <f t="shared" ref="AU14" si="11">MAX(AW14,AY14,BA14,BC14,BE14,BG14,BI14,BK14,BM14,BO14,BQ14)</f>
        <v>4.0539303214018769</v>
      </c>
      <c r="AV14" s="23">
        <f t="shared" ref="AV14" si="12">MAX(AX14,AZ14,BB14,BD14,BF14,BH14,BJ14,BL14,BN14,BP14,BR14)</f>
        <v>4.2317073170731705</v>
      </c>
      <c r="AW14" s="26">
        <f>C24/C5</f>
        <v>3.7189811500835122</v>
      </c>
      <c r="AX14" s="8">
        <f>D24/D5</f>
        <v>4.2317073170731705</v>
      </c>
      <c r="AY14" s="41"/>
      <c r="AZ14" s="49"/>
      <c r="BA14" s="18">
        <f t="shared" ref="BA14:BR14" si="13">S24/S5</f>
        <v>3.4469730624772827</v>
      </c>
      <c r="BB14" s="19">
        <f t="shared" si="13"/>
        <v>3.6699029126213594</v>
      </c>
      <c r="BC14" s="18">
        <f t="shared" si="13"/>
        <v>2.8995991467216764</v>
      </c>
      <c r="BD14" s="42">
        <f t="shared" si="13"/>
        <v>2.8240343347639487</v>
      </c>
      <c r="BE14" s="18">
        <f t="shared" si="13"/>
        <v>3.6683107777596606</v>
      </c>
      <c r="BF14" s="42">
        <f t="shared" si="13"/>
        <v>3.4275862068965517</v>
      </c>
      <c r="BG14" s="18">
        <f t="shared" si="13"/>
        <v>2.0971114795224688</v>
      </c>
      <c r="BH14" s="42">
        <f t="shared" si="13"/>
        <v>2.1089987325728772</v>
      </c>
      <c r="BI14" s="18">
        <f t="shared" si="13"/>
        <v>4.0539303214018769</v>
      </c>
      <c r="BJ14" s="42">
        <f t="shared" si="13"/>
        <v>4.1039603960396036</v>
      </c>
      <c r="BK14" s="18">
        <f t="shared" si="13"/>
        <v>2.3097497929079713</v>
      </c>
      <c r="BL14" s="42">
        <f t="shared" si="13"/>
        <v>2.3381294964028778</v>
      </c>
      <c r="BM14" s="18">
        <f t="shared" si="13"/>
        <v>3.5511167324777886</v>
      </c>
      <c r="BN14" s="42">
        <f t="shared" si="13"/>
        <v>3.75</v>
      </c>
      <c r="BO14" s="18">
        <f t="shared" si="13"/>
        <v>2.6726005618116364</v>
      </c>
      <c r="BP14" s="42">
        <f t="shared" si="13"/>
        <v>2.7184466019417477</v>
      </c>
      <c r="BQ14" s="18">
        <f t="shared" si="13"/>
        <v>3.1704714423161025</v>
      </c>
      <c r="BR14" s="42">
        <f t="shared" si="13"/>
        <v>3.0224719101123596</v>
      </c>
      <c r="BS14" s="18">
        <f t="shared" ref="BS14" si="14">AK24/AK5</f>
        <v>4.4805026697589128</v>
      </c>
      <c r="BT14" s="42">
        <f t="shared" ref="BT14" si="15">AL24/AL5</f>
        <v>4.4375</v>
      </c>
    </row>
    <row r="15" spans="2:72" ht="15.75" thickBot="1" x14ac:dyDescent="0.3">
      <c r="B15">
        <v>12</v>
      </c>
      <c r="C15" s="3">
        <v>36986</v>
      </c>
      <c r="D15" s="3">
        <v>193</v>
      </c>
      <c r="E15" s="11">
        <f>E14+($E$24-$E$14)/10</f>
        <v>32590.722474409657</v>
      </c>
      <c r="F15" s="11">
        <f>F14+($F$24-$F$14)/10</f>
        <v>213.4977099236641</v>
      </c>
      <c r="G15" s="4">
        <f>Tabelle3[[#This Row],[Werkzeuge (€)]]/$S$24*$G$24</f>
        <v>31465.961710827709</v>
      </c>
      <c r="H15" s="4">
        <f>Tabelle3[[#This Row],[Werkzeuge (Backer)]]/$T$24*$H$24</f>
        <v>170.28703703703704</v>
      </c>
      <c r="I15" s="4">
        <f>Tabelle3[[#This Row],[DSK Fasar (€)]]/$U$24*$I$24</f>
        <v>35930.002021116627</v>
      </c>
      <c r="J15" s="4">
        <f>Tabelle3[[#This Row],[DSK Fasar (Backer)]]/$V$24*$J$24</f>
        <v>208.30547112462006</v>
      </c>
      <c r="K15" s="4">
        <f>Tabelle3[[#This Row],[Mythen (€)]]/$W$24*$K$24</f>
        <v>37561.769621406587</v>
      </c>
      <c r="L15" s="4">
        <f>Tabelle3[[#This Row],[Mythen (Backer)]]/$X$24*$L$24</f>
        <v>217.13682092555331</v>
      </c>
      <c r="M15" s="4">
        <f>Tabelle3[[#This Row],[SOK (€)]]/$Y$24*$K$24</f>
        <v>44274.16313572615</v>
      </c>
      <c r="N15" s="4">
        <f>Tabelle3[[#This Row],[SOK (Backer)]]/$Z$24*$L$24</f>
        <v>247.94651442307693</v>
      </c>
      <c r="O15" s="10">
        <f t="shared" si="4"/>
        <v>82903.500000000015</v>
      </c>
      <c r="P15" s="10">
        <f t="shared" si="5"/>
        <v>505.49999999999983</v>
      </c>
      <c r="Q15" s="10">
        <f>Q14+($Q$24-$Q$14)/10</f>
        <v>139111.6</v>
      </c>
      <c r="R15" s="10">
        <f>R14+($R$24-$R$14)/10</f>
        <v>967.2</v>
      </c>
      <c r="S15" s="3">
        <v>86154</v>
      </c>
      <c r="T15" s="3">
        <v>371</v>
      </c>
      <c r="U15" s="3">
        <v>71286</v>
      </c>
      <c r="V15" s="3">
        <v>395</v>
      </c>
      <c r="W15" s="3">
        <v>54218</v>
      </c>
      <c r="X15" s="3">
        <v>311</v>
      </c>
      <c r="Y15" s="3">
        <v>169780</v>
      </c>
      <c r="Z15" s="3">
        <v>1189</v>
      </c>
      <c r="AA15" s="3">
        <v>221864</v>
      </c>
      <c r="AB15" s="3">
        <v>976</v>
      </c>
      <c r="AC15" s="3">
        <v>143057</v>
      </c>
      <c r="AD15" s="3">
        <v>598</v>
      </c>
      <c r="AE15" s="3">
        <v>66094</v>
      </c>
      <c r="AF15" s="3">
        <v>361</v>
      </c>
      <c r="AG15" s="3">
        <v>220698</v>
      </c>
      <c r="AH15" s="3">
        <v>1137</v>
      </c>
      <c r="AI15" s="3">
        <v>20594</v>
      </c>
      <c r="AJ15" s="3">
        <v>154</v>
      </c>
      <c r="AK15" s="225">
        <f>'Übersicht &amp; Anleitung'!AF70</f>
        <v>134068</v>
      </c>
      <c r="AL15" s="225">
        <f>'Übersicht &amp; Anleitung'!AG70</f>
        <v>624</v>
      </c>
      <c r="AM15" s="9">
        <f>Tabelle3[[#This Row],[Nedime (€)]]/C$24</f>
        <v>0.59324725318790605</v>
      </c>
      <c r="AN15" s="9">
        <f>Tabelle3[[#This Row],[Nedime (Backer)]]/D$24</f>
        <v>0.55619596541786742</v>
      </c>
      <c r="AO15" s="9"/>
      <c r="AP15" s="9"/>
      <c r="AQ15" s="9">
        <f>Tabelle3[[#This Row],[Werkzeuge (€)]]/S$24</f>
        <v>0.50470706088423622</v>
      </c>
      <c r="AR15" s="9">
        <f>Tabelle3[[#This Row],[Werkzeuge (Backer)]]/T$24</f>
        <v>0.49074074074074076</v>
      </c>
      <c r="AU15" s="23">
        <f t="shared" ref="AU15" si="16">AVERAGE(AW14,AY14,BA14,BC14,BE14,BG14,BI14,BK14,BM14,BO14,BQ14)</f>
        <v>3.1588844467479977</v>
      </c>
      <c r="AV15" s="23">
        <f t="shared" ref="AV15" si="17">AVERAGE(AX14,AZ14,BB14,BD14,BF14,BH14,BJ14,BL14,BN14,BP14,BR14)</f>
        <v>3.2195237908424494</v>
      </c>
      <c r="AW15" s="28"/>
      <c r="AX15" s="32">
        <f>AW14-AX14</f>
        <v>-0.51272616698965834</v>
      </c>
      <c r="AY15" s="50"/>
      <c r="AZ15" s="51"/>
      <c r="BA15" s="45"/>
      <c r="BB15" s="46">
        <f>BA14-BB14</f>
        <v>-0.22292985014407662</v>
      </c>
      <c r="BC15" s="33"/>
      <c r="BD15" s="29">
        <f>BC14-BD14</f>
        <v>7.5564811957727684E-2</v>
      </c>
      <c r="BE15" s="33"/>
      <c r="BF15" s="29">
        <f>BE14-BF14</f>
        <v>0.24072457086310894</v>
      </c>
      <c r="BG15" s="33"/>
      <c r="BH15" s="29">
        <f>BG14-BH14</f>
        <v>-1.1887253050408386E-2</v>
      </c>
      <c r="BI15" s="33"/>
      <c r="BJ15" s="29">
        <f>BI14-BJ14</f>
        <v>-5.0030074637726685E-2</v>
      </c>
      <c r="BK15" s="33"/>
      <c r="BL15" s="29">
        <f>BK14-BL14</f>
        <v>-2.8379703494906483E-2</v>
      </c>
      <c r="BM15" s="33"/>
      <c r="BN15" s="29">
        <f>BM14-BN14</f>
        <v>-0.19888326752221142</v>
      </c>
      <c r="BO15" s="33"/>
      <c r="BP15" s="29">
        <f>BO14-BP14</f>
        <v>-4.5846040130111287E-2</v>
      </c>
      <c r="BQ15" s="33"/>
      <c r="BR15" s="29">
        <f>BQ14-BR14</f>
        <v>0.14799953220374285</v>
      </c>
      <c r="BS15" s="33"/>
      <c r="BT15" s="29">
        <f>BS14-BT14</f>
        <v>4.3002669758912759E-2</v>
      </c>
    </row>
    <row r="16" spans="2:72" ht="15.75" thickBot="1" x14ac:dyDescent="0.3">
      <c r="B16">
        <v>13</v>
      </c>
      <c r="C16" s="3">
        <v>37704</v>
      </c>
      <c r="D16" s="3">
        <v>197</v>
      </c>
      <c r="E16" s="11">
        <f t="shared" ref="E16:E23" si="18">E15+($E$24-$E$14)/10</f>
        <v>35896.753310586362</v>
      </c>
      <c r="F16" s="11">
        <f t="shared" ref="F16:F23" si="19">F15+($F$24-$F$14)/10</f>
        <v>228.33129770992366</v>
      </c>
      <c r="G16" s="4">
        <f>Tabelle3[[#This Row],[Werkzeuge (€)]]/$S$24*$G$24</f>
        <v>32528.048400419448</v>
      </c>
      <c r="H16" s="4">
        <f>Tabelle3[[#This Row],[Werkzeuge (Backer)]]/$T$24*$H$24</f>
        <v>177.17195767195767</v>
      </c>
      <c r="I16" s="4">
        <f>Tabelle3[[#This Row],[DSK Fasar (€)]]/$U$24*$I$24</f>
        <v>37337.746818762433</v>
      </c>
      <c r="J16" s="4">
        <f>Tabelle3[[#This Row],[DSK Fasar (Backer)]]/$V$24*$J$24</f>
        <v>216.21580547112461</v>
      </c>
      <c r="K16" s="4">
        <f>Tabelle3[[#This Row],[Mythen (€)]]/$W$24*$K$24</f>
        <v>38508.815603782605</v>
      </c>
      <c r="L16" s="4">
        <f>Tabelle3[[#This Row],[Mythen (Backer)]]/$X$24*$L$24</f>
        <v>222.72233400402413</v>
      </c>
      <c r="M16" s="4">
        <f>Tabelle3[[#This Row],[SOK (€)]]/$Y$24*$K$24</f>
        <v>44966.778150972284</v>
      </c>
      <c r="N16" s="4">
        <f>Tabelle3[[#This Row],[SOK (Backer)]]/$Z$24*$L$24</f>
        <v>251.28305288461539</v>
      </c>
      <c r="O16" s="10">
        <f t="shared" si="4"/>
        <v>87003.888888888905</v>
      </c>
      <c r="P16" s="10">
        <f t="shared" si="5"/>
        <v>528.33333333333314</v>
      </c>
      <c r="Q16" s="10">
        <f t="shared" ref="Q16:Q23" si="20">Q15+($Q$24-$Q$14)/10</f>
        <v>153223.20000000001</v>
      </c>
      <c r="R16" s="10">
        <f t="shared" ref="R16:R23" si="21">R15+($R$24-$R$14)/10</f>
        <v>1034.4000000000001</v>
      </c>
      <c r="S16" s="3">
        <v>89062</v>
      </c>
      <c r="T16" s="3">
        <v>386</v>
      </c>
      <c r="U16" s="3">
        <v>74079</v>
      </c>
      <c r="V16" s="3">
        <v>410</v>
      </c>
      <c r="W16" s="3">
        <v>55585</v>
      </c>
      <c r="X16" s="3">
        <v>319</v>
      </c>
      <c r="Y16" s="3">
        <v>172436</v>
      </c>
      <c r="Z16" s="3">
        <v>1205</v>
      </c>
      <c r="AA16" s="3">
        <v>229701</v>
      </c>
      <c r="AB16" s="3">
        <v>1011</v>
      </c>
      <c r="AC16" s="3">
        <v>149744</v>
      </c>
      <c r="AD16" s="3">
        <v>624</v>
      </c>
      <c r="AE16" s="3">
        <v>68288</v>
      </c>
      <c r="AF16" s="3">
        <v>375</v>
      </c>
      <c r="AG16" s="3">
        <v>224732</v>
      </c>
      <c r="AH16" s="3">
        <v>1159</v>
      </c>
      <c r="AI16" s="3">
        <v>20809</v>
      </c>
      <c r="AJ16" s="3">
        <v>155</v>
      </c>
      <c r="AK16" s="225">
        <f>'Übersicht &amp; Anleitung'!AF71</f>
        <v>139930</v>
      </c>
      <c r="AL16" s="225">
        <f>'Übersicht &amp; Anleitung'!AG71</f>
        <v>656</v>
      </c>
      <c r="AM16" s="9">
        <f>Tabelle3[[#This Row],[Nedime (€)]]/C$24</f>
        <v>0.60476381425936321</v>
      </c>
      <c r="AN16" s="9">
        <f>Tabelle3[[#This Row],[Nedime (Backer)]]/D$24</f>
        <v>0.56772334293948123</v>
      </c>
      <c r="AO16" s="9"/>
      <c r="AP16" s="9"/>
      <c r="AQ16" s="9">
        <f>Tabelle3[[#This Row],[Werkzeuge (€)]]/S$24</f>
        <v>0.5217426962935191</v>
      </c>
      <c r="AR16" s="9">
        <f>Tabelle3[[#This Row],[Werkzeuge (Backer)]]/T$24</f>
        <v>0.51058201058201058</v>
      </c>
      <c r="AX16" s="8"/>
      <c r="AZ16" s="8"/>
      <c r="BB16" s="19"/>
      <c r="BD16" s="8"/>
      <c r="BF16" s="8"/>
      <c r="BH16" s="8"/>
      <c r="BJ16" s="8"/>
      <c r="BL16" s="8"/>
      <c r="BN16" s="8"/>
      <c r="BP16" s="8"/>
      <c r="BR16" s="8"/>
      <c r="BT16" s="8"/>
    </row>
    <row r="17" spans="1:72" x14ac:dyDescent="0.25">
      <c r="B17">
        <v>14</v>
      </c>
      <c r="C17" s="3">
        <v>38541</v>
      </c>
      <c r="D17" s="3">
        <v>205</v>
      </c>
      <c r="E17" s="11">
        <f t="shared" si="18"/>
        <v>39202.784146763064</v>
      </c>
      <c r="F17" s="11">
        <f t="shared" si="19"/>
        <v>243.16488549618322</v>
      </c>
      <c r="G17" s="4">
        <f>Tabelle3[[#This Row],[Werkzeuge (€)]]/$S$24*$G$24</f>
        <v>34006.131217743306</v>
      </c>
      <c r="H17" s="4">
        <f>Tabelle3[[#This Row],[Werkzeuge (Backer)]]/$T$24*$H$24</f>
        <v>184.97486772486772</v>
      </c>
      <c r="I17" s="4">
        <f>Tabelle3[[#This Row],[DSK Fasar (€)]]/$U$24*$I$24</f>
        <v>38009.109536436692</v>
      </c>
      <c r="J17" s="4">
        <f>Tabelle3[[#This Row],[DSK Fasar (Backer)]]/$V$24*$J$24</f>
        <v>219.90729483282675</v>
      </c>
      <c r="K17" s="4">
        <f>Tabelle3[[#This Row],[Mythen (€)]]/$W$24*$K$24</f>
        <v>39944.972386127505</v>
      </c>
      <c r="L17" s="4">
        <f>Tabelle3[[#This Row],[Mythen (Backer)]]/$X$24*$L$24</f>
        <v>230.40241448692154</v>
      </c>
      <c r="M17" s="4">
        <f>Tabelle3[[#This Row],[SOK (€)]]/$Y$24*$K$24</f>
        <v>46060.20238249602</v>
      </c>
      <c r="N17" s="4">
        <f>Tabelle3[[#This Row],[SOK (Backer)]]/$Z$24*$L$24</f>
        <v>256.91346153846155</v>
      </c>
      <c r="O17" s="10">
        <f t="shared" si="4"/>
        <v>91104.277777777796</v>
      </c>
      <c r="P17" s="10">
        <f t="shared" si="5"/>
        <v>551.16666666666652</v>
      </c>
      <c r="Q17" s="10">
        <f t="shared" si="20"/>
        <v>167334.80000000002</v>
      </c>
      <c r="R17" s="10">
        <f t="shared" si="21"/>
        <v>1101.6000000000001</v>
      </c>
      <c r="S17" s="3">
        <v>93109</v>
      </c>
      <c r="T17" s="3">
        <v>403</v>
      </c>
      <c r="U17" s="3">
        <v>75411</v>
      </c>
      <c r="V17" s="3">
        <v>417</v>
      </c>
      <c r="W17" s="3">
        <v>57658</v>
      </c>
      <c r="X17" s="3">
        <v>330</v>
      </c>
      <c r="Y17" s="3">
        <v>176629</v>
      </c>
      <c r="Z17" s="3">
        <v>1232</v>
      </c>
      <c r="AA17" s="3">
        <v>240791</v>
      </c>
      <c r="AB17" s="3">
        <v>1060</v>
      </c>
      <c r="AC17" s="3">
        <v>155980</v>
      </c>
      <c r="AD17" s="3">
        <v>650</v>
      </c>
      <c r="AE17" s="3">
        <v>71648</v>
      </c>
      <c r="AF17" s="3">
        <v>395</v>
      </c>
      <c r="AG17" s="3">
        <v>232641</v>
      </c>
      <c r="AH17" s="3">
        <v>1207</v>
      </c>
      <c r="AI17" s="3">
        <v>21426</v>
      </c>
      <c r="AJ17" s="3">
        <v>159</v>
      </c>
      <c r="AK17" s="225">
        <f>'Übersicht &amp; Anleitung'!AF72</f>
        <v>148846</v>
      </c>
      <c r="AL17" s="225">
        <f>'Übersicht &amp; Anleitung'!AG72</f>
        <v>696</v>
      </c>
      <c r="AM17" s="9">
        <f>Tabelle3[[#This Row],[Nedime (€)]]/C$24</f>
        <v>0.61818910899029589</v>
      </c>
      <c r="AN17" s="9">
        <f>Tabelle3[[#This Row],[Nedime (Backer)]]/D$24</f>
        <v>0.59077809798270897</v>
      </c>
      <c r="AO17" s="9"/>
      <c r="AP17" s="9"/>
      <c r="AQ17" s="9">
        <f>Tabelle3[[#This Row],[Werkzeuge (€)]]/S$24</f>
        <v>0.54545081751132096</v>
      </c>
      <c r="AR17" s="9">
        <f>Tabelle3[[#This Row],[Werkzeuge (Backer)]]/T$24</f>
        <v>0.53306878306878303</v>
      </c>
      <c r="AW17" s="24" t="s">
        <v>133</v>
      </c>
      <c r="AX17" s="30" t="s">
        <v>133</v>
      </c>
      <c r="AY17" s="47"/>
      <c r="AZ17" s="48"/>
      <c r="BA17" s="43" t="s">
        <v>133</v>
      </c>
      <c r="BB17" s="44" t="s">
        <v>133</v>
      </c>
      <c r="BC17" s="31" t="s">
        <v>133</v>
      </c>
      <c r="BD17" s="25" t="s">
        <v>133</v>
      </c>
      <c r="BE17" s="31" t="s">
        <v>133</v>
      </c>
      <c r="BF17" s="25" t="s">
        <v>133</v>
      </c>
      <c r="BG17" s="31" t="s">
        <v>133</v>
      </c>
      <c r="BH17" s="25" t="s">
        <v>133</v>
      </c>
      <c r="BI17" s="31" t="s">
        <v>133</v>
      </c>
      <c r="BJ17" s="25" t="s">
        <v>133</v>
      </c>
      <c r="BK17" s="31" t="s">
        <v>133</v>
      </c>
      <c r="BL17" s="25" t="s">
        <v>133</v>
      </c>
      <c r="BM17" s="31" t="s">
        <v>133</v>
      </c>
      <c r="BN17" s="25" t="s">
        <v>133</v>
      </c>
      <c r="BO17" s="31" t="s">
        <v>133</v>
      </c>
      <c r="BP17" s="25" t="s">
        <v>133</v>
      </c>
      <c r="BQ17" s="31" t="s">
        <v>133</v>
      </c>
      <c r="BR17" s="25" t="s">
        <v>133</v>
      </c>
      <c r="BS17" s="31" t="s">
        <v>133</v>
      </c>
      <c r="BT17" s="25" t="s">
        <v>133</v>
      </c>
    </row>
    <row r="18" spans="1:72" x14ac:dyDescent="0.25">
      <c r="B18">
        <v>15</v>
      </c>
      <c r="C18" s="3">
        <v>40401</v>
      </c>
      <c r="D18" s="3">
        <v>214</v>
      </c>
      <c r="E18" s="11">
        <f t="shared" si="18"/>
        <v>42508.814982939766</v>
      </c>
      <c r="F18" s="11">
        <f t="shared" si="19"/>
        <v>257.99847328244277</v>
      </c>
      <c r="G18" s="4">
        <f>Tabelle3[[#This Row],[Werkzeuge (€)]]/$S$24*$G$24</f>
        <v>35597.435105828321</v>
      </c>
      <c r="H18" s="4">
        <f>Tabelle3[[#This Row],[Werkzeuge (Backer)]]/$T$24*$H$24</f>
        <v>193.69576719576722</v>
      </c>
      <c r="I18" s="4">
        <f>Tabelle3[[#This Row],[DSK Fasar (€)]]/$U$24*$I$24</f>
        <v>38818.07136967031</v>
      </c>
      <c r="J18" s="4">
        <f>Tabelle3[[#This Row],[DSK Fasar (Backer)]]/$V$24*$J$24</f>
        <v>225.18085106382978</v>
      </c>
      <c r="K18" s="4">
        <f>Tabelle3[[#This Row],[Mythen (€)]]/$W$24*$K$24</f>
        <v>40981.388472180552</v>
      </c>
      <c r="L18" s="4">
        <f>Tabelle3[[#This Row],[Mythen (Backer)]]/$X$24*$L$24</f>
        <v>235.2897384305835</v>
      </c>
      <c r="M18" s="4">
        <f>Tabelle3[[#This Row],[SOK (€)]]/$Y$24*$K$24</f>
        <v>49096.651643612728</v>
      </c>
      <c r="N18" s="4">
        <f>Tabelle3[[#This Row],[SOK (Backer)]]/$Z$24*$L$24</f>
        <v>273.8046875</v>
      </c>
      <c r="O18" s="10">
        <f t="shared" si="4"/>
        <v>95204.666666666686</v>
      </c>
      <c r="P18" s="10">
        <f t="shared" si="5"/>
        <v>573.99999999999989</v>
      </c>
      <c r="Q18" s="10">
        <f t="shared" si="20"/>
        <v>181446.40000000002</v>
      </c>
      <c r="R18" s="10">
        <f t="shared" si="21"/>
        <v>1168.8000000000002</v>
      </c>
      <c r="S18" s="3">
        <v>97466</v>
      </c>
      <c r="T18" s="3">
        <v>422</v>
      </c>
      <c r="U18" s="3">
        <v>77016</v>
      </c>
      <c r="V18" s="3">
        <v>427</v>
      </c>
      <c r="W18" s="3">
        <v>59154</v>
      </c>
      <c r="X18" s="3">
        <v>337</v>
      </c>
      <c r="Y18" s="3">
        <v>188273</v>
      </c>
      <c r="Z18" s="3">
        <v>1313</v>
      </c>
      <c r="AA18" s="3">
        <v>249000</v>
      </c>
      <c r="AB18" s="3">
        <v>1096</v>
      </c>
      <c r="AC18" s="3">
        <v>165152</v>
      </c>
      <c r="AD18" s="3">
        <v>690</v>
      </c>
      <c r="AE18" s="3">
        <v>75191</v>
      </c>
      <c r="AF18" s="3">
        <v>415</v>
      </c>
      <c r="AG18" s="3">
        <v>242719</v>
      </c>
      <c r="AH18" s="3">
        <v>1257</v>
      </c>
      <c r="AI18" s="3">
        <v>22523</v>
      </c>
      <c r="AJ18" s="3">
        <v>164</v>
      </c>
      <c r="AK18" s="225">
        <f>'Übersicht &amp; Anleitung'!AF73</f>
        <v>159815</v>
      </c>
      <c r="AL18" s="225">
        <f>'Übersicht &amp; Anleitung'!AG73</f>
        <v>727</v>
      </c>
      <c r="AM18" s="9">
        <f>Tabelle3[[#This Row],[Nedime (€)]]/C$24</f>
        <v>0.64802309728125751</v>
      </c>
      <c r="AN18" s="9">
        <f>Tabelle3[[#This Row],[Nedime (Backer)]]/D$24</f>
        <v>0.61671469740634011</v>
      </c>
      <c r="AO18" s="9"/>
      <c r="AP18" s="9"/>
      <c r="AQ18" s="9">
        <f>Tabelle3[[#This Row],[Werkzeuge (€)]]/S$24</f>
        <v>0.57097497964276722</v>
      </c>
      <c r="AR18" s="9">
        <f>Tabelle3[[#This Row],[Werkzeuge (Backer)]]/T$24</f>
        <v>0.55820105820105825</v>
      </c>
      <c r="AS18" s="271" t="s">
        <v>126</v>
      </c>
      <c r="AT18" s="15" t="s">
        <v>76</v>
      </c>
      <c r="AU18" s="22">
        <f t="shared" ref="AU18" si="22">MIN(AW19,AY19,BA19,BC19,BE19,BG19,BI19,BK19,BM19,BO19,BQ19)</f>
        <v>1.9513463217949869</v>
      </c>
      <c r="AV18" s="22">
        <f t="shared" ref="AV18" si="23">MIN(AX19,AZ19,BB19,BD19,BF19,BH19,BJ19,BL19,BN19,BP19,BR19)</f>
        <v>1.9530516431924883</v>
      </c>
      <c r="AW18" s="26" t="s">
        <v>207</v>
      </c>
      <c r="AX18" s="8" t="s">
        <v>208</v>
      </c>
      <c r="AY18" s="41"/>
      <c r="AZ18" s="49"/>
      <c r="BA18" s="5" t="s">
        <v>211</v>
      </c>
      <c r="BB18" s="8" t="s">
        <v>212</v>
      </c>
      <c r="BC18" s="5" t="s">
        <v>209</v>
      </c>
      <c r="BD18" s="27" t="s">
        <v>210</v>
      </c>
      <c r="BE18" s="5" t="s">
        <v>129</v>
      </c>
      <c r="BF18" s="27" t="s">
        <v>130</v>
      </c>
      <c r="BG18" s="5" t="s">
        <v>152</v>
      </c>
      <c r="BH18" s="27" t="s">
        <v>153</v>
      </c>
      <c r="BI18" s="5" t="s">
        <v>170</v>
      </c>
      <c r="BJ18" s="27" t="s">
        <v>171</v>
      </c>
      <c r="BK18" s="5" t="s">
        <v>213</v>
      </c>
      <c r="BL18" s="27" t="s">
        <v>214</v>
      </c>
      <c r="BM18" s="5" t="s">
        <v>215</v>
      </c>
      <c r="BN18" s="27" t="s">
        <v>216</v>
      </c>
      <c r="BO18" s="5" t="s">
        <v>215</v>
      </c>
      <c r="BP18" s="27" t="s">
        <v>216</v>
      </c>
      <c r="BQ18" s="5" t="s">
        <v>215</v>
      </c>
      <c r="BR18" s="27" t="s">
        <v>216</v>
      </c>
      <c r="BS18" s="5" t="s">
        <v>213</v>
      </c>
      <c r="BT18" s="27" t="s">
        <v>214</v>
      </c>
    </row>
    <row r="19" spans="1:72" x14ac:dyDescent="0.25">
      <c r="B19">
        <v>16</v>
      </c>
      <c r="C19" s="3">
        <v>42277</v>
      </c>
      <c r="D19" s="3">
        <v>224</v>
      </c>
      <c r="E19" s="11">
        <f t="shared" si="18"/>
        <v>45814.845819116468</v>
      </c>
      <c r="F19" s="11">
        <f t="shared" si="19"/>
        <v>272.83206106870233</v>
      </c>
      <c r="G19" s="4">
        <f>Tabelle3[[#This Row],[Werkzeuge (€)]]/$S$24*$G$24</f>
        <v>37783.69745930018</v>
      </c>
      <c r="H19" s="4">
        <f>Tabelle3[[#This Row],[Werkzeuge (Backer)]]/$T$24*$H$24</f>
        <v>204.25264550264549</v>
      </c>
      <c r="I19" s="4">
        <f>Tabelle3[[#This Row],[DSK Fasar (€)]]/$U$24*$I$24</f>
        <v>40346.782422752927</v>
      </c>
      <c r="J19" s="4">
        <f>Tabelle3[[#This Row],[DSK Fasar (Backer)]]/$V$24*$J$24</f>
        <v>234.14589665653497</v>
      </c>
      <c r="K19" s="4">
        <f>Tabelle3[[#This Row],[Mythen (€)]]/$W$24*$K$24</f>
        <v>42843.612027869458</v>
      </c>
      <c r="L19" s="4">
        <f>Tabelle3[[#This Row],[Mythen (Backer)]]/$X$24*$L$24</f>
        <v>243.66800804828975</v>
      </c>
      <c r="M19" s="4">
        <f>Tabelle3[[#This Row],[SOK (€)]]/$Y$24*$K$24</f>
        <v>50398.173308181045</v>
      </c>
      <c r="N19" s="4">
        <f>Tabelle3[[#This Row],[SOK (Backer)]]/$Z$24*$L$24</f>
        <v>281.52043269230768</v>
      </c>
      <c r="O19" s="10">
        <f t="shared" si="4"/>
        <v>99305.055555555577</v>
      </c>
      <c r="P19" s="10">
        <f t="shared" si="5"/>
        <v>596.83333333333326</v>
      </c>
      <c r="Q19" s="10">
        <f t="shared" si="20"/>
        <v>195558.00000000003</v>
      </c>
      <c r="R19" s="10">
        <f t="shared" si="21"/>
        <v>1236.0000000000002</v>
      </c>
      <c r="S19" s="3">
        <v>103452</v>
      </c>
      <c r="T19" s="3">
        <v>445</v>
      </c>
      <c r="U19" s="3">
        <v>80049</v>
      </c>
      <c r="V19" s="3">
        <v>444</v>
      </c>
      <c r="W19" s="3">
        <v>61842</v>
      </c>
      <c r="X19" s="3">
        <v>349</v>
      </c>
      <c r="Y19" s="3">
        <v>193264</v>
      </c>
      <c r="Z19" s="3">
        <v>1350</v>
      </c>
      <c r="AA19" s="3">
        <v>257666</v>
      </c>
      <c r="AB19" s="3">
        <v>1134</v>
      </c>
      <c r="AC19" s="3">
        <v>174081</v>
      </c>
      <c r="AD19" s="3">
        <v>729</v>
      </c>
      <c r="AE19" s="3">
        <v>78668</v>
      </c>
      <c r="AF19" s="3">
        <v>438</v>
      </c>
      <c r="AG19" s="3">
        <v>251181</v>
      </c>
      <c r="AH19" s="3">
        <v>1301</v>
      </c>
      <c r="AI19" s="3">
        <v>23503</v>
      </c>
      <c r="AJ19" s="3">
        <v>172</v>
      </c>
      <c r="AK19" s="225">
        <f>'Übersicht &amp; Anleitung'!AF74</f>
        <v>167089</v>
      </c>
      <c r="AL19" s="225">
        <f>'Übersicht &amp; Anleitung'!AG74</f>
        <v>758</v>
      </c>
      <c r="AM19" s="9">
        <f>Tabelle3[[#This Row],[Nedime (€)]]/C$24</f>
        <v>0.67811372203063602</v>
      </c>
      <c r="AN19" s="9">
        <f>Tabelle3[[#This Row],[Nedime (Backer)]]/D$24</f>
        <v>0.64553314121037464</v>
      </c>
      <c r="AO19" s="9"/>
      <c r="AP19" s="9"/>
      <c r="AQ19" s="9">
        <f>Tabelle3[[#This Row],[Werkzeuge (€)]]/S$24</f>
        <v>0.60604214386558952</v>
      </c>
      <c r="AR19" s="9">
        <f>Tabelle3[[#This Row],[Werkzeuge (Backer)]]/T$24</f>
        <v>0.58862433862433861</v>
      </c>
      <c r="AT19" t="s">
        <v>77</v>
      </c>
      <c r="AU19" s="23">
        <f t="shared" ref="AU19" si="24">MAX(AW19,AY19,BA19,BC19,BE19,BG19,BI19,BK19,BM19,BO19,BQ19)</f>
        <v>3.5274980196899399</v>
      </c>
      <c r="AV19" s="23">
        <f t="shared" ref="AV19" si="25">MAX(AX19,AZ19,BB19,BD19,BF19,BH19,BJ19,BL19,BN19,BP19,BR19)</f>
        <v>3.8555555555555556</v>
      </c>
      <c r="AW19" s="26">
        <f>C24/C6</f>
        <v>3.5274980196899399</v>
      </c>
      <c r="AX19" s="8">
        <f>D24/D6</f>
        <v>3.8555555555555556</v>
      </c>
      <c r="AY19" s="41"/>
      <c r="AZ19" s="49"/>
      <c r="BA19" s="18">
        <f t="shared" ref="BA19:BR19" si="26">S24/S6</f>
        <v>3.166935678373314</v>
      </c>
      <c r="BB19" s="19">
        <f t="shared" si="26"/>
        <v>3.375</v>
      </c>
      <c r="BC19" s="18">
        <f t="shared" si="26"/>
        <v>2.7321803282309545</v>
      </c>
      <c r="BD19" s="42">
        <f t="shared" si="26"/>
        <v>2.653225806451613</v>
      </c>
      <c r="BE19" s="18">
        <f t="shared" si="26"/>
        <v>3.252177369809548</v>
      </c>
      <c r="BF19" s="42">
        <f t="shared" si="26"/>
        <v>3.0679012345679011</v>
      </c>
      <c r="BG19" s="18">
        <f t="shared" si="26"/>
        <v>1.9513463217949869</v>
      </c>
      <c r="BH19" s="42">
        <f t="shared" si="26"/>
        <v>1.9530516431924883</v>
      </c>
      <c r="BI19" s="18">
        <f t="shared" si="26"/>
        <v>3.3913779777154418</v>
      </c>
      <c r="BJ19" s="42">
        <f t="shared" si="26"/>
        <v>3.4541666666666666</v>
      </c>
      <c r="BK19" s="18">
        <f t="shared" si="26"/>
        <v>2.0946166099485919</v>
      </c>
      <c r="BL19" s="42">
        <f t="shared" si="26"/>
        <v>2.1288209606986901</v>
      </c>
      <c r="BM19" s="18">
        <f t="shared" si="26"/>
        <v>3.014139456940117</v>
      </c>
      <c r="BN19" s="42">
        <f t="shared" si="26"/>
        <v>3.2412060301507539</v>
      </c>
      <c r="BO19" s="18">
        <f t="shared" si="26"/>
        <v>2.2555740178118286</v>
      </c>
      <c r="BP19" s="42">
        <f t="shared" si="26"/>
        <v>2.2982216142270864</v>
      </c>
      <c r="BQ19" s="18">
        <f t="shared" si="26"/>
        <v>2.7548259613923087</v>
      </c>
      <c r="BR19" s="42">
        <f t="shared" si="26"/>
        <v>2.6633663366336635</v>
      </c>
      <c r="BS19" s="18">
        <f t="shared" ref="BS19" si="27">AK24/AK6</f>
        <v>3.8054512139257901</v>
      </c>
      <c r="BT19" s="42">
        <f t="shared" ref="BT19" si="28">AL24/AL6</f>
        <v>3.7740863787375414</v>
      </c>
    </row>
    <row r="20" spans="1:72" ht="15.75" thickBot="1" x14ac:dyDescent="0.3">
      <c r="B20">
        <v>17</v>
      </c>
      <c r="C20" s="3">
        <v>44039</v>
      </c>
      <c r="D20" s="3">
        <v>233</v>
      </c>
      <c r="E20" s="11">
        <f t="shared" si="18"/>
        <v>49120.87665529317</v>
      </c>
      <c r="F20" s="11">
        <f t="shared" si="19"/>
        <v>287.66564885496189</v>
      </c>
      <c r="G20" s="12">
        <f>Tabelle3[[#This Row],[Werkzeuge (€)]]/$S$24*$G$24</f>
        <v>40009.769802168703</v>
      </c>
      <c r="H20" s="4">
        <f>Tabelle3[[#This Row],[Werkzeuge (Backer)]]/$T$24*$H$24</f>
        <v>216.18650793650795</v>
      </c>
      <c r="I20" s="4">
        <f>Tabelle3[[#This Row],[DSK Fasar (€)]]/$U$24*$I$24</f>
        <v>43766.09524309991</v>
      </c>
      <c r="J20" s="4">
        <f>Tabelle3[[#This Row],[DSK Fasar (Backer)]]/$V$24*$J$24</f>
        <v>256.822188449848</v>
      </c>
      <c r="K20" s="4">
        <f>Tabelle3[[#This Row],[Mythen (€)]]/$W$24*$K$24</f>
        <v>44517.39629518507</v>
      </c>
      <c r="L20" s="4">
        <f>Tabelle3[[#This Row],[Mythen (Backer)]]/$X$24*$L$24</f>
        <v>253.44265593561369</v>
      </c>
      <c r="M20" s="4">
        <f>Tabelle3[[#This Row],[SOK (€)]]/$Y$24*$K$24</f>
        <v>51701.259615103081</v>
      </c>
      <c r="N20" s="4">
        <f>Tabelle3[[#This Row],[SOK (Backer)]]/$Z$24*$L$24</f>
        <v>288.61057692307696</v>
      </c>
      <c r="O20" s="10">
        <f t="shared" si="4"/>
        <v>103405.44444444447</v>
      </c>
      <c r="P20" s="10">
        <f t="shared" si="5"/>
        <v>619.66666666666663</v>
      </c>
      <c r="Q20" s="10">
        <f t="shared" si="20"/>
        <v>209669.60000000003</v>
      </c>
      <c r="R20" s="10">
        <f t="shared" si="21"/>
        <v>1303.2000000000003</v>
      </c>
      <c r="S20" s="13">
        <v>109547</v>
      </c>
      <c r="T20" s="13">
        <v>471</v>
      </c>
      <c r="U20" s="3">
        <v>86833</v>
      </c>
      <c r="V20" s="3">
        <v>487</v>
      </c>
      <c r="W20" s="3">
        <v>64258</v>
      </c>
      <c r="X20" s="3">
        <v>363</v>
      </c>
      <c r="Y20" s="3">
        <v>198261</v>
      </c>
      <c r="Z20" s="3">
        <v>1384</v>
      </c>
      <c r="AA20" s="3">
        <v>268894</v>
      </c>
      <c r="AB20" s="3">
        <v>1160</v>
      </c>
      <c r="AC20" s="3">
        <v>181054</v>
      </c>
      <c r="AD20" s="3">
        <v>757</v>
      </c>
      <c r="AE20" s="3">
        <v>83940</v>
      </c>
      <c r="AF20" s="3">
        <v>471</v>
      </c>
      <c r="AG20" s="3">
        <v>258252</v>
      </c>
      <c r="AH20" s="3">
        <v>1341</v>
      </c>
      <c r="AI20" s="3">
        <v>23945</v>
      </c>
      <c r="AJ20" s="3">
        <v>175</v>
      </c>
      <c r="AK20" s="225">
        <f>'Übersicht &amp; Anleitung'!AF75</f>
        <v>174268</v>
      </c>
      <c r="AL20" s="225">
        <f>'Übersicht &amp; Anleitung'!AG75</f>
        <v>790</v>
      </c>
      <c r="AM20" s="14">
        <f>Tabelle3[[#This Row],[Nedime (€)]]/C$24</f>
        <v>0.70637581201379418</v>
      </c>
      <c r="AN20" s="9">
        <f>Tabelle3[[#This Row],[Nedime (Backer)]]/D$24</f>
        <v>0.67146974063400577</v>
      </c>
      <c r="AO20" s="9"/>
      <c r="AP20" s="9"/>
      <c r="AQ20" s="14">
        <f>Tabelle3[[#This Row],[Werkzeuge (€)]]/S$24</f>
        <v>0.64174785150643521</v>
      </c>
      <c r="AR20" s="14">
        <f>Tabelle3[[#This Row],[Werkzeuge (Backer)]]/T$24</f>
        <v>0.62301587301587302</v>
      </c>
      <c r="AU20" s="23">
        <f t="shared" ref="AU20" si="29">AVERAGE(AW19,AY19,BA19,BC19,BE19,BG19,BI19,BK19,BM19,BO19,BQ19)</f>
        <v>2.8140671741707033</v>
      </c>
      <c r="AV20" s="23">
        <f t="shared" ref="AV20" si="30">AVERAGE(AX19,AZ19,BB19,BD19,BF19,BH19,BJ19,BL19,BN19,BP19,BR19)</f>
        <v>2.869051584814442</v>
      </c>
      <c r="AW20" s="28"/>
      <c r="AX20" s="32">
        <f>AW19-AX19</f>
        <v>-0.3280575358656157</v>
      </c>
      <c r="AY20" s="50"/>
      <c r="AZ20" s="51"/>
      <c r="BA20" s="45"/>
      <c r="BB20" s="46">
        <f>BA19-BB19</f>
        <v>-0.20806432162668598</v>
      </c>
      <c r="BC20" s="33"/>
      <c r="BD20" s="29">
        <f>BC19-BD19</f>
        <v>7.895452177934148E-2</v>
      </c>
      <c r="BE20" s="33"/>
      <c r="BF20" s="29">
        <f>BE19-BF19</f>
        <v>0.18427613524164688</v>
      </c>
      <c r="BG20" s="33"/>
      <c r="BH20" s="29">
        <f>BG19-BH19</f>
        <v>-1.705321397501347E-3</v>
      </c>
      <c r="BI20" s="33"/>
      <c r="BJ20" s="29">
        <f>BI19-BJ19</f>
        <v>-6.2788688951224803E-2</v>
      </c>
      <c r="BK20" s="33"/>
      <c r="BL20" s="29">
        <f>BK19-BL19</f>
        <v>-3.42043507500982E-2</v>
      </c>
      <c r="BM20" s="33"/>
      <c r="BN20" s="29">
        <f>BM19-BN19</f>
        <v>-0.22706657321063695</v>
      </c>
      <c r="BO20" s="33"/>
      <c r="BP20" s="29">
        <f>BO19-BP19</f>
        <v>-4.2647596415257727E-2</v>
      </c>
      <c r="BQ20" s="33"/>
      <c r="BR20" s="29">
        <f>BQ19-BR19</f>
        <v>9.1459624758645219E-2</v>
      </c>
      <c r="BS20" s="33"/>
      <c r="BT20" s="29">
        <f>BS19-BT19</f>
        <v>3.136483518824873E-2</v>
      </c>
    </row>
    <row r="21" spans="1:72" ht="15.75" thickBot="1" x14ac:dyDescent="0.3">
      <c r="B21">
        <v>18</v>
      </c>
      <c r="C21" s="3">
        <v>46661</v>
      </c>
      <c r="D21" s="3">
        <v>250</v>
      </c>
      <c r="E21" s="11">
        <f t="shared" si="18"/>
        <v>52426.907491469872</v>
      </c>
      <c r="F21" s="11">
        <f t="shared" si="19"/>
        <v>302.49923664122144</v>
      </c>
      <c r="G21" s="12">
        <f>Tabelle3[[#This Row],[Werkzeuge (€)]]/$S$24*$G$24</f>
        <v>42154.761249201823</v>
      </c>
      <c r="H21" s="4">
        <f>Tabelle3[[#This Row],[Werkzeuge (Backer)]]/$T$24*$H$24</f>
        <v>229.95634920634919</v>
      </c>
      <c r="I21" s="4">
        <f>Tabelle3[[#This Row],[DSK Fasar (€)]]/$U$24*$I$24</f>
        <v>46357.293239769111</v>
      </c>
      <c r="J21" s="4">
        <f>Tabelle3[[#This Row],[DSK Fasar (Backer)]]/$V$24*$J$24</f>
        <v>271.06079027355622</v>
      </c>
      <c r="K21" s="4">
        <f>Tabelle3[[#This Row],[Mythen (€)]]/$W$24*$K$24</f>
        <v>46243.13992510362</v>
      </c>
      <c r="L21" s="4">
        <f>Tabelle3[[#This Row],[Mythen (Backer)]]/$X$24*$L$24</f>
        <v>263.21730382293759</v>
      </c>
      <c r="M21" s="4">
        <f>Tabelle3[[#This Row],[SOK (€)]]/$Y$24*$K$24</f>
        <v>52968.098374163972</v>
      </c>
      <c r="N21" s="4">
        <f>Tabelle3[[#This Row],[SOK (Backer)]]/$Z$24*$L$24</f>
        <v>295.90925480769232</v>
      </c>
      <c r="O21" s="10">
        <f t="shared" si="4"/>
        <v>107505.83333333336</v>
      </c>
      <c r="P21" s="10">
        <f t="shared" si="5"/>
        <v>642.5</v>
      </c>
      <c r="Q21" s="10">
        <f t="shared" si="20"/>
        <v>223781.20000000004</v>
      </c>
      <c r="R21" s="10">
        <f t="shared" si="21"/>
        <v>1370.4000000000003</v>
      </c>
      <c r="S21" s="13">
        <v>115420</v>
      </c>
      <c r="T21" s="13">
        <v>501</v>
      </c>
      <c r="U21" s="3">
        <v>91974</v>
      </c>
      <c r="V21" s="3">
        <v>514</v>
      </c>
      <c r="W21" s="3">
        <v>66749</v>
      </c>
      <c r="X21" s="3">
        <v>377</v>
      </c>
      <c r="Y21" s="3">
        <v>203119</v>
      </c>
      <c r="Z21" s="3">
        <v>1419</v>
      </c>
      <c r="AA21" s="3">
        <v>280832</v>
      </c>
      <c r="AB21" s="3">
        <v>1210</v>
      </c>
      <c r="AC21" s="3">
        <v>187527</v>
      </c>
      <c r="AD21" s="3">
        <v>781</v>
      </c>
      <c r="AE21" s="3">
        <v>87091</v>
      </c>
      <c r="AF21" s="3">
        <v>491</v>
      </c>
      <c r="AG21" s="3">
        <v>267342</v>
      </c>
      <c r="AH21" s="3">
        <v>1386</v>
      </c>
      <c r="AI21" s="3">
        <v>25263</v>
      </c>
      <c r="AJ21" s="3">
        <v>186</v>
      </c>
      <c r="AK21" s="225">
        <f>'Übersicht &amp; Anleitung'!AF76</f>
        <v>180234</v>
      </c>
      <c r="AL21" s="225">
        <f>'Übersicht &amp; Anleitung'!AG76</f>
        <v>821</v>
      </c>
      <c r="AM21" s="14">
        <f>Tabelle3[[#This Row],[Nedime (€)]]/C$24</f>
        <v>0.74843211163685941</v>
      </c>
      <c r="AN21" s="9">
        <f>Tabelle3[[#This Row],[Nedime (Backer)]]/D$24</f>
        <v>0.72046109510086453</v>
      </c>
      <c r="AO21" s="9"/>
      <c r="AP21" s="9"/>
      <c r="AQ21" s="14">
        <f>Tabelle3[[#This Row],[Werkzeuge (€)]]/S$24</f>
        <v>0.67615303952525174</v>
      </c>
      <c r="AR21" s="14">
        <f>Tabelle3[[#This Row],[Werkzeuge (Backer)]]/T$24</f>
        <v>0.66269841269841268</v>
      </c>
    </row>
    <row r="22" spans="1:72" x14ac:dyDescent="0.25">
      <c r="B22">
        <v>19</v>
      </c>
      <c r="C22" s="3">
        <v>49576</v>
      </c>
      <c r="D22" s="3">
        <v>267</v>
      </c>
      <c r="E22" s="11">
        <f t="shared" si="18"/>
        <v>55732.938327646574</v>
      </c>
      <c r="F22" s="11">
        <f t="shared" si="19"/>
        <v>317.332824427481</v>
      </c>
      <c r="G22" s="12">
        <f>Tabelle3[[#This Row],[Werkzeuge (€)]]/$S$24*$G$24</f>
        <v>45121.153303144099</v>
      </c>
      <c r="H22" s="4">
        <f>Tabelle3[[#This Row],[Werkzeuge (Backer)]]/$T$24*$H$24</f>
        <v>246.48015873015873</v>
      </c>
      <c r="I22" s="4">
        <f>Tabelle3[[#This Row],[DSK Fasar (€)]]/$U$24*$I$24</f>
        <v>50992.316927255975</v>
      </c>
      <c r="J22" s="4">
        <f>Tabelle3[[#This Row],[DSK Fasar (Backer)]]/$V$24*$J$24</f>
        <v>289.51823708206689</v>
      </c>
      <c r="K22" s="4">
        <f>Tabelle3[[#This Row],[Mythen (€)]]/$W$24*$K$24</f>
        <v>49488.17531753175</v>
      </c>
      <c r="L22" s="4">
        <f>Tabelle3[[#This Row],[Mythen (Backer)]]/$X$24*$L$24</f>
        <v>279.9738430583501</v>
      </c>
      <c r="M22" s="4">
        <f>Tabelle3[[#This Row],[SOK (€)]]/$Y$24*$K$24</f>
        <v>55332.533744358516</v>
      </c>
      <c r="N22" s="4">
        <f>Tabelle3[[#This Row],[SOK (Backer)]]/$Z$24*$L$24</f>
        <v>309.25540865384619</v>
      </c>
      <c r="O22" s="10">
        <f t="shared" si="4"/>
        <v>111606.22222222225</v>
      </c>
      <c r="P22" s="10">
        <f t="shared" si="5"/>
        <v>665.33333333333337</v>
      </c>
      <c r="Q22" s="10">
        <f t="shared" si="20"/>
        <v>237892.80000000005</v>
      </c>
      <c r="R22" s="10">
        <f t="shared" si="21"/>
        <v>1437.6000000000004</v>
      </c>
      <c r="S22" s="13">
        <v>123542</v>
      </c>
      <c r="T22" s="13">
        <v>537</v>
      </c>
      <c r="U22" s="3">
        <v>101170</v>
      </c>
      <c r="V22" s="3">
        <v>549</v>
      </c>
      <c r="W22" s="3">
        <v>71433</v>
      </c>
      <c r="X22" s="3">
        <v>401</v>
      </c>
      <c r="Y22" s="3">
        <v>212186</v>
      </c>
      <c r="Z22" s="3">
        <v>1483</v>
      </c>
      <c r="AA22" s="3">
        <v>299641</v>
      </c>
      <c r="AB22" s="3">
        <v>1290</v>
      </c>
      <c r="AC22" s="3">
        <v>197700</v>
      </c>
      <c r="AD22" s="3">
        <v>827</v>
      </c>
      <c r="AE22" s="3">
        <v>91598</v>
      </c>
      <c r="AF22" s="3">
        <v>519</v>
      </c>
      <c r="AG22" s="3">
        <v>279921</v>
      </c>
      <c r="AH22" s="3">
        <v>1454</v>
      </c>
      <c r="AI22" s="3">
        <v>26708</v>
      </c>
      <c r="AJ22" s="3">
        <v>198</v>
      </c>
      <c r="AK22" s="225">
        <f>'Übersicht &amp; Anleitung'!AF77</f>
        <v>197561</v>
      </c>
      <c r="AL22" s="225">
        <f>'Übersicht &amp; Anleitung'!AG77</f>
        <v>900</v>
      </c>
      <c r="AM22" s="14">
        <f>Tabelle3[[#This Row],[Nedime (€)]]/C$24</f>
        <v>0.79518806640468365</v>
      </c>
      <c r="AN22" s="9">
        <f>Tabelle3[[#This Row],[Nedime (Backer)]]/D$24</f>
        <v>0.7694524495677233</v>
      </c>
      <c r="AO22" s="9"/>
      <c r="AP22" s="9"/>
      <c r="AQ22" s="14">
        <f>Tabelle3[[#This Row],[Werkzeuge (€)]]/S$24</f>
        <v>0.72373331146273312</v>
      </c>
      <c r="AR22" s="14">
        <f>Tabelle3[[#This Row],[Werkzeuge (Backer)]]/T$24</f>
        <v>0.71031746031746035</v>
      </c>
      <c r="AW22" s="24" t="s">
        <v>134</v>
      </c>
      <c r="AX22" s="30" t="s">
        <v>134</v>
      </c>
      <c r="AY22" s="47"/>
      <c r="AZ22" s="48"/>
      <c r="BA22" s="43" t="s">
        <v>134</v>
      </c>
      <c r="BB22" s="44" t="s">
        <v>134</v>
      </c>
      <c r="BC22" s="31" t="s">
        <v>134</v>
      </c>
      <c r="BD22" s="25" t="s">
        <v>134</v>
      </c>
      <c r="BE22" s="31" t="s">
        <v>134</v>
      </c>
      <c r="BF22" s="25" t="s">
        <v>134</v>
      </c>
      <c r="BG22" s="31" t="s">
        <v>134</v>
      </c>
      <c r="BH22" s="25" t="s">
        <v>134</v>
      </c>
      <c r="BI22" s="31" t="s">
        <v>134</v>
      </c>
      <c r="BJ22" s="25" t="s">
        <v>134</v>
      </c>
      <c r="BK22" s="31" t="s">
        <v>134</v>
      </c>
      <c r="BL22" s="25" t="s">
        <v>134</v>
      </c>
      <c r="BM22" s="31" t="s">
        <v>134</v>
      </c>
      <c r="BN22" s="25" t="s">
        <v>134</v>
      </c>
      <c r="BO22" s="31" t="s">
        <v>134</v>
      </c>
      <c r="BP22" s="25" t="s">
        <v>134</v>
      </c>
      <c r="BQ22" s="31" t="s">
        <v>134</v>
      </c>
      <c r="BR22" s="25" t="s">
        <v>134</v>
      </c>
      <c r="BS22" s="31" t="s">
        <v>134</v>
      </c>
      <c r="BT22" s="25" t="s">
        <v>134</v>
      </c>
    </row>
    <row r="23" spans="1:72" s="15" customFormat="1" x14ac:dyDescent="0.25">
      <c r="B23" s="15">
        <v>20</v>
      </c>
      <c r="C23" s="13">
        <v>54612</v>
      </c>
      <c r="D23" s="13">
        <v>300</v>
      </c>
      <c r="E23" s="16">
        <f t="shared" si="18"/>
        <v>59038.969163823276</v>
      </c>
      <c r="F23" s="16">
        <f t="shared" si="19"/>
        <v>332.16641221374056</v>
      </c>
      <c r="G23" s="12">
        <f>Tabelle3[[#This Row],[Werkzeuge (€)]]/$S$24*$G$24</f>
        <v>47598.138147989761</v>
      </c>
      <c r="H23" s="12">
        <f>Tabelle3[[#This Row],[Werkzeuge (Backer)]]/$T$24*$H$24</f>
        <v>264.38095238095235</v>
      </c>
      <c r="I23" s="4">
        <f>Tabelle3[[#This Row],[DSK Fasar (€)]]/$U$24*$I$24</f>
        <v>54869.285414005528</v>
      </c>
      <c r="J23" s="4">
        <f>Tabelle3[[#This Row],[DSK Fasar (Backer)]]/$V$24*$J$24</f>
        <v>307.9756838905775</v>
      </c>
      <c r="K23" s="4">
        <f>Tabelle3[[#This Row],[Mythen (€)]]/$W$24*$K$24</f>
        <v>54725.679067906793</v>
      </c>
      <c r="L23" s="4">
        <f>Tabelle3[[#This Row],[Mythen (Backer)]]/$X$24*$L$24</f>
        <v>307.20321931589535</v>
      </c>
      <c r="M23" s="4">
        <f>Tabelle3[[#This Row],[SOK (€)]]/$Y$24*$K$24</f>
        <v>57604.133668232411</v>
      </c>
      <c r="N23" s="4">
        <f>Tabelle3[[#This Row],[SOK (Backer)]]/$Z$24*$L$24</f>
        <v>322.18449519230768</v>
      </c>
      <c r="O23" s="10">
        <f t="shared" si="4"/>
        <v>115706.61111111114</v>
      </c>
      <c r="P23" s="10">
        <f t="shared" si="5"/>
        <v>688.16666666666674</v>
      </c>
      <c r="Q23" s="17">
        <f t="shared" si="20"/>
        <v>252004.40000000005</v>
      </c>
      <c r="R23" s="17">
        <f t="shared" si="21"/>
        <v>1504.8000000000004</v>
      </c>
      <c r="S23" s="13">
        <v>130324</v>
      </c>
      <c r="T23" s="13">
        <v>576</v>
      </c>
      <c r="U23" s="13">
        <v>108862</v>
      </c>
      <c r="V23" s="13">
        <v>584</v>
      </c>
      <c r="W23" s="3">
        <v>78993</v>
      </c>
      <c r="X23" s="3">
        <v>440</v>
      </c>
      <c r="Y23" s="3">
        <v>220897</v>
      </c>
      <c r="Z23" s="3">
        <v>1545</v>
      </c>
      <c r="AA23" s="3">
        <v>330836</v>
      </c>
      <c r="AB23" s="3">
        <v>1421</v>
      </c>
      <c r="AC23" s="3">
        <v>205967</v>
      </c>
      <c r="AD23" s="3">
        <v>863</v>
      </c>
      <c r="AE23" s="3">
        <v>99702</v>
      </c>
      <c r="AF23" s="3">
        <v>558</v>
      </c>
      <c r="AG23" s="3">
        <v>295660</v>
      </c>
      <c r="AH23" s="3">
        <v>1533</v>
      </c>
      <c r="AI23" s="3">
        <v>30138</v>
      </c>
      <c r="AJ23" s="3">
        <v>227</v>
      </c>
      <c r="AK23" s="225">
        <f>'Übersicht &amp; Anleitung'!AF78</f>
        <v>214259</v>
      </c>
      <c r="AL23" s="225">
        <f>'Übersicht &amp; Anleitung'!AG78</f>
        <v>985</v>
      </c>
      <c r="AM23" s="14">
        <f>Tabelle3[[#This Row],[Nedime (€)]]/C$24</f>
        <v>0.87596439169139462</v>
      </c>
      <c r="AN23" s="14">
        <f>Tabelle3[[#This Row],[Nedime (Backer)]]/D$24</f>
        <v>0.86455331412103742</v>
      </c>
      <c r="AO23" s="14"/>
      <c r="AP23" s="14"/>
      <c r="AQ23" s="14">
        <f>Tabelle3[[#This Row],[Werkzeuge (€)]]/S$24</f>
        <v>0.76346360009607439</v>
      </c>
      <c r="AR23" s="14">
        <f>Tabelle3[[#This Row],[Werkzeuge (Backer)]]/T$24</f>
        <v>0.76190476190476186</v>
      </c>
      <c r="AS23" s="271" t="s">
        <v>136</v>
      </c>
      <c r="AT23" s="15" t="s">
        <v>76</v>
      </c>
      <c r="AU23" s="22">
        <f t="shared" ref="AU23" si="31">MIN(AW24,AY24,BA24,BC24,BE24,BG24,BI24,BK24,BM24,BO24,BQ24)</f>
        <v>1.8735854675402026</v>
      </c>
      <c r="AV23" s="22">
        <f t="shared" ref="AV23" si="32">MIN(AX24,AZ24,BB24,BD24,BF24,BH24,BJ24,BL24,BN24,BP24,BR24)</f>
        <v>1.8675645342312008</v>
      </c>
      <c r="AW23" s="26" t="s">
        <v>207</v>
      </c>
      <c r="AX23" s="8" t="s">
        <v>208</v>
      </c>
      <c r="AY23" s="41"/>
      <c r="AZ23" s="49"/>
      <c r="BA23" s="5" t="s">
        <v>211</v>
      </c>
      <c r="BB23" s="8" t="s">
        <v>212</v>
      </c>
      <c r="BC23" s="5" t="s">
        <v>209</v>
      </c>
      <c r="BD23" s="27" t="s">
        <v>210</v>
      </c>
      <c r="BE23" s="5" t="s">
        <v>129</v>
      </c>
      <c r="BF23" s="27" t="s">
        <v>130</v>
      </c>
      <c r="BG23" s="5" t="s">
        <v>152</v>
      </c>
      <c r="BH23" s="27" t="s">
        <v>153</v>
      </c>
      <c r="BI23" s="5" t="s">
        <v>170</v>
      </c>
      <c r="BJ23" s="27" t="s">
        <v>171</v>
      </c>
      <c r="BK23" s="5" t="s">
        <v>213</v>
      </c>
      <c r="BL23" s="27" t="s">
        <v>214</v>
      </c>
      <c r="BM23" s="5" t="s">
        <v>215</v>
      </c>
      <c r="BN23" s="27" t="s">
        <v>216</v>
      </c>
      <c r="BO23" s="5" t="s">
        <v>215</v>
      </c>
      <c r="BP23" s="27" t="s">
        <v>216</v>
      </c>
      <c r="BQ23" s="5" t="s">
        <v>215</v>
      </c>
      <c r="BR23" s="27" t="s">
        <v>216</v>
      </c>
      <c r="BS23" s="5" t="s">
        <v>213</v>
      </c>
      <c r="BT23" s="27" t="s">
        <v>214</v>
      </c>
    </row>
    <row r="24" spans="1:72" x14ac:dyDescent="0.25">
      <c r="B24">
        <v>21</v>
      </c>
      <c r="C24" s="3">
        <v>62345</v>
      </c>
      <c r="D24" s="3">
        <v>347</v>
      </c>
      <c r="E24" s="4">
        <f>Tabelle3[[#This Row],[Nedime (€)]]</f>
        <v>62345</v>
      </c>
      <c r="F24" s="4">
        <f>Tabelle3[[#This Row],[Nedime (Backer)]]</f>
        <v>347</v>
      </c>
      <c r="G24" s="12">
        <f>Tabelle3[[#This Row],[Nedime (€)]]</f>
        <v>62345</v>
      </c>
      <c r="H24" s="12">
        <f>Tabelle3[[#This Row],[Nedime (Backer)]]</f>
        <v>347</v>
      </c>
      <c r="I24" s="12">
        <f>Tabelle3[[#This Row],[Nedime (€)]]</f>
        <v>62345</v>
      </c>
      <c r="J24" s="12">
        <f>Tabelle3[[#This Row],[Nedime (Backer)]]</f>
        <v>347</v>
      </c>
      <c r="K24" s="12">
        <f>Tabelle3[[#This Row],[Nedime (€)]]</f>
        <v>62345</v>
      </c>
      <c r="L24" s="12">
        <f>Tabelle3[[#This Row],[Nedime (Backer)]]</f>
        <v>347</v>
      </c>
      <c r="M24" s="4">
        <f>Tabelle3[[#This Row],[SOK (€)]]/$Y$24*$K$24</f>
        <v>62345</v>
      </c>
      <c r="N24" s="4">
        <f>Tabelle3[[#This Row],[SOK (Backer)]]/$Z$24*$L$24</f>
        <v>347</v>
      </c>
      <c r="O24" s="13">
        <v>119807</v>
      </c>
      <c r="P24" s="13">
        <v>711</v>
      </c>
      <c r="Q24" s="3">
        <v>266116</v>
      </c>
      <c r="R24" s="3">
        <v>1572</v>
      </c>
      <c r="S24" s="13">
        <v>170701</v>
      </c>
      <c r="T24" s="13">
        <v>756</v>
      </c>
      <c r="U24" s="13">
        <v>123694</v>
      </c>
      <c r="V24" s="13">
        <v>658</v>
      </c>
      <c r="W24" s="3">
        <v>89991</v>
      </c>
      <c r="X24" s="3">
        <v>497</v>
      </c>
      <c r="Y24" s="3">
        <v>239077</v>
      </c>
      <c r="Z24" s="3">
        <v>1664</v>
      </c>
      <c r="AA24" s="3">
        <v>390507</v>
      </c>
      <c r="AB24" s="3">
        <v>1658</v>
      </c>
      <c r="AC24" s="3">
        <v>231430</v>
      </c>
      <c r="AD24" s="3">
        <v>975</v>
      </c>
      <c r="AE24" s="3">
        <v>115113</v>
      </c>
      <c r="AF24" s="3">
        <v>645</v>
      </c>
      <c r="AG24" s="3">
        <v>324435</v>
      </c>
      <c r="AH24" s="3">
        <v>1680</v>
      </c>
      <c r="AI24" s="3">
        <v>36248</v>
      </c>
      <c r="AJ24" s="3">
        <v>269</v>
      </c>
      <c r="AK24" s="225">
        <f>'Übersicht &amp; Anleitung'!AF79</f>
        <v>249219</v>
      </c>
      <c r="AL24" s="225">
        <f>'Übersicht &amp; Anleitung'!AG79</f>
        <v>1136</v>
      </c>
      <c r="AM24" s="14">
        <f>Tabelle3[[#This Row],[Nedime (€)]]/C$24</f>
        <v>1</v>
      </c>
      <c r="AN24" s="14">
        <f>Tabelle3[[#This Row],[Nedime (Backer)]]/D$24</f>
        <v>1</v>
      </c>
      <c r="AO24" s="9">
        <f>Tabelle3[[#This Row],[Thorwal (€)]]/Q$24</f>
        <v>1</v>
      </c>
      <c r="AP24" s="9">
        <f>Tabelle3[[#This Row],[Thorwal (Backer)]]/R$24</f>
        <v>1</v>
      </c>
      <c r="AQ24" s="14">
        <f>Tabelle3[[#This Row],[Werkzeuge (€)]]/S$24</f>
        <v>1</v>
      </c>
      <c r="AR24" s="14">
        <f>Tabelle3[[#This Row],[Werkzeuge (Backer)]]/T$24</f>
        <v>1</v>
      </c>
      <c r="AT24" t="s">
        <v>77</v>
      </c>
      <c r="AU24" s="23">
        <f t="shared" ref="AU24" si="33">MAX(AW24,AY24,BA24,BC24,BE24,BG24,BI24,BK24,BM24,BO24,BQ24)</f>
        <v>3.301996716275621</v>
      </c>
      <c r="AV24" s="23">
        <f t="shared" ref="AV24" si="34">MAX(AX24,AZ24,BB24,BD24,BF24,BH24,BJ24,BL24,BN24,BP24,BR24)</f>
        <v>3.6526315789473682</v>
      </c>
      <c r="AW24" s="26">
        <f>C24/C7</f>
        <v>3.301996716275621</v>
      </c>
      <c r="AX24" s="8">
        <f>D24/D7</f>
        <v>3.6526315789473682</v>
      </c>
      <c r="AY24" s="41"/>
      <c r="AZ24" s="49"/>
      <c r="BA24" s="18">
        <f t="shared" ref="BA24:BR24" si="35">S24/S7</f>
        <v>2.8467721761753082</v>
      </c>
      <c r="BB24" s="19">
        <f t="shared" si="35"/>
        <v>3.0607287449392713</v>
      </c>
      <c r="BC24" s="18">
        <f t="shared" si="35"/>
        <v>2.5792689284150385</v>
      </c>
      <c r="BD24" s="42">
        <f t="shared" si="35"/>
        <v>2.4924242424242422</v>
      </c>
      <c r="BE24" s="18">
        <f t="shared" si="35"/>
        <v>2.9676493866244558</v>
      </c>
      <c r="BF24" s="42">
        <f t="shared" si="35"/>
        <v>2.792134831460674</v>
      </c>
      <c r="BG24" s="18">
        <f t="shared" si="35"/>
        <v>1.8735854675402026</v>
      </c>
      <c r="BH24" s="42">
        <f t="shared" si="35"/>
        <v>1.8675645342312008</v>
      </c>
      <c r="BI24" s="18">
        <f t="shared" si="35"/>
        <v>3.1534715829255293</v>
      </c>
      <c r="BJ24" s="42">
        <f t="shared" si="35"/>
        <v>3.1884615384615387</v>
      </c>
      <c r="BK24" s="18">
        <f t="shared" si="35"/>
        <v>1.9725548689537609</v>
      </c>
      <c r="BL24" s="42">
        <f t="shared" si="35"/>
        <v>2.0061728395061729</v>
      </c>
      <c r="BM24" s="18">
        <f t="shared" si="35"/>
        <v>2.7673389907926054</v>
      </c>
      <c r="BN24" s="42">
        <f t="shared" si="35"/>
        <v>2.9587155963302751</v>
      </c>
      <c r="BO24" s="18">
        <f t="shared" si="35"/>
        <v>2.0685862572446903</v>
      </c>
      <c r="BP24" s="42">
        <f t="shared" si="35"/>
        <v>2.107904642409034</v>
      </c>
      <c r="BQ24" s="18">
        <f t="shared" si="35"/>
        <v>2.5463997190024585</v>
      </c>
      <c r="BR24" s="42">
        <f t="shared" si="35"/>
        <v>2.4454545454545453</v>
      </c>
      <c r="BS24" s="18">
        <f t="shared" ref="BS24" si="36">AK24/AK7</f>
        <v>3.568734427356302</v>
      </c>
      <c r="BT24" s="42">
        <f t="shared" ref="BT24" si="37">AL24/AL7</f>
        <v>3.51702786377709</v>
      </c>
    </row>
    <row r="25" spans="1:72" ht="15.75" thickBot="1" x14ac:dyDescent="0.3">
      <c r="G25" s="12"/>
      <c r="H25" s="12"/>
      <c r="I25" s="12"/>
      <c r="J25" s="12"/>
      <c r="K25" s="12"/>
      <c r="L25" s="12"/>
      <c r="M25" s="12"/>
      <c r="N25" s="12"/>
      <c r="AU25" s="23">
        <f t="shared" ref="AU25" si="38">AVERAGE(AW24,AY24,BA24,BC24,BE24,BG24,BI24,BK24,BM24,BO24,BQ24)</f>
        <v>2.607762409394967</v>
      </c>
      <c r="AV25" s="23">
        <f t="shared" ref="AV25" si="39">AVERAGE(AX24,AZ24,BB24,BD24,BF24,BH24,BJ24,BL24,BN24,BP24,BR24)</f>
        <v>2.6572193094164325</v>
      </c>
      <c r="AW25" s="28"/>
      <c r="AX25" s="32">
        <f>AW24-AX24</f>
        <v>-0.35063486267174726</v>
      </c>
      <c r="AY25" s="50"/>
      <c r="AZ25" s="51"/>
      <c r="BA25" s="45"/>
      <c r="BB25" s="46">
        <f>BA24-BB24</f>
        <v>-0.21395656876396307</v>
      </c>
      <c r="BC25" s="33"/>
      <c r="BD25" s="29">
        <f>BC24-BD24</f>
        <v>8.6844685990796311E-2</v>
      </c>
      <c r="BE25" s="33"/>
      <c r="BF25" s="29">
        <f>BE24-BF24</f>
        <v>0.17551455516378178</v>
      </c>
      <c r="BG25" s="33"/>
      <c r="BH25" s="29">
        <f>BG24-BH24</f>
        <v>6.0209333090017747E-3</v>
      </c>
      <c r="BI25" s="33"/>
      <c r="BJ25" s="29">
        <f>BI24-BJ24</f>
        <v>-3.4989955536009365E-2</v>
      </c>
      <c r="BK25" s="33"/>
      <c r="BL25" s="29">
        <f>BK24-BL24</f>
        <v>-3.3617970552412002E-2</v>
      </c>
      <c r="BM25" s="33"/>
      <c r="BN25" s="29">
        <f>BM24-BN24</f>
        <v>-0.19137660553766978</v>
      </c>
      <c r="BO25" s="33"/>
      <c r="BP25" s="29">
        <f>BO24-BP24</f>
        <v>-3.9318385164343717E-2</v>
      </c>
      <c r="BQ25" s="33"/>
      <c r="BR25" s="29">
        <f>BQ24-BR24</f>
        <v>0.10094517354791321</v>
      </c>
      <c r="BS25" s="33"/>
      <c r="BT25" s="29">
        <f>BS24-BT24</f>
        <v>5.1706563579211995E-2</v>
      </c>
    </row>
    <row r="26" spans="1:72" ht="15.75" thickBot="1" x14ac:dyDescent="0.3">
      <c r="A26" t="s">
        <v>17</v>
      </c>
      <c r="B26" s="270" t="s">
        <v>220</v>
      </c>
      <c r="C26" s="274">
        <f>C5/C24</f>
        <v>0.2688908493062796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>
        <f>S5/S24</f>
        <v>0.29010960685643317</v>
      </c>
      <c r="T26" s="274"/>
      <c r="U26" s="274">
        <f>U5/U24</f>
        <v>0.34487525668181157</v>
      </c>
      <c r="V26" s="274"/>
      <c r="W26" s="274">
        <f>W5/W24</f>
        <v>0.27260503828160593</v>
      </c>
      <c r="X26" s="274"/>
      <c r="Y26" s="274">
        <f>Y5/Y24</f>
        <v>0.47684637167105159</v>
      </c>
      <c r="Z26" s="274"/>
      <c r="AA26" s="274">
        <f>AA5/AA24</f>
        <v>0.24667419534092858</v>
      </c>
      <c r="AB26" s="274"/>
      <c r="AC26" s="274">
        <f>AC5/AC24</f>
        <v>0.4329473274856328</v>
      </c>
      <c r="AD26" s="274"/>
      <c r="AE26" s="274">
        <f>AE5/AE24</f>
        <v>0.28160155673121195</v>
      </c>
      <c r="AF26" s="274"/>
      <c r="AG26" s="274">
        <f>AG5/AG24</f>
        <v>0.37416739870852406</v>
      </c>
      <c r="AH26" s="274"/>
      <c r="AI26" s="274"/>
      <c r="AJ26" s="274"/>
      <c r="AK26" s="274">
        <f>AK5/AK24</f>
        <v>0.22318924319574351</v>
      </c>
      <c r="AL26" s="274"/>
      <c r="AM26" t="s">
        <v>222</v>
      </c>
      <c r="AN26" s="275">
        <f>MIN(C26:AL26)</f>
        <v>0.22318924319574351</v>
      </c>
      <c r="AO26" t="s">
        <v>223</v>
      </c>
      <c r="AP26" s="275">
        <f>MAX(C26:AL26)</f>
        <v>0.47684637167105159</v>
      </c>
      <c r="AQ26" t="s">
        <v>224</v>
      </c>
      <c r="AR26" s="275">
        <f>AVERAGE(C26:AL26)</f>
        <v>0.32119068442592225</v>
      </c>
    </row>
    <row r="27" spans="1:72" x14ac:dyDescent="0.25">
      <c r="B27" t="s">
        <v>221</v>
      </c>
      <c r="C27" s="274">
        <f>1-C28-C26</f>
        <v>0.52629721709840405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>
        <f t="shared" ref="S27:AK27" si="40">1-S28-S26</f>
        <v>0.43362370460629995</v>
      </c>
      <c r="T27" s="274"/>
      <c r="U27" s="274">
        <f t="shared" si="40"/>
        <v>0.47303021973579967</v>
      </c>
      <c r="V27" s="274"/>
      <c r="W27" s="274">
        <f t="shared" si="40"/>
        <v>0.52117433965618787</v>
      </c>
      <c r="X27" s="274"/>
      <c r="Y27" s="274">
        <f t="shared" si="40"/>
        <v>0.41067522179046922</v>
      </c>
      <c r="Z27" s="274"/>
      <c r="AA27" s="274">
        <f t="shared" si="40"/>
        <v>0.52063855449454166</v>
      </c>
      <c r="AB27" s="274"/>
      <c r="AC27" s="274">
        <f t="shared" si="40"/>
        <v>0.4213066586008728</v>
      </c>
      <c r="AD27" s="274"/>
      <c r="AE27" s="274">
        <f t="shared" si="40"/>
        <v>0.51412090728240933</v>
      </c>
      <c r="AF27" s="274"/>
      <c r="AG27" s="274">
        <f t="shared" ref="AG27" si="41">1-AG28-AG26</f>
        <v>0.48862792238815173</v>
      </c>
      <c r="AH27" s="274"/>
      <c r="AI27" s="274"/>
      <c r="AJ27" s="274"/>
      <c r="AK27" s="274">
        <f t="shared" si="40"/>
        <v>0.56953121551727592</v>
      </c>
      <c r="AL27" s="274"/>
      <c r="AM27" t="s">
        <v>222</v>
      </c>
      <c r="AN27" s="275">
        <f>MIN(C27:AL27)</f>
        <v>0.41067522179046922</v>
      </c>
      <c r="AO27" t="s">
        <v>223</v>
      </c>
      <c r="AP27" s="275">
        <f t="shared" ref="AP27:AP28" si="42">MAX(C27:AL27)</f>
        <v>0.56953121551727592</v>
      </c>
      <c r="AQ27" t="s">
        <v>224</v>
      </c>
      <c r="AR27" s="275">
        <f>AVERAGE(C27:AL27)</f>
        <v>0.48790259611704123</v>
      </c>
      <c r="AW27" s="24" t="s">
        <v>135</v>
      </c>
      <c r="AX27" s="30" t="s">
        <v>135</v>
      </c>
      <c r="AY27" s="47"/>
      <c r="AZ27" s="48"/>
      <c r="BA27" s="43" t="s">
        <v>135</v>
      </c>
      <c r="BB27" s="44" t="s">
        <v>135</v>
      </c>
      <c r="BC27" s="31" t="s">
        <v>135</v>
      </c>
      <c r="BD27" s="25" t="s">
        <v>135</v>
      </c>
      <c r="BE27" s="31" t="s">
        <v>135</v>
      </c>
      <c r="BF27" s="25" t="s">
        <v>135</v>
      </c>
      <c r="BG27" s="31" t="s">
        <v>135</v>
      </c>
      <c r="BH27" s="25" t="s">
        <v>135</v>
      </c>
      <c r="BI27" s="31" t="s">
        <v>135</v>
      </c>
      <c r="BJ27" s="25" t="s">
        <v>135</v>
      </c>
      <c r="BK27" s="31" t="s">
        <v>135</v>
      </c>
      <c r="BL27" s="25" t="s">
        <v>135</v>
      </c>
      <c r="BM27" s="31" t="s">
        <v>135</v>
      </c>
      <c r="BN27" s="25" t="s">
        <v>135</v>
      </c>
      <c r="BO27" s="31" t="s">
        <v>135</v>
      </c>
      <c r="BP27" s="25" t="s">
        <v>135</v>
      </c>
      <c r="BQ27" s="31" t="s">
        <v>135</v>
      </c>
      <c r="BR27" s="25" t="s">
        <v>135</v>
      </c>
      <c r="BS27" s="31" t="s">
        <v>135</v>
      </c>
      <c r="BT27" s="25" t="s">
        <v>135</v>
      </c>
    </row>
    <row r="28" spans="1:72" x14ac:dyDescent="0.25">
      <c r="B28" s="270" t="s">
        <v>219</v>
      </c>
      <c r="C28" s="274">
        <f>1-C22/C24</f>
        <v>0.20481193359531635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>
        <f>1-S22/S24</f>
        <v>0.27626668853726688</v>
      </c>
      <c r="T28" s="274"/>
      <c r="U28" s="274">
        <f>1-U22/U24</f>
        <v>0.18209452358238876</v>
      </c>
      <c r="V28" s="274"/>
      <c r="W28" s="274">
        <f>1-W22/W24</f>
        <v>0.20622062206220626</v>
      </c>
      <c r="X28" s="274"/>
      <c r="Y28" s="274">
        <f>1-Y22/Y24</f>
        <v>0.11247840653847918</v>
      </c>
      <c r="Z28" s="274"/>
      <c r="AA28" s="274">
        <f>1-AA22/AA24</f>
        <v>0.23268725016452974</v>
      </c>
      <c r="AB28" s="274"/>
      <c r="AC28" s="274">
        <f>1-AC22/AC24</f>
        <v>0.1457460139134944</v>
      </c>
      <c r="AD28" s="274"/>
      <c r="AE28" s="274">
        <f>1-AE22/AE24</f>
        <v>0.20427753598637866</v>
      </c>
      <c r="AF28" s="274"/>
      <c r="AG28" s="274">
        <f>1-AG22/AG24</f>
        <v>0.13720467890332422</v>
      </c>
      <c r="AH28" s="274"/>
      <c r="AI28" s="274"/>
      <c r="AJ28" s="274"/>
      <c r="AK28" s="274">
        <f>1-AK22/AK24</f>
        <v>0.20727954128698056</v>
      </c>
      <c r="AL28" s="274"/>
      <c r="AM28" t="s">
        <v>222</v>
      </c>
      <c r="AN28" s="275">
        <f>MIN(C28:AL28)</f>
        <v>0.11247840653847918</v>
      </c>
      <c r="AO28" t="s">
        <v>223</v>
      </c>
      <c r="AP28" s="275">
        <f t="shared" si="42"/>
        <v>0.27626668853726688</v>
      </c>
      <c r="AQ28" t="s">
        <v>224</v>
      </c>
      <c r="AR28" s="275">
        <f>AVERAGE(C28:AL28)</f>
        <v>0.19090671945703652</v>
      </c>
      <c r="AS28" s="271" t="s">
        <v>137</v>
      </c>
      <c r="AT28" s="15" t="s">
        <v>76</v>
      </c>
      <c r="AU28" s="22">
        <f t="shared" ref="AU28" si="43">MIN(AW29,AY29,BA29,BC29,BE29,BG29,BI29,BK29,BM29,BO29,BQ29)</f>
        <v>1.8212060270883801</v>
      </c>
      <c r="AV28" s="22">
        <f t="shared" ref="AV28" si="44">MIN(AX29,AZ29,BB29,BD29,BF29,BH29,BJ29,BL29,BN29,BP29,BR29)</f>
        <v>1.812636165577342</v>
      </c>
      <c r="AW28" s="26" t="s">
        <v>207</v>
      </c>
      <c r="AX28" s="8" t="s">
        <v>208</v>
      </c>
      <c r="AY28" s="41"/>
      <c r="AZ28" s="49"/>
      <c r="BA28" s="5" t="s">
        <v>211</v>
      </c>
      <c r="BB28" s="8" t="s">
        <v>212</v>
      </c>
      <c r="BC28" s="5" t="s">
        <v>209</v>
      </c>
      <c r="BD28" s="27" t="s">
        <v>210</v>
      </c>
      <c r="BE28" s="5" t="s">
        <v>129</v>
      </c>
      <c r="BF28" s="27" t="s">
        <v>130</v>
      </c>
      <c r="BG28" s="5" t="s">
        <v>152</v>
      </c>
      <c r="BH28" s="27" t="s">
        <v>153</v>
      </c>
      <c r="BI28" s="5" t="s">
        <v>170</v>
      </c>
      <c r="BJ28" s="27" t="s">
        <v>171</v>
      </c>
      <c r="BK28" s="5" t="s">
        <v>213</v>
      </c>
      <c r="BL28" s="27" t="s">
        <v>214</v>
      </c>
      <c r="BM28" s="5" t="s">
        <v>215</v>
      </c>
      <c r="BN28" s="27" t="s">
        <v>216</v>
      </c>
      <c r="BO28" s="5" t="s">
        <v>215</v>
      </c>
      <c r="BP28" s="27" t="s">
        <v>216</v>
      </c>
      <c r="BQ28" s="5" t="s">
        <v>215</v>
      </c>
      <c r="BR28" s="27" t="s">
        <v>216</v>
      </c>
      <c r="BS28" s="5" t="s">
        <v>213</v>
      </c>
      <c r="BT28" s="27" t="s">
        <v>214</v>
      </c>
    </row>
    <row r="29" spans="1:72" x14ac:dyDescent="0.25">
      <c r="AT29" t="s">
        <v>77</v>
      </c>
      <c r="AU29" s="23">
        <f t="shared" ref="AU29" si="45">MAX(AW29,AY29,BA29,BC29,BE29,BG29,BI29,BK29,BM29,BO29,BQ29)</f>
        <v>2.9583415402796929</v>
      </c>
      <c r="AV29" s="23">
        <f t="shared" ref="AV29" si="46">MAX(AX29,AZ29,BB29,BD29,BF29,BH29,BJ29,BL29,BN29,BP29,BR29)</f>
        <v>3.1261261261261262</v>
      </c>
      <c r="AW29" s="26">
        <f>C24/C8</f>
        <v>2.8486246915836606</v>
      </c>
      <c r="AX29" s="8">
        <f>D24/D8</f>
        <v>3.1261261261261262</v>
      </c>
      <c r="AY29" s="41"/>
      <c r="AZ29" s="49"/>
      <c r="BA29" s="18">
        <f t="shared" ref="BA29:BR29" si="47">S24/S8</f>
        <v>2.7046027093400933</v>
      </c>
      <c r="BB29" s="19">
        <f t="shared" si="47"/>
        <v>2.8636363636363638</v>
      </c>
      <c r="BC29" s="18">
        <f t="shared" si="47"/>
        <v>2.4366960187538167</v>
      </c>
      <c r="BD29" s="42">
        <f t="shared" si="47"/>
        <v>2.35</v>
      </c>
      <c r="BE29" s="18">
        <f t="shared" si="47"/>
        <v>2.7586830569265199</v>
      </c>
      <c r="BF29" s="42">
        <f t="shared" si="47"/>
        <v>2.6020942408376961</v>
      </c>
      <c r="BG29" s="18">
        <f t="shared" si="47"/>
        <v>1.8212060270883801</v>
      </c>
      <c r="BH29" s="42">
        <f t="shared" si="47"/>
        <v>1.812636165577342</v>
      </c>
      <c r="BI29" s="18">
        <f t="shared" si="47"/>
        <v>2.9583415402796929</v>
      </c>
      <c r="BJ29" s="42">
        <f t="shared" si="47"/>
        <v>2.9397163120567376</v>
      </c>
      <c r="BK29" s="18">
        <f t="shared" si="47"/>
        <v>1.9226870929150606</v>
      </c>
      <c r="BL29" s="42">
        <f t="shared" si="47"/>
        <v>1.9617706237424548</v>
      </c>
      <c r="BM29" s="18">
        <f t="shared" si="47"/>
        <v>2.5950899499526581</v>
      </c>
      <c r="BN29" s="42">
        <f t="shared" si="47"/>
        <v>2.7446808510638299</v>
      </c>
      <c r="BO29" s="18">
        <f t="shared" si="47"/>
        <v>1.9433412999335118</v>
      </c>
      <c r="BP29" s="42">
        <f t="shared" si="47"/>
        <v>1.9834710743801653</v>
      </c>
      <c r="BQ29" s="18">
        <f t="shared" si="47"/>
        <v>2.4141192141192143</v>
      </c>
      <c r="BR29" s="42">
        <f t="shared" si="47"/>
        <v>2.3189655172413794</v>
      </c>
      <c r="BS29" s="18">
        <f t="shared" ref="BS29" si="48">AK24/AK8</f>
        <v>3.2986856560469087</v>
      </c>
      <c r="BT29" s="42">
        <f t="shared" ref="BT29" si="49">AL24/AL8</f>
        <v>3.2364672364672367</v>
      </c>
    </row>
    <row r="30" spans="1:72" ht="15.75" thickBot="1" x14ac:dyDescent="0.3">
      <c r="A30" t="s">
        <v>16</v>
      </c>
      <c r="B30" s="270" t="s">
        <v>220</v>
      </c>
      <c r="C30" s="274"/>
      <c r="D30" s="274">
        <f>D5/D24</f>
        <v>0.23631123919308358</v>
      </c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>
        <f>T5/T24</f>
        <v>0.2724867724867725</v>
      </c>
      <c r="U30" s="274"/>
      <c r="V30" s="274">
        <f>V5/V24</f>
        <v>0.35410334346504557</v>
      </c>
      <c r="W30" s="274"/>
      <c r="X30" s="274">
        <f>X5/X24</f>
        <v>0.29175050301810868</v>
      </c>
      <c r="Y30" s="274"/>
      <c r="Z30" s="274">
        <f>Z5/Z24</f>
        <v>0.47415865384615385</v>
      </c>
      <c r="AA30" s="274"/>
      <c r="AB30" s="274">
        <f>AB5/AB24</f>
        <v>0.24366706875753921</v>
      </c>
      <c r="AC30" s="274"/>
      <c r="AD30" s="274">
        <f>AD5/AD24</f>
        <v>0.4276923076923077</v>
      </c>
      <c r="AE30" s="274"/>
      <c r="AF30" s="274">
        <f>AF5/AF24</f>
        <v>0.26666666666666666</v>
      </c>
      <c r="AG30" s="274"/>
      <c r="AH30" s="274">
        <f>AH5/AH24</f>
        <v>0.36785714285714288</v>
      </c>
      <c r="AI30" s="274"/>
      <c r="AJ30" s="274"/>
      <c r="AK30" s="274"/>
      <c r="AL30" s="274">
        <f>AL5/AL24</f>
        <v>0.22535211267605634</v>
      </c>
      <c r="AM30" t="s">
        <v>222</v>
      </c>
      <c r="AN30" s="275">
        <f>MIN(C30:AL30)</f>
        <v>0.22535211267605634</v>
      </c>
      <c r="AO30" t="s">
        <v>223</v>
      </c>
      <c r="AP30" s="275">
        <f>MAX(C30:AL30)</f>
        <v>0.47415865384615385</v>
      </c>
      <c r="AQ30" t="s">
        <v>224</v>
      </c>
      <c r="AR30" s="275">
        <f>AVERAGE(C30:AL30)</f>
        <v>0.31600458106588769</v>
      </c>
      <c r="AU30" s="23">
        <f t="shared" ref="AU30" si="50">AVERAGE(AW29,AY29,BA29,BC29,BE29,BG29,BI29,BK29,BM29,BO29,BQ29)</f>
        <v>2.4403391600892612</v>
      </c>
      <c r="AV30" s="23">
        <f t="shared" ref="AV30" si="51">AVERAGE(AX29,AZ29,BB29,BD29,BF29,BH29,BJ29,BL29,BN29,BP29,BR29)</f>
        <v>2.4703097274662098</v>
      </c>
      <c r="AW30" s="28"/>
      <c r="AX30" s="32">
        <f>AW29-AX29</f>
        <v>-0.27750143454246556</v>
      </c>
      <c r="AY30" s="50"/>
      <c r="AZ30" s="51"/>
      <c r="BA30" s="45"/>
      <c r="BB30" s="46">
        <f>BA29-BB29</f>
        <v>-0.15903365429627048</v>
      </c>
      <c r="BC30" s="33"/>
      <c r="BD30" s="29">
        <f>BC29-BD29</f>
        <v>8.6696018753816606E-2</v>
      </c>
      <c r="BE30" s="33"/>
      <c r="BF30" s="29">
        <f>BE29-BF29</f>
        <v>0.1565888160888238</v>
      </c>
      <c r="BG30" s="33"/>
      <c r="BH30" s="29">
        <f>BG29-BH29</f>
        <v>8.5698615110381127E-3</v>
      </c>
      <c r="BI30" s="33"/>
      <c r="BJ30" s="29">
        <f>BI29-BJ29</f>
        <v>1.8625228222955315E-2</v>
      </c>
      <c r="BK30" s="33"/>
      <c r="BL30" s="29">
        <f>BK29-BL29</f>
        <v>-3.9083530827394242E-2</v>
      </c>
      <c r="BM30" s="33"/>
      <c r="BN30" s="29">
        <f>BM29-BN29</f>
        <v>-0.14959090111117179</v>
      </c>
      <c r="BO30" s="33"/>
      <c r="BP30" s="29">
        <f>BO29-BP29</f>
        <v>-4.0129774446653554E-2</v>
      </c>
      <c r="BQ30" s="33"/>
      <c r="BR30" s="29">
        <f>BQ29-BR29</f>
        <v>9.5153696877834815E-2</v>
      </c>
      <c r="BS30" s="33"/>
      <c r="BT30" s="29">
        <f>BS29-BT29</f>
        <v>6.2218419579672002E-2</v>
      </c>
    </row>
    <row r="31" spans="1:72" ht="15.75" thickBot="1" x14ac:dyDescent="0.3">
      <c r="B31" t="s">
        <v>221</v>
      </c>
      <c r="C31" s="274"/>
      <c r="D31" s="274">
        <f>1-D32-D30</f>
        <v>0.53314121037463968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>
        <f>1-T32-T30</f>
        <v>0.43783068783068785</v>
      </c>
      <c r="U31" s="274"/>
      <c r="V31" s="274">
        <f>1-V32-V30</f>
        <v>0.48024316109422494</v>
      </c>
      <c r="W31" s="274"/>
      <c r="X31" s="274">
        <f>1-X32-X30</f>
        <v>0.51509054325955728</v>
      </c>
      <c r="Y31" s="274"/>
      <c r="Z31" s="274">
        <f>1-Z32-Z30</f>
        <v>0.41706730769230771</v>
      </c>
      <c r="AA31" s="274"/>
      <c r="AB31" s="274">
        <f>1-AB32-AB30</f>
        <v>0.53437876960193009</v>
      </c>
      <c r="AC31" s="274"/>
      <c r="AD31" s="274">
        <f>1-AD32-AD30</f>
        <v>0.42051282051282046</v>
      </c>
      <c r="AE31" s="274"/>
      <c r="AF31" s="274">
        <f>1-AF32-AF30</f>
        <v>0.53798449612403099</v>
      </c>
      <c r="AG31" s="274"/>
      <c r="AH31" s="274">
        <f>1-AH32-AH30</f>
        <v>0.49761904761904763</v>
      </c>
      <c r="AI31" s="274"/>
      <c r="AJ31" s="274"/>
      <c r="AK31" s="274"/>
      <c r="AL31" s="274">
        <f>1-AL32-AL30</f>
        <v>0.56690140845070425</v>
      </c>
      <c r="AM31" t="s">
        <v>222</v>
      </c>
      <c r="AN31" s="275">
        <f>MIN(C31:AL31)</f>
        <v>0.41706730769230771</v>
      </c>
      <c r="AO31" t="s">
        <v>223</v>
      </c>
      <c r="AP31" s="275">
        <f t="shared" ref="AP31:AP32" si="52">MAX(C31:AL31)</f>
        <v>0.56690140845070425</v>
      </c>
      <c r="AQ31" t="s">
        <v>224</v>
      </c>
      <c r="AR31" s="275">
        <f>AVERAGE(C31:AL31)</f>
        <v>0.49407694525599499</v>
      </c>
    </row>
    <row r="32" spans="1:72" x14ac:dyDescent="0.25">
      <c r="B32" s="270" t="s">
        <v>219</v>
      </c>
      <c r="C32" s="274"/>
      <c r="D32" s="274">
        <f>1-D22/D24</f>
        <v>0.2305475504322767</v>
      </c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>
        <f>1-T22/T24</f>
        <v>0.28968253968253965</v>
      </c>
      <c r="U32" s="274"/>
      <c r="V32" s="274">
        <f>1-V22/V24</f>
        <v>0.16565349544072949</v>
      </c>
      <c r="W32" s="274"/>
      <c r="X32" s="274">
        <f>1-X22/X24</f>
        <v>0.19315895372233405</v>
      </c>
      <c r="Y32" s="274"/>
      <c r="Z32" s="274">
        <f>1-Z22/Z24</f>
        <v>0.10877403846153844</v>
      </c>
      <c r="AA32" s="274"/>
      <c r="AB32" s="274">
        <f>1-AB22/AB24</f>
        <v>0.22195416164053072</v>
      </c>
      <c r="AC32" s="274"/>
      <c r="AD32" s="274">
        <f>1-AD22/AD24</f>
        <v>0.15179487179487183</v>
      </c>
      <c r="AE32" s="274"/>
      <c r="AF32" s="274">
        <f>1-AF22/AF24</f>
        <v>0.1953488372093023</v>
      </c>
      <c r="AG32" s="274"/>
      <c r="AH32" s="274">
        <f>1-AH22/AH24</f>
        <v>0.13452380952380949</v>
      </c>
      <c r="AI32" s="274"/>
      <c r="AJ32" s="274"/>
      <c r="AK32" s="274"/>
      <c r="AL32" s="274">
        <f>1-AL22/AL24</f>
        <v>0.20774647887323938</v>
      </c>
      <c r="AM32" t="s">
        <v>222</v>
      </c>
      <c r="AN32" s="275">
        <f>MIN(C32:AL32)</f>
        <v>0.10877403846153844</v>
      </c>
      <c r="AO32" t="s">
        <v>223</v>
      </c>
      <c r="AP32" s="275">
        <f t="shared" si="52"/>
        <v>0.28968253968253965</v>
      </c>
      <c r="AQ32" t="s">
        <v>224</v>
      </c>
      <c r="AR32" s="275">
        <f>AVERAGE(C32:AL32)</f>
        <v>0.18991847367811721</v>
      </c>
      <c r="AW32" s="24" t="s">
        <v>138</v>
      </c>
      <c r="AX32" s="30" t="s">
        <v>138</v>
      </c>
      <c r="AY32" s="47"/>
      <c r="AZ32" s="48"/>
      <c r="BA32" s="43" t="s">
        <v>138</v>
      </c>
      <c r="BB32" s="44" t="s">
        <v>138</v>
      </c>
      <c r="BC32" s="31" t="s">
        <v>138</v>
      </c>
      <c r="BD32" s="25" t="s">
        <v>138</v>
      </c>
      <c r="BE32" s="31" t="s">
        <v>138</v>
      </c>
      <c r="BF32" s="25" t="s">
        <v>138</v>
      </c>
      <c r="BG32" s="31" t="s">
        <v>138</v>
      </c>
      <c r="BH32" s="25" t="s">
        <v>138</v>
      </c>
      <c r="BI32" s="31" t="s">
        <v>138</v>
      </c>
      <c r="BJ32" s="25" t="s">
        <v>138</v>
      </c>
      <c r="BK32" s="31" t="s">
        <v>138</v>
      </c>
      <c r="BL32" s="25" t="s">
        <v>138</v>
      </c>
      <c r="BM32" s="31" t="s">
        <v>138</v>
      </c>
      <c r="BN32" s="25" t="s">
        <v>138</v>
      </c>
      <c r="BO32" s="31" t="s">
        <v>138</v>
      </c>
      <c r="BP32" s="25" t="s">
        <v>138</v>
      </c>
      <c r="BQ32" s="31" t="s">
        <v>138</v>
      </c>
      <c r="BR32" s="25" t="s">
        <v>138</v>
      </c>
      <c r="BS32" s="31" t="s">
        <v>138</v>
      </c>
      <c r="BT32" s="25" t="s">
        <v>138</v>
      </c>
    </row>
    <row r="33" spans="16:72" ht="15.75" thickBot="1" x14ac:dyDescent="0.3">
      <c r="AS33" s="271" t="s">
        <v>139</v>
      </c>
      <c r="AT33" s="15" t="s">
        <v>76</v>
      </c>
      <c r="AU33" s="22">
        <f t="shared" ref="AU33" si="53">MIN(AW34,AY34,BA34,BC34,BE34,BG34,BI34,BK34,BM34,BO34,BQ34)</f>
        <v>1.7631957401930778</v>
      </c>
      <c r="AV33" s="22">
        <f t="shared" ref="AV33" si="54">MIN(AX34,AZ34,BB34,BD34,BF34,BH34,BJ34,BL34,BN34,BP34,BR34)</f>
        <v>1.746065057712487</v>
      </c>
      <c r="AW33" s="26" t="s">
        <v>207</v>
      </c>
      <c r="AX33" s="8" t="s">
        <v>208</v>
      </c>
      <c r="AY33" s="41"/>
      <c r="AZ33" s="49"/>
      <c r="BA33" s="5" t="s">
        <v>211</v>
      </c>
      <c r="BB33" s="8" t="s">
        <v>212</v>
      </c>
      <c r="BC33" s="5" t="s">
        <v>209</v>
      </c>
      <c r="BD33" s="27" t="s">
        <v>210</v>
      </c>
      <c r="BE33" s="5" t="s">
        <v>129</v>
      </c>
      <c r="BF33" s="27" t="s">
        <v>130</v>
      </c>
      <c r="BG33" s="5" t="s">
        <v>152</v>
      </c>
      <c r="BH33" s="27" t="s">
        <v>153</v>
      </c>
      <c r="BI33" s="5" t="s">
        <v>170</v>
      </c>
      <c r="BJ33" s="27" t="s">
        <v>171</v>
      </c>
      <c r="BK33" s="5" t="s">
        <v>213</v>
      </c>
      <c r="BL33" s="27" t="s">
        <v>214</v>
      </c>
      <c r="BM33" s="5" t="s">
        <v>215</v>
      </c>
      <c r="BN33" s="27" t="s">
        <v>216</v>
      </c>
      <c r="BO33" s="5" t="s">
        <v>215</v>
      </c>
      <c r="BP33" s="27" t="s">
        <v>216</v>
      </c>
      <c r="BQ33" s="5" t="s">
        <v>215</v>
      </c>
      <c r="BR33" s="27" t="s">
        <v>216</v>
      </c>
      <c r="BS33" s="5" t="s">
        <v>213</v>
      </c>
      <c r="BT33" s="27" t="s">
        <v>214</v>
      </c>
    </row>
    <row r="34" spans="16:72" x14ac:dyDescent="0.25">
      <c r="P34"/>
      <c r="U34"/>
      <c r="V34"/>
      <c r="AE34" s="36"/>
      <c r="AH34" s="36"/>
      <c r="AI34" s="257" t="s">
        <v>103</v>
      </c>
      <c r="AJ34" s="258" t="s">
        <v>105</v>
      </c>
      <c r="AK34" s="269">
        <f>$AK$4*AU8</f>
        <v>105493.87521034156</v>
      </c>
      <c r="AL34" s="269">
        <f>$AL$4*AV8</f>
        <v>479.23199999999997</v>
      </c>
      <c r="AM34" s="259"/>
      <c r="AN34" s="259"/>
      <c r="AO34" s="260">
        <f>AK34/AL34</f>
        <v>220.13111647457092</v>
      </c>
      <c r="AP34" s="261"/>
      <c r="AT34" t="s">
        <v>77</v>
      </c>
      <c r="AU34" s="23">
        <f t="shared" ref="AU34" si="55">MAX(AW34,AY34,BA34,BC34,BE34,BG34,BI34,BK34,BM34,BO34,BQ34)</f>
        <v>2.7621726994816358</v>
      </c>
      <c r="AV34" s="23">
        <f t="shared" ref="AV34" si="56">MAX(AX34,AZ34,BB34,BD34,BF34,BH34,BJ34,BL34,BN34,BP34,BR34)</f>
        <v>3.0173913043478264</v>
      </c>
      <c r="AW34" s="26">
        <f>C24/C9</f>
        <v>2.7621726994816358</v>
      </c>
      <c r="AX34" s="8">
        <f>D24/D9</f>
        <v>3.0173913043478264</v>
      </c>
      <c r="AY34" s="41"/>
      <c r="AZ34" s="49"/>
      <c r="BA34" s="18">
        <f t="shared" ref="BA34:BR34" si="57">S24/S9</f>
        <v>2.6202032295695954</v>
      </c>
      <c r="BB34" s="19">
        <f t="shared" si="57"/>
        <v>2.7591240875912408</v>
      </c>
      <c r="BC34" s="18">
        <f t="shared" si="57"/>
        <v>2.2979063330175182</v>
      </c>
      <c r="BD34" s="42">
        <f t="shared" si="57"/>
        <v>2.2380952380952381</v>
      </c>
      <c r="BE34" s="18">
        <f t="shared" si="57"/>
        <v>2.4009764947573435</v>
      </c>
      <c r="BF34" s="42">
        <f t="shared" si="57"/>
        <v>2.2590909090909093</v>
      </c>
      <c r="BG34" s="18">
        <f t="shared" si="57"/>
        <v>1.7631957401930778</v>
      </c>
      <c r="BH34" s="42">
        <f t="shared" si="57"/>
        <v>1.746065057712487</v>
      </c>
      <c r="BI34" s="18">
        <f t="shared" si="57"/>
        <v>2.5868757328245793</v>
      </c>
      <c r="BJ34" s="42">
        <f t="shared" si="57"/>
        <v>2.5429447852760738</v>
      </c>
      <c r="BK34" s="18">
        <f t="shared" si="57"/>
        <v>1.8785207552070651</v>
      </c>
      <c r="BL34" s="42">
        <f t="shared" si="57"/>
        <v>1.9192913385826771</v>
      </c>
      <c r="BM34" s="18">
        <f t="shared" si="57"/>
        <v>2.5267351507967866</v>
      </c>
      <c r="BN34" s="42">
        <f t="shared" si="57"/>
        <v>2.6763485477178421</v>
      </c>
      <c r="BO34" s="18">
        <f t="shared" si="57"/>
        <v>1.8439464381116935</v>
      </c>
      <c r="BP34" s="42">
        <f t="shared" si="57"/>
        <v>1.8645948945615982</v>
      </c>
      <c r="BQ34" s="18">
        <f t="shared" si="57"/>
        <v>2.2324320995257745</v>
      </c>
      <c r="BR34" s="42">
        <f t="shared" si="57"/>
        <v>2.1869918699186992</v>
      </c>
      <c r="BS34" s="18">
        <f t="shared" ref="BS34" si="58">AK24/AK9</f>
        <v>2.9181527580998328</v>
      </c>
      <c r="BT34" s="42">
        <f t="shared" ref="BT34" si="59">AL24/AL9</f>
        <v>2.8759493670886074</v>
      </c>
    </row>
    <row r="35" spans="16:72" ht="15.75" thickBot="1" x14ac:dyDescent="0.3">
      <c r="P35"/>
      <c r="U35"/>
      <c r="V35"/>
      <c r="AE35" s="34"/>
      <c r="AH35" s="34"/>
      <c r="AI35" s="262"/>
      <c r="AJ35" s="34" t="s">
        <v>106</v>
      </c>
      <c r="AK35" s="7">
        <f>$AK$4*AU9</f>
        <v>186371.70855531184</v>
      </c>
      <c r="AL35" s="7">
        <f>$AL$4*AV9</f>
        <v>875.19061583577718</v>
      </c>
      <c r="AM35" s="35"/>
      <c r="AN35" s="35"/>
      <c r="AO35" s="35">
        <f>AK35/AL35</f>
        <v>212.94984793379351</v>
      </c>
      <c r="AP35" s="263"/>
      <c r="AU35" s="23">
        <f t="shared" ref="AU35" si="60">AVERAGE(AW34,AY34,BA34,BC34,BE34,BG34,BI34,BK34,BM34,BO34,BQ34)</f>
        <v>2.2912964673485066</v>
      </c>
      <c r="AV35" s="23">
        <f t="shared" ref="AV35" si="61">AVERAGE(AX34,AZ34,BB34,BD34,BF34,BH34,BJ34,BL34,BN34,BP34,BR34)</f>
        <v>2.3209938032894595</v>
      </c>
      <c r="AW35" s="28"/>
      <c r="AX35" s="32">
        <f>AW34-AX34</f>
        <v>-0.25521860486619063</v>
      </c>
      <c r="AY35" s="50"/>
      <c r="AZ35" s="51"/>
      <c r="BA35" s="45"/>
      <c r="BB35" s="46">
        <f>BA34-BB34</f>
        <v>-0.13892085802164544</v>
      </c>
      <c r="BC35" s="33"/>
      <c r="BD35" s="29">
        <f>BC34-BD34</f>
        <v>5.9811094922280095E-2</v>
      </c>
      <c r="BE35" s="33"/>
      <c r="BF35" s="29">
        <f>BE34-BF34</f>
        <v>0.14188558566643428</v>
      </c>
      <c r="BG35" s="33"/>
      <c r="BH35" s="29">
        <f>BG34-BH34</f>
        <v>1.7130682480590798E-2</v>
      </c>
      <c r="BI35" s="33"/>
      <c r="BJ35" s="29">
        <f>BI34-BJ34</f>
        <v>4.3930947548505461E-2</v>
      </c>
      <c r="BK35" s="33"/>
      <c r="BL35" s="29">
        <f>BK34-BL34</f>
        <v>-4.0770583375612013E-2</v>
      </c>
      <c r="BM35" s="33"/>
      <c r="BN35" s="29">
        <f>BM34-BN34</f>
        <v>-0.14961339692105557</v>
      </c>
      <c r="BO35" s="33"/>
      <c r="BP35" s="29">
        <f>BO34-BP34</f>
        <v>-2.0648456449904762E-2</v>
      </c>
      <c r="BQ35" s="33"/>
      <c r="BR35" s="29">
        <f>BQ34-BR34</f>
        <v>4.5440229607075278E-2</v>
      </c>
      <c r="BS35" s="33"/>
      <c r="BT35" s="29">
        <f>BS34-BT34</f>
        <v>4.2203391011225388E-2</v>
      </c>
    </row>
    <row r="36" spans="16:72" ht="15.75" thickBot="1" x14ac:dyDescent="0.3">
      <c r="AE36" s="34"/>
      <c r="AH36" s="34"/>
      <c r="AI36" s="262"/>
      <c r="AJ36" s="34"/>
      <c r="AM36" s="3">
        <f>AVERAGE(AK34:AK35)</f>
        <v>145932.79188282671</v>
      </c>
      <c r="AN36" s="3">
        <f>AVERAGE(AL34:AL35)</f>
        <v>677.21130791788858</v>
      </c>
      <c r="AO36" s="35"/>
      <c r="AP36" s="263">
        <f>AM36/AN36</f>
        <v>215.49077839751749</v>
      </c>
    </row>
    <row r="37" spans="16:72" x14ac:dyDescent="0.25">
      <c r="AE37" s="34"/>
      <c r="AH37" s="34"/>
      <c r="AI37" s="262" t="s">
        <v>104</v>
      </c>
      <c r="AJ37" s="34" t="s">
        <v>105</v>
      </c>
      <c r="AK37" s="7">
        <f>$AK$5*AU13</f>
        <v>116647.63182547828</v>
      </c>
      <c r="AL37" s="7">
        <f>$AL$5*AV13</f>
        <v>539.90367553865656</v>
      </c>
      <c r="AM37" s="34"/>
      <c r="AN37" s="34"/>
      <c r="AO37" s="35">
        <f>AK37/AL37</f>
        <v>216.05267219027559</v>
      </c>
      <c r="AP37" s="263"/>
      <c r="AW37" s="24" t="s">
        <v>141</v>
      </c>
      <c r="AX37" s="30" t="s">
        <v>141</v>
      </c>
      <c r="AY37" s="47"/>
      <c r="AZ37" s="48"/>
      <c r="BA37" s="43" t="s">
        <v>141</v>
      </c>
      <c r="BB37" s="44" t="s">
        <v>141</v>
      </c>
      <c r="BC37" s="31" t="s">
        <v>141</v>
      </c>
      <c r="BD37" s="25" t="s">
        <v>141</v>
      </c>
      <c r="BE37" s="31" t="s">
        <v>141</v>
      </c>
      <c r="BF37" s="25" t="s">
        <v>141</v>
      </c>
      <c r="BG37" s="31" t="s">
        <v>141</v>
      </c>
      <c r="BH37" s="25" t="s">
        <v>141</v>
      </c>
      <c r="BI37" s="31" t="s">
        <v>141</v>
      </c>
      <c r="BJ37" s="25" t="s">
        <v>141</v>
      </c>
      <c r="BK37" s="31" t="s">
        <v>141</v>
      </c>
      <c r="BL37" s="25" t="s">
        <v>141</v>
      </c>
      <c r="BM37" s="31" t="s">
        <v>141</v>
      </c>
      <c r="BN37" s="25" t="s">
        <v>141</v>
      </c>
      <c r="BO37" s="31" t="s">
        <v>141</v>
      </c>
      <c r="BP37" s="25" t="s">
        <v>141</v>
      </c>
      <c r="BQ37" s="31" t="s">
        <v>141</v>
      </c>
      <c r="BR37" s="25" t="s">
        <v>141</v>
      </c>
      <c r="BS37" s="31" t="s">
        <v>141</v>
      </c>
      <c r="BT37" s="25" t="s">
        <v>141</v>
      </c>
    </row>
    <row r="38" spans="16:72" x14ac:dyDescent="0.25">
      <c r="P38"/>
      <c r="U38"/>
      <c r="V38"/>
      <c r="AE38" s="34"/>
      <c r="AH38" s="34"/>
      <c r="AI38" s="262"/>
      <c r="AJ38" s="34" t="s">
        <v>106</v>
      </c>
      <c r="AK38" s="7">
        <f>$AK$5*AU14</f>
        <v>225491.76626733661</v>
      </c>
      <c r="AL38" s="7">
        <f>$AL$5*AV14</f>
        <v>1083.3170731707316</v>
      </c>
      <c r="AM38" s="35"/>
      <c r="AN38" s="35"/>
      <c r="AO38" s="35">
        <f>AK38/AL38</f>
        <v>208.14936997840422</v>
      </c>
      <c r="AP38" s="263"/>
      <c r="AS38" s="271" t="s">
        <v>140</v>
      </c>
      <c r="AT38" s="15" t="s">
        <v>76</v>
      </c>
      <c r="AU38" s="22">
        <f t="shared" ref="AU38" si="62">MIN(AW39,AY39,BA39,BC39,BE39,BG39,BI39,BK39,BM39,BO39,BQ39)</f>
        <v>1.6230948356042554</v>
      </c>
      <c r="AV38" s="22">
        <f t="shared" ref="AV38" si="63">MIN(AX39,AZ39,BB39,BD39,BF39,BH39,BJ39,BL39,BN39,BP39,BR39)</f>
        <v>1.5938697318007662</v>
      </c>
      <c r="AW38" s="26" t="s">
        <v>207</v>
      </c>
      <c r="AX38" s="8" t="s">
        <v>208</v>
      </c>
      <c r="AY38" s="41"/>
      <c r="AZ38" s="49"/>
      <c r="BA38" s="5" t="s">
        <v>211</v>
      </c>
      <c r="BB38" s="8" t="s">
        <v>212</v>
      </c>
      <c r="BC38" s="5" t="s">
        <v>209</v>
      </c>
      <c r="BD38" s="27" t="s">
        <v>210</v>
      </c>
      <c r="BE38" s="5" t="s">
        <v>129</v>
      </c>
      <c r="BF38" s="27" t="s">
        <v>130</v>
      </c>
      <c r="BG38" s="5" t="s">
        <v>152</v>
      </c>
      <c r="BH38" s="27" t="s">
        <v>153</v>
      </c>
      <c r="BI38" s="5" t="s">
        <v>170</v>
      </c>
      <c r="BJ38" s="27" t="s">
        <v>171</v>
      </c>
      <c r="BK38" s="5" t="s">
        <v>213</v>
      </c>
      <c r="BL38" s="27" t="s">
        <v>214</v>
      </c>
      <c r="BM38" s="5" t="s">
        <v>215</v>
      </c>
      <c r="BN38" s="27" t="s">
        <v>216</v>
      </c>
      <c r="BO38" s="5" t="s">
        <v>215</v>
      </c>
      <c r="BP38" s="27" t="s">
        <v>216</v>
      </c>
      <c r="BQ38" s="5" t="s">
        <v>215</v>
      </c>
      <c r="BR38" s="27" t="s">
        <v>216</v>
      </c>
      <c r="BS38" s="5" t="s">
        <v>213</v>
      </c>
      <c r="BT38" s="27" t="s">
        <v>214</v>
      </c>
    </row>
    <row r="39" spans="16:72" x14ac:dyDescent="0.25">
      <c r="P39"/>
      <c r="U39"/>
      <c r="V39"/>
      <c r="AE39" s="34"/>
      <c r="AH39" s="34"/>
      <c r="AI39" s="262"/>
      <c r="AJ39" s="34"/>
      <c r="AM39" s="3">
        <f>AVERAGE(AK37:AK38)</f>
        <v>171069.69904640745</v>
      </c>
      <c r="AN39" s="3">
        <f>AVERAGE(AL37:AL38)</f>
        <v>811.61037435469416</v>
      </c>
      <c r="AO39" s="35"/>
      <c r="AP39" s="263">
        <f t="shared" ref="AP39" si="64">AM39/AN39</f>
        <v>210.77810788510902</v>
      </c>
      <c r="AT39" t="s">
        <v>77</v>
      </c>
      <c r="AU39" s="23">
        <f t="shared" ref="AU39" si="65">MAX(AW39,AY39,BA39,BC39,BE39,BG39,BI39,BK39,BM39,BO39,BQ39)</f>
        <v>2.5783705541770057</v>
      </c>
      <c r="AV39" s="23">
        <f t="shared" ref="AV39" si="66">MAX(AX39,AZ39,BB39,BD39,BF39,BH39,BJ39,BL39,BN39,BP39,BR39)</f>
        <v>2.7983870967741935</v>
      </c>
      <c r="AW39" s="26">
        <f>C24/C10</f>
        <v>2.5783705541770057</v>
      </c>
      <c r="AX39" s="8">
        <f>D24/D10</f>
        <v>2.7983870967741935</v>
      </c>
      <c r="AY39" s="41"/>
      <c r="AZ39" s="49"/>
      <c r="BA39" s="18">
        <f t="shared" ref="BA39:BR39" si="67">S24/S10</f>
        <v>2.4517903566350201</v>
      </c>
      <c r="BB39" s="19">
        <f t="shared" si="67"/>
        <v>2.5627118644067797</v>
      </c>
      <c r="BC39" s="18">
        <f t="shared" si="67"/>
        <v>2.2095711044818778</v>
      </c>
      <c r="BD39" s="42">
        <f t="shared" si="67"/>
        <v>2.1363636363636362</v>
      </c>
      <c r="BE39" s="18">
        <f t="shared" si="67"/>
        <v>2.2373020411207518</v>
      </c>
      <c r="BF39" s="42">
        <f t="shared" si="67"/>
        <v>2.1059322033898304</v>
      </c>
      <c r="BG39" s="18">
        <f t="shared" si="67"/>
        <v>1.6230948356042554</v>
      </c>
      <c r="BH39" s="42">
        <f t="shared" si="67"/>
        <v>1.5938697318007662</v>
      </c>
      <c r="BI39" s="18">
        <f t="shared" si="67"/>
        <v>2.3740326218455721</v>
      </c>
      <c r="BJ39" s="42">
        <f t="shared" si="67"/>
        <v>2.3385049365303243</v>
      </c>
      <c r="BK39" s="18">
        <f t="shared" si="67"/>
        <v>1.8264108654991991</v>
      </c>
      <c r="BL39" s="42">
        <f t="shared" si="67"/>
        <v>1.8642447418738051</v>
      </c>
      <c r="BM39" s="18">
        <f t="shared" si="67"/>
        <v>2.3013854735200625</v>
      </c>
      <c r="BN39" s="42">
        <f t="shared" si="67"/>
        <v>2.4618320610687023</v>
      </c>
      <c r="BO39" s="18">
        <f t="shared" si="67"/>
        <v>1.7548125030424646</v>
      </c>
      <c r="BP39" s="42">
        <f t="shared" si="67"/>
        <v>1.7628541448058761</v>
      </c>
      <c r="BQ39" s="18">
        <f t="shared" si="67"/>
        <v>2.167035332097806</v>
      </c>
      <c r="BR39" s="42">
        <f t="shared" si="67"/>
        <v>2.1181102362204722</v>
      </c>
      <c r="BS39" s="18">
        <f t="shared" ref="BS39" si="68">AK24/AK10</f>
        <v>2.638662135120541</v>
      </c>
      <c r="BT39" s="42">
        <f t="shared" ref="BT39" si="69">AL24/AL10</f>
        <v>2.6114942528735634</v>
      </c>
    </row>
    <row r="40" spans="16:72" ht="15.75" thickBot="1" x14ac:dyDescent="0.3">
      <c r="AE40" s="34"/>
      <c r="AH40" s="34"/>
      <c r="AI40" s="262" t="s">
        <v>126</v>
      </c>
      <c r="AJ40" s="34" t="s">
        <v>105</v>
      </c>
      <c r="AK40" s="7">
        <f>$AK$6*AU18</f>
        <v>127793.67061435369</v>
      </c>
      <c r="AL40" s="7">
        <f>$AL$6*AV18</f>
        <v>587.868544600939</v>
      </c>
      <c r="AM40" s="34"/>
      <c r="AN40" s="34"/>
      <c r="AO40" s="35">
        <f>AK40/AL40</f>
        <v>217.38477383766718</v>
      </c>
      <c r="AP40" s="263"/>
      <c r="AU40" s="23">
        <f t="shared" ref="AU40" si="70">AVERAGE(AW39,AY39,BA39,BC39,BE39,BG39,BI39,BK39,BM39,BO39,BQ39)</f>
        <v>2.152380568802402</v>
      </c>
      <c r="AV40" s="23">
        <f t="shared" ref="AV40" si="71">AVERAGE(AX39,AZ39,BB39,BD39,BF39,BH39,BJ39,BL39,BN39,BP39,BR39)</f>
        <v>2.1742810653234388</v>
      </c>
      <c r="AW40" s="28"/>
      <c r="AX40" s="32">
        <f>AW39-AX39</f>
        <v>-0.22001654259718784</v>
      </c>
      <c r="AY40" s="50"/>
      <c r="AZ40" s="51"/>
      <c r="BA40" s="45"/>
      <c r="BB40" s="46">
        <f>BA39-BB39</f>
        <v>-0.11092150777175958</v>
      </c>
      <c r="BC40" s="33"/>
      <c r="BD40" s="29">
        <f>BC39-BD39</f>
        <v>7.3207468118241525E-2</v>
      </c>
      <c r="BE40" s="33"/>
      <c r="BF40" s="29">
        <f>BE39-BF39</f>
        <v>0.13136983773092137</v>
      </c>
      <c r="BG40" s="33"/>
      <c r="BH40" s="29">
        <f>BG39-BH39</f>
        <v>2.9225103803489194E-2</v>
      </c>
      <c r="BI40" s="33"/>
      <c r="BJ40" s="29">
        <f>BI39-BJ39</f>
        <v>3.5527685315247748E-2</v>
      </c>
      <c r="BK40" s="33"/>
      <c r="BL40" s="29">
        <f>BK39-BL39</f>
        <v>-3.7833876374606001E-2</v>
      </c>
      <c r="BM40" s="33"/>
      <c r="BN40" s="29">
        <f>BM39-BN39</f>
        <v>-0.16044658754863983</v>
      </c>
      <c r="BO40" s="33"/>
      <c r="BP40" s="29">
        <f>BO39-BP39</f>
        <v>-8.041641763411489E-3</v>
      </c>
      <c r="BQ40" s="33"/>
      <c r="BR40" s="29">
        <f>BQ39-BR39</f>
        <v>4.8925095877333735E-2</v>
      </c>
      <c r="BS40" s="33"/>
      <c r="BT40" s="29">
        <f>BS39-BT39</f>
        <v>2.7167882246977637E-2</v>
      </c>
    </row>
    <row r="41" spans="16:72" x14ac:dyDescent="0.25">
      <c r="AE41" s="34"/>
      <c r="AH41" s="34"/>
      <c r="AI41" s="262"/>
      <c r="AJ41" s="34" t="s">
        <v>106</v>
      </c>
      <c r="AK41" s="7">
        <f>$AK$6*AU19</f>
        <v>231015.84530949418</v>
      </c>
      <c r="AL41" s="7">
        <f>$AL$6*AV19</f>
        <v>1160.5222222222224</v>
      </c>
      <c r="AO41" s="35">
        <f>AK41/AL41</f>
        <v>199.06197476092635</v>
      </c>
      <c r="AP41" s="263"/>
    </row>
    <row r="42" spans="16:72" x14ac:dyDescent="0.25">
      <c r="AE42" s="34"/>
      <c r="AH42" s="34"/>
      <c r="AI42" s="262"/>
      <c r="AJ42" s="34"/>
      <c r="AM42" s="3">
        <f>AVERAGE(AK40:AK41)</f>
        <v>179404.75796192393</v>
      </c>
      <c r="AN42" s="3">
        <f>AVERAGE(AL40:AL41)</f>
        <v>874.19538341158068</v>
      </c>
      <c r="AO42" s="35"/>
      <c r="AP42" s="263">
        <f t="shared" ref="AP42" si="72">AM42/AN42</f>
        <v>205.22272408004494</v>
      </c>
    </row>
    <row r="43" spans="16:72" x14ac:dyDescent="0.25">
      <c r="AE43" s="34"/>
      <c r="AH43" s="34"/>
      <c r="AI43" s="262" t="s">
        <v>136</v>
      </c>
      <c r="AJ43" s="34" t="s">
        <v>105</v>
      </c>
      <c r="AK43" s="7">
        <f>$AK$7*AU23</f>
        <v>130839.9675402025</v>
      </c>
      <c r="AL43" s="7">
        <f>$AL$7*AV23</f>
        <v>603.22334455667783</v>
      </c>
      <c r="AO43" s="35">
        <f>AK43/AL43</f>
        <v>216.90136617036876</v>
      </c>
      <c r="AP43" s="263"/>
      <c r="AS43" s="271"/>
    </row>
    <row r="44" spans="16:72" x14ac:dyDescent="0.25">
      <c r="AE44" s="34"/>
      <c r="AH44" s="34"/>
      <c r="AI44" s="262"/>
      <c r="AJ44" s="34" t="s">
        <v>106</v>
      </c>
      <c r="AK44" s="7">
        <f>$AK$7*AU24</f>
        <v>230591.63868439171</v>
      </c>
      <c r="AL44" s="7">
        <f>$AL$7*AV24</f>
        <v>1179.8</v>
      </c>
      <c r="AO44" s="35">
        <f>AK44/AL44</f>
        <v>195.44977003254087</v>
      </c>
      <c r="AP44" s="263"/>
    </row>
    <row r="45" spans="16:72" ht="15.75" thickBot="1" x14ac:dyDescent="0.3">
      <c r="AE45" s="34"/>
      <c r="AH45" s="34"/>
      <c r="AI45" s="264"/>
      <c r="AJ45" s="265"/>
      <c r="AK45" s="469"/>
      <c r="AL45" s="469"/>
      <c r="AM45" s="470">
        <f>AVERAGE(AK43:AK44)</f>
        <v>180715.80311229712</v>
      </c>
      <c r="AN45" s="470">
        <f>AVERAGE(AL43:AL44)</f>
        <v>891.51167227833889</v>
      </c>
      <c r="AO45" s="266"/>
      <c r="AP45" s="267">
        <f t="shared" ref="AP45" si="73">AM45/AN45</f>
        <v>202.70716439467529</v>
      </c>
    </row>
    <row r="46" spans="16:72" x14ac:dyDescent="0.25">
      <c r="AE46" s="34"/>
      <c r="AH46" s="34"/>
      <c r="AI46" s="34" t="s">
        <v>137</v>
      </c>
      <c r="AJ46" s="34" t="s">
        <v>105</v>
      </c>
      <c r="AK46" s="7">
        <f>$AK$8*AU28</f>
        <v>137593.93655255419</v>
      </c>
      <c r="AL46" s="7">
        <f>$AL$8*AV28</f>
        <v>636.23529411764707</v>
      </c>
      <c r="AO46" s="35">
        <f>AK46/AL46</f>
        <v>216.26265915249826</v>
      </c>
      <c r="AP46" s="35"/>
    </row>
    <row r="47" spans="16:72" x14ac:dyDescent="0.25">
      <c r="AE47" s="34"/>
      <c r="AH47" s="34"/>
      <c r="AI47" s="34"/>
      <c r="AJ47" s="34" t="s">
        <v>106</v>
      </c>
      <c r="AK47" s="7">
        <f>$AK$8*AU29</f>
        <v>223505.66170967108</v>
      </c>
      <c r="AL47" s="7">
        <f>$AL$8*AV29</f>
        <v>1097.2702702702702</v>
      </c>
      <c r="AO47" s="35">
        <f>AK47/AL47</f>
        <v>203.69244275124586</v>
      </c>
      <c r="AP47" s="35"/>
    </row>
    <row r="48" spans="16:72" x14ac:dyDescent="0.25">
      <c r="AE48" s="34"/>
      <c r="AH48" s="34"/>
      <c r="AI48" s="34"/>
      <c r="AJ48" s="34"/>
      <c r="AM48" s="3">
        <f>AVERAGE(AK46:AK47)</f>
        <v>180549.79913111264</v>
      </c>
      <c r="AN48" s="3">
        <f>AVERAGE(AL46:AL47)</f>
        <v>866.75278219395864</v>
      </c>
      <c r="AO48" s="35"/>
      <c r="AP48" s="35">
        <f t="shared" ref="AP48" si="74">AM48/AN48</f>
        <v>208.30599317385276</v>
      </c>
    </row>
    <row r="49" spans="23:60" x14ac:dyDescent="0.25">
      <c r="AE49" s="34"/>
      <c r="AH49" s="34"/>
      <c r="AI49" s="34" t="s">
        <v>139</v>
      </c>
      <c r="AJ49" s="34" t="s">
        <v>105</v>
      </c>
      <c r="AK49" s="53">
        <f>$AK$9*AU33</f>
        <v>150582.20579970942</v>
      </c>
      <c r="AL49" s="53">
        <f>$AL$9*AV33</f>
        <v>689.69569779643234</v>
      </c>
      <c r="AO49" s="35">
        <f>AK49/AL49</f>
        <v>218.33136886429386</v>
      </c>
      <c r="AP49" s="35"/>
    </row>
    <row r="50" spans="23:60" x14ac:dyDescent="0.25">
      <c r="AE50" s="34"/>
      <c r="AH50" s="34"/>
      <c r="AI50" s="34"/>
      <c r="AJ50" s="34" t="s">
        <v>106</v>
      </c>
      <c r="AK50" s="53">
        <f>$AK$9*AU34</f>
        <v>235897.83505383015</v>
      </c>
      <c r="AL50" s="53">
        <f>$AL$9*AV34</f>
        <v>1191.8695652173915</v>
      </c>
      <c r="AO50" s="35">
        <f>AK50/AL50</f>
        <v>197.92252603648242</v>
      </c>
      <c r="AP50" s="35"/>
    </row>
    <row r="51" spans="23:60" x14ac:dyDescent="0.25">
      <c r="AE51" s="34"/>
      <c r="AH51" s="34"/>
      <c r="AI51" s="34"/>
      <c r="AJ51" s="34"/>
      <c r="AM51" s="3">
        <f>AVERAGE(AK49:AK50)</f>
        <v>193240.0204267698</v>
      </c>
      <c r="AN51" s="3">
        <f>AVERAGE(AL49:AL50)</f>
        <v>940.78263150691191</v>
      </c>
      <c r="AO51" s="35"/>
      <c r="AP51" s="35">
        <f t="shared" ref="AP51" si="75">AM51/AN51</f>
        <v>205.40347361350078</v>
      </c>
      <c r="BG51" s="3">
        <f>25000*2.66</f>
        <v>66500</v>
      </c>
      <c r="BH51" s="4">
        <f>BS9*25000</f>
        <v>157351.1213253864</v>
      </c>
    </row>
    <row r="52" spans="23:60" x14ac:dyDescent="0.25">
      <c r="AE52" s="34"/>
      <c r="AH52" s="34"/>
      <c r="AI52" s="34" t="s">
        <v>140</v>
      </c>
      <c r="AJ52" s="34" t="s">
        <v>105</v>
      </c>
      <c r="AK52" s="53">
        <f>$AK$10*AU38</f>
        <v>153299.68412798631</v>
      </c>
      <c r="AL52" s="53">
        <f>$AL$10*AV38</f>
        <v>693.33333333333326</v>
      </c>
      <c r="AO52" s="35">
        <f>AK52/AL52</f>
        <v>221.10531364613414</v>
      </c>
      <c r="AP52" s="35"/>
      <c r="BG52" s="3">
        <f>35000*2.1</f>
        <v>73500</v>
      </c>
      <c r="BH52" s="4">
        <f>35000*BS14</f>
        <v>156817.59344156194</v>
      </c>
    </row>
    <row r="53" spans="23:60" x14ac:dyDescent="0.25">
      <c r="AE53" s="34"/>
      <c r="AH53" s="34"/>
      <c r="AI53" s="34"/>
      <c r="AJ53" s="34" t="s">
        <v>106</v>
      </c>
      <c r="AK53" s="53">
        <f>$AK$10*AU39</f>
        <v>243524.520471464</v>
      </c>
      <c r="AL53" s="53">
        <f>$AL$10*AV39</f>
        <v>1217.2983870967741</v>
      </c>
      <c r="AO53" s="35">
        <f>AK53/AL53</f>
        <v>200.05326800133517</v>
      </c>
      <c r="AP53" s="35"/>
      <c r="BG53" s="3">
        <f>39300*BG19</f>
        <v>76687.910446542985</v>
      </c>
      <c r="BH53" s="4">
        <f>39300*BS19</f>
        <v>149554.23270728355</v>
      </c>
    </row>
    <row r="54" spans="23:60" x14ac:dyDescent="0.25"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M54" s="3">
        <f>AVERAGE(AK52:AK53)</f>
        <v>198412.10229972517</v>
      </c>
      <c r="AN54" s="3">
        <f>AVERAGE(AL52:AL53)</f>
        <v>955.3158602150537</v>
      </c>
      <c r="AO54" s="35"/>
      <c r="AP54" s="35">
        <f t="shared" ref="AP54" si="76">AM54/AN54</f>
        <v>207.69267062629956</v>
      </c>
      <c r="BG54" s="3">
        <f>43250*BG24</f>
        <v>81032.57147111377</v>
      </c>
      <c r="BH54" s="4">
        <f>43250*BS24</f>
        <v>154347.76398316005</v>
      </c>
    </row>
    <row r="55" spans="23:60" x14ac:dyDescent="0.25">
      <c r="W55" s="34"/>
      <c r="X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O55" s="35"/>
      <c r="AP55" s="35"/>
      <c r="BG55" s="3">
        <f>45000*BG29</f>
        <v>81954.271218977097</v>
      </c>
      <c r="BH55" s="4">
        <f>45000*BS29</f>
        <v>148440.85452211089</v>
      </c>
    </row>
    <row r="56" spans="23:60" x14ac:dyDescent="0.25">
      <c r="AO56" s="35"/>
      <c r="AP56" s="35"/>
      <c r="BG56" s="3">
        <f>46520*BG34</f>
        <v>82023.86583378198</v>
      </c>
      <c r="BH56" s="4">
        <f>46520*BS34</f>
        <v>135752.46630680421</v>
      </c>
    </row>
    <row r="57" spans="23:60" x14ac:dyDescent="0.25">
      <c r="AK57" s="3">
        <f>AVERAGE(AK34:AK53)</f>
        <v>178474.9962658661</v>
      </c>
      <c r="AL57" s="3">
        <f>AVERAGE(AL34:AL53)</f>
        <v>859.62571598263253</v>
      </c>
      <c r="AM57" s="3"/>
      <c r="AN57" s="3"/>
      <c r="BG57" s="3">
        <f>48570*BG39</f>
        <v>78833.716165298683</v>
      </c>
      <c r="BH57" s="4">
        <f>48570*BS39</f>
        <v>128159.81990280468</v>
      </c>
    </row>
    <row r="58" spans="23:60" x14ac:dyDescent="0.25">
      <c r="AK58" s="20">
        <f>AK57/AL57</f>
        <v>207.61942430008912</v>
      </c>
      <c r="AM58" s="20"/>
      <c r="AN58" s="20"/>
    </row>
    <row r="59" spans="23:60" x14ac:dyDescent="0.25">
      <c r="AM59" s="20"/>
      <c r="AN59" s="20"/>
    </row>
    <row r="60" spans="23:60" x14ac:dyDescent="0.25">
      <c r="AM60" s="20"/>
      <c r="AN60" s="20"/>
    </row>
  </sheetData>
  <phoneticPr fontId="5" type="noConversion"/>
  <conditionalFormatting sqref="C26:AL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AL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AL2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AL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AL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AL3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:AK5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4:AL53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6:AM5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:AR24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6:AN5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34:AO5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36:AP5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:AV4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:BT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4:BT1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9:BT1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4:BT2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9:BT2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4:BT3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9:BT3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1:BH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Übersicht &amp; Anleitung</vt:lpstr>
      <vt:lpstr>CF-Guide</vt:lpstr>
      <vt:lpstr>Vergleich</vt:lpstr>
      <vt:lpstr>'CF-Guide'!Druckbereich</vt:lpstr>
      <vt:lpstr>'Übersicht &amp; Anleitung'!Druckbereich</vt:lpstr>
      <vt:lpstr>'CF-Guide'!Drucktitel</vt:lpstr>
      <vt:lpstr>'Übersicht &amp; Anleitung'!Drucktitel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 Ohrner</cp:lastModifiedBy>
  <cp:lastPrinted>2023-12-13T17:29:37Z</cp:lastPrinted>
  <dcterms:created xsi:type="dcterms:W3CDTF">2021-01-19T21:15:58Z</dcterms:created>
  <dcterms:modified xsi:type="dcterms:W3CDTF">2024-03-14T20:55:29Z</dcterms:modified>
</cp:coreProperties>
</file>