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SA\CFs\AVENTURIA\ENG_Stories &amp; Legends\"/>
    </mc:Choice>
  </mc:AlternateContent>
  <xr:revisionPtr revIDLastSave="0" documentId="13_ncr:1_{7FF368D5-73C0-4176-8A6C-44A1E8907968}" xr6:coauthVersionLast="47" xr6:coauthVersionMax="47" xr10:uidLastSave="{00000000-0000-0000-0000-000000000000}"/>
  <bookViews>
    <workbookView xWindow="2595" yWindow="-120" windowWidth="35925" windowHeight="21840" xr2:uid="{3C0DC3EB-12BA-4DE2-BE53-BC5B92B614A4}"/>
  </bookViews>
  <sheets>
    <sheet name="AVENTURIA - Stories &amp; Legends" sheetId="1" r:id="rId1"/>
    <sheet name="Vergleich" sheetId="2" state="hidden" r:id="rId2"/>
  </sheets>
  <definedNames>
    <definedName name="_xlnm.Print_Area" localSheetId="0">'AVENTURIA - Stories &amp; Legends'!$A$5:$S$159</definedName>
    <definedName name="_xlnm.Print_Titles" localSheetId="0">'AVENTURIA - Stories &amp; Legends'!$5:$12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83" i="1"/>
  <c r="B37" i="1"/>
  <c r="B39" i="1"/>
  <c r="I74" i="1" s="1"/>
  <c r="I66" i="1" l="1"/>
  <c r="I95" i="1" s="1"/>
  <c r="I78" i="1"/>
  <c r="I79" i="1" s="1"/>
  <c r="I80" i="1" s="1"/>
  <c r="I81" i="1" s="1"/>
  <c r="I75" i="1"/>
  <c r="I76" i="1" s="1"/>
  <c r="X38" i="1"/>
  <c r="Q39" i="1" s="1"/>
  <c r="H49" i="1"/>
  <c r="G49" i="1"/>
  <c r="H54" i="1"/>
  <c r="H57" i="1"/>
  <c r="G57" i="1"/>
  <c r="F57" i="1"/>
  <c r="F54" i="1"/>
  <c r="F49" i="1"/>
  <c r="H66" i="1"/>
  <c r="G66" i="1"/>
  <c r="F66" i="1"/>
  <c r="O66" i="1"/>
  <c r="N66" i="1"/>
  <c r="M66" i="1"/>
  <c r="L66" i="1"/>
  <c r="K66" i="1"/>
  <c r="J66" i="1"/>
  <c r="O83" i="1"/>
  <c r="N83" i="1"/>
  <c r="M83" i="1"/>
  <c r="L83" i="1"/>
  <c r="K83" i="1"/>
  <c r="J83" i="1"/>
  <c r="AE102" i="1"/>
  <c r="AE101" i="1"/>
  <c r="M95" i="1" l="1"/>
  <c r="L70" i="1"/>
  <c r="N70" i="1"/>
  <c r="O70" i="1"/>
  <c r="J70" i="1"/>
  <c r="K70" i="1"/>
  <c r="J95" i="1"/>
  <c r="O67" i="1"/>
  <c r="M67" i="1"/>
  <c r="L67" i="1"/>
  <c r="N67" i="1"/>
  <c r="K67" i="1"/>
  <c r="O95" i="1"/>
  <c r="N72" i="1"/>
  <c r="M72" i="1"/>
  <c r="L72" i="1"/>
  <c r="K72" i="1"/>
  <c r="J72" i="1"/>
  <c r="L95" i="1"/>
  <c r="N69" i="1"/>
  <c r="J69" i="1"/>
  <c r="M69" i="1"/>
  <c r="O69" i="1"/>
  <c r="K69" i="1"/>
  <c r="N95" i="1"/>
  <c r="L71" i="1"/>
  <c r="J71" i="1"/>
  <c r="O71" i="1"/>
  <c r="M71" i="1"/>
  <c r="K71" i="1"/>
  <c r="K95" i="1"/>
  <c r="O68" i="1"/>
  <c r="N68" i="1"/>
  <c r="M68" i="1"/>
  <c r="J68" i="1"/>
  <c r="L68" i="1"/>
  <c r="I70" i="1"/>
  <c r="I72" i="1"/>
  <c r="I71" i="1"/>
  <c r="I69" i="1"/>
  <c r="I68" i="1"/>
  <c r="I67" i="1"/>
  <c r="Q37" i="1"/>
  <c r="O78" i="1" s="1"/>
  <c r="N78" i="1"/>
  <c r="M78" i="1"/>
  <c r="L78" i="1"/>
  <c r="K78" i="1"/>
  <c r="J78" i="1"/>
  <c r="CL98" i="1"/>
  <c r="CN98" i="1"/>
  <c r="BB99" i="1"/>
  <c r="BC99" i="1"/>
  <c r="BD99" i="1"/>
  <c r="BE99" i="1"/>
  <c r="CK99" i="1"/>
  <c r="CN99" i="1"/>
  <c r="CN100" i="1" s="1"/>
  <c r="CN101" i="1" s="1"/>
  <c r="CN102" i="1" s="1"/>
  <c r="CN103" i="1" s="1"/>
  <c r="CN104" i="1" s="1"/>
  <c r="CN105" i="1" s="1"/>
  <c r="CN106" i="1" s="1"/>
  <c r="CN107" i="1" s="1"/>
  <c r="CN108" i="1" s="1"/>
  <c r="CN109" i="1" s="1"/>
  <c r="CN110" i="1" s="1"/>
  <c r="CN111" i="1" s="1"/>
  <c r="CN112" i="1" s="1"/>
  <c r="CN113" i="1" s="1"/>
  <c r="CN114" i="1" s="1"/>
  <c r="CN115" i="1" s="1"/>
  <c r="CN116" i="1" s="1"/>
  <c r="CN117" i="1" s="1"/>
  <c r="CN118" i="1" s="1"/>
  <c r="CN119" i="1" s="1"/>
  <c r="CN120" i="1" s="1"/>
  <c r="BB100" i="1"/>
  <c r="BC100" i="1"/>
  <c r="BL100" i="1"/>
  <c r="BP100" i="1" s="1"/>
  <c r="BQ100" i="1" s="1"/>
  <c r="BM100" i="1"/>
  <c r="BN100" i="1" s="1"/>
  <c r="BO100" i="1"/>
  <c r="BT100" i="1"/>
  <c r="BX100" i="1" s="1"/>
  <c r="BY100" i="1" s="1"/>
  <c r="BU100" i="1"/>
  <c r="BV100" i="1" s="1"/>
  <c r="BW100" i="1"/>
  <c r="CL100" i="1"/>
  <c r="CP100" i="1"/>
  <c r="BL101" i="1"/>
  <c r="BP101" i="1" s="1"/>
  <c r="BM101" i="1"/>
  <c r="BN101" i="1" s="1"/>
  <c r="BO101" i="1"/>
  <c r="BT101" i="1"/>
  <c r="BX101" i="1" s="1"/>
  <c r="BU101" i="1"/>
  <c r="BV101" i="1" s="1"/>
  <c r="BW101" i="1"/>
  <c r="CL101" i="1"/>
  <c r="CP101" i="1"/>
  <c r="CR101" i="1"/>
  <c r="BL102" i="1"/>
  <c r="BP102" i="1" s="1"/>
  <c r="BM102" i="1"/>
  <c r="BN102" i="1" s="1"/>
  <c r="BO102" i="1"/>
  <c r="BT102" i="1"/>
  <c r="BX102" i="1" s="1"/>
  <c r="BU102" i="1"/>
  <c r="BV102" i="1" s="1"/>
  <c r="BW102" i="1"/>
  <c r="CL102" i="1"/>
  <c r="CP102" i="1"/>
  <c r="BL103" i="1"/>
  <c r="BP103" i="1" s="1"/>
  <c r="BM103" i="1"/>
  <c r="BN103" i="1" s="1"/>
  <c r="BO103" i="1"/>
  <c r="BT103" i="1"/>
  <c r="BX103" i="1" s="1"/>
  <c r="BU103" i="1"/>
  <c r="BV103" i="1" s="1"/>
  <c r="BW103" i="1"/>
  <c r="CL103" i="1"/>
  <c r="CP103" i="1"/>
  <c r="BL104" i="1"/>
  <c r="BP104" i="1" s="1"/>
  <c r="BM104" i="1"/>
  <c r="BN104" i="1"/>
  <c r="BO104" i="1"/>
  <c r="BT104" i="1"/>
  <c r="BX104" i="1" s="1"/>
  <c r="BU104" i="1"/>
  <c r="BV104" i="1" s="1"/>
  <c r="BW104" i="1"/>
  <c r="CL104" i="1"/>
  <c r="CP104" i="1"/>
  <c r="BL105" i="1"/>
  <c r="BP105" i="1" s="1"/>
  <c r="BM105" i="1"/>
  <c r="BN105" i="1" s="1"/>
  <c r="BO105" i="1"/>
  <c r="BT105" i="1"/>
  <c r="BX105" i="1" s="1"/>
  <c r="BU105" i="1"/>
  <c r="BV105" i="1"/>
  <c r="BW105" i="1"/>
  <c r="CL105" i="1"/>
  <c r="CP105" i="1"/>
  <c r="BL106" i="1"/>
  <c r="BP106" i="1" s="1"/>
  <c r="BM106" i="1"/>
  <c r="BN106" i="1" s="1"/>
  <c r="BO106" i="1"/>
  <c r="BT106" i="1"/>
  <c r="BX106" i="1" s="1"/>
  <c r="BU106" i="1"/>
  <c r="BV106" i="1" s="1"/>
  <c r="BW106" i="1"/>
  <c r="CL106" i="1"/>
  <c r="CP106" i="1"/>
  <c r="BL107" i="1"/>
  <c r="BP107" i="1" s="1"/>
  <c r="BM107" i="1"/>
  <c r="BN107" i="1" s="1"/>
  <c r="BO107" i="1"/>
  <c r="BT107" i="1"/>
  <c r="BX107" i="1" s="1"/>
  <c r="BU107" i="1"/>
  <c r="BV107" i="1" s="1"/>
  <c r="BW107" i="1"/>
  <c r="CL107" i="1"/>
  <c r="CP107" i="1"/>
  <c r="BL108" i="1"/>
  <c r="BP108" i="1" s="1"/>
  <c r="BM108" i="1"/>
  <c r="BN108" i="1" s="1"/>
  <c r="BO108" i="1"/>
  <c r="BT108" i="1"/>
  <c r="BX108" i="1" s="1"/>
  <c r="BU108" i="1"/>
  <c r="BV108" i="1" s="1"/>
  <c r="BW108" i="1"/>
  <c r="CL108" i="1"/>
  <c r="CP108" i="1"/>
  <c r="BL109" i="1"/>
  <c r="BP109" i="1" s="1"/>
  <c r="BM109" i="1"/>
  <c r="BN109" i="1" s="1"/>
  <c r="BO109" i="1"/>
  <c r="BT109" i="1"/>
  <c r="BX109" i="1" s="1"/>
  <c r="BU109" i="1"/>
  <c r="BV109" i="1" s="1"/>
  <c r="BW109" i="1"/>
  <c r="CL109" i="1"/>
  <c r="CP109" i="1"/>
  <c r="BL110" i="1"/>
  <c r="BP110" i="1" s="1"/>
  <c r="BM110" i="1"/>
  <c r="BN110" i="1" s="1"/>
  <c r="BO110" i="1"/>
  <c r="BT110" i="1"/>
  <c r="BX110" i="1" s="1"/>
  <c r="BU110" i="1"/>
  <c r="BV110" i="1"/>
  <c r="BW110" i="1"/>
  <c r="CL110" i="1"/>
  <c r="CP110" i="1"/>
  <c r="BL111" i="1"/>
  <c r="BP111" i="1" s="1"/>
  <c r="BM111" i="1"/>
  <c r="BN111" i="1" s="1"/>
  <c r="BO111" i="1"/>
  <c r="BT111" i="1"/>
  <c r="BX111" i="1" s="1"/>
  <c r="BU111" i="1"/>
  <c r="BV111" i="1" s="1"/>
  <c r="BW111" i="1"/>
  <c r="CL111" i="1"/>
  <c r="CP111" i="1"/>
  <c r="CR111" i="1"/>
  <c r="CR134" i="1" s="1"/>
  <c r="BL112" i="1"/>
  <c r="BP112" i="1" s="1"/>
  <c r="BM112" i="1"/>
  <c r="BN112" i="1" s="1"/>
  <c r="BO112" i="1"/>
  <c r="BT112" i="1"/>
  <c r="BX112" i="1" s="1"/>
  <c r="BU112" i="1"/>
  <c r="BV112" i="1" s="1"/>
  <c r="BW112" i="1"/>
  <c r="CL112" i="1"/>
  <c r="CP112" i="1"/>
  <c r="BL113" i="1"/>
  <c r="BP113" i="1" s="1"/>
  <c r="BM113" i="1"/>
  <c r="BN113" i="1" s="1"/>
  <c r="BO113" i="1"/>
  <c r="BT113" i="1"/>
  <c r="BX113" i="1" s="1"/>
  <c r="BU113" i="1"/>
  <c r="BV113" i="1" s="1"/>
  <c r="BW113" i="1"/>
  <c r="CL113" i="1"/>
  <c r="CP113" i="1"/>
  <c r="BL114" i="1"/>
  <c r="BP114" i="1" s="1"/>
  <c r="BM114" i="1"/>
  <c r="BN114" i="1" s="1"/>
  <c r="BO114" i="1"/>
  <c r="BT114" i="1"/>
  <c r="BX114" i="1" s="1"/>
  <c r="BU114" i="1"/>
  <c r="BV114" i="1" s="1"/>
  <c r="BW114" i="1"/>
  <c r="CL114" i="1"/>
  <c r="CP114" i="1"/>
  <c r="BL115" i="1"/>
  <c r="BP115" i="1" s="1"/>
  <c r="BM115" i="1"/>
  <c r="BN115" i="1" s="1"/>
  <c r="BO115" i="1"/>
  <c r="BT115" i="1"/>
  <c r="BX115" i="1" s="1"/>
  <c r="BU115" i="1"/>
  <c r="BV115" i="1" s="1"/>
  <c r="BW115" i="1"/>
  <c r="CL115" i="1"/>
  <c r="CP115" i="1"/>
  <c r="BL116" i="1"/>
  <c r="BP116" i="1" s="1"/>
  <c r="BM116" i="1"/>
  <c r="BN116" i="1"/>
  <c r="BO116" i="1"/>
  <c r="BT116" i="1"/>
  <c r="BX116" i="1" s="1"/>
  <c r="BU116" i="1"/>
  <c r="BV116" i="1" s="1"/>
  <c r="BW116" i="1"/>
  <c r="CK116" i="1"/>
  <c r="CL116" i="1"/>
  <c r="CP116" i="1"/>
  <c r="BL117" i="1"/>
  <c r="BP117" i="1" s="1"/>
  <c r="BM117" i="1"/>
  <c r="BN117" i="1" s="1"/>
  <c r="BO117" i="1"/>
  <c r="BT117" i="1"/>
  <c r="BX117" i="1" s="1"/>
  <c r="BU117" i="1"/>
  <c r="BV117" i="1" s="1"/>
  <c r="BW117" i="1"/>
  <c r="CL117" i="1"/>
  <c r="CP117" i="1"/>
  <c r="BL118" i="1"/>
  <c r="BP118" i="1" s="1"/>
  <c r="BM118" i="1"/>
  <c r="BN118" i="1" s="1"/>
  <c r="BO118" i="1"/>
  <c r="BT118" i="1"/>
  <c r="BX118" i="1" s="1"/>
  <c r="BU118" i="1"/>
  <c r="BV118" i="1" s="1"/>
  <c r="BW118" i="1"/>
  <c r="CL118" i="1"/>
  <c r="CP118" i="1"/>
  <c r="BL119" i="1"/>
  <c r="BP119" i="1" s="1"/>
  <c r="BM119" i="1"/>
  <c r="BN119" i="1" s="1"/>
  <c r="BO119" i="1"/>
  <c r="BT119" i="1"/>
  <c r="BX119" i="1" s="1"/>
  <c r="BU119" i="1"/>
  <c r="BV119" i="1" s="1"/>
  <c r="BW119" i="1"/>
  <c r="CL119" i="1"/>
  <c r="CP119" i="1"/>
  <c r="BL120" i="1"/>
  <c r="BP120" i="1" s="1"/>
  <c r="BM120" i="1"/>
  <c r="BN120" i="1" s="1"/>
  <c r="BO120" i="1"/>
  <c r="BT120" i="1"/>
  <c r="BX120" i="1" s="1"/>
  <c r="BU120" i="1"/>
  <c r="BV120" i="1" s="1"/>
  <c r="BW120" i="1"/>
  <c r="CL120" i="1"/>
  <c r="CP120" i="1"/>
  <c r="CQ120" i="1"/>
  <c r="BZ122" i="1"/>
  <c r="CB122" i="1"/>
  <c r="CM122" i="1"/>
  <c r="CO122" i="1"/>
  <c r="CR122" i="1"/>
  <c r="CD125" i="1"/>
  <c r="CF125" i="1"/>
  <c r="CH125" i="1"/>
  <c r="CI125" i="1" s="1"/>
  <c r="CJ125" i="1"/>
  <c r="CK125" i="1" s="1"/>
  <c r="CD126" i="1"/>
  <c r="CF126" i="1"/>
  <c r="CH126" i="1"/>
  <c r="CI126" i="1" s="1"/>
  <c r="CJ126" i="1"/>
  <c r="CK126" i="1" s="1"/>
  <c r="CD127" i="1"/>
  <c r="CF127" i="1"/>
  <c r="CH127" i="1"/>
  <c r="CJ127" i="1"/>
  <c r="CD128" i="1"/>
  <c r="CF128" i="1"/>
  <c r="CH128" i="1"/>
  <c r="CJ128" i="1"/>
  <c r="CR128" i="1"/>
  <c r="BZ129" i="1"/>
  <c r="CA129" i="1" s="1"/>
  <c r="CB129" i="1"/>
  <c r="CC129" i="1" s="1"/>
  <c r="CD129" i="1"/>
  <c r="CE129" i="1" s="1"/>
  <c r="CF129" i="1"/>
  <c r="CG129" i="1" s="1"/>
  <c r="CH129" i="1"/>
  <c r="CJ129" i="1"/>
  <c r="CM129" i="1"/>
  <c r="CN129" i="1" s="1"/>
  <c r="CO129" i="1"/>
  <c r="CP129" i="1"/>
  <c r="CR129" i="1"/>
  <c r="BZ130" i="1"/>
  <c r="CB130" i="1"/>
  <c r="CD130" i="1"/>
  <c r="CF130" i="1"/>
  <c r="CH130" i="1"/>
  <c r="CJ130" i="1"/>
  <c r="CM130" i="1"/>
  <c r="CO130" i="1"/>
  <c r="CR130" i="1"/>
  <c r="BZ131" i="1"/>
  <c r="CB131" i="1"/>
  <c r="CD131" i="1"/>
  <c r="CF131" i="1"/>
  <c r="CH131" i="1"/>
  <c r="CJ131" i="1"/>
  <c r="CM131" i="1"/>
  <c r="CO131" i="1"/>
  <c r="CR131" i="1"/>
  <c r="BZ132" i="1"/>
  <c r="CB132" i="1"/>
  <c r="CD132" i="1"/>
  <c r="CF132" i="1"/>
  <c r="CH132" i="1"/>
  <c r="CJ132" i="1"/>
  <c r="CM132" i="1"/>
  <c r="CO132" i="1"/>
  <c r="CR132" i="1"/>
  <c r="BZ133" i="1"/>
  <c r="CB133" i="1"/>
  <c r="CD133" i="1"/>
  <c r="CF133" i="1"/>
  <c r="CH133" i="1"/>
  <c r="CJ133" i="1"/>
  <c r="CM133" i="1"/>
  <c r="CO133" i="1"/>
  <c r="CR133" i="1"/>
  <c r="BZ134" i="1"/>
  <c r="CB134" i="1"/>
  <c r="CD134" i="1"/>
  <c r="CF134" i="1"/>
  <c r="CH134" i="1"/>
  <c r="CJ134" i="1"/>
  <c r="CM134" i="1"/>
  <c r="CO134" i="1"/>
  <c r="BZ135" i="1"/>
  <c r="CB135" i="1"/>
  <c r="CD135" i="1"/>
  <c r="CF135" i="1"/>
  <c r="CH135" i="1"/>
  <c r="CJ135" i="1"/>
  <c r="CM135" i="1"/>
  <c r="CO135" i="1"/>
  <c r="CR135" i="1"/>
  <c r="BZ136" i="1"/>
  <c r="CB136" i="1"/>
  <c r="CD136" i="1"/>
  <c r="CF136" i="1"/>
  <c r="CH136" i="1"/>
  <c r="CJ136" i="1"/>
  <c r="CM136" i="1"/>
  <c r="CO136" i="1"/>
  <c r="CR136" i="1"/>
  <c r="BZ137" i="1"/>
  <c r="CB137" i="1"/>
  <c r="CD137" i="1"/>
  <c r="CF137" i="1"/>
  <c r="CH137" i="1"/>
  <c r="CJ137" i="1"/>
  <c r="CM137" i="1"/>
  <c r="CO137" i="1"/>
  <c r="CR137" i="1"/>
  <c r="BZ138" i="1"/>
  <c r="CB138" i="1"/>
  <c r="CD138" i="1"/>
  <c r="CF138" i="1"/>
  <c r="CH138" i="1"/>
  <c r="CJ138" i="1"/>
  <c r="CM138" i="1"/>
  <c r="CO138" i="1"/>
  <c r="CR138" i="1"/>
  <c r="BZ139" i="1"/>
  <c r="CB139" i="1"/>
  <c r="CD139" i="1"/>
  <c r="CF139" i="1"/>
  <c r="CH139" i="1"/>
  <c r="CJ139" i="1"/>
  <c r="CM139" i="1"/>
  <c r="CO139" i="1"/>
  <c r="CR139" i="1"/>
  <c r="BZ140" i="1"/>
  <c r="CB140" i="1"/>
  <c r="CD140" i="1"/>
  <c r="CF140" i="1"/>
  <c r="CH140" i="1"/>
  <c r="CJ140" i="1"/>
  <c r="CM140" i="1"/>
  <c r="CO140" i="1"/>
  <c r="CR140" i="1"/>
  <c r="BZ141" i="1"/>
  <c r="CB141" i="1"/>
  <c r="CD141" i="1"/>
  <c r="CF141" i="1"/>
  <c r="CH141" i="1"/>
  <c r="CJ141" i="1"/>
  <c r="CM141" i="1"/>
  <c r="CO141" i="1"/>
  <c r="CR141" i="1"/>
  <c r="BZ142" i="1"/>
  <c r="CB142" i="1"/>
  <c r="CD142" i="1"/>
  <c r="CF142" i="1"/>
  <c r="CH142" i="1"/>
  <c r="CJ142" i="1"/>
  <c r="CM142" i="1"/>
  <c r="CO142" i="1"/>
  <c r="CR142" i="1"/>
  <c r="BZ143" i="1"/>
  <c r="CB143" i="1"/>
  <c r="CD143" i="1"/>
  <c r="CF143" i="1"/>
  <c r="CH143" i="1"/>
  <c r="CJ143" i="1"/>
  <c r="CM143" i="1"/>
  <c r="CO143" i="1"/>
  <c r="CF144" i="1" l="1"/>
  <c r="BV128" i="1"/>
  <c r="CE130" i="1"/>
  <c r="CE131" i="1" s="1"/>
  <c r="CE132" i="1" s="1"/>
  <c r="CE133" i="1" s="1"/>
  <c r="CE134" i="1" s="1"/>
  <c r="CE135" i="1" s="1"/>
  <c r="CE136" i="1" s="1"/>
  <c r="CE137" i="1" s="1"/>
  <c r="CE138" i="1" s="1"/>
  <c r="CE139" i="1" s="1"/>
  <c r="CE140" i="1" s="1"/>
  <c r="CE141" i="1" s="1"/>
  <c r="CE142" i="1" s="1"/>
  <c r="CE143" i="1" s="1"/>
  <c r="CC130" i="1"/>
  <c r="CA130" i="1"/>
  <c r="BV129" i="1"/>
  <c r="BV133" i="1"/>
  <c r="CC131" i="1"/>
  <c r="CC132" i="1" s="1"/>
  <c r="CC133" i="1" s="1"/>
  <c r="CC134" i="1" s="1"/>
  <c r="CC135" i="1" s="1"/>
  <c r="CC136" i="1" s="1"/>
  <c r="CC137" i="1" s="1"/>
  <c r="CC138" i="1" s="1"/>
  <c r="CC139" i="1" s="1"/>
  <c r="CC140" i="1" s="1"/>
  <c r="CC141" i="1" s="1"/>
  <c r="CC142" i="1" s="1"/>
  <c r="CC143" i="1" s="1"/>
  <c r="BX142" i="1"/>
  <c r="BY101" i="1"/>
  <c r="BY102" i="1" s="1"/>
  <c r="BY103" i="1" s="1"/>
  <c r="BY104" i="1" s="1"/>
  <c r="BY105" i="1" s="1"/>
  <c r="BY106" i="1" s="1"/>
  <c r="BY107" i="1" s="1"/>
  <c r="BY108" i="1" s="1"/>
  <c r="BY109" i="1" s="1"/>
  <c r="BY110" i="1" s="1"/>
  <c r="BY111" i="1" s="1"/>
  <c r="BY112" i="1" s="1"/>
  <c r="BY113" i="1" s="1"/>
  <c r="BY114" i="1" s="1"/>
  <c r="BY115" i="1" s="1"/>
  <c r="BY116" i="1" s="1"/>
  <c r="BY117" i="1" s="1"/>
  <c r="BY118" i="1" s="1"/>
  <c r="BY119" i="1" s="1"/>
  <c r="BY120" i="1" s="1"/>
  <c r="CP130" i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CP141" i="1" s="1"/>
  <c r="CP142" i="1" s="1"/>
  <c r="CP143" i="1" s="1"/>
  <c r="CO144" i="1"/>
  <c r="CA131" i="1"/>
  <c r="CA132" i="1" s="1"/>
  <c r="CA133" i="1" s="1"/>
  <c r="CA134" i="1" s="1"/>
  <c r="CA135" i="1" s="1"/>
  <c r="CA136" i="1" s="1"/>
  <c r="CA137" i="1" s="1"/>
  <c r="CA138" i="1" s="1"/>
  <c r="CA139" i="1" s="1"/>
  <c r="CA140" i="1" s="1"/>
  <c r="CA141" i="1" s="1"/>
  <c r="CA142" i="1" s="1"/>
  <c r="CA143" i="1" s="1"/>
  <c r="CJ144" i="1"/>
  <c r="CM144" i="1"/>
  <c r="CH144" i="1"/>
  <c r="BV135" i="1"/>
  <c r="BX128" i="1"/>
  <c r="BV142" i="1"/>
  <c r="BV131" i="1"/>
  <c r="BX137" i="1"/>
  <c r="BP127" i="1"/>
  <c r="BX129" i="1"/>
  <c r="BX135" i="1"/>
  <c r="BQ101" i="1"/>
  <c r="BQ102" i="1" s="1"/>
  <c r="BQ103" i="1" s="1"/>
  <c r="BQ104" i="1" s="1"/>
  <c r="BQ105" i="1" s="1"/>
  <c r="BQ106" i="1" s="1"/>
  <c r="BQ107" i="1" s="1"/>
  <c r="BQ108" i="1" s="1"/>
  <c r="BQ109" i="1" s="1"/>
  <c r="BQ110" i="1" s="1"/>
  <c r="BQ111" i="1" s="1"/>
  <c r="BQ112" i="1" s="1"/>
  <c r="BQ113" i="1" s="1"/>
  <c r="BQ114" i="1" s="1"/>
  <c r="BQ115" i="1" s="1"/>
  <c r="BQ116" i="1" s="1"/>
  <c r="BQ117" i="1" s="1"/>
  <c r="BQ118" i="1" s="1"/>
  <c r="BQ119" i="1" s="1"/>
  <c r="BQ120" i="1" s="1"/>
  <c r="BN130" i="1"/>
  <c r="BX131" i="1"/>
  <c r="BX127" i="1"/>
  <c r="CI127" i="1"/>
  <c r="CI128" i="1" s="1"/>
  <c r="CI129" i="1" s="1"/>
  <c r="CI130" i="1" s="1"/>
  <c r="CI131" i="1" s="1"/>
  <c r="CI132" i="1" s="1"/>
  <c r="CI133" i="1" s="1"/>
  <c r="CI134" i="1" s="1"/>
  <c r="CI135" i="1" s="1"/>
  <c r="CI136" i="1" s="1"/>
  <c r="CI137" i="1" s="1"/>
  <c r="CI138" i="1" s="1"/>
  <c r="CI139" i="1" s="1"/>
  <c r="CI140" i="1" s="1"/>
  <c r="CI141" i="1" s="1"/>
  <c r="CI142" i="1" s="1"/>
  <c r="CI143" i="1" s="1"/>
  <c r="CG130" i="1"/>
  <c r="CG131" i="1" s="1"/>
  <c r="CG132" i="1" s="1"/>
  <c r="CG133" i="1" s="1"/>
  <c r="CG134" i="1" s="1"/>
  <c r="CG135" i="1" s="1"/>
  <c r="CG136" i="1" s="1"/>
  <c r="CG137" i="1" s="1"/>
  <c r="CG138" i="1" s="1"/>
  <c r="CG139" i="1" s="1"/>
  <c r="CG140" i="1" s="1"/>
  <c r="CG141" i="1" s="1"/>
  <c r="CG142" i="1" s="1"/>
  <c r="CG143" i="1" s="1"/>
  <c r="CK127" i="1"/>
  <c r="CK128" i="1" s="1"/>
  <c r="CK129" i="1" s="1"/>
  <c r="CK130" i="1" s="1"/>
  <c r="CK131" i="1" s="1"/>
  <c r="CK132" i="1" s="1"/>
  <c r="CK133" i="1" s="1"/>
  <c r="CK134" i="1" s="1"/>
  <c r="CK135" i="1" s="1"/>
  <c r="CK136" i="1" s="1"/>
  <c r="CK137" i="1" s="1"/>
  <c r="CK138" i="1" s="1"/>
  <c r="CK139" i="1" s="1"/>
  <c r="CK140" i="1" s="1"/>
  <c r="CK141" i="1" s="1"/>
  <c r="CK142" i="1" s="1"/>
  <c r="CK143" i="1" s="1"/>
  <c r="BV127" i="1"/>
  <c r="BX133" i="1"/>
  <c r="BV134" i="1"/>
  <c r="CD144" i="1"/>
  <c r="BZ144" i="1"/>
  <c r="BX136" i="1"/>
  <c r="BV136" i="1"/>
  <c r="CB144" i="1"/>
  <c r="BP140" i="1"/>
  <c r="BP143" i="1"/>
  <c r="BP138" i="1"/>
  <c r="BP129" i="1"/>
  <c r="BP125" i="1"/>
  <c r="BQ125" i="1" s="1"/>
  <c r="BP133" i="1"/>
  <c r="BP126" i="1"/>
  <c r="BQ126" i="1" s="1"/>
  <c r="BQ127" i="1" s="1"/>
  <c r="BP131" i="1"/>
  <c r="BP134" i="1"/>
  <c r="BN140" i="1"/>
  <c r="BP132" i="1"/>
  <c r="BN126" i="1"/>
  <c r="BO126" i="1" s="1"/>
  <c r="BN125" i="1"/>
  <c r="BO125" i="1" s="1"/>
  <c r="BN128" i="1"/>
  <c r="BN143" i="1"/>
  <c r="BN129" i="1"/>
  <c r="BN131" i="1"/>
  <c r="BN136" i="1"/>
  <c r="BN134" i="1"/>
  <c r="BN141" i="1"/>
  <c r="BP136" i="1"/>
  <c r="BP128" i="1"/>
  <c r="BN132" i="1"/>
  <c r="BP142" i="1"/>
  <c r="BN127" i="1"/>
  <c r="BN138" i="1"/>
  <c r="BP141" i="1"/>
  <c r="BN142" i="1"/>
  <c r="BX139" i="1"/>
  <c r="BX140" i="1"/>
  <c r="BX134" i="1"/>
  <c r="BX126" i="1"/>
  <c r="BY126" i="1" s="1"/>
  <c r="BV132" i="1"/>
  <c r="BV143" i="1"/>
  <c r="BP137" i="1"/>
  <c r="BN139" i="1"/>
  <c r="BN137" i="1"/>
  <c r="BN133" i="1"/>
  <c r="BN135" i="1"/>
  <c r="BX132" i="1"/>
  <c r="BV125" i="1"/>
  <c r="BW125" i="1" s="1"/>
  <c r="BV137" i="1"/>
  <c r="BV140" i="1"/>
  <c r="BV126" i="1"/>
  <c r="BW126" i="1" s="1"/>
  <c r="BX138" i="1"/>
  <c r="BP139" i="1"/>
  <c r="BV138" i="1"/>
  <c r="BX143" i="1"/>
  <c r="BX130" i="1"/>
  <c r="BV139" i="1"/>
  <c r="BV141" i="1"/>
  <c r="BV130" i="1"/>
  <c r="BX125" i="1"/>
  <c r="BY125" i="1" s="1"/>
  <c r="CN130" i="1"/>
  <c r="CN131" i="1" s="1"/>
  <c r="CN132" i="1" s="1"/>
  <c r="CN133" i="1" s="1"/>
  <c r="CN134" i="1" s="1"/>
  <c r="CN135" i="1" s="1"/>
  <c r="CN136" i="1" s="1"/>
  <c r="CN137" i="1" s="1"/>
  <c r="CN138" i="1" s="1"/>
  <c r="CN139" i="1" s="1"/>
  <c r="CN140" i="1" s="1"/>
  <c r="CN141" i="1" s="1"/>
  <c r="CN142" i="1" s="1"/>
  <c r="CN143" i="1" s="1"/>
  <c r="BX141" i="1"/>
  <c r="BP130" i="1"/>
  <c r="BP135" i="1"/>
  <c r="BV144" i="1" l="1"/>
  <c r="BW127" i="1"/>
  <c r="BW128" i="1" s="1"/>
  <c r="BW129" i="1" s="1"/>
  <c r="BW130" i="1" s="1"/>
  <c r="BW131" i="1" s="1"/>
  <c r="BW132" i="1" s="1"/>
  <c r="BW133" i="1" s="1"/>
  <c r="BW134" i="1" s="1"/>
  <c r="BW135" i="1" s="1"/>
  <c r="BW136" i="1" s="1"/>
  <c r="BW137" i="1" s="1"/>
  <c r="BW138" i="1" s="1"/>
  <c r="BW139" i="1" s="1"/>
  <c r="BW140" i="1" s="1"/>
  <c r="BW141" i="1" s="1"/>
  <c r="BW142" i="1" s="1"/>
  <c r="BW143" i="1" s="1"/>
  <c r="BO127" i="1"/>
  <c r="BO128" i="1" s="1"/>
  <c r="BO129" i="1" s="1"/>
  <c r="BO130" i="1" s="1"/>
  <c r="BO131" i="1" s="1"/>
  <c r="BO132" i="1" s="1"/>
  <c r="BO133" i="1" s="1"/>
  <c r="BO134" i="1" s="1"/>
  <c r="BO135" i="1" s="1"/>
  <c r="BO136" i="1" s="1"/>
  <c r="BO137" i="1" s="1"/>
  <c r="BO138" i="1" s="1"/>
  <c r="BO139" i="1" s="1"/>
  <c r="BO140" i="1" s="1"/>
  <c r="BO141" i="1" s="1"/>
  <c r="BO142" i="1" s="1"/>
  <c r="BO143" i="1" s="1"/>
  <c r="BY127" i="1"/>
  <c r="BY128" i="1" s="1"/>
  <c r="BY129" i="1" s="1"/>
  <c r="BY130" i="1" s="1"/>
  <c r="BY131" i="1" s="1"/>
  <c r="BX144" i="1"/>
  <c r="BN144" i="1"/>
  <c r="BP144" i="1"/>
  <c r="BQ128" i="1"/>
  <c r="BQ129" i="1" s="1"/>
  <c r="BQ130" i="1" s="1"/>
  <c r="BQ131" i="1" s="1"/>
  <c r="BQ132" i="1" s="1"/>
  <c r="BQ133" i="1" s="1"/>
  <c r="BQ134" i="1" s="1"/>
  <c r="BQ135" i="1" s="1"/>
  <c r="BQ136" i="1" s="1"/>
  <c r="BQ137" i="1" s="1"/>
  <c r="BQ138" i="1" s="1"/>
  <c r="BQ139" i="1" s="1"/>
  <c r="BQ140" i="1" s="1"/>
  <c r="BQ141" i="1" s="1"/>
  <c r="BQ142" i="1" s="1"/>
  <c r="BQ143" i="1" s="1"/>
  <c r="BY132" i="1"/>
  <c r="BY133" i="1" s="1"/>
  <c r="BY134" i="1" s="1"/>
  <c r="BY135" i="1" s="1"/>
  <c r="BY136" i="1" s="1"/>
  <c r="BY137" i="1" s="1"/>
  <c r="BY138" i="1" s="1"/>
  <c r="BY139" i="1" s="1"/>
  <c r="BY140" i="1" s="1"/>
  <c r="BY141" i="1" s="1"/>
  <c r="BY142" i="1" s="1"/>
  <c r="BY143" i="1" s="1"/>
  <c r="L99" i="1" l="1"/>
  <c r="L124" i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K124" i="1" l="1"/>
  <c r="AP100" i="1"/>
  <c r="AQ100" i="1" s="1"/>
  <c r="AP99" i="1"/>
  <c r="AN100" i="1"/>
  <c r="AO100" i="1" s="1"/>
  <c r="AN99" i="1"/>
  <c r="AO99" i="1" s="1"/>
  <c r="AN98" i="1"/>
  <c r="AP125" i="1"/>
  <c r="AN125" i="1"/>
  <c r="AT100" i="1"/>
  <c r="AX100" i="1" s="1"/>
  <c r="L125" i="1" s="1"/>
  <c r="AT99" i="1"/>
  <c r="AR100" i="1"/>
  <c r="AS100" i="1" s="1"/>
  <c r="AV100" i="1" l="1"/>
  <c r="AW100" i="1" l="1"/>
  <c r="L100" i="1"/>
  <c r="BG39" i="2"/>
  <c r="BF39" i="2"/>
  <c r="BG40" i="2" s="1"/>
  <c r="BG34" i="2"/>
  <c r="BF34" i="2"/>
  <c r="BG35" i="2" s="1"/>
  <c r="BG29" i="2"/>
  <c r="BF29" i="2"/>
  <c r="BG30" i="2" s="1"/>
  <c r="BG24" i="2"/>
  <c r="BF24" i="2"/>
  <c r="BG25" i="2" s="1"/>
  <c r="BG19" i="2"/>
  <c r="BF19" i="2"/>
  <c r="BG20" i="2" s="1"/>
  <c r="BG14" i="2"/>
  <c r="BF14" i="2"/>
  <c r="BG15" i="2" s="1"/>
  <c r="BG9" i="2"/>
  <c r="BG10" i="2" s="1"/>
  <c r="BF9" i="2"/>
  <c r="AH4" i="2"/>
  <c r="AG4" i="2"/>
  <c r="AJ99" i="1" l="1"/>
  <c r="AK99" i="1"/>
  <c r="AL99" i="1"/>
  <c r="AM99" i="1"/>
  <c r="AJ100" i="1"/>
  <c r="N100" i="1" s="1"/>
  <c r="AK100" i="1"/>
  <c r="N125" i="1" s="1"/>
  <c r="AL100" i="1"/>
  <c r="O100" i="1" s="1"/>
  <c r="AM100" i="1"/>
  <c r="O125" i="1" s="1"/>
  <c r="AM98" i="1"/>
  <c r="O124" i="1" s="1"/>
  <c r="AL98" i="1"/>
  <c r="O99" i="1" s="1"/>
  <c r="AK98" i="1"/>
  <c r="N124" i="1" s="1"/>
  <c r="AJ98" i="1"/>
  <c r="N99" i="1" s="1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C9" i="2"/>
  <c r="AD8" i="2"/>
  <c r="AC8" i="2"/>
  <c r="AD7" i="2"/>
  <c r="AC7" i="2"/>
  <c r="AD6" i="2"/>
  <c r="AC6" i="2"/>
  <c r="AD5" i="2"/>
  <c r="AC5" i="2"/>
  <c r="AD4" i="2"/>
  <c r="AC4" i="2"/>
  <c r="AD24" i="2"/>
  <c r="AC24" i="2"/>
  <c r="BD9" i="2" l="1"/>
  <c r="BE39" i="2"/>
  <c r="BE9" i="2"/>
  <c r="BE14" i="2"/>
  <c r="BD19" i="2"/>
  <c r="BE19" i="2"/>
  <c r="BD24" i="2"/>
  <c r="BE34" i="2"/>
  <c r="BD14" i="2"/>
  <c r="BE24" i="2"/>
  <c r="BD29" i="2"/>
  <c r="BE29" i="2"/>
  <c r="BD34" i="2"/>
  <c r="BD39" i="2"/>
  <c r="BI28" i="2" l="1"/>
  <c r="BI29" i="2"/>
  <c r="BJ13" i="2"/>
  <c r="BJ14" i="2"/>
  <c r="BI38" i="2"/>
  <c r="BI39" i="2"/>
  <c r="BI34" i="2"/>
  <c r="BI33" i="2"/>
  <c r="BI13" i="2"/>
  <c r="BI14" i="2"/>
  <c r="BJ8" i="2"/>
  <c r="BJ9" i="2"/>
  <c r="BJ29" i="2"/>
  <c r="BJ28" i="2"/>
  <c r="BI23" i="2"/>
  <c r="BI24" i="2"/>
  <c r="BI19" i="2"/>
  <c r="BI18" i="2"/>
  <c r="BJ38" i="2"/>
  <c r="BJ39" i="2"/>
  <c r="BJ23" i="2"/>
  <c r="BJ24" i="2"/>
  <c r="BJ34" i="2"/>
  <c r="BJ33" i="2"/>
  <c r="BJ18" i="2"/>
  <c r="BJ19" i="2"/>
  <c r="BI8" i="2"/>
  <c r="AG26" i="2" s="1"/>
  <c r="BI9" i="2"/>
  <c r="BE10" i="2"/>
  <c r="BE15" i="2"/>
  <c r="BE25" i="2"/>
  <c r="BE40" i="2"/>
  <c r="BE35" i="2"/>
  <c r="BE30" i="2"/>
  <c r="BE20" i="2"/>
  <c r="O64" i="1" l="1"/>
  <c r="N64" i="1"/>
  <c r="M64" i="1"/>
  <c r="K64" i="1"/>
  <c r="J64" i="1"/>
  <c r="L64" i="1" l="1"/>
  <c r="AR99" i="1" l="1"/>
  <c r="AS99" i="1" s="1"/>
  <c r="BC39" i="2" l="1"/>
  <c r="BB39" i="2"/>
  <c r="BC34" i="2"/>
  <c r="BB34" i="2"/>
  <c r="BC35" i="2" s="1"/>
  <c r="BC29" i="2"/>
  <c r="BB29" i="2"/>
  <c r="BC30" i="2" s="1"/>
  <c r="BC24" i="2"/>
  <c r="BB24" i="2"/>
  <c r="BC19" i="2"/>
  <c r="BB19" i="2"/>
  <c r="BC20" i="2" s="1"/>
  <c r="BC14" i="2"/>
  <c r="BB14" i="2"/>
  <c r="BC15" i="2" s="1"/>
  <c r="BC9" i="2"/>
  <c r="BB9" i="2"/>
  <c r="X99" i="1"/>
  <c r="O2" i="1"/>
  <c r="J125" i="1"/>
  <c r="J124" i="1"/>
  <c r="BC10" i="2" l="1"/>
  <c r="BC25" i="2"/>
  <c r="BC40" i="2"/>
  <c r="BA39" i="2"/>
  <c r="AZ39" i="2"/>
  <c r="AY39" i="2"/>
  <c r="AX39" i="2"/>
  <c r="AW39" i="2"/>
  <c r="AV39" i="2"/>
  <c r="AW40" i="2" s="1"/>
  <c r="AS39" i="2"/>
  <c r="AR39" i="2"/>
  <c r="BA40" i="2" l="1"/>
  <c r="AY40" i="2"/>
  <c r="AS40" i="2"/>
  <c r="BA34" i="2" l="1"/>
  <c r="AZ34" i="2"/>
  <c r="AY34" i="2"/>
  <c r="AX34" i="2"/>
  <c r="AY35" i="2" s="1"/>
  <c r="AW34" i="2"/>
  <c r="AV34" i="2"/>
  <c r="AS34" i="2"/>
  <c r="AR34" i="2"/>
  <c r="BA29" i="2"/>
  <c r="AZ29" i="2"/>
  <c r="AY29" i="2"/>
  <c r="AX29" i="2"/>
  <c r="AY30" i="2" s="1"/>
  <c r="AW29" i="2"/>
  <c r="AV29" i="2"/>
  <c r="AS29" i="2"/>
  <c r="AR29" i="2"/>
  <c r="BA24" i="2"/>
  <c r="AZ24" i="2"/>
  <c r="BA25" i="2" s="1"/>
  <c r="AY24" i="2"/>
  <c r="AX24" i="2"/>
  <c r="AW24" i="2"/>
  <c r="AV24" i="2"/>
  <c r="AS24" i="2"/>
  <c r="AR24" i="2"/>
  <c r="AV99" i="1"/>
  <c r="AW99" i="1" s="1"/>
  <c r="BA19" i="2"/>
  <c r="AZ19" i="2"/>
  <c r="BA14" i="2"/>
  <c r="AZ14" i="2"/>
  <c r="BA9" i="2"/>
  <c r="AZ9" i="2"/>
  <c r="BA10" i="2" s="1"/>
  <c r="AS30" i="2" l="1"/>
  <c r="AS25" i="2"/>
  <c r="AX99" i="1"/>
  <c r="BA35" i="2"/>
  <c r="AW30" i="2"/>
  <c r="BA30" i="2"/>
  <c r="BA15" i="2"/>
  <c r="AW35" i="2"/>
  <c r="AY25" i="2"/>
  <c r="AS35" i="2"/>
  <c r="AW25" i="2"/>
  <c r="BA20" i="2"/>
  <c r="AE100" i="1" l="1"/>
  <c r="BD100" i="1" s="1"/>
  <c r="O14" i="1" l="1"/>
  <c r="K125" i="1"/>
  <c r="AF100" i="1"/>
  <c r="BE100" i="1" s="1"/>
  <c r="AY19" i="2"/>
  <c r="AX19" i="2"/>
  <c r="AW19" i="2"/>
  <c r="AV19" i="2"/>
  <c r="AS19" i="2"/>
  <c r="AR19" i="2"/>
  <c r="N14" i="1" l="1"/>
  <c r="AY20" i="2"/>
  <c r="AW20" i="2"/>
  <c r="AS20" i="2"/>
  <c r="J99" i="1"/>
  <c r="AU100" i="1"/>
  <c r="AY14" i="2"/>
  <c r="AX14" i="2"/>
  <c r="AW14" i="2"/>
  <c r="AV14" i="2"/>
  <c r="AS14" i="2"/>
  <c r="AR14" i="2"/>
  <c r="AS9" i="2"/>
  <c r="AR9" i="2"/>
  <c r="AY9" i="2"/>
  <c r="AX9" i="2"/>
  <c r="AY100" i="1" l="1"/>
  <c r="AS10" i="2"/>
  <c r="J100" i="1" l="1"/>
  <c r="L24" i="2"/>
  <c r="K24" i="2"/>
  <c r="N24" i="2"/>
  <c r="M24" i="2"/>
  <c r="O21" i="2" l="1"/>
  <c r="O17" i="2"/>
  <c r="O13" i="2"/>
  <c r="O9" i="2"/>
  <c r="O5" i="2"/>
  <c r="O18" i="2"/>
  <c r="O14" i="2"/>
  <c r="O6" i="2"/>
  <c r="O24" i="2"/>
  <c r="O20" i="2"/>
  <c r="O16" i="2"/>
  <c r="O12" i="2"/>
  <c r="O8" i="2"/>
  <c r="O4" i="2"/>
  <c r="O22" i="2"/>
  <c r="O10" i="2"/>
  <c r="O23" i="2"/>
  <c r="O19" i="2"/>
  <c r="O15" i="2"/>
  <c r="O11" i="2"/>
  <c r="O7" i="2"/>
  <c r="P8" i="2"/>
  <c r="P5" i="2"/>
  <c r="P9" i="2"/>
  <c r="P13" i="2"/>
  <c r="P17" i="2"/>
  <c r="P21" i="2"/>
  <c r="P4" i="2"/>
  <c r="P16" i="2"/>
  <c r="P24" i="2"/>
  <c r="P6" i="2"/>
  <c r="P10" i="2"/>
  <c r="P14" i="2"/>
  <c r="P18" i="2"/>
  <c r="P22" i="2"/>
  <c r="P12" i="2"/>
  <c r="P20" i="2"/>
  <c r="P7" i="2"/>
  <c r="P11" i="2"/>
  <c r="P15" i="2"/>
  <c r="P19" i="2"/>
  <c r="P23" i="2"/>
  <c r="AW9" i="2" l="1"/>
  <c r="AV9" i="2"/>
  <c r="AU9" i="2"/>
  <c r="AT9" i="2"/>
  <c r="AP24" i="2"/>
  <c r="AO24" i="2"/>
  <c r="AM24" i="2"/>
  <c r="AL24" i="2"/>
  <c r="AK24" i="2"/>
  <c r="AJ24" i="2"/>
  <c r="AI24" i="2"/>
  <c r="J24" i="2"/>
  <c r="I24" i="2"/>
  <c r="H24" i="2"/>
  <c r="H18" i="2" s="1"/>
  <c r="G24" i="2"/>
  <c r="G18" i="2" s="1"/>
  <c r="F24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E24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AN23" i="2"/>
  <c r="AJ23" i="2"/>
  <c r="AI23" i="2"/>
  <c r="AN22" i="2"/>
  <c r="AJ22" i="2"/>
  <c r="AI22" i="2"/>
  <c r="AN21" i="2"/>
  <c r="AJ21" i="2"/>
  <c r="AI21" i="2"/>
  <c r="AN20" i="2"/>
  <c r="AJ20" i="2"/>
  <c r="AI20" i="2"/>
  <c r="AN19" i="2"/>
  <c r="AJ19" i="2"/>
  <c r="AI19" i="2"/>
  <c r="AM19" i="2"/>
  <c r="AN18" i="2"/>
  <c r="AM18" i="2"/>
  <c r="AJ18" i="2"/>
  <c r="AI18" i="2"/>
  <c r="AM17" i="2"/>
  <c r="AJ17" i="2"/>
  <c r="AI17" i="2"/>
  <c r="AN16" i="2"/>
  <c r="AM16" i="2"/>
  <c r="AJ16" i="2"/>
  <c r="AI16" i="2"/>
  <c r="AM15" i="2"/>
  <c r="AJ15" i="2"/>
  <c r="AI15" i="2"/>
  <c r="R15" i="2"/>
  <c r="R16" i="2" s="1"/>
  <c r="R17" i="2" s="1"/>
  <c r="R18" i="2" s="1"/>
  <c r="R19" i="2" s="1"/>
  <c r="R20" i="2" s="1"/>
  <c r="R21" i="2" s="1"/>
  <c r="R22" i="2" s="1"/>
  <c r="R23" i="2" s="1"/>
  <c r="Q15" i="2"/>
  <c r="Q16" i="2" s="1"/>
  <c r="Q17" i="2" s="1"/>
  <c r="Q18" i="2" s="1"/>
  <c r="Q19" i="2" s="1"/>
  <c r="Q20" i="2" s="1"/>
  <c r="Q21" i="2" s="1"/>
  <c r="Q22" i="2" s="1"/>
  <c r="Q23" i="2" s="1"/>
  <c r="AN14" i="2"/>
  <c r="AM14" i="2"/>
  <c r="AL14" i="2"/>
  <c r="AK14" i="2"/>
  <c r="AJ14" i="2"/>
  <c r="AI14" i="2"/>
  <c r="AM13" i="2"/>
  <c r="AJ13" i="2"/>
  <c r="AI13" i="2"/>
  <c r="AN12" i="2"/>
  <c r="AM12" i="2"/>
  <c r="AJ12" i="2"/>
  <c r="AI12" i="2"/>
  <c r="AM11" i="2"/>
  <c r="AJ11" i="2"/>
  <c r="AI11" i="2"/>
  <c r="AN10" i="2"/>
  <c r="AM10" i="2"/>
  <c r="AJ10" i="2"/>
  <c r="AI10" i="2"/>
  <c r="AM9" i="2"/>
  <c r="AJ9" i="2"/>
  <c r="AI9" i="2"/>
  <c r="AN8" i="2"/>
  <c r="AM8" i="2"/>
  <c r="AJ8" i="2"/>
  <c r="AI8" i="2"/>
  <c r="AM7" i="2"/>
  <c r="AJ7" i="2"/>
  <c r="AI7" i="2"/>
  <c r="V7" i="2"/>
  <c r="V8" i="2" s="1"/>
  <c r="V9" i="2" s="1"/>
  <c r="V10" i="2" s="1"/>
  <c r="V11" i="2" s="1"/>
  <c r="V12" i="2" s="1"/>
  <c r="U7" i="2"/>
  <c r="AP6" i="2"/>
  <c r="AO6" i="2"/>
  <c r="AM6" i="2"/>
  <c r="AJ6" i="2"/>
  <c r="AI6" i="2"/>
  <c r="AM5" i="2"/>
  <c r="AJ5" i="2"/>
  <c r="AI5" i="2"/>
  <c r="R5" i="2"/>
  <c r="R6" i="2" s="1"/>
  <c r="R7" i="2" s="1"/>
  <c r="R8" i="2" s="1"/>
  <c r="R9" i="2" s="1"/>
  <c r="R10" i="2" s="1"/>
  <c r="R11" i="2" s="1"/>
  <c r="R12" i="2" s="1"/>
  <c r="R13" i="2" s="1"/>
  <c r="Q5" i="2"/>
  <c r="Q6" i="2" s="1"/>
  <c r="Q7" i="2" s="1"/>
  <c r="Q8" i="2" s="1"/>
  <c r="Q9" i="2" s="1"/>
  <c r="Q10" i="2" s="1"/>
  <c r="Q11" i="2" s="1"/>
  <c r="Q12" i="2" s="1"/>
  <c r="Q13" i="2" s="1"/>
  <c r="AN4" i="2"/>
  <c r="AM4" i="2"/>
  <c r="AL4" i="2"/>
  <c r="AK4" i="2"/>
  <c r="AJ4" i="2"/>
  <c r="AI4" i="2"/>
  <c r="V4" i="2"/>
  <c r="V5" i="2" s="1"/>
  <c r="U4" i="2"/>
  <c r="U5" i="2" s="1"/>
  <c r="AW15" i="2" s="1"/>
  <c r="AP3" i="2"/>
  <c r="AO3" i="2"/>
  <c r="AN3" i="2"/>
  <c r="AM3" i="2"/>
  <c r="AL3" i="2"/>
  <c r="AK3" i="2"/>
  <c r="AJ3" i="2"/>
  <c r="AI3" i="2"/>
  <c r="AG99" i="1"/>
  <c r="Z99" i="1"/>
  <c r="W99" i="1"/>
  <c r="AH26" i="2" l="1"/>
  <c r="AH27" i="2"/>
  <c r="AG27" i="2"/>
  <c r="G19" i="2"/>
  <c r="AR125" i="1"/>
  <c r="H19" i="2"/>
  <c r="K8" i="2"/>
  <c r="K12" i="2"/>
  <c r="K16" i="2"/>
  <c r="K20" i="2"/>
  <c r="K4" i="2"/>
  <c r="K15" i="2"/>
  <c r="K23" i="2"/>
  <c r="K5" i="2"/>
  <c r="K9" i="2"/>
  <c r="K13" i="2"/>
  <c r="K17" i="2"/>
  <c r="K21" i="2"/>
  <c r="K11" i="2"/>
  <c r="K6" i="2"/>
  <c r="K10" i="2"/>
  <c r="K14" i="2"/>
  <c r="K18" i="2"/>
  <c r="K22" i="2"/>
  <c r="K7" i="2"/>
  <c r="K19" i="2"/>
  <c r="H15" i="2"/>
  <c r="F4" i="2"/>
  <c r="F5" i="2" s="1"/>
  <c r="F6" i="2" s="1"/>
  <c r="F7" i="2" s="1"/>
  <c r="F8" i="2" s="1"/>
  <c r="F9" i="2" s="1"/>
  <c r="F10" i="2" s="1"/>
  <c r="F11" i="2" s="1"/>
  <c r="F12" i="2" s="1"/>
  <c r="F13" i="2" s="1"/>
  <c r="I5" i="2"/>
  <c r="J4" i="2"/>
  <c r="E4" i="2"/>
  <c r="E5" i="2" s="1"/>
  <c r="E6" i="2" s="1"/>
  <c r="E7" i="2" s="1"/>
  <c r="E8" i="2" s="1"/>
  <c r="E9" i="2" s="1"/>
  <c r="E10" i="2" s="1"/>
  <c r="E11" i="2" s="1"/>
  <c r="E12" i="2" s="1"/>
  <c r="E13" i="2" s="1"/>
  <c r="I4" i="2"/>
  <c r="I6" i="2"/>
  <c r="I7" i="2"/>
  <c r="H7" i="2"/>
  <c r="H9" i="2"/>
  <c r="H20" i="2"/>
  <c r="H21" i="2"/>
  <c r="H22" i="2"/>
  <c r="H23" i="2"/>
  <c r="H5" i="2"/>
  <c r="H11" i="2"/>
  <c r="H13" i="2"/>
  <c r="H17" i="2"/>
  <c r="AU10" i="2"/>
  <c r="J6" i="2"/>
  <c r="G5" i="2"/>
  <c r="G8" i="2"/>
  <c r="G16" i="2"/>
  <c r="G4" i="2"/>
  <c r="G11" i="2"/>
  <c r="G15" i="2"/>
  <c r="G17" i="2"/>
  <c r="G6" i="2"/>
  <c r="G9" i="2"/>
  <c r="G12" i="2"/>
  <c r="G14" i="2"/>
  <c r="AW10" i="2"/>
  <c r="G7" i="2"/>
  <c r="G10" i="2"/>
  <c r="G13" i="2"/>
  <c r="V13" i="2"/>
  <c r="V14" i="2" s="1"/>
  <c r="J12" i="2"/>
  <c r="U8" i="2"/>
  <c r="J10" i="2"/>
  <c r="AM20" i="2"/>
  <c r="G20" i="2"/>
  <c r="AM21" i="2"/>
  <c r="G21" i="2"/>
  <c r="AM22" i="2"/>
  <c r="G22" i="2"/>
  <c r="AM23" i="2"/>
  <c r="G23" i="2"/>
  <c r="J8" i="2"/>
  <c r="AN24" i="2"/>
  <c r="H4" i="2"/>
  <c r="J5" i="2"/>
  <c r="AN5" i="2"/>
  <c r="H6" i="2"/>
  <c r="AN6" i="2"/>
  <c r="J7" i="2"/>
  <c r="AN7" i="2"/>
  <c r="H8" i="2"/>
  <c r="J9" i="2"/>
  <c r="AN9" i="2"/>
  <c r="H10" i="2"/>
  <c r="J11" i="2"/>
  <c r="AN11" i="2"/>
  <c r="H12" i="2"/>
  <c r="J13" i="2"/>
  <c r="AN13" i="2"/>
  <c r="H14" i="2"/>
  <c r="AN15" i="2"/>
  <c r="H16" i="2"/>
  <c r="AN17" i="2"/>
  <c r="AT125" i="1" l="1"/>
  <c r="AX125" i="1"/>
  <c r="AK27" i="2"/>
  <c r="AS15" i="2"/>
  <c r="AI100" i="1"/>
  <c r="I8" i="2"/>
  <c r="U9" i="2"/>
  <c r="V15" i="2"/>
  <c r="J14" i="2"/>
  <c r="AJ28" i="2" l="1"/>
  <c r="AK26" i="2"/>
  <c r="AI28" i="2"/>
  <c r="U10" i="2"/>
  <c r="I9" i="2"/>
  <c r="V16" i="2"/>
  <c r="J15" i="2"/>
  <c r="AL28" i="2" l="1"/>
  <c r="V17" i="2"/>
  <c r="J16" i="2"/>
  <c r="U11" i="2"/>
  <c r="I10" i="2"/>
  <c r="I11" i="2" l="1"/>
  <c r="U12" i="2"/>
  <c r="V18" i="2"/>
  <c r="J17" i="2"/>
  <c r="V19" i="2" l="1"/>
  <c r="J18" i="2"/>
  <c r="U13" i="2"/>
  <c r="I12" i="2"/>
  <c r="U14" i="2" l="1"/>
  <c r="I13" i="2"/>
  <c r="V20" i="2"/>
  <c r="J19" i="2"/>
  <c r="V21" i="2" l="1"/>
  <c r="J20" i="2"/>
  <c r="U15" i="2"/>
  <c r="I14" i="2"/>
  <c r="U16" i="2" l="1"/>
  <c r="I15" i="2"/>
  <c r="V22" i="2"/>
  <c r="J21" i="2"/>
  <c r="V23" i="2" l="1"/>
  <c r="J23" i="2" s="1"/>
  <c r="J22" i="2"/>
  <c r="U17" i="2"/>
  <c r="I16" i="2"/>
  <c r="U18" i="2" l="1"/>
  <c r="I17" i="2"/>
  <c r="U19" i="2" l="1"/>
  <c r="I18" i="2"/>
  <c r="U20" i="2" l="1"/>
  <c r="I19" i="2"/>
  <c r="U21" i="2" l="1"/>
  <c r="I20" i="2"/>
  <c r="U22" i="2" l="1"/>
  <c r="I21" i="2"/>
  <c r="U23" i="2" l="1"/>
  <c r="I23" i="2" s="1"/>
  <c r="I22" i="2"/>
  <c r="X100" i="1" l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l="1"/>
  <c r="X112" i="1" s="1"/>
  <c r="X113" i="1" s="1"/>
  <c r="X114" i="1" s="1"/>
  <c r="X115" i="1" s="1"/>
  <c r="X116" i="1" s="1"/>
  <c r="X117" i="1" s="1"/>
  <c r="X118" i="1" s="1"/>
  <c r="X119" i="1" s="1"/>
  <c r="X120" i="1" s="1"/>
  <c r="W110" i="1"/>
  <c r="M3" i="1"/>
  <c r="Z120" i="1" l="1"/>
  <c r="I120" i="1" s="1"/>
  <c r="I145" i="1" s="1"/>
  <c r="W120" i="1"/>
  <c r="Z119" i="1"/>
  <c r="I119" i="1" s="1"/>
  <c r="I144" i="1" s="1"/>
  <c r="W119" i="1"/>
  <c r="Z118" i="1"/>
  <c r="I118" i="1" s="1"/>
  <c r="I143" i="1" s="1"/>
  <c r="W118" i="1"/>
  <c r="Z117" i="1"/>
  <c r="I117" i="1" s="1"/>
  <c r="I142" i="1" s="1"/>
  <c r="W117" i="1"/>
  <c r="Z116" i="1"/>
  <c r="I116" i="1" s="1"/>
  <c r="I141" i="1" s="1"/>
  <c r="W116" i="1"/>
  <c r="Z115" i="1"/>
  <c r="I115" i="1" s="1"/>
  <c r="I140" i="1" s="1"/>
  <c r="W115" i="1"/>
  <c r="Z114" i="1"/>
  <c r="I114" i="1" s="1"/>
  <c r="I139" i="1" s="1"/>
  <c r="W114" i="1"/>
  <c r="Z113" i="1"/>
  <c r="I113" i="1" s="1"/>
  <c r="I138" i="1" s="1"/>
  <c r="W113" i="1"/>
  <c r="Z112" i="1"/>
  <c r="I112" i="1" s="1"/>
  <c r="I137" i="1" s="1"/>
  <c r="W112" i="1"/>
  <c r="Z111" i="1"/>
  <c r="I111" i="1" s="1"/>
  <c r="I136" i="1" s="1"/>
  <c r="W111" i="1"/>
  <c r="Z110" i="1"/>
  <c r="I110" i="1" s="1"/>
  <c r="I135" i="1" s="1"/>
  <c r="Z109" i="1"/>
  <c r="I109" i="1" s="1"/>
  <c r="I134" i="1" s="1"/>
  <c r="W109" i="1"/>
  <c r="Z108" i="1"/>
  <c r="I108" i="1" s="1"/>
  <c r="I133" i="1" s="1"/>
  <c r="W108" i="1"/>
  <c r="Z107" i="1"/>
  <c r="I107" i="1" s="1"/>
  <c r="I132" i="1" s="1"/>
  <c r="W107" i="1"/>
  <c r="Z106" i="1"/>
  <c r="I106" i="1" s="1"/>
  <c r="I131" i="1" s="1"/>
  <c r="W106" i="1"/>
  <c r="Z105" i="1"/>
  <c r="I105" i="1" s="1"/>
  <c r="I130" i="1" s="1"/>
  <c r="W105" i="1"/>
  <c r="Z104" i="1"/>
  <c r="I104" i="1" s="1"/>
  <c r="I129" i="1" s="1"/>
  <c r="W104" i="1"/>
  <c r="Z103" i="1"/>
  <c r="I103" i="1" s="1"/>
  <c r="I128" i="1" s="1"/>
  <c r="W103" i="1"/>
  <c r="Z102" i="1"/>
  <c r="I102" i="1" s="1"/>
  <c r="I127" i="1" s="1"/>
  <c r="W102" i="1"/>
  <c r="Z101" i="1"/>
  <c r="I101" i="1" s="1"/>
  <c r="I126" i="1" s="1"/>
  <c r="W101" i="1"/>
  <c r="AG100" i="1"/>
  <c r="Z100" i="1"/>
  <c r="I100" i="1" s="1"/>
  <c r="I125" i="1" s="1"/>
  <c r="AR98" i="1"/>
  <c r="K99" i="1" s="1"/>
  <c r="Z98" i="1"/>
  <c r="I99" i="1" s="1"/>
  <c r="I124" i="1" s="1"/>
  <c r="W98" i="1"/>
  <c r="O75" i="1" l="1"/>
  <c r="O76" i="1" s="1"/>
  <c r="L75" i="1"/>
  <c r="M75" i="1"/>
  <c r="M76" i="1" s="1"/>
  <c r="J75" i="1"/>
  <c r="J76" i="1" s="1"/>
  <c r="N75" i="1"/>
  <c r="N76" i="1" s="1"/>
  <c r="K75" i="1"/>
  <c r="K76" i="1" s="1"/>
  <c r="AV125" i="1"/>
  <c r="K100" i="1"/>
  <c r="AA99" i="1"/>
  <c r="BA99" i="1" s="1"/>
  <c r="AH100" i="1"/>
  <c r="AA103" i="1"/>
  <c r="AA116" i="1"/>
  <c r="AA117" i="1"/>
  <c r="AA107" i="1"/>
  <c r="AA112" i="1"/>
  <c r="AA100" i="1"/>
  <c r="AB100" i="1" s="1"/>
  <c r="AZ100" i="1" s="1"/>
  <c r="AA102" i="1"/>
  <c r="AA106" i="1"/>
  <c r="AA110" i="1"/>
  <c r="AA111" i="1"/>
  <c r="AA115" i="1"/>
  <c r="AA120" i="1"/>
  <c r="AA101" i="1"/>
  <c r="AA105" i="1"/>
  <c r="AA109" i="1"/>
  <c r="AA114" i="1"/>
  <c r="AA119" i="1"/>
  <c r="AA104" i="1"/>
  <c r="AA108" i="1"/>
  <c r="AA113" i="1"/>
  <c r="AA118" i="1"/>
  <c r="AZ99" i="1" l="1"/>
  <c r="BA100" i="1"/>
  <c r="AB111" i="1"/>
  <c r="AB101" i="1"/>
  <c r="AB104" i="1"/>
  <c r="AB103" i="1"/>
  <c r="AB118" i="1"/>
  <c r="AB102" i="1"/>
  <c r="AB120" i="1"/>
  <c r="AB106" i="1"/>
  <c r="AB114" i="1"/>
  <c r="AB113" i="1"/>
  <c r="AB107" i="1"/>
  <c r="AB105" i="1"/>
  <c r="AB116" i="1"/>
  <c r="AB115" i="1"/>
  <c r="AB108" i="1"/>
  <c r="AB119" i="1"/>
  <c r="AB117" i="1"/>
  <c r="AB110" i="1"/>
  <c r="AB109" i="1"/>
  <c r="AB112" i="1"/>
  <c r="L76" i="1"/>
  <c r="AY10" i="2" l="1"/>
  <c r="AY15" i="2"/>
  <c r="L20" i="2" l="1"/>
  <c r="L19" i="2"/>
  <c r="L22" i="2"/>
  <c r="L10" i="2"/>
  <c r="L5" i="2"/>
  <c r="L13" i="2"/>
  <c r="L21" i="2"/>
  <c r="L8" i="2"/>
  <c r="L4" i="2"/>
  <c r="L6" i="2"/>
  <c r="L11" i="2"/>
  <c r="L12" i="2"/>
  <c r="L7" i="2"/>
  <c r="L15" i="2"/>
  <c r="L23" i="2"/>
  <c r="L14" i="2"/>
  <c r="L16" i="2"/>
  <c r="L9" i="2"/>
  <c r="L17" i="2"/>
  <c r="L18" i="2"/>
  <c r="N4" i="2" l="1"/>
  <c r="N6" i="2"/>
  <c r="N5" i="2"/>
  <c r="N7" i="2"/>
  <c r="N8" i="2" l="1"/>
  <c r="N9" i="2" l="1"/>
  <c r="N10" i="2" l="1"/>
  <c r="N11" i="2" l="1"/>
  <c r="N12" i="2" l="1"/>
  <c r="N13" i="2" l="1"/>
  <c r="N14" i="2" l="1"/>
  <c r="N15" i="2" l="1"/>
  <c r="N16" i="2" l="1"/>
  <c r="N17" i="2" l="1"/>
  <c r="N18" i="2" l="1"/>
  <c r="N19" i="2" l="1"/>
  <c r="N20" i="2" l="1"/>
  <c r="N21" i="2" l="1"/>
  <c r="N22" i="2" l="1"/>
  <c r="N23" i="2" l="1"/>
  <c r="M4" i="2" l="1"/>
  <c r="M6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O3" i="1" l="1"/>
  <c r="J79" i="1" l="1"/>
  <c r="L79" i="1"/>
  <c r="N79" i="1"/>
  <c r="O79" i="1"/>
  <c r="M79" i="1"/>
  <c r="K79" i="1"/>
  <c r="K80" i="1" l="1"/>
  <c r="K81" i="1" s="1"/>
  <c r="M80" i="1"/>
  <c r="M81" i="1" s="1"/>
  <c r="L80" i="1"/>
  <c r="L81" i="1" s="1"/>
  <c r="N80" i="1"/>
  <c r="N81" i="1" s="1"/>
  <c r="J80" i="1"/>
  <c r="J81" i="1" s="1"/>
  <c r="O80" i="1"/>
  <c r="O81" i="1" s="1"/>
  <c r="AL101" i="1" l="1"/>
  <c r="O101" i="1" s="1"/>
  <c r="AJ101" i="1"/>
  <c r="N101" i="1" s="1"/>
  <c r="AT101" i="1"/>
  <c r="K126" i="1" s="1"/>
  <c r="BD101" i="1"/>
  <c r="AP126" i="1"/>
  <c r="AX126" i="1"/>
  <c r="AK101" i="1"/>
  <c r="N126" i="1" s="1"/>
  <c r="AM101" i="1"/>
  <c r="O126" i="1" s="1"/>
  <c r="AH5" i="2"/>
  <c r="AH29" i="2" s="1"/>
  <c r="BB101" i="1"/>
  <c r="AN126" i="1"/>
  <c r="BC101" i="1"/>
  <c r="J126" i="1"/>
  <c r="N15" i="1"/>
  <c r="AF101" i="1"/>
  <c r="AI101" i="1" s="1"/>
  <c r="AR101" i="1"/>
  <c r="AV101" i="1"/>
  <c r="AW101" i="1" s="1"/>
  <c r="O15" i="1"/>
  <c r="BA101" i="1"/>
  <c r="J101" i="1"/>
  <c r="AG101" i="1"/>
  <c r="AN101" i="1"/>
  <c r="AO101" i="1"/>
  <c r="AG5" i="2"/>
  <c r="AG29" i="2" s="1"/>
  <c r="AT126" i="1"/>
  <c r="AP101" i="1"/>
  <c r="AQ101" i="1" s="1"/>
  <c r="AX101" i="1" l="1"/>
  <c r="AG30" i="2"/>
  <c r="AI31" i="2" s="1"/>
  <c r="AZ101" i="1"/>
  <c r="AU101" i="1"/>
  <c r="AH30" i="2"/>
  <c r="BE101" i="1"/>
  <c r="AH101" i="1"/>
  <c r="AK29" i="2"/>
  <c r="AV126" i="1"/>
  <c r="L101" i="1"/>
  <c r="AR126" i="1"/>
  <c r="AS101" i="1"/>
  <c r="K101" i="1"/>
  <c r="AJ31" i="2"/>
  <c r="AN127" i="1"/>
  <c r="AN130" i="1" s="1"/>
  <c r="AP127" i="1"/>
  <c r="AP130" i="1" s="1"/>
  <c r="AK102" i="1"/>
  <c r="AN102" i="1"/>
  <c r="AO102" i="1" s="1"/>
  <c r="BD102" i="1"/>
  <c r="BB102" i="1"/>
  <c r="AF102" i="1"/>
  <c r="AH102" i="1" s="1"/>
  <c r="O16" i="1"/>
  <c r="AC80" i="1"/>
  <c r="AM102" i="1"/>
  <c r="AX127" i="1"/>
  <c r="AX130" i="1" s="1"/>
  <c r="AH6" i="2"/>
  <c r="AH32" i="2" s="1"/>
  <c r="AL102" i="1"/>
  <c r="BC102" i="1"/>
  <c r="J127" i="1"/>
  <c r="AJ102" i="1"/>
  <c r="AT127" i="1"/>
  <c r="AT130" i="1" s="1"/>
  <c r="AG6" i="2"/>
  <c r="AG33" i="2" s="1"/>
  <c r="BA102" i="1"/>
  <c r="J102" i="1"/>
  <c r="AG102" i="1"/>
  <c r="AT102" i="1"/>
  <c r="AX102" i="1" s="1"/>
  <c r="AR102" i="1"/>
  <c r="K102" i="1" s="1"/>
  <c r="AP102" i="1"/>
  <c r="AQ102" i="1" s="1"/>
  <c r="AY101" i="1" l="1"/>
  <c r="L126" i="1"/>
  <c r="AK30" i="2"/>
  <c r="AG32" i="2"/>
  <c r="AK32" i="2" s="1"/>
  <c r="AH33" i="2"/>
  <c r="AJ34" i="2" s="1"/>
  <c r="AU102" i="1"/>
  <c r="AN103" i="1"/>
  <c r="AN104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L127" i="1"/>
  <c r="AX103" i="1"/>
  <c r="AM103" i="1" s="1"/>
  <c r="N102" i="1"/>
  <c r="AV102" i="1"/>
  <c r="AW102" i="1" s="1"/>
  <c r="O102" i="1"/>
  <c r="AL31" i="2"/>
  <c r="K127" i="1"/>
  <c r="AS102" i="1"/>
  <c r="O127" i="1"/>
  <c r="N127" i="1"/>
  <c r="AP103" i="1"/>
  <c r="AI34" i="2"/>
  <c r="AY102" i="1"/>
  <c r="AD128" i="1"/>
  <c r="CJ98" i="1" s="1"/>
  <c r="AT103" i="1"/>
  <c r="AK103" i="1" s="1"/>
  <c r="N16" i="1"/>
  <c r="BE102" i="1"/>
  <c r="AI102" i="1"/>
  <c r="AZ102" i="1"/>
  <c r="AR127" i="1"/>
  <c r="AR130" i="1" s="1"/>
  <c r="AK33" i="2" l="1"/>
  <c r="AV127" i="1"/>
  <c r="AV130" i="1" s="1"/>
  <c r="AV131" i="1" s="1"/>
  <c r="L102" i="1"/>
  <c r="AL34" i="2"/>
  <c r="AX104" i="1"/>
  <c r="AM104" i="1" s="1"/>
  <c r="L128" i="1"/>
  <c r="AP104" i="1"/>
  <c r="AE103" i="1"/>
  <c r="CK120" i="1"/>
  <c r="CK104" i="1"/>
  <c r="CK102" i="1"/>
  <c r="CK107" i="1"/>
  <c r="CJ122" i="1"/>
  <c r="CK105" i="1"/>
  <c r="CK100" i="1"/>
  <c r="CK119" i="1"/>
  <c r="CK114" i="1"/>
  <c r="CK112" i="1"/>
  <c r="CK117" i="1"/>
  <c r="CK108" i="1"/>
  <c r="CK110" i="1"/>
  <c r="CK113" i="1"/>
  <c r="CK111" i="1"/>
  <c r="CK106" i="1"/>
  <c r="CK118" i="1"/>
  <c r="CK103" i="1"/>
  <c r="CK115" i="1"/>
  <c r="CK109" i="1"/>
  <c r="CK101" i="1"/>
  <c r="O128" i="1"/>
  <c r="N128" i="1"/>
  <c r="AT104" i="1"/>
  <c r="AK104" i="1" s="1"/>
  <c r="K128" i="1"/>
  <c r="K120" i="1"/>
  <c r="AR131" i="1"/>
  <c r="AR103" i="1"/>
  <c r="AV103" i="1" l="1"/>
  <c r="AL103" i="1" s="1"/>
  <c r="O103" i="1" s="1"/>
  <c r="AJ103" i="1"/>
  <c r="AE104" i="1"/>
  <c r="AP105" i="1"/>
  <c r="O17" i="1"/>
  <c r="AD103" i="1"/>
  <c r="BD103" i="1"/>
  <c r="AC103" i="1"/>
  <c r="AS103" i="1" s="1"/>
  <c r="L129" i="1"/>
  <c r="AX105" i="1"/>
  <c r="K129" i="1"/>
  <c r="AT105" i="1"/>
  <c r="AK105" i="1" s="1"/>
  <c r="N129" i="1"/>
  <c r="O129" i="1"/>
  <c r="AR104" i="1"/>
  <c r="AR128" i="1"/>
  <c r="K103" i="1"/>
  <c r="AV128" i="1" l="1"/>
  <c r="L103" i="1"/>
  <c r="AV104" i="1"/>
  <c r="AL104" i="1" s="1"/>
  <c r="O104" i="1" s="1"/>
  <c r="AE105" i="1"/>
  <c r="AP106" i="1"/>
  <c r="AX106" i="1"/>
  <c r="L130" i="1"/>
  <c r="AT128" i="1"/>
  <c r="AU103" i="1"/>
  <c r="AH7" i="2"/>
  <c r="AD104" i="1"/>
  <c r="J128" i="1"/>
  <c r="AY103" i="1"/>
  <c r="BC103" i="1"/>
  <c r="AX128" i="1"/>
  <c r="AQ103" i="1"/>
  <c r="AP128" i="1"/>
  <c r="BD104" i="1"/>
  <c r="O18" i="1"/>
  <c r="AJ104" i="1"/>
  <c r="AJ105" i="1" s="1"/>
  <c r="N103" i="1"/>
  <c r="J103" i="1"/>
  <c r="AO103" i="1"/>
  <c r="BB103" i="1"/>
  <c r="AN128" i="1"/>
  <c r="AW103" i="1"/>
  <c r="AF103" i="1"/>
  <c r="AG7" i="2"/>
  <c r="BA103" i="1"/>
  <c r="AG103" i="1"/>
  <c r="AM105" i="1"/>
  <c r="AM106" i="1" s="1"/>
  <c r="N130" i="1"/>
  <c r="AR105" i="1"/>
  <c r="AR129" i="1"/>
  <c r="K104" i="1"/>
  <c r="AT106" i="1"/>
  <c r="AK106" i="1" s="1"/>
  <c r="K130" i="1"/>
  <c r="AV129" i="1"/>
  <c r="L104" i="1"/>
  <c r="AV105" i="1"/>
  <c r="AL105" i="1" s="1"/>
  <c r="O130" i="1" l="1"/>
  <c r="AH36" i="2"/>
  <c r="AH35" i="2"/>
  <c r="AH8" i="2"/>
  <c r="AQ104" i="1"/>
  <c r="J129" i="1"/>
  <c r="AU104" i="1"/>
  <c r="AT129" i="1"/>
  <c r="AY104" i="1"/>
  <c r="BC104" i="1"/>
  <c r="AX129" i="1"/>
  <c r="AP129" i="1"/>
  <c r="AD105" i="1"/>
  <c r="AG35" i="2"/>
  <c r="AG36" i="2"/>
  <c r="BE103" i="1"/>
  <c r="AI103" i="1"/>
  <c r="AC104" i="1" s="1"/>
  <c r="N17" i="1"/>
  <c r="AH103" i="1"/>
  <c r="AZ103" i="1"/>
  <c r="AP107" i="1"/>
  <c r="AE106" i="1"/>
  <c r="N104" i="1"/>
  <c r="L131" i="1"/>
  <c r="AX107" i="1"/>
  <c r="BD105" i="1"/>
  <c r="O19" i="1"/>
  <c r="N131" i="1"/>
  <c r="O131" i="1"/>
  <c r="AV106" i="1"/>
  <c r="AL106" i="1" s="1"/>
  <c r="L105" i="1"/>
  <c r="K105" i="1"/>
  <c r="AR106" i="1"/>
  <c r="AJ106" i="1" s="1"/>
  <c r="K131" i="1"/>
  <c r="AT107" i="1"/>
  <c r="AK107" i="1" s="1"/>
  <c r="AK36" i="2" l="1"/>
  <c r="AJ37" i="2"/>
  <c r="AK35" i="2"/>
  <c r="AI37" i="2"/>
  <c r="AG104" i="1"/>
  <c r="AF104" i="1"/>
  <c r="AW104" i="1"/>
  <c r="BA104" i="1"/>
  <c r="AG8" i="2"/>
  <c r="AO104" i="1"/>
  <c r="AN129" i="1"/>
  <c r="AS104" i="1"/>
  <c r="BB104" i="1"/>
  <c r="J104" i="1"/>
  <c r="AD106" i="1"/>
  <c r="BC105" i="1"/>
  <c r="J130" i="1"/>
  <c r="AQ105" i="1"/>
  <c r="AU105" i="1"/>
  <c r="AY105" i="1"/>
  <c r="AH9" i="2"/>
  <c r="AX108" i="1"/>
  <c r="L132" i="1"/>
  <c r="AH38" i="2"/>
  <c r="AH39" i="2"/>
  <c r="AM107" i="1"/>
  <c r="O20" i="1"/>
  <c r="BD106" i="1"/>
  <c r="AP108" i="1"/>
  <c r="AE107" i="1"/>
  <c r="AV107" i="1"/>
  <c r="AL107" i="1" s="1"/>
  <c r="L106" i="1"/>
  <c r="K132" i="1"/>
  <c r="AT108" i="1"/>
  <c r="AK108" i="1" s="1"/>
  <c r="O105" i="1"/>
  <c r="N105" i="1"/>
  <c r="N132" i="1"/>
  <c r="O132" i="1"/>
  <c r="AR107" i="1"/>
  <c r="AJ107" i="1" s="1"/>
  <c r="K106" i="1"/>
  <c r="AL37" i="2" l="1"/>
  <c r="AM108" i="1"/>
  <c r="N18" i="1"/>
  <c r="BE104" i="1"/>
  <c r="AI104" i="1"/>
  <c r="AC105" i="1" s="1"/>
  <c r="AZ104" i="1"/>
  <c r="AH104" i="1"/>
  <c r="AD107" i="1"/>
  <c r="AQ106" i="1"/>
  <c r="J131" i="1"/>
  <c r="BC106" i="1"/>
  <c r="AY106" i="1"/>
  <c r="AU106" i="1"/>
  <c r="AH10" i="2"/>
  <c r="AG39" i="2"/>
  <c r="AK39" i="2" s="1"/>
  <c r="AG38" i="2"/>
  <c r="O21" i="1"/>
  <c r="BD107" i="1"/>
  <c r="AM109" i="1"/>
  <c r="AJ40" i="2"/>
  <c r="AH41" i="2"/>
  <c r="AH42" i="2"/>
  <c r="AE108" i="1"/>
  <c r="AP109" i="1"/>
  <c r="AX109" i="1"/>
  <c r="L133" i="1"/>
  <c r="K107" i="1"/>
  <c r="AR108" i="1"/>
  <c r="AJ108" i="1" s="1"/>
  <c r="N133" i="1"/>
  <c r="O133" i="1"/>
  <c r="AT109" i="1"/>
  <c r="AK109" i="1" s="1"/>
  <c r="K133" i="1"/>
  <c r="L107" i="1"/>
  <c r="AV108" i="1"/>
  <c r="AL108" i="1" s="1"/>
  <c r="AF105" i="1" l="1"/>
  <c r="BA105" i="1"/>
  <c r="AG9" i="2"/>
  <c r="J105" i="1"/>
  <c r="AW105" i="1"/>
  <c r="AG105" i="1"/>
  <c r="AO105" i="1"/>
  <c r="BB105" i="1"/>
  <c r="AS105" i="1"/>
  <c r="AE109" i="1"/>
  <c r="AP110" i="1"/>
  <c r="AJ43" i="2"/>
  <c r="AI40" i="2"/>
  <c r="AL40" i="2" s="1"/>
  <c r="AK38" i="2"/>
  <c r="AH44" i="2"/>
  <c r="AH45" i="2"/>
  <c r="AY107" i="1"/>
  <c r="AH11" i="2"/>
  <c r="AD108" i="1"/>
  <c r="BC107" i="1"/>
  <c r="AQ107" i="1"/>
  <c r="AU107" i="1"/>
  <c r="J132" i="1"/>
  <c r="AX110" i="1"/>
  <c r="L134" i="1"/>
  <c r="O22" i="1"/>
  <c r="BD108" i="1"/>
  <c r="O106" i="1"/>
  <c r="N106" i="1"/>
  <c r="O134" i="1"/>
  <c r="N134" i="1"/>
  <c r="L108" i="1"/>
  <c r="AV109" i="1"/>
  <c r="AL109" i="1" s="1"/>
  <c r="K134" i="1"/>
  <c r="AT110" i="1"/>
  <c r="AK110" i="1" s="1"/>
  <c r="K108" i="1"/>
  <c r="AR109" i="1"/>
  <c r="AJ109" i="1" s="1"/>
  <c r="AZ105" i="1" l="1"/>
  <c r="N19" i="1"/>
  <c r="BE105" i="1"/>
  <c r="AI105" i="1"/>
  <c r="AC106" i="1" s="1"/>
  <c r="AH105" i="1"/>
  <c r="BD109" i="1"/>
  <c r="O23" i="1"/>
  <c r="L135" i="1"/>
  <c r="AX111" i="1"/>
  <c r="AM110" i="1"/>
  <c r="AH49" i="2"/>
  <c r="AJ46" i="2"/>
  <c r="AU108" i="1"/>
  <c r="BC108" i="1"/>
  <c r="AH12" i="2"/>
  <c r="AQ108" i="1"/>
  <c r="AY108" i="1"/>
  <c r="J133" i="1"/>
  <c r="AD109" i="1"/>
  <c r="AE110" i="1"/>
  <c r="AP111" i="1"/>
  <c r="AG41" i="2"/>
  <c r="AG42" i="2"/>
  <c r="AK42" i="2" s="1"/>
  <c r="K109" i="1"/>
  <c r="AR110" i="1"/>
  <c r="AJ110" i="1" s="1"/>
  <c r="AT111" i="1"/>
  <c r="AK111" i="1" s="1"/>
  <c r="K135" i="1"/>
  <c r="L109" i="1"/>
  <c r="AV110" i="1"/>
  <c r="AL110" i="1" s="1"/>
  <c r="N135" i="1"/>
  <c r="AM111" i="1" l="1"/>
  <c r="O136" i="1" s="1"/>
  <c r="AX112" i="1"/>
  <c r="L136" i="1"/>
  <c r="AY109" i="1"/>
  <c r="AH13" i="2"/>
  <c r="AU109" i="1"/>
  <c r="AD110" i="1"/>
  <c r="AQ109" i="1"/>
  <c r="BC109" i="1"/>
  <c r="J134" i="1"/>
  <c r="AW106" i="1"/>
  <c r="BB106" i="1"/>
  <c r="AG106" i="1"/>
  <c r="AS106" i="1"/>
  <c r="BA106" i="1"/>
  <c r="AF106" i="1"/>
  <c r="J106" i="1"/>
  <c r="AO106" i="1"/>
  <c r="AG10" i="2"/>
  <c r="O135" i="1"/>
  <c r="AI43" i="2"/>
  <c r="AL43" i="2" s="1"/>
  <c r="AK41" i="2"/>
  <c r="AE111" i="1"/>
  <c r="AP112" i="1"/>
  <c r="O24" i="1"/>
  <c r="BD110" i="1"/>
  <c r="L110" i="1"/>
  <c r="AV111" i="1"/>
  <c r="AL111" i="1" s="1"/>
  <c r="N136" i="1"/>
  <c r="K136" i="1"/>
  <c r="AT112" i="1"/>
  <c r="AK112" i="1" s="1"/>
  <c r="AR111" i="1"/>
  <c r="AJ111" i="1" s="1"/>
  <c r="K110" i="1"/>
  <c r="N107" i="1"/>
  <c r="O107" i="1"/>
  <c r="AM112" i="1" l="1"/>
  <c r="O137" i="1" s="1"/>
  <c r="AQ110" i="1"/>
  <c r="BC110" i="1"/>
  <c r="AY110" i="1"/>
  <c r="AD111" i="1"/>
  <c r="AU110" i="1"/>
  <c r="J135" i="1"/>
  <c r="AH14" i="2"/>
  <c r="O25" i="1"/>
  <c r="BD111" i="1"/>
  <c r="AI106" i="1"/>
  <c r="AC107" i="1" s="1"/>
  <c r="BE106" i="1"/>
  <c r="N20" i="1"/>
  <c r="AH106" i="1"/>
  <c r="AZ106" i="1"/>
  <c r="AP113" i="1"/>
  <c r="AE112" i="1"/>
  <c r="AG45" i="2"/>
  <c r="AK45" i="2" s="1"/>
  <c r="AG44" i="2"/>
  <c r="AX113" i="1"/>
  <c r="AM113" i="1" s="1"/>
  <c r="L137" i="1"/>
  <c r="L111" i="1"/>
  <c r="AV112" i="1"/>
  <c r="AL112" i="1" s="1"/>
  <c r="AR112" i="1"/>
  <c r="AJ112" i="1" s="1"/>
  <c r="K111" i="1"/>
  <c r="AT113" i="1"/>
  <c r="AK113" i="1" s="1"/>
  <c r="K137" i="1"/>
  <c r="N137" i="1"/>
  <c r="AE113" i="1" l="1"/>
  <c r="AP114" i="1"/>
  <c r="O26" i="1"/>
  <c r="BD112" i="1"/>
  <c r="AG107" i="1"/>
  <c r="AG11" i="2"/>
  <c r="BA107" i="1"/>
  <c r="AO107" i="1"/>
  <c r="BB107" i="1"/>
  <c r="AS107" i="1"/>
  <c r="AW107" i="1"/>
  <c r="AF107" i="1"/>
  <c r="J107" i="1"/>
  <c r="AM114" i="1"/>
  <c r="AI46" i="2"/>
  <c r="AL46" i="2" s="1"/>
  <c r="AG49" i="2"/>
  <c r="AG50" i="2" s="1"/>
  <c r="AK44" i="2"/>
  <c r="AY111" i="1"/>
  <c r="J136" i="1"/>
  <c r="AH15" i="2"/>
  <c r="AU111" i="1"/>
  <c r="BC111" i="1"/>
  <c r="AD112" i="1"/>
  <c r="AQ111" i="1"/>
  <c r="AX114" i="1"/>
  <c r="L138" i="1"/>
  <c r="K138" i="1"/>
  <c r="AT114" i="1"/>
  <c r="AK114" i="1" s="1"/>
  <c r="O138" i="1"/>
  <c r="N138" i="1"/>
  <c r="AR113" i="1"/>
  <c r="AJ113" i="1" s="1"/>
  <c r="K112" i="1"/>
  <c r="L112" i="1"/>
  <c r="AV113" i="1"/>
  <c r="AL113" i="1" s="1"/>
  <c r="N108" i="1"/>
  <c r="O108" i="1"/>
  <c r="L139" i="1" l="1"/>
  <c r="AX115" i="1"/>
  <c r="AU112" i="1"/>
  <c r="J137" i="1"/>
  <c r="BC112" i="1"/>
  <c r="AY112" i="1"/>
  <c r="AH16" i="2"/>
  <c r="AD113" i="1"/>
  <c r="AQ112" i="1"/>
  <c r="AM115" i="1"/>
  <c r="BD113" i="1"/>
  <c r="O27" i="1"/>
  <c r="N21" i="1"/>
  <c r="AI107" i="1"/>
  <c r="AC108" i="1" s="1"/>
  <c r="AZ107" i="1"/>
  <c r="BE107" i="1"/>
  <c r="AH107" i="1"/>
  <c r="AE114" i="1"/>
  <c r="AP115" i="1"/>
  <c r="AV114" i="1"/>
  <c r="AL114" i="1" s="1"/>
  <c r="L113" i="1"/>
  <c r="K113" i="1"/>
  <c r="AR114" i="1"/>
  <c r="AJ114" i="1" s="1"/>
  <c r="N139" i="1"/>
  <c r="O139" i="1"/>
  <c r="AT115" i="1"/>
  <c r="AK115" i="1" s="1"/>
  <c r="K139" i="1"/>
  <c r="L140" i="1" l="1"/>
  <c r="AX116" i="1"/>
  <c r="AP116" i="1"/>
  <c r="AE115" i="1"/>
  <c r="AG12" i="2"/>
  <c r="BA108" i="1"/>
  <c r="BB108" i="1"/>
  <c r="AS108" i="1"/>
  <c r="J108" i="1"/>
  <c r="AG108" i="1"/>
  <c r="AO108" i="1"/>
  <c r="AF108" i="1"/>
  <c r="AW108" i="1"/>
  <c r="AQ113" i="1"/>
  <c r="AY113" i="1"/>
  <c r="BC113" i="1"/>
  <c r="AH17" i="2"/>
  <c r="AD114" i="1"/>
  <c r="J138" i="1"/>
  <c r="AU113" i="1"/>
  <c r="O28" i="1"/>
  <c r="BD114" i="1"/>
  <c r="AT116" i="1"/>
  <c r="AK116" i="1" s="1"/>
  <c r="K140" i="1"/>
  <c r="O140" i="1"/>
  <c r="N140" i="1"/>
  <c r="K114" i="1"/>
  <c r="AR115" i="1"/>
  <c r="AJ115" i="1" s="1"/>
  <c r="O109" i="1"/>
  <c r="N109" i="1"/>
  <c r="L114" i="1"/>
  <c r="AV115" i="1"/>
  <c r="AL115" i="1" s="1"/>
  <c r="O29" i="1" l="1"/>
  <c r="BD115" i="1"/>
  <c r="AH108" i="1"/>
  <c r="N22" i="1"/>
  <c r="AI108" i="1"/>
  <c r="AC109" i="1" s="1"/>
  <c r="AZ108" i="1"/>
  <c r="BE108" i="1"/>
  <c r="AP117" i="1"/>
  <c r="AE116" i="1"/>
  <c r="AD115" i="1"/>
  <c r="AY114" i="1"/>
  <c r="AQ114" i="1"/>
  <c r="AH18" i="2"/>
  <c r="J139" i="1"/>
  <c r="BC114" i="1"/>
  <c r="AU114" i="1"/>
  <c r="L141" i="1"/>
  <c r="AX117" i="1"/>
  <c r="AM116" i="1"/>
  <c r="L115" i="1"/>
  <c r="AV116" i="1"/>
  <c r="AL116" i="1" s="1"/>
  <c r="N141" i="1"/>
  <c r="K115" i="1"/>
  <c r="AR116" i="1"/>
  <c r="AJ116" i="1" s="1"/>
  <c r="AT117" i="1"/>
  <c r="AK117" i="1" s="1"/>
  <c r="K141" i="1"/>
  <c r="AM117" i="1" l="1"/>
  <c r="O142" i="1" s="1"/>
  <c r="O141" i="1"/>
  <c r="BD116" i="1"/>
  <c r="O30" i="1"/>
  <c r="AP118" i="1"/>
  <c r="AE117" i="1"/>
  <c r="AF109" i="1"/>
  <c r="BA109" i="1"/>
  <c r="AG13" i="2"/>
  <c r="AG109" i="1"/>
  <c r="AW109" i="1"/>
  <c r="J109" i="1"/>
  <c r="BB109" i="1"/>
  <c r="AS109" i="1"/>
  <c r="AO109" i="1"/>
  <c r="AQ115" i="1"/>
  <c r="AY115" i="1"/>
  <c r="AU115" i="1"/>
  <c r="AD116" i="1"/>
  <c r="J140" i="1"/>
  <c r="AH19" i="2"/>
  <c r="BC115" i="1"/>
  <c r="L142" i="1"/>
  <c r="AX118" i="1"/>
  <c r="K116" i="1"/>
  <c r="AR117" i="1"/>
  <c r="AJ117" i="1" s="1"/>
  <c r="K142" i="1"/>
  <c r="AT118" i="1"/>
  <c r="AK118" i="1" s="1"/>
  <c r="O110" i="1"/>
  <c r="N110" i="1"/>
  <c r="AV117" i="1"/>
  <c r="AL117" i="1" s="1"/>
  <c r="L116" i="1"/>
  <c r="N142" i="1"/>
  <c r="L143" i="1" l="1"/>
  <c r="AX119" i="1"/>
  <c r="BD117" i="1"/>
  <c r="O31" i="1"/>
  <c r="J141" i="1"/>
  <c r="BC116" i="1"/>
  <c r="AQ116" i="1"/>
  <c r="AH20" i="2"/>
  <c r="AY116" i="1"/>
  <c r="AD117" i="1"/>
  <c r="AU116" i="1"/>
  <c r="AH109" i="1"/>
  <c r="AZ109" i="1"/>
  <c r="AI109" i="1"/>
  <c r="AC110" i="1" s="1"/>
  <c r="BE109" i="1"/>
  <c r="N23" i="1"/>
  <c r="AP119" i="1"/>
  <c r="AE118" i="1"/>
  <c r="AM118" i="1"/>
  <c r="O143" i="1" s="1"/>
  <c r="N143" i="1"/>
  <c r="AV118" i="1"/>
  <c r="AL118" i="1" s="1"/>
  <c r="L117" i="1"/>
  <c r="K143" i="1"/>
  <c r="AT119" i="1"/>
  <c r="AK119" i="1" s="1"/>
  <c r="AR118" i="1"/>
  <c r="AJ118" i="1" s="1"/>
  <c r="K117" i="1"/>
  <c r="AR162" i="1"/>
  <c r="AR163" i="1" s="1"/>
  <c r="AP120" i="1" l="1"/>
  <c r="AE120" i="1" s="1"/>
  <c r="AE119" i="1"/>
  <c r="AW110" i="1"/>
  <c r="AF110" i="1"/>
  <c r="J110" i="1"/>
  <c r="AO110" i="1"/>
  <c r="AS110" i="1"/>
  <c r="BB110" i="1"/>
  <c r="AG14" i="2"/>
  <c r="AG110" i="1"/>
  <c r="BA110" i="1"/>
  <c r="J142" i="1"/>
  <c r="AU117" i="1"/>
  <c r="AT162" i="1"/>
  <c r="AT163" i="1" s="1"/>
  <c r="AY117" i="1"/>
  <c r="AH21" i="2"/>
  <c r="AQ117" i="1"/>
  <c r="AD118" i="1"/>
  <c r="BC117" i="1"/>
  <c r="L144" i="1"/>
  <c r="AX120" i="1"/>
  <c r="L145" i="1" s="1"/>
  <c r="AM119" i="1"/>
  <c r="BD118" i="1"/>
  <c r="O32" i="1"/>
  <c r="AV119" i="1"/>
  <c r="AL119" i="1" s="1"/>
  <c r="L118" i="1"/>
  <c r="N111" i="1"/>
  <c r="O111" i="1"/>
  <c r="K118" i="1"/>
  <c r="AR119" i="1"/>
  <c r="AJ119" i="1" s="1"/>
  <c r="AT120" i="1"/>
  <c r="K145" i="1" s="1"/>
  <c r="K144" i="1"/>
  <c r="AM120" i="1" l="1"/>
  <c r="O145" i="1" s="1"/>
  <c r="AH110" i="1"/>
  <c r="AI110" i="1"/>
  <c r="AC111" i="1" s="1"/>
  <c r="BE110" i="1"/>
  <c r="AZ110" i="1"/>
  <c r="N24" i="1"/>
  <c r="BD119" i="1"/>
  <c r="O33" i="1"/>
  <c r="AE121" i="1"/>
  <c r="O34" i="1"/>
  <c r="BD120" i="1"/>
  <c r="AK120" i="1"/>
  <c r="N145" i="1" s="1"/>
  <c r="AU118" i="1"/>
  <c r="AH22" i="2"/>
  <c r="AD119" i="1"/>
  <c r="AY118" i="1"/>
  <c r="J143" i="1"/>
  <c r="BC118" i="1"/>
  <c r="AQ118" i="1"/>
  <c r="AR120" i="1"/>
  <c r="AJ120" i="1" s="1"/>
  <c r="K119" i="1"/>
  <c r="N144" i="1"/>
  <c r="O144" i="1"/>
  <c r="L119" i="1"/>
  <c r="AV120" i="1"/>
  <c r="L120" i="1" s="1"/>
  <c r="BH122" i="1" l="1"/>
  <c r="BX122" i="1"/>
  <c r="BP122" i="1"/>
  <c r="AG111" i="1"/>
  <c r="J111" i="1"/>
  <c r="AS111" i="1"/>
  <c r="AW111" i="1"/>
  <c r="BB111" i="1"/>
  <c r="AF111" i="1"/>
  <c r="AO111" i="1"/>
  <c r="BA111" i="1"/>
  <c r="AG15" i="2"/>
  <c r="AL120" i="1"/>
  <c r="AY119" i="1"/>
  <c r="AQ119" i="1"/>
  <c r="AU119" i="1"/>
  <c r="BC119" i="1"/>
  <c r="J144" i="1"/>
  <c r="AH23" i="2"/>
  <c r="AD120" i="1"/>
  <c r="N112" i="1"/>
  <c r="O112" i="1"/>
  <c r="J145" i="1" l="1"/>
  <c r="AY120" i="1"/>
  <c r="AU120" i="1"/>
  <c r="AQ120" i="1"/>
  <c r="AH24" i="2"/>
  <c r="BC120" i="1"/>
  <c r="BE111" i="1"/>
  <c r="AZ111" i="1"/>
  <c r="AH111" i="1"/>
  <c r="N25" i="1"/>
  <c r="AI111" i="1"/>
  <c r="AC112" i="1" s="1"/>
  <c r="AF112" i="1" l="1"/>
  <c r="AG112" i="1"/>
  <c r="AS112" i="1"/>
  <c r="AW112" i="1"/>
  <c r="AO112" i="1"/>
  <c r="BA112" i="1"/>
  <c r="AG16" i="2"/>
  <c r="BB112" i="1"/>
  <c r="J112" i="1"/>
  <c r="BH102" i="1"/>
  <c r="BH119" i="1"/>
  <c r="BH104" i="1"/>
  <c r="BH106" i="1"/>
  <c r="BH109" i="1"/>
  <c r="BH110" i="1"/>
  <c r="BH111" i="1"/>
  <c r="BH118" i="1"/>
  <c r="BH100" i="1"/>
  <c r="BI100" i="1" s="1"/>
  <c r="BH101" i="1"/>
  <c r="BH105" i="1"/>
  <c r="BH128" i="1" s="1"/>
  <c r="BH103" i="1"/>
  <c r="BH107" i="1"/>
  <c r="BH108" i="1"/>
  <c r="BH115" i="1"/>
  <c r="BH117" i="1"/>
  <c r="BH120" i="1"/>
  <c r="BH114" i="1"/>
  <c r="BH112" i="1"/>
  <c r="BH116" i="1"/>
  <c r="BH113" i="1"/>
  <c r="N113" i="1"/>
  <c r="O113" i="1"/>
  <c r="BH127" i="1" l="1"/>
  <c r="BH141" i="1"/>
  <c r="BH139" i="1"/>
  <c r="BH134" i="1"/>
  <c r="BH129" i="1"/>
  <c r="BH143" i="1"/>
  <c r="BH133" i="1"/>
  <c r="BH125" i="1"/>
  <c r="BI125" i="1" s="1"/>
  <c r="BH135" i="1"/>
  <c r="BH140" i="1"/>
  <c r="BH130" i="1"/>
  <c r="BI101" i="1"/>
  <c r="BI102" i="1" s="1"/>
  <c r="BI103" i="1" s="1"/>
  <c r="BI104" i="1" s="1"/>
  <c r="BI105" i="1" s="1"/>
  <c r="BI106" i="1" s="1"/>
  <c r="BI107" i="1" s="1"/>
  <c r="BI108" i="1" s="1"/>
  <c r="BI109" i="1" s="1"/>
  <c r="BI110" i="1" s="1"/>
  <c r="BI111" i="1" s="1"/>
  <c r="BI112" i="1" s="1"/>
  <c r="BI113" i="1" s="1"/>
  <c r="BI114" i="1" s="1"/>
  <c r="BI115" i="1" s="1"/>
  <c r="BI116" i="1" s="1"/>
  <c r="BI117" i="1" s="1"/>
  <c r="BI118" i="1" s="1"/>
  <c r="BI119" i="1" s="1"/>
  <c r="BI120" i="1" s="1"/>
  <c r="BH132" i="1"/>
  <c r="BH142" i="1"/>
  <c r="BH136" i="1"/>
  <c r="BH137" i="1"/>
  <c r="BH138" i="1"/>
  <c r="BH131" i="1"/>
  <c r="BH126" i="1"/>
  <c r="BI126" i="1" s="1"/>
  <c r="BI127" i="1" s="1"/>
  <c r="BI128" i="1" s="1"/>
  <c r="BI129" i="1" s="1"/>
  <c r="BI130" i="1" s="1"/>
  <c r="BI131" i="1" s="1"/>
  <c r="BI132" i="1" s="1"/>
  <c r="BI133" i="1" s="1"/>
  <c r="BI134" i="1" s="1"/>
  <c r="BI135" i="1" s="1"/>
  <c r="BI136" i="1" s="1"/>
  <c r="BI137" i="1" s="1"/>
  <c r="BI138" i="1" s="1"/>
  <c r="BI139" i="1" s="1"/>
  <c r="BI140" i="1" s="1"/>
  <c r="BI141" i="1" s="1"/>
  <c r="BI142" i="1" s="1"/>
  <c r="BI143" i="1" s="1"/>
  <c r="AZ112" i="1"/>
  <c r="N26" i="1"/>
  <c r="BE112" i="1"/>
  <c r="AH112" i="1"/>
  <c r="AI112" i="1"/>
  <c r="AC113" i="1" s="1"/>
  <c r="AF113" i="1" l="1"/>
  <c r="AG17" i="2"/>
  <c r="AO113" i="1"/>
  <c r="J113" i="1"/>
  <c r="AS113" i="1"/>
  <c r="BA113" i="1"/>
  <c r="BB113" i="1"/>
  <c r="AG113" i="1"/>
  <c r="AW113" i="1"/>
  <c r="BH144" i="1"/>
  <c r="O114" i="1"/>
  <c r="N114" i="1"/>
  <c r="BE113" i="1" l="1"/>
  <c r="N27" i="1"/>
  <c r="AH113" i="1"/>
  <c r="AZ113" i="1"/>
  <c r="AI113" i="1"/>
  <c r="AC114" i="1" s="1"/>
  <c r="BA114" i="1" l="1"/>
  <c r="AG114" i="1"/>
  <c r="AW114" i="1"/>
  <c r="AS114" i="1"/>
  <c r="BB114" i="1"/>
  <c r="AO114" i="1"/>
  <c r="AG18" i="2"/>
  <c r="J114" i="1"/>
  <c r="AF114" i="1"/>
  <c r="N115" i="1"/>
  <c r="O115" i="1"/>
  <c r="AZ114" i="1" l="1"/>
  <c r="BE114" i="1"/>
  <c r="AH114" i="1"/>
  <c r="N28" i="1"/>
  <c r="AI114" i="1"/>
  <c r="AC115" i="1" s="1"/>
  <c r="AG115" i="1" l="1"/>
  <c r="AO115" i="1"/>
  <c r="J115" i="1"/>
  <c r="BB115" i="1"/>
  <c r="AS115" i="1"/>
  <c r="BA115" i="1"/>
  <c r="AW115" i="1"/>
  <c r="AF115" i="1"/>
  <c r="AG19" i="2"/>
  <c r="N116" i="1"/>
  <c r="O116" i="1"/>
  <c r="N29" i="1" l="1"/>
  <c r="AH115" i="1"/>
  <c r="AZ115" i="1"/>
  <c r="BE115" i="1"/>
  <c r="AI115" i="1"/>
  <c r="AC116" i="1" s="1"/>
  <c r="BA116" i="1" l="1"/>
  <c r="AG116" i="1"/>
  <c r="AW116" i="1"/>
  <c r="AF116" i="1"/>
  <c r="BB116" i="1"/>
  <c r="AO116" i="1"/>
  <c r="J116" i="1"/>
  <c r="AG20" i="2"/>
  <c r="AS116" i="1"/>
  <c r="O117" i="1"/>
  <c r="N117" i="1"/>
  <c r="AH116" i="1" l="1"/>
  <c r="AZ116" i="1"/>
  <c r="BE116" i="1"/>
  <c r="N30" i="1"/>
  <c r="AI116" i="1"/>
  <c r="AC117" i="1" s="1"/>
  <c r="AS117" i="1" l="1"/>
  <c r="J117" i="1"/>
  <c r="AG117" i="1"/>
  <c r="BA117" i="1"/>
  <c r="AG21" i="2"/>
  <c r="AO117" i="1"/>
  <c r="BB117" i="1"/>
  <c r="AF117" i="1"/>
  <c r="AW117" i="1"/>
  <c r="N118" i="1"/>
  <c r="O118" i="1"/>
  <c r="AZ117" i="1" l="1"/>
  <c r="N31" i="1"/>
  <c r="BE117" i="1"/>
  <c r="AH117" i="1"/>
  <c r="AI117" i="1"/>
  <c r="AC118" i="1" s="1"/>
  <c r="AW118" i="1" l="1"/>
  <c r="AG118" i="1"/>
  <c r="AS118" i="1"/>
  <c r="J118" i="1"/>
  <c r="BA118" i="1"/>
  <c r="BB118" i="1"/>
  <c r="AO118" i="1"/>
  <c r="AF118" i="1"/>
  <c r="AG22" i="2"/>
  <c r="AZ118" i="1" l="1"/>
  <c r="AI118" i="1"/>
  <c r="AC119" i="1" s="1"/>
  <c r="BE118" i="1"/>
  <c r="AH118" i="1"/>
  <c r="N32" i="1"/>
  <c r="O120" i="1"/>
  <c r="O119" i="1"/>
  <c r="N119" i="1"/>
  <c r="N120" i="1"/>
  <c r="AW119" i="1" l="1"/>
  <c r="AG119" i="1"/>
  <c r="BA119" i="1"/>
  <c r="AO119" i="1"/>
  <c r="AG23" i="2"/>
  <c r="AF119" i="1"/>
  <c r="AS119" i="1"/>
  <c r="J119" i="1"/>
  <c r="BB119" i="1"/>
  <c r="AH119" i="1" l="1"/>
  <c r="AZ119" i="1"/>
  <c r="AI119" i="1"/>
  <c r="AC120" i="1" s="1"/>
  <c r="BE119" i="1"/>
  <c r="N33" i="1"/>
  <c r="BN122" i="1" l="1"/>
  <c r="AG120" i="1"/>
  <c r="AW120" i="1"/>
  <c r="AS120" i="1"/>
  <c r="BA120" i="1"/>
  <c r="BF122" i="1"/>
  <c r="AG24" i="2"/>
  <c r="BB120" i="1"/>
  <c r="AO120" i="1"/>
  <c r="J120" i="1"/>
  <c r="CH98" i="1"/>
  <c r="AF120" i="1"/>
  <c r="BG103" i="1" l="1"/>
  <c r="BG113" i="1"/>
  <c r="BF113" i="1"/>
  <c r="BG117" i="1"/>
  <c r="BF107" i="1"/>
  <c r="BG118" i="1"/>
  <c r="BF108" i="1"/>
  <c r="BF118" i="1"/>
  <c r="BG109" i="1"/>
  <c r="BF101" i="1"/>
  <c r="BG100" i="1"/>
  <c r="BF111" i="1"/>
  <c r="BF103" i="1"/>
  <c r="BG104" i="1"/>
  <c r="BG114" i="1"/>
  <c r="BF104" i="1"/>
  <c r="BF114" i="1"/>
  <c r="BG105" i="1"/>
  <c r="BG115" i="1"/>
  <c r="BF105" i="1"/>
  <c r="BF115" i="1"/>
  <c r="BG106" i="1"/>
  <c r="BG116" i="1"/>
  <c r="BF106" i="1"/>
  <c r="BG107" i="1"/>
  <c r="BG101" i="1"/>
  <c r="BG120" i="1"/>
  <c r="BG112" i="1"/>
  <c r="BF116" i="1"/>
  <c r="BF117" i="1"/>
  <c r="BF100" i="1"/>
  <c r="BG108" i="1"/>
  <c r="BG119" i="1"/>
  <c r="BF109" i="1"/>
  <c r="BF110" i="1"/>
  <c r="BF112" i="1"/>
  <c r="BG111" i="1"/>
  <c r="BG102" i="1"/>
  <c r="BG110" i="1"/>
  <c r="BF102" i="1"/>
  <c r="CI98" i="1"/>
  <c r="CI99" i="1" s="1"/>
  <c r="CI100" i="1" s="1"/>
  <c r="CI101" i="1" s="1"/>
  <c r="CI102" i="1" s="1"/>
  <c r="CI103" i="1" s="1"/>
  <c r="CI104" i="1" s="1"/>
  <c r="CI105" i="1" s="1"/>
  <c r="CI106" i="1" s="1"/>
  <c r="CI107" i="1" s="1"/>
  <c r="CI108" i="1" s="1"/>
  <c r="CI109" i="1" s="1"/>
  <c r="CI110" i="1" s="1"/>
  <c r="CI111" i="1" s="1"/>
  <c r="CI112" i="1" s="1"/>
  <c r="CI113" i="1" s="1"/>
  <c r="CI114" i="1" s="1"/>
  <c r="CI115" i="1" s="1"/>
  <c r="CI116" i="1" s="1"/>
  <c r="CI117" i="1" s="1"/>
  <c r="CI118" i="1" s="1"/>
  <c r="CI119" i="1" s="1"/>
  <c r="CI120" i="1" s="1"/>
  <c r="CH122" i="1"/>
  <c r="AZ120" i="1"/>
  <c r="N34" i="1"/>
  <c r="AF121" i="1"/>
  <c r="AH120" i="1"/>
  <c r="AI120" i="1"/>
  <c r="BE120" i="1"/>
  <c r="BF120" i="1" s="1"/>
  <c r="BF119" i="1"/>
  <c r="BF128" i="1" l="1"/>
  <c r="BF125" i="1"/>
  <c r="BG125" i="1" s="1"/>
  <c r="BF140" i="1"/>
  <c r="BF134" i="1"/>
  <c r="BF130" i="1"/>
  <c r="BF135" i="1"/>
  <c r="BF133" i="1"/>
  <c r="BF139" i="1"/>
  <c r="BF127" i="1"/>
  <c r="BF126" i="1"/>
  <c r="BG126" i="1" s="1"/>
  <c r="BG127" i="1" s="1"/>
  <c r="BF143" i="1"/>
  <c r="BF141" i="1"/>
  <c r="BF129" i="1"/>
  <c r="BF136" i="1"/>
  <c r="BF137" i="1"/>
  <c r="BF132" i="1"/>
  <c r="BF142" i="1"/>
  <c r="BF131" i="1"/>
  <c r="AH121" i="1"/>
  <c r="BV122" i="1"/>
  <c r="BF138" i="1"/>
  <c r="BG128" i="1" l="1"/>
  <c r="BF144" i="1"/>
  <c r="BG129" i="1"/>
  <c r="BG130" i="1" s="1"/>
  <c r="BG131" i="1" s="1"/>
  <c r="BG132" i="1" s="1"/>
  <c r="BG133" i="1" s="1"/>
  <c r="BG134" i="1" s="1"/>
  <c r="BG135" i="1" s="1"/>
  <c r="BG136" i="1" s="1"/>
  <c r="BG137" i="1" s="1"/>
  <c r="BG138" i="1" s="1"/>
  <c r="BG139" i="1" s="1"/>
  <c r="BG140" i="1" s="1"/>
  <c r="BG141" i="1" s="1"/>
  <c r="BG142" i="1" s="1"/>
  <c r="BG1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CC116" authorId="0" shapeId="0" xr:uid="{36328D59-F7A0-4246-B53E-76B7CFCACFD6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G116" authorId="0" shapeId="0" xr:uid="{F8D27A19-234A-4AB5-AB19-4B32B0178038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K116" authorId="0" shapeId="0" xr:uid="{146B68AE-C9F4-46E9-80BD-9B0F0C443FC4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P116" authorId="0" shapeId="0" xr:uid="{FE4D53D6-62EA-46C7-B3CE-6C8A0A0B53B1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</commentList>
</comments>
</file>

<file path=xl/sharedStrings.xml><?xml version="1.0" encoding="utf-8"?>
<sst xmlns="http://schemas.openxmlformats.org/spreadsheetml/2006/main" count="1007" uniqueCount="346">
  <si>
    <t>↓</t>
  </si>
  <si>
    <t>µ</t>
  </si>
  <si>
    <t>/</t>
  </si>
  <si>
    <t>x</t>
  </si>
  <si>
    <t>µ
µ</t>
  </si>
  <si>
    <t>Donnerstag</t>
  </si>
  <si>
    <t>Datum</t>
  </si>
  <si>
    <t>Backer</t>
  </si>
  <si>
    <t>€</t>
  </si>
  <si>
    <t>erreichte Ziele</t>
  </si>
  <si>
    <t>1.</t>
  </si>
  <si>
    <t>2.</t>
  </si>
  <si>
    <t>5.</t>
  </si>
  <si>
    <t>3.</t>
  </si>
  <si>
    <t>7.</t>
  </si>
  <si>
    <t>10.</t>
  </si>
  <si>
    <t>9.</t>
  </si>
  <si>
    <t>11.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</si>
  <si>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</si>
  <si>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</si>
  <si>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</si>
  <si>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</si>
  <si>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</si>
  <si>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</si>
  <si>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</si>
  <si>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</si>
  <si>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</si>
  <si>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</si>
  <si>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</si>
  <si>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</si>
  <si>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</si>
  <si>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</si>
  <si>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</si>
  <si>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</si>
  <si>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</si>
  <si>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DSK:Fasar</t>
  </si>
  <si>
    <t>AVENTURIA:Nedime</t>
  </si>
  <si>
    <t>DSA:Werkzeuge</t>
  </si>
  <si>
    <t>DSA:Thorwal</t>
  </si>
  <si>
    <t>%</t>
  </si>
  <si>
    <t>Original</t>
  </si>
  <si>
    <t>Normiert</t>
  </si>
  <si>
    <t>Tag 1 mal X</t>
  </si>
  <si>
    <t>Thorwal norm (€)</t>
  </si>
  <si>
    <t>Thorwal norm (Backer)</t>
  </si>
  <si>
    <t>Werkzeuge norm (€)</t>
  </si>
  <si>
    <t>Werkzeuge norm (Backer)</t>
  </si>
  <si>
    <t>Mythos norm (€)</t>
  </si>
  <si>
    <t>Mythos norm (Backer)</t>
  </si>
  <si>
    <t>Thorwal (€)</t>
  </si>
  <si>
    <t>Thorwal (Backer)</t>
  </si>
  <si>
    <t>Werkzeuge (€)</t>
  </si>
  <si>
    <t>Werkzeuge (Backer)</t>
  </si>
  <si>
    <t>Mythos (€)</t>
  </si>
  <si>
    <t>Mythos (Backer)</t>
  </si>
  <si>
    <t>Aventuria (€) %</t>
  </si>
  <si>
    <t>Aventuria (Backer) %</t>
  </si>
  <si>
    <t>Thorwal (€) %</t>
  </si>
  <si>
    <t>Thorwal (Backer) %</t>
  </si>
  <si>
    <t>Werkzeuge (€) %</t>
  </si>
  <si>
    <t>Werkzeuge (Backer) %</t>
  </si>
  <si>
    <t>Mythos (€) %</t>
  </si>
  <si>
    <t>Mthos (Backer) %</t>
  </si>
  <si>
    <t>MP TW (€)</t>
  </si>
  <si>
    <t>MP TW (B)</t>
  </si>
  <si>
    <t>MP AV (€)</t>
  </si>
  <si>
    <t>MP AV (B)</t>
  </si>
  <si>
    <t>DSK (€)</t>
  </si>
  <si>
    <t>DSK (Backer)</t>
  </si>
  <si>
    <t>DSK norm (€)</t>
  </si>
  <si>
    <t>DSK norm (Backer)</t>
  </si>
  <si>
    <t>MP DSK (€)</t>
  </si>
  <si>
    <t>MP DSK (B)</t>
  </si>
  <si>
    <t>Tag 2 mal X</t>
  </si>
  <si>
    <t>Min:</t>
  </si>
  <si>
    <t>Max:</t>
  </si>
  <si>
    <t>B</t>
  </si>
  <si>
    <t>€ kum.</t>
  </si>
  <si>
    <t>Backer kum</t>
  </si>
  <si>
    <t>Vorlage Tag 3</t>
  </si>
  <si>
    <t>Min. Schätzung</t>
  </si>
  <si>
    <t>Max. Schätzung</t>
  </si>
  <si>
    <t>Stand Ist/HR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</si>
  <si>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</si>
  <si>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</si>
  <si>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</si>
  <si>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</si>
  <si>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</si>
  <si>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</si>
  <si>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</si>
  <si>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</si>
  <si>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</si>
  <si>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</si>
  <si>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</si>
  <si>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</si>
  <si>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Nedime (€)</t>
  </si>
  <si>
    <t>Nedime (Backer)</t>
  </si>
  <si>
    <t>Mythen (€)</t>
  </si>
  <si>
    <t>Mythen (Backer)</t>
  </si>
  <si>
    <t>Mythen norm (€)</t>
  </si>
  <si>
    <t>Mythen norm (Backer)</t>
  </si>
  <si>
    <t>Aventuria:Mythen&amp;Legenden</t>
  </si>
  <si>
    <t>€ Summe</t>
  </si>
  <si>
    <t>MP WM (€)</t>
  </si>
  <si>
    <t>MP WM (B)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</si>
  <si>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</si>
  <si>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</si>
  <si>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</si>
  <si>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</si>
  <si>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</si>
  <si>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</si>
  <si>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</si>
  <si>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</si>
  <si>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DSK (B)</t>
  </si>
  <si>
    <t>WM (€)</t>
  </si>
  <si>
    <t>WM (B)</t>
  </si>
  <si>
    <t>AML (€)</t>
  </si>
  <si>
    <t>AML (B)</t>
  </si>
  <si>
    <t>ANB (€)</t>
  </si>
  <si>
    <t>ANB (B)</t>
  </si>
  <si>
    <t>AML (€/kum)</t>
  </si>
  <si>
    <t>AML (B/kum)</t>
  </si>
  <si>
    <t>DSK (€/kum)</t>
  </si>
  <si>
    <t>DSK (B/kum)</t>
  </si>
  <si>
    <t>WM (€/kum)</t>
  </si>
  <si>
    <t>WM (B/kum)</t>
  </si>
  <si>
    <t>ANB (€/kum)</t>
  </si>
  <si>
    <t>ANB (B/kum)</t>
  </si>
  <si>
    <t>Tag 3</t>
  </si>
  <si>
    <t>Schnitt</t>
  </si>
  <si>
    <t>MP AML (€)</t>
  </si>
  <si>
    <t>MP AML (B)</t>
  </si>
  <si>
    <t>SOK (€)</t>
  </si>
  <si>
    <t>SOK (Backer)</t>
  </si>
  <si>
    <t>Tag 3 mal X</t>
  </si>
  <si>
    <t>Tag 4 mal X</t>
  </si>
  <si>
    <t>Tag 5 mal X</t>
  </si>
  <si>
    <t>Tag 4</t>
  </si>
  <si>
    <t>Tag 5</t>
  </si>
  <si>
    <t>Tag 6 mal X</t>
  </si>
  <si>
    <t>Tag 6</t>
  </si>
  <si>
    <t>Tag 7</t>
  </si>
  <si>
    <t>Tag 7 mal X</t>
  </si>
  <si>
    <t>Die Sonnenküste</t>
  </si>
  <si>
    <t>SOK (€/kum)</t>
  </si>
  <si>
    <t>SOK (B)</t>
  </si>
  <si>
    <t>SOK (B/kum)</t>
  </si>
  <si>
    <t>RE (€)</t>
  </si>
  <si>
    <t>RE (Backer)</t>
  </si>
  <si>
    <t>SOK norm (€)</t>
  </si>
  <si>
    <t>SOK norm (Backer)</t>
  </si>
  <si>
    <t>MP SOK (€)</t>
  </si>
  <si>
    <t>MP SOK (B)</t>
  </si>
  <si>
    <t>Rohals Erben</t>
  </si>
  <si>
    <t>In %</t>
  </si>
  <si>
    <t>Die Gunst der Göttin</t>
  </si>
  <si>
    <t>RE (€/kum)</t>
  </si>
  <si>
    <t>RE (B)</t>
  </si>
  <si>
    <t>RE (B/kum)</t>
  </si>
  <si>
    <t>DGG (€)</t>
  </si>
  <si>
    <t>DGG (€/kum)</t>
  </si>
  <si>
    <t>DGG (B)</t>
  </si>
  <si>
    <t>DGG (B/kum)</t>
  </si>
  <si>
    <t>MP RE (€)</t>
  </si>
  <si>
    <t>MP RE (B)</t>
  </si>
  <si>
    <t>DGG (Backer)</t>
  </si>
  <si>
    <t>Schnitt Tag 1-3</t>
  </si>
  <si>
    <t>Prognose min</t>
  </si>
  <si>
    <t>Prognose max</t>
  </si>
  <si>
    <t>DSV (€)</t>
  </si>
  <si>
    <t>DSV (Backer)</t>
  </si>
  <si>
    <t>MP DGG (€)</t>
  </si>
  <si>
    <t>MP DGG (B)</t>
  </si>
  <si>
    <t>DSK Fasar</t>
  </si>
  <si>
    <t>Formeln anpassen bei 2 Tagen (Summe = 100%)</t>
  </si>
  <si>
    <t>Min/max Tag 1-3</t>
  </si>
  <si>
    <t>Kalkulation DSK (Fasar als Richtlinie Mittelwert)</t>
  </si>
  <si>
    <t>https://hinter-dem-schwarzen-auge.de/links</t>
  </si>
  <si>
    <t>18:00</t>
  </si>
  <si>
    <t>Link to the crowdfunding:</t>
  </si>
  <si>
    <t>https://www.kickstarter.com/projects/ulissesspiele/aventuria-stories-and-legends</t>
  </si>
  <si>
    <t>(all information without guarantee!)</t>
  </si>
  <si>
    <t>Type</t>
  </si>
  <si>
    <t>(German) News, Podcast, Discord, Twitch, YouTube</t>
  </si>
  <si>
    <t>"1 $ pledge"</t>
  </si>
  <si>
    <t>New Heroes</t>
  </si>
  <si>
    <t>New to Aventuria</t>
  </si>
  <si>
    <t>New Stories &amp; Legends</t>
  </si>
  <si>
    <t>New Stories, Legends &amp; Heroes</t>
  </si>
  <si>
    <t>Expanded New to Aventuria</t>
  </si>
  <si>
    <t>All-Venturia</t>
  </si>
  <si>
    <t>Price as add on</t>
  </si>
  <si>
    <t>Retail price</t>
  </si>
  <si>
    <t>Notes</t>
  </si>
  <si>
    <t>Funded</t>
  </si>
  <si>
    <t>Tempt your fate</t>
  </si>
  <si>
    <t>Music to your ears</t>
  </si>
  <si>
    <t>Level up</t>
  </si>
  <si>
    <t>Driving up the wall</t>
  </si>
  <si>
    <t>Improving the ambience</t>
  </si>
  <si>
    <t>Unfolding events</t>
  </si>
  <si>
    <t>Well deserved titles</t>
  </si>
  <si>
    <t>$</t>
  </si>
  <si>
    <t>Alternates Grundbox</t>
  </si>
  <si>
    <t>Optional fate cards</t>
  </si>
  <si>
    <t>MP3 Wildenstein</t>
  </si>
  <si>
    <t>Alternates neue Helden</t>
  </si>
  <si>
    <t>5 walls</t>
  </si>
  <si>
    <t>MP3 Nordlicht</t>
  </si>
  <si>
    <t>Even cards</t>
  </si>
  <si>
    <t>Alternates 4 Helden</t>
  </si>
  <si>
    <t>Add on</t>
  </si>
  <si>
    <t>Aventuria - Arsenal of Heroes</t>
  </si>
  <si>
    <t>Products of the crowdfunding</t>
  </si>
  <si>
    <t>n.a.</t>
  </si>
  <si>
    <t>1 hero with 55 cards</t>
  </si>
  <si>
    <t>50 printed premium sleeves</t>
  </si>
  <si>
    <t>50 clear premium sleeves</t>
  </si>
  <si>
    <t>4 heroes + 3 adventures</t>
  </si>
  <si>
    <t>1 hero + 3 adventures</t>
  </si>
  <si>
    <t>1 adventures</t>
  </si>
  <si>
    <t>1 big escape adventure</t>
  </si>
  <si>
    <t>1 solo adventure</t>
  </si>
  <si>
    <t>1 hero + 1 adventure</t>
  </si>
  <si>
    <t>More scenarios for the Inn</t>
  </si>
  <si>
    <t>Box with 605 cards</t>
  </si>
  <si>
    <t>Your extra products</t>
  </si>
  <si>
    <r>
      <t xml:space="preserve">desired </t>
    </r>
    <r>
      <rPr>
        <b/>
        <u/>
        <sz val="12"/>
        <color rgb="FFFF0000"/>
        <rFont val="Book Antiqua"/>
        <family val="1"/>
      </rPr>
      <t>products</t>
    </r>
  </si>
  <si>
    <t>Forecast (could fit, or not ;) )</t>
  </si>
  <si>
    <t>Day</t>
  </si>
  <si>
    <t>Date</t>
  </si>
  <si>
    <t>Backer min.</t>
  </si>
  <si>
    <t>Backer max.</t>
  </si>
  <si>
    <t>1 big escape adventure + scenarios</t>
  </si>
  <si>
    <r>
      <t>Aventuria - Black Boar Bundle</t>
    </r>
    <r>
      <rPr>
        <sz val="8"/>
        <color theme="1"/>
        <rFont val="Book Antiqua"/>
        <family val="1"/>
      </rPr>
      <t xml:space="preserve"> ("Inn of the Black Boar" + "Return to the Inn of the Black Boar")</t>
    </r>
  </si>
  <si>
    <r>
      <t>Aventuria - Hero bundle</t>
    </r>
    <r>
      <rPr>
        <sz val="8"/>
        <color theme="1"/>
        <rFont val="Book Antiqua"/>
        <family val="1"/>
      </rPr>
      <t xml:space="preserve"> (4 hero sets + Wheel of life)</t>
    </r>
  </si>
  <si>
    <t>4 heroes + 4 adventures + 10 wheels</t>
  </si>
  <si>
    <r>
      <t>Aventuria - Solo bundle</t>
    </r>
    <r>
      <rPr>
        <sz val="8"/>
        <color theme="1"/>
        <rFont val="Book Antiqua"/>
        <family val="1"/>
      </rPr>
      <t xml:space="preserve"> (Nedime - The Caliph's Daughter + Curse of Borbarad)</t>
    </r>
  </si>
  <si>
    <t>2 solo adventures</t>
  </si>
  <si>
    <t>included</t>
  </si>
  <si>
    <t>$ ges. Ist</t>
  </si>
  <si>
    <t>Aventuria - Printed premium sleeves package</t>
  </si>
  <si>
    <t>Aventuria - Clear premium sleeves package</t>
  </si>
  <si>
    <t>Kickstarter exclusive</t>
  </si>
  <si>
    <r>
      <t xml:space="preserve">Aventuria - Stories &amp; Legends Crowdfunding Guide          </t>
    </r>
    <r>
      <rPr>
        <b/>
        <i/>
        <sz val="16"/>
        <color theme="0"/>
        <rFont val="Book Antiqua"/>
        <family val="1"/>
      </rPr>
      <t>by          Hinter dem Schwarzen Auge (Behind the Dark Eye)</t>
    </r>
  </si>
  <si>
    <t>Shipping USA (Continental)</t>
  </si>
  <si>
    <t>Shipping USA (Alaska, Hawaii)</t>
  </si>
  <si>
    <t>Shipping EU</t>
  </si>
  <si>
    <r>
      <t>Shipping Canada</t>
    </r>
    <r>
      <rPr>
        <i/>
        <sz val="8"/>
        <color theme="1"/>
        <rFont val="Book Antiqua"/>
        <family val="1"/>
      </rPr>
      <t xml:space="preserve"> - your country might add additional taxes</t>
    </r>
  </si>
  <si>
    <r>
      <t>Shipping United Kingdom</t>
    </r>
    <r>
      <rPr>
        <i/>
        <sz val="8"/>
        <color theme="1"/>
        <rFont val="Book Antiqua"/>
        <family val="1"/>
      </rPr>
      <t xml:space="preserve"> - your country might add additional taxes</t>
    </r>
  </si>
  <si>
    <r>
      <t>Shipping Australia</t>
    </r>
    <r>
      <rPr>
        <i/>
        <sz val="8"/>
        <color theme="1"/>
        <rFont val="Book Antiqua"/>
        <family val="1"/>
      </rPr>
      <t xml:space="preserve"> - your country might add additional taxes</t>
    </r>
  </si>
  <si>
    <r>
      <t>Shipping New Zealand</t>
    </r>
    <r>
      <rPr>
        <i/>
        <sz val="8"/>
        <color theme="1"/>
        <rFont val="Book Antiqua"/>
        <family val="1"/>
      </rPr>
      <t xml:space="preserve"> - your country might add additional taxes</t>
    </r>
  </si>
  <si>
    <r>
      <t>Shipping Asia</t>
    </r>
    <r>
      <rPr>
        <i/>
        <sz val="8"/>
        <color theme="1"/>
        <rFont val="Book Antiqua"/>
        <family val="1"/>
      </rPr>
      <t xml:space="preserve"> - your country might add additional taxes</t>
    </r>
  </si>
  <si>
    <r>
      <t>Shipping Rest of the World</t>
    </r>
    <r>
      <rPr>
        <i/>
        <sz val="8"/>
        <color theme="1"/>
        <rFont val="Book Antiqua"/>
        <family val="1"/>
      </rPr>
      <t xml:space="preserve"> - your country might add additional taxes</t>
    </r>
  </si>
  <si>
    <t>cards</t>
  </si>
  <si>
    <t>heroes</t>
  </si>
  <si>
    <t>adven-tures</t>
  </si>
  <si>
    <t>1 hero + 2 adventures</t>
  </si>
  <si>
    <t>Extra cards for duel mode; 9 dice</t>
  </si>
  <si>
    <t>1 hero + 6 short adventures</t>
  </si>
  <si>
    <t>1 introductory adventure</t>
  </si>
  <si>
    <t>Note: All prices are shown in € on the crowdfunding page, but according to Ulisses you only pay the USD price (an offset will be made during shipping).</t>
  </si>
  <si>
    <t>3-headed Giant Wyvern + adventure</t>
  </si>
  <si>
    <r>
      <t>Aventuria - Ship of Stone</t>
    </r>
    <r>
      <rPr>
        <i/>
        <sz val="8"/>
        <color theme="1"/>
        <rFont val="Book Antiqua"/>
        <family val="1"/>
      </rPr>
      <t xml:space="preserve"> - needs Aventuria - Forest of No Return &amp; Aventuria - Ship of Lost Souls
</t>
    </r>
    <r>
      <rPr>
        <i/>
        <sz val="8"/>
        <color rgb="FF7030A0"/>
        <rFont val="Book Antiqua"/>
        <family val="1"/>
      </rPr>
      <t>* Ship of stone (long single act expert adventure)</t>
    </r>
  </si>
  <si>
    <r>
      <t xml:space="preserve">Aventuria - Tears of Fire
</t>
    </r>
    <r>
      <rPr>
        <sz val="8"/>
        <color rgb="FF0070C0"/>
        <rFont val="Book Antiqua"/>
        <family val="1"/>
      </rPr>
      <t>* 3-headed Giant Wyvern</t>
    </r>
    <r>
      <rPr>
        <i/>
        <sz val="8"/>
        <color rgb="FF0070C0"/>
        <rFont val="Book Antiqua"/>
        <family val="1"/>
      </rPr>
      <t xml:space="preserve"> - playable in duel mode!</t>
    </r>
    <r>
      <rPr>
        <sz val="8"/>
        <color theme="1"/>
        <rFont val="Book Antiqua"/>
        <family val="1"/>
      </rPr>
      <t xml:space="preserve">
</t>
    </r>
    <r>
      <rPr>
        <sz val="8"/>
        <color rgb="FF7030A0"/>
        <rFont val="Book Antiqua"/>
        <family val="1"/>
      </rPr>
      <t>* Tears of Fire (special adventure with the Giant Wyvern)</t>
    </r>
  </si>
  <si>
    <r>
      <t xml:space="preserve">Aventuria - Heroes' Struggle
</t>
    </r>
    <r>
      <rPr>
        <sz val="8"/>
        <color rgb="FF0070C0"/>
        <rFont val="Book Antiqua"/>
        <family val="1"/>
      </rPr>
      <t>* Rovena from the Overwals, the catwitch</t>
    </r>
    <r>
      <rPr>
        <sz val="8"/>
        <color theme="1"/>
        <rFont val="Book Antiqua"/>
        <family val="1"/>
      </rPr>
      <t xml:space="preserve">
</t>
    </r>
    <r>
      <rPr>
        <sz val="8"/>
        <color rgb="FF7030A0"/>
        <rFont val="Book Antiqua"/>
        <family val="1"/>
      </rPr>
      <t>* Witches’ Dance (single act adventure)
* A Goblin more or less (single act adventure)
* The Skinned Snake (single act adventure)
* Kibakadabra (single act adventure)
* The Thorwal Drum (single act adventure)
* Emperor of Thieves (single act adventure)</t>
    </r>
  </si>
  <si>
    <r>
      <t xml:space="preserve">Aventuria - Master Tailor's Poltergeists Demoset
</t>
    </r>
    <r>
      <rPr>
        <sz val="8"/>
        <color rgb="FF7030A0"/>
        <rFont val="Book Antiqua"/>
        <family val="1"/>
      </rPr>
      <t>* Master Tailor's Poltergeists (short introductory adventure)</t>
    </r>
  </si>
  <si>
    <r>
      <t xml:space="preserve">Aventuria - Forest of No Return
</t>
    </r>
    <r>
      <rPr>
        <sz val="8"/>
        <color rgb="FF0070C0"/>
        <rFont val="Book Antiqua"/>
        <family val="1"/>
      </rPr>
      <t>* Hilbert from Auen, the Blessed One of Peraine</t>
    </r>
    <r>
      <rPr>
        <sz val="8"/>
        <color theme="1"/>
        <rFont val="Book Antiqua"/>
        <family val="1"/>
      </rPr>
      <t xml:space="preserve">
</t>
    </r>
    <r>
      <rPr>
        <sz val="8"/>
        <color rgb="FF7030A0"/>
        <rFont val="Book Antiqua"/>
        <family val="1"/>
      </rPr>
      <t>* Forest of No Return (3 acts adventure)
* Selemian Delusions (single act adventure)
* Head Money (single act adventure)</t>
    </r>
  </si>
  <si>
    <r>
      <t xml:space="preserve">Aventuria - Ship of Lost Souls
</t>
    </r>
    <r>
      <rPr>
        <sz val="8"/>
        <color rgb="FF0070C0"/>
        <rFont val="Book Antiqua"/>
        <family val="1"/>
      </rPr>
      <t>* Tjalva Garheltdottir, the Thorwalian warrior</t>
    </r>
    <r>
      <rPr>
        <sz val="8"/>
        <color theme="1"/>
        <rFont val="Book Antiqua"/>
        <family val="1"/>
      </rPr>
      <t xml:space="preserve">
</t>
    </r>
    <r>
      <rPr>
        <sz val="8"/>
        <color rgb="FF7030A0"/>
        <rFont val="Book Antiqua"/>
        <family val="1"/>
      </rPr>
      <t>* Ship of Lost Souls (3 acts adventure)
* Rietholtz’s Treasure (single act adventure)</t>
    </r>
  </si>
  <si>
    <t>Already available product</t>
  </si>
  <si>
    <t>© 2023 by Ulisses Spiele GmbH</t>
  </si>
  <si>
    <t>7.5</t>
  </si>
  <si>
    <r>
      <t xml:space="preserve">BGG
</t>
    </r>
    <r>
      <rPr>
        <b/>
        <sz val="8"/>
        <color theme="1"/>
        <rFont val="Book Antiqua"/>
        <family val="1"/>
      </rPr>
      <t>(link)</t>
    </r>
  </si>
  <si>
    <t>9.0</t>
  </si>
  <si>
    <t>8.8</t>
  </si>
  <si>
    <t>9.5</t>
  </si>
  <si>
    <t>8.4</t>
  </si>
  <si>
    <t>8.1</t>
  </si>
  <si>
    <t>7.9</t>
  </si>
  <si>
    <t>8.0</t>
  </si>
  <si>
    <t>8.2</t>
  </si>
  <si>
    <r>
      <t xml:space="preserve">Already available product; 
</t>
    </r>
    <r>
      <rPr>
        <sz val="10"/>
        <color rgb="FF00B050"/>
        <rFont val="Book Antiqua"/>
        <family val="1"/>
      </rPr>
      <t>bundle discount</t>
    </r>
  </si>
  <si>
    <t>USD</t>
  </si>
  <si>
    <t>USD min.</t>
  </si>
  <si>
    <t>USD max.</t>
  </si>
  <si>
    <r>
      <t xml:space="preserve">You pay less </t>
    </r>
    <r>
      <rPr>
        <b/>
        <sz val="16"/>
        <color rgb="FF00B050"/>
        <rFont val="Book Antiqua"/>
        <family val="1"/>
      </rPr>
      <t>(green amount)</t>
    </r>
    <r>
      <rPr>
        <b/>
        <sz val="16"/>
        <rFont val="Book Antiqua"/>
        <family val="1"/>
      </rPr>
      <t xml:space="preserve"> 
or pay more </t>
    </r>
    <r>
      <rPr>
        <b/>
        <sz val="16"/>
        <color rgb="FFFF0000"/>
        <rFont val="Book Antiqua"/>
        <family val="1"/>
      </rPr>
      <t xml:space="preserve">(red amount)
</t>
    </r>
    <r>
      <rPr>
        <b/>
        <sz val="16"/>
        <color theme="1"/>
        <rFont val="Book Antiqua"/>
        <family val="1"/>
      </rPr>
      <t>if you choose the following pledge …</t>
    </r>
  </si>
  <si>
    <r>
      <t xml:space="preserve">You pay in total for the respective combination that covers your </t>
    </r>
    <r>
      <rPr>
        <b/>
        <u/>
        <sz val="10"/>
        <color theme="1"/>
        <rFont val="Book Antiqua"/>
        <family val="1"/>
      </rPr>
      <t xml:space="preserve">desired package including the add ons
</t>
    </r>
    <r>
      <rPr>
        <b/>
        <sz val="10"/>
        <color theme="1"/>
        <rFont val="Book Antiqua"/>
        <family val="1"/>
      </rPr>
      <t>and the number of cards, heroes and adventures in your desired package</t>
    </r>
  </si>
  <si>
    <t>Retail price of your desired products in total</t>
  </si>
  <si>
    <t>Your combination thus grants this total discount compared to the retail price</t>
  </si>
  <si>
    <t>Your combination's costs at retail price in total</t>
  </si>
  <si>
    <t>Discount that your combination thus grants compared to the purchase at retail price</t>
  </si>
  <si>
    <t>Bonusbox</t>
  </si>
  <si>
    <r>
      <t>Kickstarter exclusive</t>
    </r>
    <r>
      <rPr>
        <sz val="8"/>
        <rFont val="Book Antiqua"/>
        <family val="1"/>
      </rPr>
      <t xml:space="preserve">
(retail price based on price per card)</t>
    </r>
  </si>
  <si>
    <r>
      <t xml:space="preserve">Kickstarter exclusive
</t>
    </r>
    <r>
      <rPr>
        <sz val="8"/>
        <rFont val="Book Antiqua"/>
        <family val="1"/>
      </rPr>
      <t>(retail price based on price per card)</t>
    </r>
  </si>
  <si>
    <r>
      <t xml:space="preserve">Kickstarter exclusive
</t>
    </r>
    <r>
      <rPr>
        <sz val="8"/>
        <rFont val="Book Antiqua"/>
        <family val="1"/>
      </rPr>
      <t>(retail price as if retailed)</t>
    </r>
  </si>
  <si>
    <t>Box with 220 cards + 8 adventures (incl. 3 DCs)</t>
  </si>
  <si>
    <r>
      <t xml:space="preserve">Aventuria - Adventure Card Game
</t>
    </r>
    <r>
      <rPr>
        <sz val="8"/>
        <color theme="1"/>
        <rFont val="Book Antiqua"/>
        <family val="1"/>
      </rPr>
      <t>* Base game rules</t>
    </r>
    <r>
      <rPr>
        <sz val="10"/>
        <color theme="1"/>
        <rFont val="Book Antiqua"/>
        <family val="1"/>
      </rPr>
      <t xml:space="preserve">
</t>
    </r>
    <r>
      <rPr>
        <sz val="8"/>
        <color rgb="FF0070C0"/>
        <rFont val="Book Antiqua"/>
        <family val="1"/>
      </rPr>
      <t>* Arbosh son of Angrax, the dwarven smith
* Layariel Treetopglint, the elven scout
* Carolan Calavanti, the half-elven rogue
* Mirhiban Al'Orhima, the Tulamydian mage</t>
    </r>
    <r>
      <rPr>
        <sz val="10"/>
        <color theme="1"/>
        <rFont val="Book Antiqua"/>
        <family val="1"/>
      </rPr>
      <t xml:space="preserve">
</t>
    </r>
    <r>
      <rPr>
        <sz val="8"/>
        <color rgb="FF7030A0"/>
        <rFont val="Book Antiqua"/>
        <family val="1"/>
      </rPr>
      <t>* Saving Silvana (single act adventure)
* The Non-gambling kind (single act adventure)
* The Legacy of Wildenstein (3 acts adventure)</t>
    </r>
  </si>
  <si>
    <t>Your savings</t>
  </si>
  <si>
    <t>Total discount</t>
  </si>
  <si>
    <t>Desired products
(set "x")</t>
  </si>
  <si>
    <t>Desired products
(set number (sleeves) or "x")</t>
  </si>
  <si>
    <t>10 universal HP wheels</t>
  </si>
  <si>
    <r>
      <t xml:space="preserve">Already available product
</t>
    </r>
    <r>
      <rPr>
        <sz val="10"/>
        <color rgb="FFFF0000"/>
        <rFont val="Book Antiqua"/>
        <family val="1"/>
      </rPr>
      <t>Needed for the whole game!</t>
    </r>
  </si>
  <si>
    <r>
      <t xml:space="preserve">Already available product
</t>
    </r>
    <r>
      <rPr>
        <sz val="10"/>
        <color rgb="FFFF0000"/>
        <rFont val="Book Antiqua"/>
        <family val="1"/>
      </rPr>
      <t>Needed for Ship of Stone
Needed for Mythical Stories</t>
    </r>
  </si>
  <si>
    <r>
      <t xml:space="preserve">Already available product
</t>
    </r>
    <r>
      <rPr>
        <sz val="10"/>
        <color rgb="FFFF0000"/>
        <rFont val="Book Antiqua"/>
        <family val="1"/>
      </rPr>
      <t>Needed for Mythical Stories</t>
    </r>
  </si>
  <si>
    <r>
      <t xml:space="preserve">Additional products &amp; estimated shipping fees
</t>
    </r>
    <r>
      <rPr>
        <b/>
        <sz val="12"/>
        <color theme="1"/>
        <rFont val="Book Antiqua"/>
        <family val="1"/>
      </rPr>
      <t>(choose number of sleeve packages and your shipping destination)</t>
    </r>
  </si>
  <si>
    <t>The products marked in orange must be added to the corresponding pledge level as an add on on the pledge manager after the CF</t>
  </si>
  <si>
    <t>alternates</t>
  </si>
  <si>
    <r>
      <t>Aventuria - Mythical Stories Box</t>
    </r>
    <r>
      <rPr>
        <sz val="10"/>
        <color rgb="FF00B050"/>
        <rFont val="Book Antiqua"/>
        <family val="1"/>
      </rPr>
      <t xml:space="preserve"> </t>
    </r>
    <r>
      <rPr>
        <b/>
        <sz val="10"/>
        <color rgb="FF00B050"/>
        <rFont val="Book Antiqua"/>
        <family val="1"/>
      </rPr>
      <t>NEW</t>
    </r>
    <r>
      <rPr>
        <sz val="10"/>
        <color theme="1"/>
        <rFont val="Book Antiqua"/>
        <family val="1"/>
      </rPr>
      <t xml:space="preserve">
</t>
    </r>
    <r>
      <rPr>
        <sz val="8"/>
        <color theme="1"/>
        <rFont val="Book Antiqua"/>
        <family val="1"/>
      </rPr>
      <t>* Story Mode rules &amp; cards
* 16 locality sheets (for encounters between adventures)</t>
    </r>
    <r>
      <rPr>
        <sz val="10"/>
        <color theme="1"/>
        <rFont val="Book Antiqua"/>
        <family val="1"/>
      </rPr>
      <t xml:space="preserve">
</t>
    </r>
    <r>
      <rPr>
        <sz val="8"/>
        <color rgb="FF7030A0"/>
        <rFont val="Book Antiqua"/>
        <family val="1"/>
      </rPr>
      <t xml:space="preserve">* Under the Northern Lights (4 acts)
* The Roque shall die (3 acts)
* The Legacy of Wildenstein </t>
    </r>
    <r>
      <rPr>
        <b/>
        <sz val="8"/>
        <color rgb="FF7030A0"/>
        <rFont val="Book Antiqua"/>
        <family val="1"/>
      </rPr>
      <t xml:space="preserve">Director's Cut </t>
    </r>
    <r>
      <rPr>
        <sz val="8"/>
        <color rgb="FF7030A0"/>
        <rFont val="Book Antiqua"/>
        <family val="1"/>
      </rPr>
      <t xml:space="preserve">(3 act adventure) </t>
    </r>
    <r>
      <rPr>
        <i/>
        <sz val="8"/>
        <color rgb="FF7030A0"/>
        <rFont val="Book Antiqua"/>
        <family val="1"/>
      </rPr>
      <t>- needs Aventuria - Adventure Card Game</t>
    </r>
    <r>
      <rPr>
        <sz val="8"/>
        <color rgb="FF7030A0"/>
        <rFont val="Book Antiqua"/>
        <family val="1"/>
      </rPr>
      <t xml:space="preserve">
* Forest of No Return </t>
    </r>
    <r>
      <rPr>
        <b/>
        <sz val="8"/>
        <color rgb="FF7030A0"/>
        <rFont val="Book Antiqua"/>
        <family val="1"/>
      </rPr>
      <t>Director's Cut</t>
    </r>
    <r>
      <rPr>
        <sz val="8"/>
        <color rgb="FF7030A0"/>
        <rFont val="Book Antiqua"/>
        <family val="1"/>
      </rPr>
      <t xml:space="preserve"> (3 act adventure) </t>
    </r>
    <r>
      <rPr>
        <i/>
        <sz val="8"/>
        <color rgb="FF7030A0"/>
        <rFont val="Book Antiqua"/>
        <family val="1"/>
      </rPr>
      <t>- needs Forest of No Return</t>
    </r>
    <r>
      <rPr>
        <sz val="8"/>
        <color rgb="FF7030A0"/>
        <rFont val="Book Antiqua"/>
        <family val="1"/>
      </rPr>
      <t xml:space="preserve">
* Ship of Lost Souls </t>
    </r>
    <r>
      <rPr>
        <b/>
        <sz val="8"/>
        <color rgb="FF7030A0"/>
        <rFont val="Book Antiqua"/>
        <family val="1"/>
      </rPr>
      <t xml:space="preserve">Director's Cut </t>
    </r>
    <r>
      <rPr>
        <sz val="8"/>
        <color rgb="FF7030A0"/>
        <rFont val="Book Antiqua"/>
        <family val="1"/>
      </rPr>
      <t xml:space="preserve">(3 act adventure) </t>
    </r>
    <r>
      <rPr>
        <i/>
        <sz val="8"/>
        <color rgb="FF7030A0"/>
        <rFont val="Book Antiqua"/>
        <family val="1"/>
      </rPr>
      <t>- needs Ship of Lost Souls</t>
    </r>
    <r>
      <rPr>
        <sz val="8"/>
        <color rgb="FF7030A0"/>
        <rFont val="Book Antiqua"/>
        <family val="1"/>
      </rPr>
      <t xml:space="preserve">
* Battle for Ilsur (single act adventure with 14 possible end fights)</t>
    </r>
    <r>
      <rPr>
        <i/>
        <sz val="8"/>
        <color rgb="FF7030A0"/>
        <rFont val="Book Antiqua"/>
        <family val="1"/>
      </rPr>
      <t xml:space="preserve"> - optionally needs single cards from different expansions (depending on the end fight)</t>
    </r>
    <r>
      <rPr>
        <sz val="8"/>
        <color rgb="FF7030A0"/>
        <rFont val="Book Antiqua"/>
        <family val="1"/>
      </rPr>
      <t xml:space="preserve">
* Treasure hunt (single act adventure)
* Dragon eyes (single act expert adventure; can be used as "final one") </t>
    </r>
    <r>
      <rPr>
        <i/>
        <sz val="8"/>
        <color rgb="FF7030A0"/>
        <rFont val="Book Antiqua"/>
        <family val="1"/>
      </rPr>
      <t>- needs Tears of Fire</t>
    </r>
  </si>
  <si>
    <r>
      <t xml:space="preserve">Aventuria - Path of Legends Box </t>
    </r>
    <r>
      <rPr>
        <b/>
        <sz val="10"/>
        <color rgb="FF00B050"/>
        <rFont val="Book Antiqua"/>
        <family val="1"/>
      </rPr>
      <t>NEW</t>
    </r>
    <r>
      <rPr>
        <sz val="10"/>
        <color theme="1"/>
        <rFont val="Book Antiqua"/>
        <family val="1"/>
      </rPr>
      <t xml:space="preserve">
</t>
    </r>
    <r>
      <rPr>
        <sz val="8"/>
        <color theme="1"/>
        <rFont val="Book Antiqua"/>
        <family val="1"/>
      </rPr>
      <t>* Legend Mode rules &amp; cards
* Legend cards for all 15 older heroes and many more</t>
    </r>
  </si>
  <si>
    <r>
      <t xml:space="preserve">or just: Aventuria - Return to the Inn of the Black Boar </t>
    </r>
    <r>
      <rPr>
        <i/>
        <sz val="8"/>
        <color theme="1"/>
        <rFont val="Book Antiqua"/>
        <family val="1"/>
      </rPr>
      <t xml:space="preserve">(expansion to "Inn of the Black Boar")
</t>
    </r>
    <r>
      <rPr>
        <i/>
        <sz val="8"/>
        <color rgb="FF7030A0"/>
        <rFont val="Book Antiqua"/>
        <family val="1"/>
      </rPr>
      <t>* 2 extra encounters for each level for "Inn of the Black Boar"</t>
    </r>
  </si>
  <si>
    <r>
      <t xml:space="preserve">or just Aventuria - Nedime - The Caliph's Daughter Adventure Set
</t>
    </r>
    <r>
      <rPr>
        <i/>
        <sz val="8"/>
        <color rgb="FF7030A0"/>
        <rFont val="Book Antiqua"/>
        <family val="1"/>
      </rPr>
      <t>* Nedime - The Caliph's Daughter (long solo adventure with different rounds)</t>
    </r>
  </si>
  <si>
    <r>
      <t xml:space="preserve">or just: Aventuria - Curse of Borbarad Adventure Set
</t>
    </r>
    <r>
      <rPr>
        <i/>
        <sz val="8"/>
        <color rgb="FF7030A0"/>
        <rFont val="Book Antiqua"/>
        <family val="1"/>
      </rPr>
      <t>* Curse of Borbarad (long solo adventure with different rounds)</t>
    </r>
  </si>
  <si>
    <r>
      <t xml:space="preserve">or just: Aventuria - Servant of the Nameless One Hero Set
</t>
    </r>
    <r>
      <rPr>
        <i/>
        <sz val="8"/>
        <color rgb="FF0070C0"/>
        <rFont val="Book Antiqua"/>
        <family val="1"/>
      </rPr>
      <t>* Zardok of Marternpfuhl, the Consecrated One of the Nameless</t>
    </r>
    <r>
      <rPr>
        <i/>
        <sz val="8"/>
        <color theme="1"/>
        <rFont val="Book Antiqua"/>
        <family val="1"/>
      </rPr>
      <t xml:space="preserve">
</t>
    </r>
    <r>
      <rPr>
        <i/>
        <sz val="8"/>
        <color rgb="FF7030A0"/>
        <rFont val="Book Antiqua"/>
        <family val="1"/>
      </rPr>
      <t>* Thieves in Khezzara (single act adventure)</t>
    </r>
  </si>
  <si>
    <r>
      <t xml:space="preserve">or just: Aventuria - Magistra of Alchemy Hero Set
</t>
    </r>
    <r>
      <rPr>
        <i/>
        <sz val="8"/>
        <color rgb="FF0070C0"/>
        <rFont val="Book Antiqua"/>
        <family val="1"/>
      </rPr>
      <t>* Niam Hassanesz, the Mengbillan magician</t>
    </r>
    <r>
      <rPr>
        <i/>
        <sz val="8"/>
        <color theme="1"/>
        <rFont val="Book Antiqua"/>
        <family val="1"/>
      </rPr>
      <t xml:space="preserve">
</t>
    </r>
    <r>
      <rPr>
        <i/>
        <sz val="8"/>
        <color rgb="FF7030A0"/>
        <rFont val="Book Antiqua"/>
        <family val="1"/>
      </rPr>
      <t>* Commando Greifax (single act adventure)</t>
    </r>
  </si>
  <si>
    <r>
      <t xml:space="preserve">or just: Aventuria - Veil Dancer Hero Set
</t>
    </r>
    <r>
      <rPr>
        <i/>
        <sz val="8"/>
        <color rgb="FF0070C0"/>
        <rFont val="Book Antiqua"/>
        <family val="1"/>
      </rPr>
      <t>* Karima al'Jamila, the Novadian Sharisad</t>
    </r>
    <r>
      <rPr>
        <i/>
        <sz val="8"/>
        <color theme="1"/>
        <rFont val="Book Antiqua"/>
        <family val="1"/>
      </rPr>
      <t xml:space="preserve">
</t>
    </r>
    <r>
      <rPr>
        <i/>
        <sz val="8"/>
        <color rgb="FF7030A0"/>
        <rFont val="Book Antiqua"/>
        <family val="1"/>
      </rPr>
      <t>* The Orgy of Thorns (2 act erotic adventure)</t>
    </r>
  </si>
  <si>
    <r>
      <t xml:space="preserve">or just: Aventuria - Treasure Hunter Hero Set
</t>
    </r>
    <r>
      <rPr>
        <i/>
        <sz val="8"/>
        <color rgb="FF0070C0"/>
        <rFont val="Book Antiqua"/>
        <family val="1"/>
      </rPr>
      <t>* Meridiana" Bornski, the Festum's explorer</t>
    </r>
    <r>
      <rPr>
        <i/>
        <sz val="8"/>
        <color theme="1"/>
        <rFont val="Book Antiqua"/>
        <family val="1"/>
      </rPr>
      <t xml:space="preserve">
</t>
    </r>
    <r>
      <rPr>
        <i/>
        <sz val="8"/>
        <color rgb="FF7030A0"/>
        <rFont val="Book Antiqua"/>
        <family val="1"/>
      </rPr>
      <t>* Pearl Robber (long single act adventure)</t>
    </r>
  </si>
  <si>
    <t>or just: Aventuria - Wheel of Life - Rad des Lebens</t>
  </si>
  <si>
    <t>(all price information without guarantee!)</t>
  </si>
  <si>
    <t>(some of the products might never come to retail stores)</t>
  </si>
  <si>
    <r>
      <rPr>
        <b/>
        <u/>
        <sz val="10"/>
        <color theme="1"/>
        <rFont val="Book Antiqua"/>
        <family val="1"/>
      </rPr>
      <t>Maximum</t>
    </r>
    <r>
      <rPr>
        <sz val="10"/>
        <color theme="1"/>
        <rFont val="Book Antiqua"/>
        <family val="1"/>
      </rPr>
      <t xml:space="preserve"> shipping fees
(including only the pledge level - </t>
    </r>
    <r>
      <rPr>
        <b/>
        <sz val="10"/>
        <color theme="1"/>
        <rFont val="Book Antiqua"/>
        <family val="1"/>
      </rPr>
      <t>Add ons and multiple pledges may increase shipping fees!</t>
    </r>
    <r>
      <rPr>
        <sz val="10"/>
        <color theme="1"/>
        <rFont val="Book Antiqua"/>
        <family val="1"/>
      </rPr>
      <t xml:space="preserve">)
Shipping fees will be charged in the pledge manager after the campaign has ended.
</t>
    </r>
    <r>
      <rPr>
        <sz val="10"/>
        <color rgb="FFFF0000"/>
        <rFont val="Book Antiqua"/>
        <family val="1"/>
      </rPr>
      <t>If you faced problems with USD / EUR and paied to much, this will be credited towards the shipping during the pledge manager!</t>
    </r>
  </si>
  <si>
    <r>
      <t xml:space="preserve">You pay in total for your </t>
    </r>
    <r>
      <rPr>
        <b/>
        <u/>
        <sz val="10"/>
        <color theme="1"/>
        <rFont val="Book Antiqua"/>
        <family val="1"/>
      </rPr>
      <t>desired products including add ons and (estimated) shipping fees</t>
    </r>
  </si>
  <si>
    <r>
      <t xml:space="preserve">Value of the components of the respective </t>
    </r>
    <r>
      <rPr>
        <b/>
        <i/>
        <u/>
        <sz val="10"/>
        <color theme="1"/>
        <rFont val="Book Antiqua"/>
        <family val="1"/>
      </rPr>
      <t>pledge level</t>
    </r>
  </si>
  <si>
    <r>
      <t xml:space="preserve">Value of the </t>
    </r>
    <r>
      <rPr>
        <b/>
        <i/>
        <u/>
        <sz val="10"/>
        <color theme="1"/>
        <rFont val="Book Antiqua"/>
        <family val="1"/>
      </rPr>
      <t>extra products</t>
    </r>
    <r>
      <rPr>
        <b/>
        <i/>
        <sz val="10"/>
        <color theme="1"/>
        <rFont val="Book Antiqua"/>
        <family val="1"/>
      </rPr>
      <t xml:space="preserve"> you get with your combination that are </t>
    </r>
    <r>
      <rPr>
        <b/>
        <i/>
        <u/>
        <sz val="10"/>
        <color theme="1"/>
        <rFont val="Book Antiqua"/>
        <family val="1"/>
      </rPr>
      <t>not part of your desired products</t>
    </r>
  </si>
  <si>
    <t>Your costs</t>
  </si>
  <si>
    <t>Please put x here for your</t>
  </si>
  <si>
    <r>
      <t xml:space="preserve">Aventuria - Al'Anfanian Blessed One of Boron </t>
    </r>
    <r>
      <rPr>
        <b/>
        <sz val="10"/>
        <color rgb="FF00B050"/>
        <rFont val="Book Antiqua"/>
        <family val="1"/>
      </rPr>
      <t>NEW</t>
    </r>
    <r>
      <rPr>
        <sz val="10"/>
        <color theme="1"/>
        <rFont val="Book Antiqua"/>
        <family val="1"/>
      </rPr>
      <t xml:space="preserve">
</t>
    </r>
    <r>
      <rPr>
        <sz val="8"/>
        <color rgb="FF0070C0"/>
        <rFont val="Book Antiqua"/>
        <family val="1"/>
      </rPr>
      <t>* Zephira Golgarez, the Al'Anfanian Blessed One of Boron</t>
    </r>
    <r>
      <rPr>
        <sz val="8"/>
        <rFont val="Book Antiqua"/>
        <family val="1"/>
      </rPr>
      <t xml:space="preserve"> (incl. Legend cards &amp; </t>
    </r>
    <r>
      <rPr>
        <sz val="8"/>
        <color rgb="FF0070C0"/>
        <rFont val="Book Antiqua"/>
        <family val="1"/>
      </rPr>
      <t>alternate</t>
    </r>
    <r>
      <rPr>
        <sz val="8"/>
        <rFont val="Book Antiqua"/>
        <family val="1"/>
      </rPr>
      <t>)</t>
    </r>
  </si>
  <si>
    <r>
      <t>Aventuria - Garethian Double Mercenary</t>
    </r>
    <r>
      <rPr>
        <sz val="10"/>
        <color rgb="FF00B050"/>
        <rFont val="Book Antiqua"/>
        <family val="1"/>
      </rPr>
      <t xml:space="preserve"> </t>
    </r>
    <r>
      <rPr>
        <b/>
        <sz val="10"/>
        <color rgb="FF00B050"/>
        <rFont val="Book Antiqua"/>
        <family val="1"/>
      </rPr>
      <t>NEW</t>
    </r>
    <r>
      <rPr>
        <sz val="10"/>
        <color theme="1"/>
        <rFont val="Book Antiqua"/>
        <family val="1"/>
      </rPr>
      <t xml:space="preserve">
</t>
    </r>
    <r>
      <rPr>
        <sz val="8"/>
        <color rgb="FF0070C0"/>
        <rFont val="Book Antiqua"/>
        <family val="1"/>
      </rPr>
      <t>* Geron Bladebreaker, the Garethian Double Mercenary</t>
    </r>
    <r>
      <rPr>
        <sz val="8"/>
        <rFont val="Book Antiqua"/>
        <family val="1"/>
      </rPr>
      <t xml:space="preserve"> (incl. Legend cards &amp; </t>
    </r>
    <r>
      <rPr>
        <sz val="8"/>
        <color rgb="FF0070C0"/>
        <rFont val="Book Antiqua"/>
        <family val="1"/>
      </rPr>
      <t>alternate</t>
    </r>
    <r>
      <rPr>
        <sz val="8"/>
        <rFont val="Book Antiqua"/>
        <family val="1"/>
      </rPr>
      <t>)</t>
    </r>
  </si>
  <si>
    <t>The products marked in green are included in the corresponding pledge pevel
(when you select a bundle, included products are marked green in the first column)</t>
  </si>
  <si>
    <r>
      <rPr>
        <sz val="10"/>
        <color rgb="FF00B050"/>
        <rFont val="Book Antiqua"/>
        <family val="1"/>
      </rPr>
      <t>84</t>
    </r>
    <r>
      <rPr>
        <sz val="10"/>
        <color theme="1"/>
        <rFont val="Book Antiqua"/>
        <family val="1"/>
      </rPr>
      <t xml:space="preserve"> additional cards</t>
    </r>
  </si>
  <si>
    <r>
      <t>Aventuria - Path of Legends Box</t>
    </r>
    <r>
      <rPr>
        <b/>
        <sz val="10"/>
        <color rgb="FF00B050"/>
        <rFont val="Book Antiqua"/>
        <family val="1"/>
      </rPr>
      <t xml:space="preserve"> NEW</t>
    </r>
    <r>
      <rPr>
        <sz val="10"/>
        <color theme="1"/>
        <rFont val="Book Antiqua"/>
        <family val="1"/>
      </rPr>
      <t xml:space="preserve">
</t>
    </r>
    <r>
      <rPr>
        <sz val="8"/>
        <color rgb="FF00B050"/>
        <rFont val="Book Antiqua"/>
        <family val="1"/>
      </rPr>
      <t>* additional crowdfunding cards (goals 1, 4, 5, 10 - more to come at goal ...)</t>
    </r>
  </si>
  <si>
    <r>
      <t xml:space="preserve">or just: Aventuria - Inn of the Black Boar
</t>
    </r>
    <r>
      <rPr>
        <i/>
        <sz val="8"/>
        <color rgb="FF0070C0"/>
        <rFont val="Book Antiqua"/>
        <family val="1"/>
      </rPr>
      <t>* Palinai Erlendur of Kurkum, Amazon Warrior
* Neerax Dal, the Grolm Merchant
* Nicole Sororis, the Maraskan Buskur
* Heigan Malleaux, the Tobrian Mercenary</t>
    </r>
    <r>
      <rPr>
        <i/>
        <sz val="8"/>
        <color theme="1"/>
        <rFont val="Book Antiqua"/>
        <family val="1"/>
      </rPr>
      <t xml:space="preserve">
</t>
    </r>
    <r>
      <rPr>
        <i/>
        <sz val="8"/>
        <color rgb="FF7030A0"/>
        <rFont val="Book Antiqua"/>
        <family val="1"/>
      </rPr>
      <t>* Inn of the Black Boar (special dungeon escape adventure with 4 levels with 5 different encounters for each)</t>
    </r>
  </si>
  <si>
    <t>More Music to your ears</t>
  </si>
  <si>
    <t>Legendary quests</t>
  </si>
  <si>
    <t>Facing the final boss</t>
  </si>
  <si>
    <t>Souds of the forest</t>
  </si>
  <si>
    <t>an epic challenge</t>
  </si>
  <si>
    <t>line goes op</t>
  </si>
  <si>
    <t>Shiver me timbers</t>
  </si>
  <si>
    <t>Saving silvana DC</t>
  </si>
  <si>
    <r>
      <t>Aventuria - Mythical Stories Box</t>
    </r>
    <r>
      <rPr>
        <sz val="10"/>
        <color rgb="FF00B050"/>
        <rFont val="Book Antiqua"/>
        <family val="1"/>
      </rPr>
      <t xml:space="preserve"> </t>
    </r>
    <r>
      <rPr>
        <b/>
        <sz val="10"/>
        <color rgb="FF00B050"/>
        <rFont val="Book Antiqua"/>
        <family val="1"/>
      </rPr>
      <t>NEW</t>
    </r>
    <r>
      <rPr>
        <sz val="10"/>
        <color theme="1"/>
        <rFont val="Book Antiqua"/>
        <family val="1"/>
      </rPr>
      <t xml:space="preserve">
</t>
    </r>
    <r>
      <rPr>
        <sz val="8"/>
        <color rgb="FF00B050"/>
        <rFont val="Book Antiqua"/>
        <family val="1"/>
      </rPr>
      <t>* additional crowdfunding cards (goals 2, 6, 8, 9, 12, 13, 15, 16 - more to come at goals ...)</t>
    </r>
  </si>
  <si>
    <r>
      <rPr>
        <sz val="10"/>
        <color rgb="FF00B050"/>
        <rFont val="Book Antiqua"/>
        <family val="1"/>
      </rPr>
      <t>1</t>
    </r>
    <r>
      <rPr>
        <sz val="10"/>
        <color theme="1"/>
        <rFont val="Book Antiqua"/>
        <family val="1"/>
      </rPr>
      <t xml:space="preserve"> pdf adventure</t>
    </r>
  </si>
  <si>
    <r>
      <rPr>
        <sz val="10"/>
        <color rgb="FF00B050"/>
        <rFont val="Book Antiqua"/>
        <family val="1"/>
      </rPr>
      <t>37</t>
    </r>
    <r>
      <rPr>
        <sz val="10"/>
        <color theme="1"/>
        <rFont val="Book Antiqua"/>
        <family val="1"/>
      </rPr>
      <t xml:space="preserve"> additional cards</t>
    </r>
  </si>
  <si>
    <r>
      <t>Aventuria - Stories &amp; Legends soundtrack</t>
    </r>
    <r>
      <rPr>
        <sz val="8"/>
        <color rgb="FF00B050"/>
        <rFont val="Book Antiqua"/>
        <family val="1"/>
      </rPr>
      <t xml:space="preserve"> (goals 3, 7, 11, 14, 17 - more to come at goal ...) </t>
    </r>
    <r>
      <rPr>
        <b/>
        <sz val="8"/>
        <color rgb="FF00B050"/>
        <rFont val="Book Antiqua"/>
        <family val="1"/>
      </rPr>
      <t>NEW</t>
    </r>
  </si>
  <si>
    <r>
      <rPr>
        <sz val="10"/>
        <color rgb="FF00B050"/>
        <rFont val="Book Antiqua"/>
        <family val="1"/>
      </rPr>
      <t>5</t>
    </r>
    <r>
      <rPr>
        <sz val="10"/>
        <color theme="1"/>
        <rFont val="Book Antiqua"/>
        <family val="1"/>
      </rPr>
      <t xml:space="preserve"> mp3 tracks</t>
    </r>
  </si>
  <si>
    <r>
      <t>Aventuria - Saving Silvana Director's Cut</t>
    </r>
    <r>
      <rPr>
        <sz val="8"/>
        <color rgb="FF00B050"/>
        <rFont val="Book Antiqua"/>
        <family val="1"/>
      </rPr>
      <t xml:space="preserve"> (at goal 18) </t>
    </r>
    <r>
      <rPr>
        <b/>
        <sz val="8"/>
        <color rgb="FF00B050"/>
        <rFont val="Book Antiqua"/>
        <family val="1"/>
      </rPr>
      <t xml:space="preserve">NEW
</t>
    </r>
    <r>
      <rPr>
        <sz val="8"/>
        <color rgb="FF7030A0"/>
        <rFont val="Book Antiqua"/>
        <family val="1"/>
      </rPr>
      <t xml:space="preserve">* Saving Silvana </t>
    </r>
    <r>
      <rPr>
        <b/>
        <sz val="8"/>
        <color rgb="FF7030A0"/>
        <rFont val="Book Antiqua"/>
        <family val="1"/>
      </rPr>
      <t xml:space="preserve">Director's Cut </t>
    </r>
    <r>
      <rPr>
        <sz val="8"/>
        <color rgb="FF7030A0"/>
        <rFont val="Book Antiqua"/>
        <family val="1"/>
      </rPr>
      <t>(single act adventure)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</si>
</sst>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\ &quot;€&quot;"/>
    <numFmt numFmtId="165" formatCode="#,##0.00\ &quot;€&quot;"/>
    <numFmt numFmtId="166" formatCode="0.0%"/>
    <numFmt numFmtId="167" formatCode="dddd"/>
    <numFmt numFmtId="168" formatCode="h:mm;@"/>
    <numFmt numFmtId="169" formatCode="[h]:mm"/>
    <numFmt numFmtId="170" formatCode="0&quot;. Tag&quot;"/>
    <numFmt numFmtId="171" formatCode="dd/mm/yy"/>
    <numFmt numFmtId="172" formatCode="dd/mm/yy\,\ hh:mm"/>
    <numFmt numFmtId="173" formatCode="[$$-409]#,##0"/>
    <numFmt numFmtId="174" formatCode="[$$-409]#,##0.00"/>
    <numFmt numFmtId="175" formatCode="&quot;+&quot;[$$-409]#,##0"/>
  </numFmts>
  <fonts count="1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sz val="10"/>
      <color rgb="FFFF0000"/>
      <name val="Book Antiqua"/>
      <family val="1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i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b/>
      <sz val="10"/>
      <color rgb="FF00B050"/>
      <name val="Book Antiqua"/>
      <family val="1"/>
    </font>
    <font>
      <i/>
      <sz val="10"/>
      <color rgb="FFFF0000"/>
      <name val="Book Antiqua"/>
      <family val="1"/>
    </font>
    <font>
      <b/>
      <sz val="10"/>
      <color theme="1"/>
      <name val="Book Antiqua"/>
      <family val="1"/>
    </font>
    <font>
      <sz val="10"/>
      <color rgb="FF00B050"/>
      <name val="Book Antiqua"/>
      <family val="1"/>
    </font>
    <font>
      <strike/>
      <sz val="10"/>
      <color rgb="FFFF000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strike/>
      <sz val="10"/>
      <color rgb="FF00B050"/>
      <name val="Book Antiqua"/>
      <family val="1"/>
    </font>
    <font>
      <i/>
      <sz val="10"/>
      <color rgb="FF00B050"/>
      <name val="Book Antiqua"/>
      <family val="1"/>
    </font>
    <font>
      <i/>
      <strike/>
      <sz val="10"/>
      <color theme="1"/>
      <name val="Book Antiqua"/>
      <family val="1"/>
    </font>
    <font>
      <b/>
      <sz val="10"/>
      <color rgb="FF0070C0"/>
      <name val="Book Antiqua"/>
      <family val="1"/>
    </font>
    <font>
      <i/>
      <strike/>
      <sz val="10"/>
      <color rgb="FFFF0000"/>
      <name val="Book Antiqua"/>
      <family val="1"/>
    </font>
    <font>
      <i/>
      <sz val="10"/>
      <name val="Book Antiqua"/>
      <family val="1"/>
    </font>
    <font>
      <b/>
      <u/>
      <sz val="14"/>
      <color theme="10"/>
      <name val="Wingdings"/>
      <charset val="2"/>
    </font>
    <font>
      <sz val="14"/>
      <color theme="1"/>
      <name val="Wingdings"/>
      <charset val="2"/>
    </font>
    <font>
      <i/>
      <sz val="14"/>
      <color theme="1"/>
      <name val="Wingdings"/>
      <charset val="2"/>
    </font>
    <font>
      <b/>
      <sz val="14"/>
      <color theme="1"/>
      <name val="Wingdings"/>
      <charset val="2"/>
    </font>
    <font>
      <b/>
      <sz val="14"/>
      <color rgb="FFFF0000"/>
      <name val="Wingdings"/>
      <charset val="2"/>
    </font>
    <font>
      <sz val="14"/>
      <color rgb="FFFF0000"/>
      <name val="Wingdings"/>
      <charset val="2"/>
    </font>
    <font>
      <sz val="14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b/>
      <sz val="10"/>
      <color rgb="FF7030A0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sz val="10"/>
      <color theme="5"/>
      <name val="Book Antiqua"/>
      <family val="1"/>
    </font>
    <font>
      <sz val="8"/>
      <color theme="0"/>
      <name val="Book Antiqua"/>
      <family val="1"/>
    </font>
    <font>
      <b/>
      <sz val="14"/>
      <color theme="1"/>
      <name val="Book Antiqua"/>
      <family val="1"/>
    </font>
    <font>
      <b/>
      <sz val="10"/>
      <color rgb="FFFD23ED"/>
      <name val="Book Antiqua"/>
      <family val="1"/>
    </font>
    <font>
      <b/>
      <sz val="10"/>
      <color theme="9"/>
      <name val="Book Antiqua"/>
      <family val="1"/>
    </font>
    <font>
      <b/>
      <sz val="10"/>
      <color theme="5" tint="-0.499984740745262"/>
      <name val="Book Antiqua"/>
      <family val="1"/>
    </font>
    <font>
      <b/>
      <sz val="16"/>
      <color theme="1"/>
      <name val="Book Antiqua"/>
      <family val="1"/>
    </font>
    <font>
      <b/>
      <u/>
      <sz val="14"/>
      <color theme="10"/>
      <name val="Book Antiqua"/>
      <family val="1"/>
    </font>
    <font>
      <b/>
      <sz val="9"/>
      <color theme="1"/>
      <name val="Book Antiqua"/>
      <family val="1"/>
    </font>
    <font>
      <b/>
      <sz val="45"/>
      <color rgb="FFFF0000"/>
      <name val="Book Antiqua"/>
      <family val="1"/>
    </font>
    <font>
      <b/>
      <sz val="12"/>
      <color rgb="FF00B050"/>
      <name val="Book Antiqua"/>
      <family val="1"/>
    </font>
    <font>
      <sz val="8"/>
      <color theme="1"/>
      <name val="Book Antiqua"/>
      <family val="1"/>
    </font>
    <font>
      <b/>
      <sz val="11"/>
      <color rgb="FF00B050"/>
      <name val="Calibri"/>
      <family val="2"/>
      <scheme val="minor"/>
    </font>
    <font>
      <u/>
      <sz val="12"/>
      <color theme="10"/>
      <name val="Book Antiqua"/>
      <family val="1"/>
    </font>
    <font>
      <sz val="8"/>
      <color theme="6" tint="0.79998168889431442"/>
      <name val="Book Antiqua"/>
      <family val="1"/>
    </font>
    <font>
      <b/>
      <i/>
      <u/>
      <sz val="10"/>
      <color theme="1"/>
      <name val="Book Antiqua"/>
      <family val="1"/>
    </font>
    <font>
      <b/>
      <u/>
      <sz val="10"/>
      <color theme="1"/>
      <name val="Book Antiqua"/>
      <family val="1"/>
    </font>
    <font>
      <b/>
      <u/>
      <sz val="12"/>
      <color rgb="FFFF0000"/>
      <name val="Book Antiqua"/>
      <family val="1"/>
    </font>
    <font>
      <b/>
      <sz val="16"/>
      <color rgb="FF00B050"/>
      <name val="Book Antiqua"/>
      <family val="1"/>
    </font>
    <font>
      <b/>
      <sz val="16"/>
      <name val="Book Antiqua"/>
      <family val="1"/>
    </font>
    <font>
      <b/>
      <sz val="16"/>
      <color rgb="FFFF0000"/>
      <name val="Book Antiqua"/>
      <family val="1"/>
    </font>
    <font>
      <i/>
      <sz val="8"/>
      <color theme="0"/>
      <name val="Book Antiqua"/>
      <family val="1"/>
    </font>
    <font>
      <i/>
      <sz val="8"/>
      <color theme="1"/>
      <name val="Book Antiqua"/>
      <family val="1"/>
    </font>
    <font>
      <strike/>
      <sz val="10"/>
      <name val="Book Antiqua"/>
      <family val="1"/>
    </font>
    <font>
      <b/>
      <sz val="16"/>
      <color theme="0"/>
      <name val="Book Antiqua"/>
      <family val="1"/>
    </font>
    <font>
      <b/>
      <i/>
      <sz val="16"/>
      <color theme="0"/>
      <name val="Book Antiqua"/>
      <family val="1"/>
    </font>
    <font>
      <sz val="8"/>
      <color rgb="FF00B050"/>
      <name val="Book Antiqua"/>
      <family val="1"/>
    </font>
    <font>
      <sz val="8"/>
      <color rgb="FF0070C0"/>
      <name val="Book Antiqua"/>
      <family val="1"/>
    </font>
    <font>
      <sz val="8"/>
      <color rgb="FF7030A0"/>
      <name val="Book Antiqua"/>
      <family val="1"/>
    </font>
    <font>
      <i/>
      <sz val="8"/>
      <color rgb="FF7030A0"/>
      <name val="Book Antiqua"/>
      <family val="1"/>
    </font>
    <font>
      <i/>
      <sz val="8"/>
      <color rgb="FF0070C0"/>
      <name val="Book Antiqua"/>
      <family val="1"/>
    </font>
    <font>
      <sz val="10"/>
      <color rgb="FF7030A0"/>
      <name val="Book Antiqua"/>
      <family val="1"/>
    </font>
    <font>
      <b/>
      <sz val="12"/>
      <color rgb="FF7030A0"/>
      <name val="Book Antiqua"/>
      <family val="1"/>
    </font>
    <font>
      <b/>
      <sz val="9"/>
      <color rgb="FF7030A0"/>
      <name val="Book Antiqua"/>
      <family val="1"/>
    </font>
    <font>
      <i/>
      <sz val="10"/>
      <color rgb="FF7030A0"/>
      <name val="Book Antiqua"/>
      <family val="1"/>
    </font>
    <font>
      <b/>
      <i/>
      <sz val="10"/>
      <color rgb="FF7030A0"/>
      <name val="Book Antiqua"/>
      <family val="1"/>
    </font>
    <font>
      <sz val="10"/>
      <color rgb="FF0070C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i/>
      <sz val="10"/>
      <color rgb="FF0070C0"/>
      <name val="Book Antiqua"/>
      <family val="1"/>
    </font>
    <font>
      <b/>
      <i/>
      <sz val="10"/>
      <color rgb="FF0070C0"/>
      <name val="Book Antiqua"/>
      <family val="1"/>
    </font>
    <font>
      <sz val="14"/>
      <color rgb="FF00B050"/>
      <name val="Wingdings"/>
      <charset val="2"/>
    </font>
    <font>
      <b/>
      <sz val="8"/>
      <color rgb="FF7030A0"/>
      <name val="Book Antiqua"/>
      <family val="1"/>
    </font>
    <font>
      <b/>
      <sz val="8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1"/>
      <color rgb="FF7030A0"/>
      <name val="Book Antiqua"/>
      <family val="1"/>
    </font>
    <font>
      <b/>
      <sz val="10.5"/>
      <color theme="1"/>
      <name val="Book Antiqua"/>
      <family val="1"/>
    </font>
    <font>
      <b/>
      <u/>
      <sz val="10.5"/>
      <color theme="10"/>
      <name val="Book Antiqua"/>
      <family val="1"/>
    </font>
    <font>
      <sz val="8"/>
      <name val="Book Antiqua"/>
      <family val="1"/>
    </font>
    <font>
      <b/>
      <u/>
      <sz val="10"/>
      <color theme="10"/>
      <name val="Book Antiqua"/>
      <family val="1"/>
    </font>
    <font>
      <b/>
      <sz val="8"/>
      <color rgb="FF00B050"/>
      <name val="Book Antiqua"/>
      <family val="1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auto="1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2">
    <xf numFmtId="0" fontId="0" fillId="0" borderId="0"/>
    <xf numFmtId="0" fontId="61" fillId="0" borderId="0" applyNumberFormat="0" applyFill="0" applyBorder="0" applyAlignment="0" applyProtection="0"/>
  </cellStyleXfs>
  <cellXfs count="623">
    <xf numFmtId="0" fontId="0" fillId="0" borderId="0" xfId="0"/>
    <xf numFmtId="0" fontId="9" fillId="3" borderId="0" xfId="0" applyFont="1" applyFill="1"/>
    <xf numFmtId="0" fontId="12" fillId="3" borderId="0" xfId="0" applyFont="1" applyFill="1"/>
    <xf numFmtId="3" fontId="1" fillId="0" borderId="0" xfId="0" applyNumberFormat="1" applyFont="1"/>
    <xf numFmtId="3" fontId="6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166" fontId="0" fillId="0" borderId="0" xfId="0" applyNumberFormat="1"/>
    <xf numFmtId="3" fontId="1" fillId="6" borderId="0" xfId="0" applyNumberFormat="1" applyFont="1" applyFill="1"/>
    <xf numFmtId="3" fontId="6" fillId="6" borderId="0" xfId="0" applyNumberFormat="1" applyFont="1" applyFill="1"/>
    <xf numFmtId="3" fontId="19" fillId="0" borderId="0" xfId="0" applyNumberFormat="1" applyFont="1"/>
    <xf numFmtId="3" fontId="3" fillId="0" borderId="0" xfId="0" applyNumberFormat="1" applyFont="1"/>
    <xf numFmtId="166" fontId="4" fillId="0" borderId="0" xfId="0" applyNumberFormat="1" applyFont="1"/>
    <xf numFmtId="166" fontId="18" fillId="0" borderId="0" xfId="0" applyNumberFormat="1" applyFont="1"/>
    <xf numFmtId="0" fontId="4" fillId="0" borderId="0" xfId="0" applyFont="1"/>
    <xf numFmtId="3" fontId="19" fillId="6" borderId="0" xfId="0" applyNumberFormat="1" applyFont="1" applyFill="1"/>
    <xf numFmtId="3" fontId="3" fillId="6" borderId="0" xfId="0" applyNumberFormat="1" applyFont="1" applyFill="1"/>
    <xf numFmtId="2" fontId="3" fillId="0" borderId="0" xfId="0" applyNumberFormat="1" applyFont="1"/>
    <xf numFmtId="2" fontId="19" fillId="0" borderId="0" xfId="0" applyNumberFormat="1" applyFont="1"/>
    <xf numFmtId="0" fontId="1" fillId="0" borderId="0" xfId="0" applyFont="1"/>
    <xf numFmtId="0" fontId="19" fillId="0" borderId="0" xfId="0" applyFont="1"/>
    <xf numFmtId="2" fontId="4" fillId="0" borderId="0" xfId="0" applyNumberFormat="1" applyFont="1"/>
    <xf numFmtId="2" fontId="0" fillId="0" borderId="0" xfId="0" applyNumberFormat="1"/>
    <xf numFmtId="2" fontId="1" fillId="0" borderId="32" xfId="0" applyNumberFormat="1" applyFont="1" applyBorder="1"/>
    <xf numFmtId="0" fontId="6" fillId="0" borderId="33" xfId="0" applyFont="1" applyBorder="1"/>
    <xf numFmtId="2" fontId="1" fillId="0" borderId="34" xfId="0" applyNumberFormat="1" applyFont="1" applyBorder="1"/>
    <xf numFmtId="2" fontId="6" fillId="0" borderId="35" xfId="0" applyNumberFormat="1" applyFont="1" applyBorder="1"/>
    <xf numFmtId="2" fontId="1" fillId="0" borderId="36" xfId="0" applyNumberFormat="1" applyFont="1" applyBorder="1"/>
    <xf numFmtId="2" fontId="6" fillId="0" borderId="37" xfId="0" applyNumberFormat="1" applyFont="1" applyBorder="1"/>
    <xf numFmtId="0" fontId="6" fillId="0" borderId="38" xfId="0" applyFont="1" applyBorder="1"/>
    <xf numFmtId="2" fontId="1" fillId="0" borderId="38" xfId="0" applyNumberFormat="1" applyFont="1" applyBorder="1"/>
    <xf numFmtId="2" fontId="6" fillId="0" borderId="39" xfId="0" applyNumberFormat="1" applyFont="1" applyBorder="1"/>
    <xf numFmtId="2" fontId="1" fillId="0" borderId="39" xfId="0" applyNumberFormat="1" applyFont="1" applyBorder="1"/>
    <xf numFmtId="4" fontId="1" fillId="0" borderId="0" xfId="0" applyNumberFormat="1" applyFont="1"/>
    <xf numFmtId="4" fontId="0" fillId="0" borderId="0" xfId="0" applyNumberFormat="1"/>
    <xf numFmtId="10" fontId="9" fillId="7" borderId="0" xfId="0" applyNumberFormat="1" applyFont="1" applyFill="1"/>
    <xf numFmtId="0" fontId="9" fillId="7" borderId="0" xfId="0" applyFont="1" applyFill="1"/>
    <xf numFmtId="0" fontId="20" fillId="7" borderId="0" xfId="0" applyFont="1" applyFill="1"/>
    <xf numFmtId="4" fontId="9" fillId="7" borderId="0" xfId="0" applyNumberFormat="1" applyFont="1" applyFill="1"/>
    <xf numFmtId="0" fontId="9" fillId="7" borderId="0" xfId="0" applyFont="1" applyFill="1" applyAlignment="1">
      <alignment horizontal="center"/>
    </xf>
    <xf numFmtId="165" fontId="9" fillId="7" borderId="0" xfId="0" applyNumberFormat="1" applyFont="1" applyFill="1"/>
    <xf numFmtId="0" fontId="12" fillId="7" borderId="0" xfId="0" applyFont="1" applyFill="1"/>
    <xf numFmtId="0" fontId="8" fillId="7" borderId="0" xfId="0" applyFont="1" applyFill="1"/>
    <xf numFmtId="4" fontId="12" fillId="7" borderId="0" xfId="0" applyNumberFormat="1" applyFont="1" applyFill="1"/>
    <xf numFmtId="2" fontId="2" fillId="0" borderId="0" xfId="0" applyNumberFormat="1" applyFont="1"/>
    <xf numFmtId="2" fontId="19" fillId="0" borderId="35" xfId="0" applyNumberFormat="1" applyFont="1" applyBorder="1"/>
    <xf numFmtId="2" fontId="3" fillId="0" borderId="38" xfId="0" applyNumberFormat="1" applyFont="1" applyBorder="1"/>
    <xf numFmtId="0" fontId="19" fillId="0" borderId="38" xfId="0" applyFont="1" applyBorder="1"/>
    <xf numFmtId="2" fontId="3" fillId="0" borderId="39" xfId="0" applyNumberFormat="1" applyFont="1" applyBorder="1"/>
    <xf numFmtId="2" fontId="19" fillId="0" borderId="39" xfId="0" applyNumberFormat="1" applyFont="1" applyBorder="1"/>
    <xf numFmtId="2" fontId="2" fillId="0" borderId="38" xfId="0" applyNumberFormat="1" applyFont="1" applyBorder="1"/>
    <xf numFmtId="0" fontId="15" fillId="0" borderId="38" xfId="0" applyFont="1" applyBorder="1"/>
    <xf numFmtId="2" fontId="15" fillId="0" borderId="0" xfId="0" applyNumberFormat="1" applyFont="1"/>
    <xf numFmtId="2" fontId="2" fillId="0" borderId="39" xfId="0" applyNumberFormat="1" applyFont="1" applyBorder="1"/>
    <xf numFmtId="2" fontId="15" fillId="0" borderId="39" xfId="0" applyNumberFormat="1" applyFont="1" applyBorder="1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11" fillId="7" borderId="0" xfId="0" applyFont="1" applyFill="1"/>
    <xf numFmtId="3" fontId="0" fillId="0" borderId="44" xfId="0" applyNumberFormat="1" applyBorder="1"/>
    <xf numFmtId="4" fontId="12" fillId="7" borderId="0" xfId="0" applyNumberFormat="1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3" fillId="7" borderId="0" xfId="0" applyFont="1" applyFill="1"/>
    <xf numFmtId="0" fontId="24" fillId="7" borderId="0" xfId="0" applyFont="1" applyFill="1" applyAlignment="1">
      <alignment horizontal="center" vertical="center"/>
    </xf>
    <xf numFmtId="3" fontId="22" fillId="7" borderId="27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3" fontId="25" fillId="7" borderId="5" xfId="0" applyNumberFormat="1" applyFont="1" applyFill="1" applyBorder="1" applyAlignment="1">
      <alignment vertical="center"/>
    </xf>
    <xf numFmtId="3" fontId="22" fillId="7" borderId="10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vertical="center"/>
    </xf>
    <xf numFmtId="2" fontId="22" fillId="7" borderId="0" xfId="0" applyNumberFormat="1" applyFont="1" applyFill="1" applyAlignment="1">
      <alignment horizontal="center" vertical="center"/>
    </xf>
    <xf numFmtId="3" fontId="12" fillId="7" borderId="0" xfId="0" applyNumberFormat="1" applyFont="1" applyFill="1"/>
    <xf numFmtId="3" fontId="22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4" fontId="22" fillId="7" borderId="1" xfId="0" applyNumberFormat="1" applyFont="1" applyFill="1" applyBorder="1" applyAlignment="1">
      <alignment horizontal="center" vertical="center"/>
    </xf>
    <xf numFmtId="170" fontId="22" fillId="7" borderId="1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/>
    </xf>
    <xf numFmtId="3" fontId="12" fillId="7" borderId="0" xfId="0" applyNumberFormat="1" applyFont="1" applyFill="1" applyAlignment="1">
      <alignment vertical="center"/>
    </xf>
    <xf numFmtId="166" fontId="12" fillId="7" borderId="0" xfId="0" applyNumberFormat="1" applyFont="1" applyFill="1" applyAlignment="1">
      <alignment vertical="center"/>
    </xf>
    <xf numFmtId="4" fontId="12" fillId="7" borderId="0" xfId="0" applyNumberFormat="1" applyFont="1" applyFill="1" applyAlignment="1">
      <alignment vertical="center"/>
    </xf>
    <xf numFmtId="0" fontId="24" fillId="7" borderId="0" xfId="0" applyFont="1" applyFill="1" applyAlignment="1">
      <alignment horizontal="center"/>
    </xf>
    <xf numFmtId="3" fontId="27" fillId="7" borderId="5" xfId="0" applyNumberFormat="1" applyFont="1" applyFill="1" applyBorder="1" applyAlignment="1">
      <alignment vertical="center"/>
    </xf>
    <xf numFmtId="166" fontId="12" fillId="7" borderId="0" xfId="0" applyNumberFormat="1" applyFont="1" applyFill="1"/>
    <xf numFmtId="3" fontId="24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22" fillId="7" borderId="0" xfId="0" applyFont="1" applyFill="1" applyAlignment="1">
      <alignment horizontal="right" vertical="center"/>
    </xf>
    <xf numFmtId="0" fontId="28" fillId="7" borderId="0" xfId="0" applyFont="1" applyFill="1" applyAlignment="1">
      <alignment vertical="center"/>
    </xf>
    <xf numFmtId="3" fontId="11" fillId="7" borderId="0" xfId="0" applyNumberFormat="1" applyFont="1" applyFill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4" fontId="28" fillId="7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5" fontId="12" fillId="7" borderId="0" xfId="0" applyNumberFormat="1" applyFont="1" applyFill="1" applyAlignment="1">
      <alignment vertical="center"/>
    </xf>
    <xf numFmtId="0" fontId="12" fillId="0" borderId="0" xfId="0" applyFont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10" fontId="8" fillId="7" borderId="0" xfId="0" applyNumberFormat="1" applyFont="1" applyFill="1"/>
    <xf numFmtId="0" fontId="33" fillId="7" borderId="0" xfId="0" applyFont="1" applyFill="1" applyAlignment="1">
      <alignment vertical="center"/>
    </xf>
    <xf numFmtId="0" fontId="20" fillId="7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4" fontId="20" fillId="7" borderId="5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25" fillId="7" borderId="0" xfId="0" applyFont="1" applyFill="1" applyAlignment="1">
      <alignment horizontal="right" vertical="center"/>
    </xf>
    <xf numFmtId="167" fontId="25" fillId="7" borderId="0" xfId="0" applyNumberFormat="1" applyFont="1" applyFill="1" applyAlignment="1">
      <alignment horizontal="right" vertical="center"/>
    </xf>
    <xf numFmtId="171" fontId="25" fillId="7" borderId="0" xfId="0" applyNumberFormat="1" applyFont="1" applyFill="1" applyAlignment="1">
      <alignment horizontal="center" vertical="center"/>
    </xf>
    <xf numFmtId="20" fontId="25" fillId="7" borderId="0" xfId="0" applyNumberFormat="1" applyFont="1" applyFill="1" applyAlignment="1">
      <alignment horizontal="center" vertical="center"/>
    </xf>
    <xf numFmtId="168" fontId="25" fillId="7" borderId="0" xfId="0" applyNumberFormat="1" applyFont="1" applyFill="1" applyAlignment="1">
      <alignment vertical="center"/>
    </xf>
    <xf numFmtId="169" fontId="25" fillId="7" borderId="0" xfId="0" applyNumberFormat="1" applyFont="1" applyFill="1" applyAlignment="1">
      <alignment vertical="center"/>
    </xf>
    <xf numFmtId="164" fontId="25" fillId="7" borderId="5" xfId="0" applyNumberFormat="1" applyFont="1" applyFill="1" applyBorder="1" applyAlignment="1">
      <alignment vertical="center"/>
    </xf>
    <xf numFmtId="1" fontId="25" fillId="7" borderId="5" xfId="0" applyNumberFormat="1" applyFont="1" applyFill="1" applyBorder="1" applyAlignment="1">
      <alignment vertical="center"/>
    </xf>
    <xf numFmtId="164" fontId="25" fillId="7" borderId="0" xfId="0" applyNumberFormat="1" applyFont="1" applyFill="1" applyAlignment="1">
      <alignment vertical="center"/>
    </xf>
    <xf numFmtId="165" fontId="30" fillId="7" borderId="0" xfId="0" applyNumberFormat="1" applyFont="1" applyFill="1" applyAlignment="1">
      <alignment vertical="center"/>
    </xf>
    <xf numFmtId="165" fontId="25" fillId="7" borderId="0" xfId="0" applyNumberFormat="1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166" fontId="25" fillId="7" borderId="0" xfId="0" applyNumberFormat="1" applyFont="1" applyFill="1" applyAlignment="1">
      <alignment vertical="center"/>
    </xf>
    <xf numFmtId="166" fontId="30" fillId="7" borderId="0" xfId="0" applyNumberFormat="1" applyFont="1" applyFill="1" applyAlignment="1">
      <alignment vertical="center"/>
    </xf>
    <xf numFmtId="4" fontId="25" fillId="7" borderId="0" xfId="0" applyNumberFormat="1" applyFont="1" applyFill="1" applyAlignment="1">
      <alignment vertical="center"/>
    </xf>
    <xf numFmtId="166" fontId="8" fillId="7" borderId="0" xfId="0" applyNumberFormat="1" applyFont="1" applyFill="1" applyAlignment="1">
      <alignment vertical="center"/>
    </xf>
    <xf numFmtId="0" fontId="25" fillId="3" borderId="0" xfId="0" applyFont="1" applyFill="1"/>
    <xf numFmtId="164" fontId="22" fillId="7" borderId="5" xfId="0" applyNumberFormat="1" applyFont="1" applyFill="1" applyBorder="1" applyAlignment="1">
      <alignment vertical="center"/>
    </xf>
    <xf numFmtId="3" fontId="22" fillId="7" borderId="5" xfId="0" applyNumberFormat="1" applyFont="1" applyFill="1" applyBorder="1" applyAlignment="1">
      <alignment vertical="center"/>
    </xf>
    <xf numFmtId="1" fontId="22" fillId="7" borderId="5" xfId="0" applyNumberFormat="1" applyFont="1" applyFill="1" applyBorder="1" applyAlignment="1">
      <alignment vertical="center"/>
    </xf>
    <xf numFmtId="1" fontId="25" fillId="7" borderId="0" xfId="0" applyNumberFormat="1" applyFont="1" applyFill="1" applyAlignment="1">
      <alignment vertical="center"/>
    </xf>
    <xf numFmtId="3" fontId="25" fillId="7" borderId="0" xfId="0" applyNumberFormat="1" applyFont="1" applyFill="1" applyAlignment="1">
      <alignment vertical="center"/>
    </xf>
    <xf numFmtId="0" fontId="25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7" fillId="7" borderId="0" xfId="0" applyFont="1" applyFill="1" applyAlignment="1">
      <alignment horizontal="center" vertical="center"/>
    </xf>
    <xf numFmtId="167" fontId="27" fillId="7" borderId="0" xfId="0" applyNumberFormat="1" applyFont="1" applyFill="1" applyAlignment="1">
      <alignment vertical="center"/>
    </xf>
    <xf numFmtId="171" fontId="27" fillId="7" borderId="0" xfId="0" applyNumberFormat="1" applyFont="1" applyFill="1" applyAlignment="1">
      <alignment horizontal="center" vertical="center"/>
    </xf>
    <xf numFmtId="20" fontId="27" fillId="7" borderId="0" xfId="0" applyNumberFormat="1" applyFont="1" applyFill="1" applyAlignment="1">
      <alignment horizontal="center" vertical="center"/>
    </xf>
    <xf numFmtId="168" fontId="27" fillId="7" borderId="0" xfId="0" applyNumberFormat="1" applyFont="1" applyFill="1" applyAlignment="1">
      <alignment vertical="center"/>
    </xf>
    <xf numFmtId="169" fontId="27" fillId="7" borderId="0" xfId="0" applyNumberFormat="1" applyFont="1" applyFill="1" applyAlignment="1">
      <alignment vertical="center"/>
    </xf>
    <xf numFmtId="165" fontId="34" fillId="7" borderId="0" xfId="0" applyNumberFormat="1" applyFont="1" applyFill="1" applyAlignment="1">
      <alignment vertical="center"/>
    </xf>
    <xf numFmtId="165" fontId="27" fillId="7" borderId="0" xfId="0" applyNumberFormat="1" applyFont="1" applyFill="1" applyAlignment="1">
      <alignment vertical="center"/>
    </xf>
    <xf numFmtId="164" fontId="27" fillId="7" borderId="0" xfId="0" applyNumberFormat="1" applyFont="1" applyFill="1" applyAlignment="1">
      <alignment vertical="center"/>
    </xf>
    <xf numFmtId="3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34" fillId="7" borderId="0" xfId="0" applyNumberFormat="1" applyFont="1" applyFill="1" applyAlignment="1">
      <alignment vertical="center"/>
    </xf>
    <xf numFmtId="4" fontId="27" fillId="7" borderId="0" xfId="0" applyNumberFormat="1" applyFont="1" applyFill="1" applyAlignment="1">
      <alignment vertical="center"/>
    </xf>
    <xf numFmtId="0" fontId="27" fillId="3" borderId="0" xfId="0" applyFont="1" applyFill="1"/>
    <xf numFmtId="0" fontId="27" fillId="7" borderId="0" xfId="0" applyFont="1" applyFill="1"/>
    <xf numFmtId="0" fontId="20" fillId="7" borderId="0" xfId="0" applyFont="1" applyFill="1" applyAlignment="1">
      <alignment horizontal="center" vertical="center"/>
    </xf>
    <xf numFmtId="164" fontId="20" fillId="7" borderId="0" xfId="0" applyNumberFormat="1" applyFont="1" applyFill="1" applyAlignment="1">
      <alignment vertical="center"/>
    </xf>
    <xf numFmtId="165" fontId="27" fillId="7" borderId="5" xfId="0" applyNumberFormat="1" applyFont="1" applyFill="1" applyBorder="1" applyAlignment="1">
      <alignment vertical="center"/>
    </xf>
    <xf numFmtId="3" fontId="20" fillId="7" borderId="0" xfId="0" applyNumberFormat="1" applyFont="1" applyFill="1" applyAlignment="1">
      <alignment horizontal="center" vertical="center"/>
    </xf>
    <xf numFmtId="166" fontId="20" fillId="7" borderId="5" xfId="0" applyNumberFormat="1" applyFont="1" applyFill="1" applyBorder="1" applyAlignment="1">
      <alignment horizontal="right"/>
    </xf>
    <xf numFmtId="166" fontId="9" fillId="7" borderId="5" xfId="0" applyNumberFormat="1" applyFont="1" applyFill="1" applyBorder="1" applyAlignment="1">
      <alignment horizontal="right"/>
    </xf>
    <xf numFmtId="0" fontId="9" fillId="7" borderId="5" xfId="0" applyFont="1" applyFill="1" applyBorder="1" applyAlignment="1">
      <alignment horizontal="right"/>
    </xf>
    <xf numFmtId="4" fontId="20" fillId="7" borderId="5" xfId="0" applyNumberFormat="1" applyFont="1" applyFill="1" applyBorder="1" applyAlignment="1">
      <alignment horizontal="right"/>
    </xf>
    <xf numFmtId="0" fontId="27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3" fontId="20" fillId="7" borderId="5" xfId="0" applyNumberFormat="1" applyFont="1" applyFill="1" applyBorder="1" applyAlignment="1">
      <alignment vertical="center"/>
    </xf>
    <xf numFmtId="3" fontId="20" fillId="7" borderId="0" xfId="0" applyNumberFormat="1" applyFont="1" applyFill="1" applyAlignment="1">
      <alignment vertical="center"/>
    </xf>
    <xf numFmtId="166" fontId="27" fillId="7" borderId="0" xfId="0" applyNumberFormat="1" applyFont="1" applyFill="1"/>
    <xf numFmtId="166" fontId="11" fillId="7" borderId="0" xfId="0" applyNumberFormat="1" applyFont="1" applyFill="1"/>
    <xf numFmtId="166" fontId="25" fillId="7" borderId="0" xfId="0" applyNumberFormat="1" applyFont="1" applyFill="1"/>
    <xf numFmtId="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/>
    <xf numFmtId="165" fontId="11" fillId="7" borderId="0" xfId="0" applyNumberFormat="1" applyFont="1" applyFill="1"/>
    <xf numFmtId="0" fontId="35" fillId="7" borderId="0" xfId="1" applyFont="1" applyFill="1" applyAlignment="1">
      <alignment horizontal="center"/>
    </xf>
    <xf numFmtId="0" fontId="36" fillId="7" borderId="5" xfId="0" applyFont="1" applyFill="1" applyBorder="1" applyAlignment="1">
      <alignment horizontal="center" vertical="center"/>
    </xf>
    <xf numFmtId="0" fontId="36" fillId="7" borderId="5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36" fillId="7" borderId="0" xfId="0" applyFont="1" applyFill="1"/>
    <xf numFmtId="164" fontId="36" fillId="7" borderId="0" xfId="0" applyNumberFormat="1" applyFont="1" applyFill="1"/>
    <xf numFmtId="164" fontId="39" fillId="7" borderId="0" xfId="0" applyNumberFormat="1" applyFont="1" applyFill="1"/>
    <xf numFmtId="164" fontId="40" fillId="7" borderId="0" xfId="0" applyNumberFormat="1" applyFont="1" applyFill="1"/>
    <xf numFmtId="164" fontId="41" fillId="7" borderId="0" xfId="0" applyNumberFormat="1" applyFont="1" applyFill="1"/>
    <xf numFmtId="0" fontId="41" fillId="7" borderId="0" xfId="0" applyFont="1" applyFill="1"/>
    <xf numFmtId="0" fontId="36" fillId="0" borderId="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3" fontId="27" fillId="7" borderId="46" xfId="0" applyNumberFormat="1" applyFont="1" applyFill="1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3" fontId="20" fillId="7" borderId="5" xfId="0" applyNumberFormat="1" applyFont="1" applyFill="1" applyBorder="1"/>
    <xf numFmtId="0" fontId="12" fillId="10" borderId="0" xfId="0" applyFont="1" applyFill="1"/>
    <xf numFmtId="165" fontId="21" fillId="10" borderId="31" xfId="0" applyNumberFormat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9" fillId="10" borderId="0" xfId="0" applyFont="1" applyFill="1"/>
    <xf numFmtId="3" fontId="11" fillId="10" borderId="0" xfId="0" applyNumberFormat="1" applyFont="1" applyFill="1" applyAlignment="1">
      <alignment horizontal="center"/>
    </xf>
    <xf numFmtId="3" fontId="20" fillId="10" borderId="0" xfId="0" applyNumberFormat="1" applyFont="1" applyFill="1" applyAlignment="1">
      <alignment horizontal="center"/>
    </xf>
    <xf numFmtId="14" fontId="25" fillId="10" borderId="0" xfId="0" applyNumberFormat="1" applyFont="1" applyFill="1" applyAlignment="1">
      <alignment horizontal="center"/>
    </xf>
    <xf numFmtId="14" fontId="27" fillId="10" borderId="0" xfId="0" applyNumberFormat="1" applyFont="1" applyFill="1" applyAlignment="1">
      <alignment horizontal="center"/>
    </xf>
    <xf numFmtId="0" fontId="27" fillId="10" borderId="0" xfId="0" applyFont="1" applyFill="1"/>
    <xf numFmtId="0" fontId="22" fillId="10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25" fillId="10" borderId="0" xfId="0" applyFont="1" applyFill="1"/>
    <xf numFmtId="0" fontId="12" fillId="10" borderId="0" xfId="0" applyFont="1" applyFill="1" applyAlignment="1">
      <alignment horizontal="center"/>
    </xf>
    <xf numFmtId="164" fontId="12" fillId="10" borderId="0" xfId="0" applyNumberFormat="1" applyFont="1" applyFill="1" applyAlignment="1">
      <alignment horizontal="center"/>
    </xf>
    <xf numFmtId="3" fontId="13" fillId="10" borderId="0" xfId="0" applyNumberFormat="1" applyFont="1" applyFill="1" applyAlignment="1">
      <alignment horizontal="center" vertical="center"/>
    </xf>
    <xf numFmtId="164" fontId="24" fillId="10" borderId="0" xfId="0" applyNumberFormat="1" applyFont="1" applyFill="1" applyAlignment="1">
      <alignment vertical="center"/>
    </xf>
    <xf numFmtId="164" fontId="12" fillId="10" borderId="0" xfId="0" applyNumberFormat="1" applyFont="1" applyFill="1" applyAlignment="1">
      <alignment horizontal="center" vertical="center"/>
    </xf>
    <xf numFmtId="165" fontId="12" fillId="10" borderId="0" xfId="0" applyNumberFormat="1" applyFont="1" applyFill="1"/>
    <xf numFmtId="3" fontId="11" fillId="10" borderId="0" xfId="0" applyNumberFormat="1" applyFont="1" applyFill="1" applyAlignment="1">
      <alignment horizontal="left"/>
    </xf>
    <xf numFmtId="164" fontId="13" fillId="10" borderId="0" xfId="0" applyNumberFormat="1" applyFont="1" applyFill="1" applyAlignment="1">
      <alignment horizontal="right"/>
    </xf>
    <xf numFmtId="3" fontId="20" fillId="10" borderId="0" xfId="0" applyNumberFormat="1" applyFont="1" applyFill="1" applyAlignment="1">
      <alignment horizontal="left"/>
    </xf>
    <xf numFmtId="164" fontId="22" fillId="10" borderId="0" xfId="0" applyNumberFormat="1" applyFont="1" applyFill="1" applyAlignment="1">
      <alignment horizontal="right"/>
    </xf>
    <xf numFmtId="3" fontId="27" fillId="10" borderId="0" xfId="0" applyNumberFormat="1" applyFont="1" applyFill="1" applyAlignment="1">
      <alignment horizontal="center"/>
    </xf>
    <xf numFmtId="3" fontId="11" fillId="10" borderId="1" xfId="0" applyNumberFormat="1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/>
    </xf>
    <xf numFmtId="172" fontId="45" fillId="10" borderId="0" xfId="0" applyNumberFormat="1" applyFont="1" applyFill="1" applyAlignment="1">
      <alignment horizontal="left"/>
    </xf>
    <xf numFmtId="172" fontId="46" fillId="10" borderId="0" xfId="0" applyNumberFormat="1" applyFont="1" applyFill="1" applyAlignment="1">
      <alignment horizontal="left"/>
    </xf>
    <xf numFmtId="3" fontId="11" fillId="7" borderId="0" xfId="0" applyNumberFormat="1" applyFont="1" applyFill="1" applyAlignment="1">
      <alignment horizontal="center"/>
    </xf>
    <xf numFmtId="3" fontId="47" fillId="7" borderId="0" xfId="0" applyNumberFormat="1" applyFont="1" applyFill="1" applyAlignment="1">
      <alignment horizontal="center" vertical="center"/>
    </xf>
    <xf numFmtId="0" fontId="20" fillId="11" borderId="2" xfId="0" applyFont="1" applyFill="1" applyBorder="1" applyAlignment="1">
      <alignment horizontal="center" vertical="center" wrapText="1"/>
    </xf>
    <xf numFmtId="3" fontId="22" fillId="7" borderId="0" xfId="0" applyNumberFormat="1" applyFont="1" applyFill="1" applyAlignment="1">
      <alignment vertical="center"/>
    </xf>
    <xf numFmtId="164" fontId="27" fillId="7" borderId="5" xfId="0" applyNumberFormat="1" applyFont="1" applyFill="1" applyBorder="1" applyAlignment="1">
      <alignment vertical="center"/>
    </xf>
    <xf numFmtId="0" fontId="25" fillId="7" borderId="0" xfId="0" applyFont="1" applyFill="1"/>
    <xf numFmtId="164" fontId="12" fillId="7" borderId="0" xfId="0" applyNumberFormat="1" applyFont="1" applyFill="1"/>
    <xf numFmtId="3" fontId="22" fillId="10" borderId="0" xfId="0" applyNumberFormat="1" applyFont="1" applyFill="1" applyAlignment="1">
      <alignment horizontal="right"/>
    </xf>
    <xf numFmtId="0" fontId="49" fillId="0" borderId="5" xfId="0" applyFont="1" applyBorder="1" applyAlignment="1">
      <alignment horizontal="center" vertical="center"/>
    </xf>
    <xf numFmtId="0" fontId="36" fillId="7" borderId="0" xfId="0" applyFont="1" applyFill="1" applyAlignment="1">
      <alignment horizontal="center" vertical="center"/>
    </xf>
    <xf numFmtId="9" fontId="8" fillId="11" borderId="9" xfId="0" applyNumberFormat="1" applyFont="1" applyFill="1" applyBorder="1" applyAlignment="1">
      <alignment horizontal="center" vertical="center"/>
    </xf>
    <xf numFmtId="9" fontId="8" fillId="11" borderId="15" xfId="0" applyNumberFormat="1" applyFont="1" applyFill="1" applyBorder="1" applyAlignment="1">
      <alignment horizontal="center" vertical="center"/>
    </xf>
    <xf numFmtId="164" fontId="10" fillId="12" borderId="26" xfId="0" applyNumberFormat="1" applyFont="1" applyFill="1" applyBorder="1" applyAlignment="1">
      <alignment vertical="center"/>
    </xf>
    <xf numFmtId="164" fontId="10" fillId="12" borderId="26" xfId="0" applyNumberFormat="1" applyFont="1" applyFill="1" applyBorder="1" applyAlignment="1">
      <alignment horizontal="center" vertical="center"/>
    </xf>
    <xf numFmtId="0" fontId="27" fillId="10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3" fontId="27" fillId="7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27" fillId="7" borderId="0" xfId="0" applyFont="1" applyFill="1" applyAlignment="1">
      <alignment vertical="center"/>
    </xf>
    <xf numFmtId="0" fontId="34" fillId="7" borderId="0" xfId="0" applyFont="1" applyFill="1" applyAlignment="1">
      <alignment horizontal="center" vertical="center"/>
    </xf>
    <xf numFmtId="0" fontId="34" fillId="7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13" borderId="47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vertical="center"/>
    </xf>
    <xf numFmtId="0" fontId="49" fillId="8" borderId="5" xfId="0" applyFont="1" applyFill="1" applyBorder="1" applyAlignment="1">
      <alignment horizontal="center" vertical="center"/>
    </xf>
    <xf numFmtId="164" fontId="32" fillId="10" borderId="0" xfId="0" applyNumberFormat="1" applyFont="1" applyFill="1"/>
    <xf numFmtId="3" fontId="1" fillId="2" borderId="0" xfId="0" applyNumberFormat="1" applyFont="1" applyFill="1"/>
    <xf numFmtId="164" fontId="51" fillId="10" borderId="0" xfId="0" applyNumberFormat="1" applyFont="1" applyFill="1" applyAlignment="1">
      <alignment horizontal="right"/>
    </xf>
    <xf numFmtId="3" fontId="20" fillId="7" borderId="0" xfId="0" applyNumberFormat="1" applyFont="1" applyFill="1"/>
    <xf numFmtId="3" fontId="13" fillId="10" borderId="0" xfId="0" applyNumberFormat="1" applyFont="1" applyFill="1" applyAlignment="1">
      <alignment horizontal="right"/>
    </xf>
    <xf numFmtId="0" fontId="30" fillId="7" borderId="5" xfId="0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center"/>
    </xf>
    <xf numFmtId="164" fontId="11" fillId="7" borderId="0" xfId="0" applyNumberFormat="1" applyFont="1" applyFill="1" applyAlignment="1">
      <alignment horizontal="center" vertical="center"/>
    </xf>
    <xf numFmtId="164" fontId="12" fillId="7" borderId="0" xfId="0" applyNumberFormat="1" applyFont="1" applyFill="1" applyAlignment="1">
      <alignment horizontal="center" vertical="center"/>
    </xf>
    <xf numFmtId="164" fontId="27" fillId="7" borderId="0" xfId="0" applyNumberFormat="1" applyFont="1" applyFill="1" applyAlignment="1">
      <alignment horizontal="center" vertical="center"/>
    </xf>
    <xf numFmtId="164" fontId="9" fillId="7" borderId="0" xfId="0" applyNumberFormat="1" applyFont="1" applyFill="1"/>
    <xf numFmtId="164" fontId="13" fillId="7" borderId="5" xfId="0" applyNumberFormat="1" applyFont="1" applyFill="1" applyBorder="1" applyAlignment="1">
      <alignment horizontal="center"/>
    </xf>
    <xf numFmtId="164" fontId="30" fillId="7" borderId="5" xfId="0" applyNumberFormat="1" applyFont="1" applyFill="1" applyBorder="1" applyAlignment="1">
      <alignment vertical="center"/>
    </xf>
    <xf numFmtId="164" fontId="22" fillId="7" borderId="5" xfId="0" applyNumberFormat="1" applyFont="1" applyFill="1" applyBorder="1" applyAlignment="1">
      <alignment horizontal="center"/>
    </xf>
    <xf numFmtId="164" fontId="27" fillId="9" borderId="5" xfId="0" applyNumberFormat="1" applyFont="1" applyFill="1" applyBorder="1" applyAlignment="1">
      <alignment vertical="center"/>
    </xf>
    <xf numFmtId="3" fontId="27" fillId="9" borderId="5" xfId="0" applyNumberFormat="1" applyFont="1" applyFill="1" applyBorder="1" applyAlignment="1">
      <alignment vertical="center"/>
    </xf>
    <xf numFmtId="3" fontId="22" fillId="10" borderId="0" xfId="0" applyNumberFormat="1" applyFont="1" applyFill="1"/>
    <xf numFmtId="0" fontId="52" fillId="10" borderId="0" xfId="0" applyFont="1" applyFill="1" applyAlignment="1">
      <alignment horizontal="center"/>
    </xf>
    <xf numFmtId="3" fontId="52" fillId="10" borderId="0" xfId="0" applyNumberFormat="1" applyFont="1" applyFill="1"/>
    <xf numFmtId="3" fontId="52" fillId="10" borderId="0" xfId="0" applyNumberFormat="1" applyFont="1" applyFill="1" applyAlignment="1">
      <alignment horizontal="right"/>
    </xf>
    <xf numFmtId="9" fontId="8" fillId="10" borderId="9" xfId="0" applyNumberFormat="1" applyFont="1" applyFill="1" applyBorder="1" applyAlignment="1">
      <alignment horizontal="center" vertical="center"/>
    </xf>
    <xf numFmtId="0" fontId="25" fillId="13" borderId="47" xfId="0" applyFont="1" applyFill="1" applyBorder="1" applyAlignment="1">
      <alignment horizontal="center" vertical="center"/>
    </xf>
    <xf numFmtId="3" fontId="25" fillId="7" borderId="46" xfId="0" applyNumberFormat="1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22" fillId="7" borderId="0" xfId="0" applyFont="1" applyFill="1"/>
    <xf numFmtId="0" fontId="20" fillId="10" borderId="0" xfId="0" applyFont="1" applyFill="1" applyAlignment="1">
      <alignment horizontal="right"/>
    </xf>
    <xf numFmtId="0" fontId="22" fillId="10" borderId="0" xfId="0" applyFont="1" applyFill="1" applyAlignment="1">
      <alignment horizontal="right"/>
    </xf>
    <xf numFmtId="0" fontId="12" fillId="10" borderId="0" xfId="0" applyFont="1" applyFill="1" applyAlignment="1">
      <alignment horizontal="right"/>
    </xf>
    <xf numFmtId="0" fontId="53" fillId="10" borderId="0" xfId="0" applyFont="1" applyFill="1" applyAlignment="1">
      <alignment horizontal="center"/>
    </xf>
    <xf numFmtId="3" fontId="53" fillId="10" borderId="0" xfId="0" applyNumberFormat="1" applyFont="1" applyFill="1" applyAlignment="1">
      <alignment horizontal="right"/>
    </xf>
    <xf numFmtId="166" fontId="12" fillId="14" borderId="0" xfId="0" applyNumberFormat="1" applyFont="1" applyFill="1"/>
    <xf numFmtId="3" fontId="25" fillId="10" borderId="0" xfId="0" applyNumberFormat="1" applyFont="1" applyFill="1" applyAlignment="1">
      <alignment horizontal="right"/>
    </xf>
    <xf numFmtId="3" fontId="11" fillId="7" borderId="0" xfId="0" applyNumberFormat="1" applyFont="1" applyFill="1" applyAlignment="1">
      <alignment vertical="center"/>
    </xf>
    <xf numFmtId="3" fontId="25" fillId="7" borderId="0" xfId="0" applyNumberFormat="1" applyFont="1" applyFill="1"/>
    <xf numFmtId="4" fontId="60" fillId="0" borderId="0" xfId="0" applyNumberFormat="1" applyFont="1"/>
    <xf numFmtId="1" fontId="60" fillId="0" borderId="0" xfId="0" applyNumberFormat="1" applyFont="1"/>
    <xf numFmtId="0" fontId="12" fillId="7" borderId="0" xfId="0" applyFont="1" applyFill="1" applyAlignment="1">
      <alignment horizontal="right"/>
    </xf>
    <xf numFmtId="4" fontId="57" fillId="10" borderId="30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2" fillId="10" borderId="52" xfId="0" applyFont="1" applyFill="1" applyBorder="1" applyAlignment="1">
      <alignment vertical="center"/>
    </xf>
    <xf numFmtId="0" fontId="56" fillId="10" borderId="0" xfId="0" applyFont="1" applyFill="1" applyAlignment="1">
      <alignment horizontal="right"/>
    </xf>
    <xf numFmtId="0" fontId="58" fillId="10" borderId="0" xfId="0" applyFont="1" applyFill="1" applyAlignment="1">
      <alignment horizontal="center" vertical="top"/>
    </xf>
    <xf numFmtId="0" fontId="13" fillId="12" borderId="3" xfId="0" applyFont="1" applyFill="1" applyBorder="1" applyAlignment="1">
      <alignment horizontal="center" vertical="center" wrapText="1"/>
    </xf>
    <xf numFmtId="0" fontId="50" fillId="12" borderId="4" xfId="0" applyFont="1" applyFill="1" applyBorder="1" applyAlignment="1">
      <alignment horizontal="center" vertical="center"/>
    </xf>
    <xf numFmtId="173" fontId="50" fillId="12" borderId="4" xfId="0" applyNumberFormat="1" applyFont="1" applyFill="1" applyBorder="1" applyAlignment="1">
      <alignment horizontal="center" vertical="center"/>
    </xf>
    <xf numFmtId="173" fontId="50" fillId="12" borderId="6" xfId="0" applyNumberFormat="1" applyFont="1" applyFill="1" applyBorder="1" applyAlignment="1">
      <alignment horizontal="center" vertical="center"/>
    </xf>
    <xf numFmtId="173" fontId="50" fillId="12" borderId="28" xfId="0" applyNumberFormat="1" applyFont="1" applyFill="1" applyBorder="1" applyAlignment="1">
      <alignment horizontal="center" vertical="center"/>
    </xf>
    <xf numFmtId="165" fontId="50" fillId="12" borderId="7" xfId="0" applyNumberFormat="1" applyFont="1" applyFill="1" applyBorder="1" applyAlignment="1">
      <alignment horizontal="center" vertical="center" wrapText="1"/>
    </xf>
    <xf numFmtId="174" fontId="13" fillId="7" borderId="0" xfId="0" applyNumberFormat="1" applyFont="1" applyFill="1" applyAlignment="1">
      <alignment horizontal="right"/>
    </xf>
    <xf numFmtId="174" fontId="12" fillId="7" borderId="0" xfId="0" applyNumberFormat="1" applyFont="1" applyFill="1" applyAlignment="1">
      <alignment horizontal="right"/>
    </xf>
    <xf numFmtId="174" fontId="13" fillId="10" borderId="0" xfId="0" applyNumberFormat="1" applyFont="1" applyFill="1" applyAlignment="1">
      <alignment horizontal="right"/>
    </xf>
    <xf numFmtId="174" fontId="12" fillId="10" borderId="0" xfId="0" applyNumberFormat="1" applyFont="1" applyFill="1" applyAlignment="1">
      <alignment horizontal="right"/>
    </xf>
    <xf numFmtId="174" fontId="13" fillId="12" borderId="7" xfId="0" applyNumberFormat="1" applyFont="1" applyFill="1" applyBorder="1" applyAlignment="1">
      <alignment horizontal="center" vertical="center" wrapText="1"/>
    </xf>
    <xf numFmtId="174" fontId="24" fillId="12" borderId="7" xfId="0" applyNumberFormat="1" applyFont="1" applyFill="1" applyBorder="1" applyAlignment="1">
      <alignment horizontal="center" vertical="center" wrapText="1"/>
    </xf>
    <xf numFmtId="174" fontId="27" fillId="7" borderId="0" xfId="0" applyNumberFormat="1" applyFont="1" applyFill="1" applyAlignment="1">
      <alignment horizontal="center" vertical="center"/>
    </xf>
    <xf numFmtId="174" fontId="13" fillId="10" borderId="0" xfId="0" applyNumberFormat="1" applyFont="1" applyFill="1" applyAlignment="1">
      <alignment horizontal="right" vertical="center"/>
    </xf>
    <xf numFmtId="174" fontId="24" fillId="10" borderId="0" xfId="0" applyNumberFormat="1" applyFont="1" applyFill="1" applyAlignment="1">
      <alignment horizontal="right" vertical="center"/>
    </xf>
    <xf numFmtId="174" fontId="12" fillId="10" borderId="0" xfId="0" applyNumberFormat="1" applyFont="1" applyFill="1"/>
    <xf numFmtId="174" fontId="51" fillId="10" borderId="0" xfId="0" applyNumberFormat="1" applyFont="1" applyFill="1" applyAlignment="1">
      <alignment horizontal="center"/>
    </xf>
    <xf numFmtId="174" fontId="48" fillId="10" borderId="0" xfId="0" applyNumberFormat="1" applyFont="1" applyFill="1" applyAlignment="1">
      <alignment horizontal="center"/>
    </xf>
    <xf numFmtId="174" fontId="25" fillId="10" borderId="0" xfId="0" applyNumberFormat="1" applyFont="1" applyFill="1"/>
    <xf numFmtId="174" fontId="51" fillId="10" borderId="0" xfId="0" applyNumberFormat="1" applyFont="1" applyFill="1"/>
    <xf numFmtId="174" fontId="48" fillId="10" borderId="0" xfId="0" applyNumberFormat="1" applyFont="1" applyFill="1"/>
    <xf numFmtId="174" fontId="32" fillId="10" borderId="0" xfId="0" applyNumberFormat="1" applyFont="1" applyFill="1"/>
    <xf numFmtId="174" fontId="22" fillId="10" borderId="0" xfId="0" applyNumberFormat="1" applyFont="1" applyFill="1" applyAlignment="1">
      <alignment horizontal="right"/>
    </xf>
    <xf numFmtId="174" fontId="25" fillId="10" borderId="0" xfId="0" applyNumberFormat="1" applyFont="1" applyFill="1" applyAlignment="1">
      <alignment horizontal="right"/>
    </xf>
    <xf numFmtId="174" fontId="48" fillId="10" borderId="0" xfId="0" applyNumberFormat="1" applyFont="1" applyFill="1" applyAlignment="1">
      <alignment horizontal="right"/>
    </xf>
    <xf numFmtId="174" fontId="13" fillId="0" borderId="0" xfId="0" applyNumberFormat="1" applyFont="1" applyAlignment="1">
      <alignment horizontal="right"/>
    </xf>
    <xf numFmtId="174" fontId="12" fillId="0" borderId="0" xfId="0" applyNumberFormat="1" applyFont="1" applyAlignment="1">
      <alignment horizontal="right"/>
    </xf>
    <xf numFmtId="173" fontId="22" fillId="7" borderId="0" xfId="0" applyNumberFormat="1" applyFont="1" applyFill="1" applyAlignment="1">
      <alignment horizontal="center" vertical="center"/>
    </xf>
    <xf numFmtId="173" fontId="20" fillId="7" borderId="0" xfId="0" applyNumberFormat="1" applyFont="1" applyFill="1" applyAlignment="1">
      <alignment horizontal="center" vertical="center"/>
    </xf>
    <xf numFmtId="0" fontId="42" fillId="15" borderId="8" xfId="0" applyFont="1" applyFill="1" applyBorder="1" applyAlignment="1">
      <alignment horizontal="center" vertical="center"/>
    </xf>
    <xf numFmtId="0" fontId="12" fillId="7" borderId="5" xfId="0" applyFont="1" applyFill="1" applyBorder="1"/>
    <xf numFmtId="0" fontId="42" fillId="8" borderId="54" xfId="0" applyFont="1" applyFill="1" applyBorder="1" applyAlignment="1">
      <alignment horizontal="center" vertical="center"/>
    </xf>
    <xf numFmtId="3" fontId="9" fillId="12" borderId="53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3" fontId="20" fillId="10" borderId="0" xfId="0" applyNumberFormat="1" applyFont="1" applyFill="1"/>
    <xf numFmtId="0" fontId="43" fillId="8" borderId="8" xfId="0" applyFont="1" applyFill="1" applyBorder="1" applyAlignment="1">
      <alignment horizontal="center" vertical="center"/>
    </xf>
    <xf numFmtId="0" fontId="69" fillId="8" borderId="5" xfId="0" applyFont="1" applyFill="1" applyBorder="1" applyAlignment="1">
      <alignment horizontal="center" vertical="center"/>
    </xf>
    <xf numFmtId="0" fontId="8" fillId="10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3" fillId="7" borderId="0" xfId="0" applyFont="1" applyFill="1" applyAlignment="1">
      <alignment horizontal="center" vertical="center"/>
    </xf>
    <xf numFmtId="4" fontId="8" fillId="7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74" fontId="27" fillId="10" borderId="0" xfId="0" applyNumberFormat="1" applyFont="1" applyFill="1"/>
    <xf numFmtId="167" fontId="27" fillId="7" borderId="0" xfId="0" applyNumberFormat="1" applyFont="1" applyFill="1" applyAlignment="1">
      <alignment horizontal="right" vertical="center"/>
    </xf>
    <xf numFmtId="164" fontId="20" fillId="7" borderId="5" xfId="0" applyNumberFormat="1" applyFont="1" applyFill="1" applyBorder="1" applyAlignment="1">
      <alignment vertical="center"/>
    </xf>
    <xf numFmtId="1" fontId="20" fillId="7" borderId="5" xfId="0" applyNumberFormat="1" applyFont="1" applyFill="1" applyBorder="1" applyAlignment="1">
      <alignment vertical="center"/>
    </xf>
    <xf numFmtId="0" fontId="27" fillId="7" borderId="5" xfId="0" applyFont="1" applyFill="1" applyBorder="1" applyAlignment="1">
      <alignment vertical="center"/>
    </xf>
    <xf numFmtId="1" fontId="27" fillId="7" borderId="0" xfId="0" applyNumberFormat="1" applyFont="1" applyFill="1" applyAlignment="1">
      <alignment vertical="center"/>
    </xf>
    <xf numFmtId="0" fontId="71" fillId="7" borderId="0" xfId="0" applyFont="1" applyFill="1" applyAlignment="1">
      <alignment vertical="center"/>
    </xf>
    <xf numFmtId="166" fontId="20" fillId="7" borderId="5" xfId="0" applyNumberFormat="1" applyFont="1" applyFill="1" applyBorder="1" applyAlignment="1">
      <alignment vertical="center"/>
    </xf>
    <xf numFmtId="3" fontId="20" fillId="10" borderId="0" xfId="0" applyNumberFormat="1" applyFont="1" applyFill="1" applyAlignment="1">
      <alignment horizontal="right"/>
    </xf>
    <xf numFmtId="3" fontId="27" fillId="10" borderId="0" xfId="0" applyNumberFormat="1" applyFont="1" applyFill="1" applyAlignment="1">
      <alignment horizontal="right"/>
    </xf>
    <xf numFmtId="174" fontId="27" fillId="10" borderId="0" xfId="0" applyNumberFormat="1" applyFont="1" applyFill="1" applyAlignment="1">
      <alignment horizontal="right"/>
    </xf>
    <xf numFmtId="3" fontId="27" fillId="7" borderId="0" xfId="0" applyNumberFormat="1" applyFont="1" applyFill="1"/>
    <xf numFmtId="0" fontId="34" fillId="7" borderId="0" xfId="0" applyFont="1" applyFill="1"/>
    <xf numFmtId="4" fontId="27" fillId="7" borderId="0" xfId="0" applyNumberFormat="1" applyFont="1" applyFill="1"/>
    <xf numFmtId="0" fontId="27" fillId="7" borderId="0" xfId="0" applyFont="1" applyFill="1" applyAlignment="1">
      <alignment horizontal="right"/>
    </xf>
    <xf numFmtId="0" fontId="27" fillId="7" borderId="0" xfId="0" applyFont="1" applyFill="1" applyAlignment="1">
      <alignment horizontal="left"/>
    </xf>
    <xf numFmtId="164" fontId="27" fillId="7" borderId="0" xfId="0" applyNumberFormat="1" applyFont="1" applyFill="1"/>
    <xf numFmtId="165" fontId="27" fillId="7" borderId="0" xfId="0" applyNumberFormat="1" applyFont="1" applyFill="1"/>
    <xf numFmtId="174" fontId="11" fillId="7" borderId="0" xfId="0" applyNumberFormat="1" applyFont="1" applyFill="1" applyAlignment="1">
      <alignment horizontal="center" vertical="center"/>
    </xf>
    <xf numFmtId="174" fontId="27" fillId="7" borderId="0" xfId="0" applyNumberFormat="1" applyFont="1" applyFill="1" applyAlignment="1">
      <alignment vertical="center"/>
    </xf>
    <xf numFmtId="174" fontId="28" fillId="7" borderId="0" xfId="0" applyNumberFormat="1" applyFont="1" applyFill="1" applyAlignment="1">
      <alignment vertical="center"/>
    </xf>
    <xf numFmtId="174" fontId="12" fillId="7" borderId="0" xfId="0" applyNumberFormat="1" applyFont="1" applyFill="1"/>
    <xf numFmtId="174" fontId="12" fillId="7" borderId="0" xfId="0" applyNumberFormat="1" applyFont="1" applyFill="1" applyAlignment="1">
      <alignment vertical="center"/>
    </xf>
    <xf numFmtId="174" fontId="11" fillId="7" borderId="0" xfId="0" applyNumberFormat="1" applyFont="1" applyFill="1" applyAlignment="1">
      <alignment vertical="center"/>
    </xf>
    <xf numFmtId="174" fontId="23" fillId="7" borderId="0" xfId="0" applyNumberFormat="1" applyFont="1" applyFill="1" applyAlignment="1">
      <alignment vertical="center"/>
    </xf>
    <xf numFmtId="174" fontId="9" fillId="7" borderId="0" xfId="0" applyNumberFormat="1" applyFont="1" applyFill="1"/>
    <xf numFmtId="174" fontId="20" fillId="7" borderId="5" xfId="0" applyNumberFormat="1" applyFont="1" applyFill="1" applyBorder="1" applyAlignment="1">
      <alignment horizontal="center"/>
    </xf>
    <xf numFmtId="174" fontId="25" fillId="7" borderId="5" xfId="0" applyNumberFormat="1" applyFont="1" applyFill="1" applyBorder="1" applyAlignment="1">
      <alignment vertical="center"/>
    </xf>
    <xf numFmtId="174" fontId="22" fillId="7" borderId="5" xfId="0" applyNumberFormat="1" applyFont="1" applyFill="1" applyBorder="1" applyAlignment="1">
      <alignment vertical="center"/>
    </xf>
    <xf numFmtId="174" fontId="20" fillId="7" borderId="5" xfId="0" applyNumberFormat="1" applyFont="1" applyFill="1" applyBorder="1" applyAlignment="1">
      <alignment vertical="center"/>
    </xf>
    <xf numFmtId="174" fontId="27" fillId="7" borderId="0" xfId="0" applyNumberFormat="1" applyFont="1" applyFill="1"/>
    <xf numFmtId="174" fontId="20" fillId="7" borderId="0" xfId="0" applyNumberFormat="1" applyFont="1" applyFill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3" fontId="20" fillId="12" borderId="49" xfId="0" applyNumberFormat="1" applyFont="1" applyFill="1" applyBorder="1" applyAlignment="1">
      <alignment horizontal="center" vertical="center"/>
    </xf>
    <xf numFmtId="174" fontId="27" fillId="9" borderId="5" xfId="0" applyNumberFormat="1" applyFont="1" applyFill="1" applyBorder="1" applyAlignment="1">
      <alignment vertical="center"/>
    </xf>
    <xf numFmtId="3" fontId="20" fillId="9" borderId="5" xfId="0" applyNumberFormat="1" applyFont="1" applyFill="1" applyBorder="1" applyAlignment="1">
      <alignment vertical="center"/>
    </xf>
    <xf numFmtId="1" fontId="22" fillId="9" borderId="5" xfId="0" applyNumberFormat="1" applyFont="1" applyFill="1" applyBorder="1" applyAlignment="1">
      <alignment vertical="center"/>
    </xf>
    <xf numFmtId="174" fontId="20" fillId="9" borderId="5" xfId="0" applyNumberFormat="1" applyFont="1" applyFill="1" applyBorder="1" applyAlignment="1">
      <alignment vertical="center"/>
    </xf>
    <xf numFmtId="1" fontId="20" fillId="9" borderId="5" xfId="0" applyNumberFormat="1" applyFont="1" applyFill="1" applyBorder="1" applyAlignment="1">
      <alignment vertical="center"/>
    </xf>
    <xf numFmtId="3" fontId="20" fillId="12" borderId="49" xfId="0" applyNumberFormat="1" applyFont="1" applyFill="1" applyBorder="1" applyAlignment="1">
      <alignment horizontal="center" vertical="center" wrapText="1"/>
    </xf>
    <xf numFmtId="164" fontId="24" fillId="12" borderId="4" xfId="0" applyNumberFormat="1" applyFont="1" applyFill="1" applyBorder="1" applyAlignment="1">
      <alignment horizontal="center" vertical="center" wrapText="1"/>
    </xf>
    <xf numFmtId="173" fontId="24" fillId="12" borderId="4" xfId="0" applyNumberFormat="1" applyFont="1" applyFill="1" applyBorder="1" applyAlignment="1">
      <alignment horizontal="center" vertical="center" wrapText="1"/>
    </xf>
    <xf numFmtId="173" fontId="24" fillId="12" borderId="6" xfId="0" applyNumberFormat="1" applyFont="1" applyFill="1" applyBorder="1" applyAlignment="1">
      <alignment horizontal="center" vertical="center" wrapText="1"/>
    </xf>
    <xf numFmtId="173" fontId="24" fillId="12" borderId="28" xfId="0" applyNumberFormat="1" applyFont="1" applyFill="1" applyBorder="1" applyAlignment="1">
      <alignment horizontal="center" vertical="center" wrapText="1"/>
    </xf>
    <xf numFmtId="173" fontId="8" fillId="11" borderId="5" xfId="0" applyNumberFormat="1" applyFont="1" applyFill="1" applyBorder="1" applyAlignment="1">
      <alignment horizontal="center" vertical="center"/>
    </xf>
    <xf numFmtId="173" fontId="8" fillId="10" borderId="5" xfId="0" applyNumberFormat="1" applyFont="1" applyFill="1" applyBorder="1" applyAlignment="1">
      <alignment horizontal="center" vertical="center"/>
    </xf>
    <xf numFmtId="173" fontId="8" fillId="11" borderId="28" xfId="0" applyNumberFormat="1" applyFont="1" applyFill="1" applyBorder="1" applyAlignment="1">
      <alignment horizontal="center" vertical="center"/>
    </xf>
    <xf numFmtId="173" fontId="8" fillId="12" borderId="9" xfId="0" applyNumberFormat="1" applyFont="1" applyFill="1" applyBorder="1" applyAlignment="1">
      <alignment horizontal="center" vertical="center"/>
    </xf>
    <xf numFmtId="173" fontId="8" fillId="12" borderId="15" xfId="0" applyNumberFormat="1" applyFont="1" applyFill="1" applyBorder="1" applyAlignment="1">
      <alignment horizontal="center" vertical="center"/>
    </xf>
    <xf numFmtId="173" fontId="24" fillId="11" borderId="26" xfId="0" applyNumberFormat="1" applyFont="1" applyFill="1" applyBorder="1" applyAlignment="1">
      <alignment horizontal="center" vertical="center"/>
    </xf>
    <xf numFmtId="173" fontId="24" fillId="11" borderId="4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73" fontId="10" fillId="12" borderId="26" xfId="0" applyNumberFormat="1" applyFont="1" applyFill="1" applyBorder="1" applyAlignment="1">
      <alignment horizontal="center" vertical="center"/>
    </xf>
    <xf numFmtId="173" fontId="10" fillId="12" borderId="41" xfId="0" applyNumberFormat="1" applyFont="1" applyFill="1" applyBorder="1" applyAlignment="1">
      <alignment horizontal="center" vertical="center"/>
    </xf>
    <xf numFmtId="173" fontId="12" fillId="10" borderId="0" xfId="0" applyNumberFormat="1" applyFont="1" applyFill="1" applyAlignment="1">
      <alignment horizontal="center" vertical="center"/>
    </xf>
    <xf numFmtId="173" fontId="11" fillId="10" borderId="5" xfId="0" applyNumberFormat="1" applyFont="1" applyFill="1" applyBorder="1" applyAlignment="1">
      <alignment horizontal="center" vertical="center"/>
    </xf>
    <xf numFmtId="173" fontId="27" fillId="10" borderId="5" xfId="0" applyNumberFormat="1" applyFont="1" applyFill="1" applyBorder="1" applyAlignment="1">
      <alignment horizontal="center" vertical="center"/>
    </xf>
    <xf numFmtId="173" fontId="11" fillId="10" borderId="28" xfId="0" applyNumberFormat="1" applyFont="1" applyFill="1" applyBorder="1" applyAlignment="1">
      <alignment horizontal="center" vertical="center"/>
    </xf>
    <xf numFmtId="173" fontId="11" fillId="10" borderId="9" xfId="0" applyNumberFormat="1" applyFont="1" applyFill="1" applyBorder="1" applyAlignment="1">
      <alignment horizontal="center" vertical="center"/>
    </xf>
    <xf numFmtId="173" fontId="27" fillId="10" borderId="15" xfId="0" applyNumberFormat="1" applyFont="1" applyFill="1" applyBorder="1" applyAlignment="1">
      <alignment horizontal="center" vertical="center"/>
    </xf>
    <xf numFmtId="173" fontId="13" fillId="12" borderId="7" xfId="0" applyNumberFormat="1" applyFont="1" applyFill="1" applyBorder="1" applyAlignment="1">
      <alignment horizontal="center" vertical="center" wrapText="1"/>
    </xf>
    <xf numFmtId="173" fontId="24" fillId="12" borderId="7" xfId="0" applyNumberFormat="1" applyFont="1" applyFill="1" applyBorder="1" applyAlignment="1">
      <alignment horizontal="center" vertical="center" wrapText="1"/>
    </xf>
    <xf numFmtId="173" fontId="22" fillId="7" borderId="0" xfId="0" applyNumberFormat="1" applyFont="1" applyFill="1"/>
    <xf numFmtId="173" fontId="20" fillId="7" borderId="0" xfId="0" applyNumberFormat="1" applyFont="1" applyFill="1"/>
    <xf numFmtId="173" fontId="27" fillId="7" borderId="0" xfId="0" applyNumberFormat="1" applyFont="1" applyFill="1" applyAlignment="1">
      <alignment horizontal="center" vertical="center"/>
    </xf>
    <xf numFmtId="173" fontId="11" fillId="0" borderId="7" xfId="0" quotePrefix="1" applyNumberFormat="1" applyFont="1" applyBorder="1" applyAlignment="1">
      <alignment horizontal="right" vertical="center"/>
    </xf>
    <xf numFmtId="173" fontId="11" fillId="8" borderId="7" xfId="0" quotePrefix="1" applyNumberFormat="1" applyFont="1" applyFill="1" applyBorder="1" applyAlignment="1">
      <alignment horizontal="right" vertical="center"/>
    </xf>
    <xf numFmtId="173" fontId="12" fillId="8" borderId="7" xfId="0" quotePrefix="1" applyNumberFormat="1" applyFont="1" applyFill="1" applyBorder="1" applyAlignment="1">
      <alignment horizontal="right" vertical="center"/>
    </xf>
    <xf numFmtId="173" fontId="23" fillId="8" borderId="7" xfId="0" quotePrefix="1" applyNumberFormat="1" applyFont="1" applyFill="1" applyBorder="1" applyAlignment="1">
      <alignment horizontal="right" vertical="center"/>
    </xf>
    <xf numFmtId="173" fontId="8" fillId="8" borderId="7" xfId="0" quotePrefix="1" applyNumberFormat="1" applyFont="1" applyFill="1" applyBorder="1" applyAlignment="1">
      <alignment horizontal="right" vertical="center"/>
    </xf>
    <xf numFmtId="173" fontId="11" fillId="8" borderId="10" xfId="0" quotePrefix="1" applyNumberFormat="1" applyFont="1" applyFill="1" applyBorder="1" applyAlignment="1">
      <alignment horizontal="right" vertical="center"/>
    </xf>
    <xf numFmtId="173" fontId="12" fillId="8" borderId="10" xfId="0" quotePrefix="1" applyNumberFormat="1" applyFont="1" applyFill="1" applyBorder="1" applyAlignment="1">
      <alignment horizontal="right" vertical="center"/>
    </xf>
    <xf numFmtId="3" fontId="24" fillId="12" borderId="26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 indent="1"/>
    </xf>
    <xf numFmtId="0" fontId="8" fillId="8" borderId="4" xfId="0" applyFont="1" applyFill="1" applyBorder="1" applyAlignment="1">
      <alignment horizontal="left" vertical="center" wrapText="1" indent="1"/>
    </xf>
    <xf numFmtId="0" fontId="44" fillId="7" borderId="0" xfId="0" applyFont="1" applyFill="1" applyAlignment="1">
      <alignment horizontal="center"/>
    </xf>
    <xf numFmtId="0" fontId="79" fillId="7" borderId="0" xfId="0" applyFont="1" applyFill="1"/>
    <xf numFmtId="0" fontId="80" fillId="10" borderId="0" xfId="0" applyFont="1" applyFill="1" applyAlignment="1">
      <alignment horizontal="center" vertical="center"/>
    </xf>
    <xf numFmtId="0" fontId="81" fillId="10" borderId="0" xfId="0" applyFont="1" applyFill="1" applyAlignment="1">
      <alignment horizontal="right"/>
    </xf>
    <xf numFmtId="0" fontId="80" fillId="10" borderId="0" xfId="0" applyFont="1" applyFill="1" applyAlignment="1">
      <alignment horizontal="center" vertical="top"/>
    </xf>
    <xf numFmtId="0" fontId="79" fillId="10" borderId="0" xfId="0" applyFont="1" applyFill="1"/>
    <xf numFmtId="173" fontId="44" fillId="7" borderId="0" xfId="0" applyNumberFormat="1" applyFont="1" applyFill="1" applyAlignment="1">
      <alignment horizontal="center" vertical="center"/>
    </xf>
    <xf numFmtId="0" fontId="79" fillId="0" borderId="5" xfId="0" applyFont="1" applyBorder="1" applyAlignment="1">
      <alignment horizontal="center" vertical="center"/>
    </xf>
    <xf numFmtId="0" fontId="79" fillId="0" borderId="4" xfId="0" applyFont="1" applyBorder="1" applyAlignment="1">
      <alignment horizontal="center" vertical="center"/>
    </xf>
    <xf numFmtId="0" fontId="79" fillId="8" borderId="5" xfId="0" applyFont="1" applyFill="1" applyBorder="1" applyAlignment="1">
      <alignment horizontal="center" vertical="center"/>
    </xf>
    <xf numFmtId="0" fontId="82" fillId="8" borderId="5" xfId="0" applyFont="1" applyFill="1" applyBorder="1" applyAlignment="1">
      <alignment horizontal="center" vertical="center"/>
    </xf>
    <xf numFmtId="164" fontId="83" fillId="12" borderId="26" xfId="0" applyNumberFormat="1" applyFont="1" applyFill="1" applyBorder="1" applyAlignment="1">
      <alignment horizontal="center" vertical="center"/>
    </xf>
    <xf numFmtId="164" fontId="44" fillId="10" borderId="0" xfId="0" applyNumberFormat="1" applyFont="1" applyFill="1" applyAlignment="1">
      <alignment vertical="center"/>
    </xf>
    <xf numFmtId="3" fontId="44" fillId="12" borderId="26" xfId="0" applyNumberFormat="1" applyFont="1" applyFill="1" applyBorder="1" applyAlignment="1">
      <alignment horizontal="center" vertical="center"/>
    </xf>
    <xf numFmtId="0" fontId="44" fillId="10" borderId="0" xfId="0" applyFont="1" applyFill="1" applyAlignment="1">
      <alignment horizontal="right"/>
    </xf>
    <xf numFmtId="0" fontId="79" fillId="10" borderId="0" xfId="0" applyFont="1" applyFill="1" applyAlignment="1">
      <alignment horizontal="right"/>
    </xf>
    <xf numFmtId="0" fontId="79" fillId="0" borderId="0" xfId="0" applyFont="1"/>
    <xf numFmtId="0" fontId="32" fillId="7" borderId="0" xfId="0" applyFont="1" applyFill="1" applyAlignment="1">
      <alignment horizontal="center"/>
    </xf>
    <xf numFmtId="0" fontId="84" fillId="7" borderId="0" xfId="0" applyFont="1" applyFill="1"/>
    <xf numFmtId="0" fontId="85" fillId="10" borderId="0" xfId="0" applyFont="1" applyFill="1" applyAlignment="1">
      <alignment horizontal="center" vertical="center"/>
    </xf>
    <xf numFmtId="0" fontId="86" fillId="10" borderId="0" xfId="0" applyFont="1" applyFill="1" applyAlignment="1">
      <alignment horizontal="right"/>
    </xf>
    <xf numFmtId="0" fontId="85" fillId="10" borderId="0" xfId="0" applyFont="1" applyFill="1" applyAlignment="1">
      <alignment horizontal="center" vertical="top"/>
    </xf>
    <xf numFmtId="0" fontId="84" fillId="10" borderId="0" xfId="0" applyFont="1" applyFill="1"/>
    <xf numFmtId="173" fontId="32" fillId="7" borderId="0" xfId="0" applyNumberFormat="1" applyFont="1" applyFill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84" fillId="0" borderId="4" xfId="0" applyFont="1" applyBorder="1" applyAlignment="1">
      <alignment horizontal="center" vertical="center"/>
    </xf>
    <xf numFmtId="0" fontId="84" fillId="8" borderId="5" xfId="0" applyFont="1" applyFill="1" applyBorder="1" applyAlignment="1">
      <alignment horizontal="center" vertical="center"/>
    </xf>
    <xf numFmtId="0" fontId="87" fillId="8" borderId="5" xfId="0" applyFont="1" applyFill="1" applyBorder="1" applyAlignment="1">
      <alignment horizontal="center" vertical="center"/>
    </xf>
    <xf numFmtId="164" fontId="88" fillId="12" borderId="26" xfId="0" applyNumberFormat="1" applyFont="1" applyFill="1" applyBorder="1" applyAlignment="1">
      <alignment horizontal="center" vertical="center"/>
    </xf>
    <xf numFmtId="164" fontId="32" fillId="10" borderId="0" xfId="0" applyNumberFormat="1" applyFont="1" applyFill="1" applyAlignment="1">
      <alignment vertical="center"/>
    </xf>
    <xf numFmtId="3" fontId="32" fillId="12" borderId="26" xfId="0" applyNumberFormat="1" applyFont="1" applyFill="1" applyBorder="1" applyAlignment="1">
      <alignment horizontal="center" vertical="center"/>
    </xf>
    <xf numFmtId="0" fontId="32" fillId="10" borderId="0" xfId="0" applyFont="1" applyFill="1" applyAlignment="1">
      <alignment horizontal="right"/>
    </xf>
    <xf numFmtId="0" fontId="84" fillId="10" borderId="0" xfId="0" applyFont="1" applyFill="1" applyAlignment="1">
      <alignment horizontal="right"/>
    </xf>
    <xf numFmtId="0" fontId="84" fillId="0" borderId="0" xfId="0" applyFont="1"/>
    <xf numFmtId="164" fontId="89" fillId="7" borderId="0" xfId="0" applyNumberFormat="1" applyFont="1" applyFill="1"/>
    <xf numFmtId="3" fontId="25" fillId="10" borderId="0" xfId="0" applyNumberFormat="1" applyFont="1" applyFill="1" applyAlignment="1">
      <alignment horizontal="center"/>
    </xf>
    <xf numFmtId="0" fontId="89" fillId="7" borderId="0" xfId="0" applyFont="1" applyFill="1"/>
    <xf numFmtId="174" fontId="25" fillId="7" borderId="0" xfId="0" applyNumberFormat="1" applyFont="1" applyFill="1"/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wrapText="1"/>
    </xf>
    <xf numFmtId="0" fontId="12" fillId="7" borderId="0" xfId="0" applyFont="1" applyFill="1" applyAlignment="1">
      <alignment wrapText="1"/>
    </xf>
    <xf numFmtId="0" fontId="56" fillId="10" borderId="0" xfId="0" applyFont="1" applyFill="1" applyAlignment="1">
      <alignment horizontal="right" wrapText="1"/>
    </xf>
    <xf numFmtId="0" fontId="12" fillId="10" borderId="0" xfId="0" applyFont="1" applyFill="1" applyAlignment="1">
      <alignment wrapText="1"/>
    </xf>
    <xf numFmtId="0" fontId="50" fillId="12" borderId="5" xfId="0" applyFont="1" applyFill="1" applyBorder="1" applyAlignment="1">
      <alignment horizontal="center" vertical="center" wrapText="1"/>
    </xf>
    <xf numFmtId="173" fontId="22" fillId="7" borderId="0" xfId="0" applyNumberFormat="1" applyFont="1" applyFill="1" applyAlignment="1">
      <alignment horizontal="center" vertical="center" wrapText="1"/>
    </xf>
    <xf numFmtId="173" fontId="20" fillId="7" borderId="0" xfId="0" applyNumberFormat="1" applyFont="1" applyFill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164" fontId="10" fillId="12" borderId="26" xfId="0" applyNumberFormat="1" applyFont="1" applyFill="1" applyBorder="1" applyAlignment="1">
      <alignment vertical="center" wrapText="1"/>
    </xf>
    <xf numFmtId="164" fontId="24" fillId="10" borderId="0" xfId="0" applyNumberFormat="1" applyFont="1" applyFill="1" applyAlignment="1">
      <alignment vertical="center" wrapText="1"/>
    </xf>
    <xf numFmtId="0" fontId="20" fillId="10" borderId="0" xfId="0" applyFont="1" applyFill="1" applyAlignment="1">
      <alignment horizontal="right" wrapText="1"/>
    </xf>
    <xf numFmtId="0" fontId="22" fillId="10" borderId="0" xfId="0" applyFont="1" applyFill="1" applyAlignment="1">
      <alignment horizontal="right" wrapText="1"/>
    </xf>
    <xf numFmtId="0" fontId="12" fillId="10" borderId="0" xfId="0" applyFont="1" applyFill="1" applyAlignment="1">
      <alignment horizontal="right" wrapText="1"/>
    </xf>
    <xf numFmtId="0" fontId="12" fillId="0" borderId="0" xfId="0" applyFont="1" applyAlignment="1">
      <alignment wrapText="1"/>
    </xf>
    <xf numFmtId="0" fontId="50" fillId="12" borderId="4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wrapText="1"/>
    </xf>
    <xf numFmtId="0" fontId="56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 wrapText="1"/>
    </xf>
    <xf numFmtId="0" fontId="24" fillId="12" borderId="59" xfId="0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center" wrapText="1"/>
    </xf>
    <xf numFmtId="0" fontId="22" fillId="1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16" fontId="61" fillId="0" borderId="5" xfId="1" quotePrefix="1" applyNumberFormat="1" applyBorder="1" applyAlignment="1">
      <alignment horizontal="center" vertical="center" wrapText="1"/>
    </xf>
    <xf numFmtId="16" fontId="61" fillId="8" borderId="5" xfId="1" quotePrefix="1" applyNumberFormat="1" applyFill="1" applyBorder="1" applyAlignment="1">
      <alignment horizontal="center" vertical="center" wrapText="1"/>
    </xf>
    <xf numFmtId="0" fontId="61" fillId="0" borderId="5" xfId="1" quotePrefix="1" applyNumberFormat="1" applyBorder="1" applyAlignment="1">
      <alignment horizontal="center" vertical="center" wrapText="1"/>
    </xf>
    <xf numFmtId="0" fontId="61" fillId="8" borderId="5" xfId="1" quotePrefix="1" applyNumberFormat="1" applyFill="1" applyBorder="1" applyAlignment="1">
      <alignment horizontal="center" vertical="center" wrapText="1"/>
    </xf>
    <xf numFmtId="0" fontId="92" fillId="12" borderId="4" xfId="0" applyFont="1" applyFill="1" applyBorder="1" applyAlignment="1">
      <alignment horizontal="center" vertical="center"/>
    </xf>
    <xf numFmtId="0" fontId="93" fillId="12" borderId="4" xfId="0" applyFont="1" applyFill="1" applyBorder="1" applyAlignment="1">
      <alignment horizontal="center" vertical="center"/>
    </xf>
    <xf numFmtId="0" fontId="94" fillId="12" borderId="4" xfId="0" applyFont="1" applyFill="1" applyBorder="1" applyAlignment="1">
      <alignment horizontal="center" vertical="center" wrapText="1"/>
    </xf>
    <xf numFmtId="0" fontId="50" fillId="10" borderId="0" xfId="0" applyFont="1" applyFill="1" applyAlignment="1">
      <alignment horizontal="center" wrapText="1"/>
    </xf>
    <xf numFmtId="0" fontId="22" fillId="7" borderId="0" xfId="0" applyFont="1" applyFill="1" applyAlignment="1">
      <alignment wrapText="1"/>
    </xf>
    <xf numFmtId="0" fontId="20" fillId="7" borderId="0" xfId="0" applyFont="1" applyFill="1" applyAlignment="1">
      <alignment wrapText="1"/>
    </xf>
    <xf numFmtId="3" fontId="27" fillId="7" borderId="0" xfId="0" applyNumberFormat="1" applyFont="1" applyFill="1" applyAlignment="1">
      <alignment horizontal="center" vertical="center" wrapText="1"/>
    </xf>
    <xf numFmtId="165" fontId="25" fillId="0" borderId="7" xfId="0" applyNumberFormat="1" applyFont="1" applyBorder="1" applyAlignment="1">
      <alignment horizontal="left" vertical="center" wrapText="1"/>
    </xf>
    <xf numFmtId="165" fontId="12" fillId="8" borderId="7" xfId="0" quotePrefix="1" applyNumberFormat="1" applyFont="1" applyFill="1" applyBorder="1" applyAlignment="1">
      <alignment horizontal="left" vertical="center" wrapText="1"/>
    </xf>
    <xf numFmtId="165" fontId="8" fillId="8" borderId="7" xfId="0" quotePrefix="1" applyNumberFormat="1" applyFont="1" applyFill="1" applyBorder="1" applyAlignment="1">
      <alignment horizontal="left" vertical="center" wrapText="1"/>
    </xf>
    <xf numFmtId="165" fontId="12" fillId="8" borderId="10" xfId="0" quotePrefix="1" applyNumberFormat="1" applyFont="1" applyFill="1" applyBorder="1" applyAlignment="1">
      <alignment horizontal="left" vertical="center" wrapText="1"/>
    </xf>
    <xf numFmtId="0" fontId="9" fillId="10" borderId="0" xfId="0" applyFont="1" applyFill="1" applyAlignment="1">
      <alignment wrapText="1"/>
    </xf>
    <xf numFmtId="0" fontId="25" fillId="10" borderId="0" xfId="0" applyFont="1" applyFill="1" applyAlignment="1">
      <alignment wrapText="1"/>
    </xf>
    <xf numFmtId="0" fontId="27" fillId="10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174" fontId="52" fillId="10" borderId="0" xfId="0" applyNumberFormat="1" applyFont="1" applyFill="1" applyAlignment="1">
      <alignment horizontal="center"/>
    </xf>
    <xf numFmtId="174" fontId="13" fillId="10" borderId="0" xfId="0" applyNumberFormat="1" applyFont="1" applyFill="1" applyAlignment="1">
      <alignment horizontal="center"/>
    </xf>
    <xf numFmtId="174" fontId="22" fillId="10" borderId="0" xfId="0" applyNumberFormat="1" applyFont="1" applyFill="1" applyAlignment="1">
      <alignment horizontal="center"/>
    </xf>
    <xf numFmtId="174" fontId="53" fillId="10" borderId="0" xfId="0" applyNumberFormat="1" applyFont="1" applyFill="1" applyAlignment="1">
      <alignment horizontal="center"/>
    </xf>
    <xf numFmtId="174" fontId="22" fillId="10" borderId="0" xfId="0" applyNumberFormat="1" applyFont="1" applyFill="1"/>
    <xf numFmtId="174" fontId="20" fillId="10" borderId="0" xfId="0" applyNumberFormat="1" applyFont="1" applyFill="1" applyAlignment="1">
      <alignment horizontal="right"/>
    </xf>
    <xf numFmtId="174" fontId="20" fillId="10" borderId="0" xfId="0" applyNumberFormat="1" applyFont="1" applyFill="1"/>
    <xf numFmtId="174" fontId="52" fillId="10" borderId="0" xfId="0" applyNumberFormat="1" applyFont="1" applyFill="1" applyAlignment="1">
      <alignment horizontal="right"/>
    </xf>
    <xf numFmtId="174" fontId="53" fillId="10" borderId="0" xfId="0" applyNumberFormat="1" applyFont="1" applyFill="1" applyAlignment="1">
      <alignment horizontal="right"/>
    </xf>
    <xf numFmtId="174" fontId="52" fillId="10" borderId="0" xfId="0" applyNumberFormat="1" applyFont="1" applyFill="1"/>
    <xf numFmtId="4" fontId="13" fillId="10" borderId="0" xfId="0" quotePrefix="1" applyNumberFormat="1" applyFont="1" applyFill="1" applyAlignment="1">
      <alignment vertical="center" wrapText="1"/>
    </xf>
    <xf numFmtId="173" fontId="12" fillId="7" borderId="0" xfId="0" applyNumberFormat="1" applyFont="1" applyFill="1" applyAlignment="1">
      <alignment vertical="center"/>
    </xf>
    <xf numFmtId="173" fontId="8" fillId="0" borderId="7" xfId="0" quotePrefix="1" applyNumberFormat="1" applyFont="1" applyBorder="1" applyAlignment="1">
      <alignment horizontal="right" vertical="center"/>
    </xf>
    <xf numFmtId="173" fontId="8" fillId="0" borderId="7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62" fillId="0" borderId="5" xfId="0" applyFont="1" applyBorder="1" applyAlignment="1">
      <alignment horizontal="center" vertical="center"/>
    </xf>
    <xf numFmtId="173" fontId="27" fillId="0" borderId="5" xfId="0" applyNumberFormat="1" applyFont="1" applyBorder="1" applyAlignment="1">
      <alignment horizontal="center" vertical="center"/>
    </xf>
    <xf numFmtId="173" fontId="27" fillId="0" borderId="28" xfId="0" applyNumberFormat="1" applyFont="1" applyBorder="1" applyAlignment="1">
      <alignment horizontal="center" vertical="center"/>
    </xf>
    <xf numFmtId="174" fontId="11" fillId="0" borderId="7" xfId="0" quotePrefix="1" applyNumberFormat="1" applyFont="1" applyBorder="1" applyAlignment="1">
      <alignment horizontal="right" vertical="center"/>
    </xf>
    <xf numFmtId="174" fontId="12" fillId="0" borderId="7" xfId="0" quotePrefix="1" applyNumberFormat="1" applyFont="1" applyBorder="1" applyAlignment="1">
      <alignment horizontal="right" vertical="center"/>
    </xf>
    <xf numFmtId="174" fontId="11" fillId="0" borderId="10" xfId="0" quotePrefix="1" applyNumberFormat="1" applyFont="1" applyBorder="1" applyAlignment="1">
      <alignment horizontal="right" vertical="center"/>
    </xf>
    <xf numFmtId="174" fontId="12" fillId="0" borderId="10" xfId="0" quotePrefix="1" applyNumberFormat="1" applyFont="1" applyBorder="1" applyAlignment="1">
      <alignment horizontal="right" vertical="center"/>
    </xf>
    <xf numFmtId="0" fontId="75" fillId="0" borderId="5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12" fillId="0" borderId="55" xfId="0" applyFont="1" applyBorder="1" applyAlignment="1">
      <alignment vertical="center"/>
    </xf>
    <xf numFmtId="173" fontId="27" fillId="0" borderId="61" xfId="0" applyNumberFormat="1" applyFont="1" applyBorder="1" applyAlignment="1">
      <alignment horizontal="center" vertical="center"/>
    </xf>
    <xf numFmtId="173" fontId="27" fillId="0" borderId="62" xfId="0" applyNumberFormat="1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62" fillId="0" borderId="9" xfId="0" applyFont="1" applyBorder="1" applyAlignment="1">
      <alignment horizontal="center" vertical="center"/>
    </xf>
    <xf numFmtId="175" fontId="10" fillId="12" borderId="12" xfId="0" applyNumberFormat="1" applyFont="1" applyFill="1" applyBorder="1" applyAlignment="1">
      <alignment horizontal="center" vertical="center"/>
    </xf>
    <xf numFmtId="175" fontId="10" fillId="12" borderId="13" xfId="0" applyNumberFormat="1" applyFont="1" applyFill="1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12" fillId="0" borderId="66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84" fillId="0" borderId="65" xfId="0" applyFont="1" applyBorder="1" applyAlignment="1">
      <alignment horizontal="center" vertical="center"/>
    </xf>
    <xf numFmtId="0" fontId="79" fillId="0" borderId="65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173" fontId="11" fillId="0" borderId="67" xfId="0" quotePrefix="1" applyNumberFormat="1" applyFont="1" applyBorder="1" applyAlignment="1">
      <alignment horizontal="right" vertical="center"/>
    </xf>
    <xf numFmtId="173" fontId="8" fillId="0" borderId="67" xfId="0" quotePrefix="1" applyNumberFormat="1" applyFont="1" applyBorder="1" applyAlignment="1">
      <alignment horizontal="right" vertical="center"/>
    </xf>
    <xf numFmtId="165" fontId="25" fillId="0" borderId="67" xfId="0" applyNumberFormat="1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50" fillId="12" borderId="6" xfId="0" applyFont="1" applyFill="1" applyBorder="1" applyAlignment="1">
      <alignment horizontal="center" vertical="center" wrapText="1"/>
    </xf>
    <xf numFmtId="0" fontId="50" fillId="12" borderId="14" xfId="0" applyFont="1" applyFill="1" applyBorder="1" applyAlignment="1">
      <alignment horizontal="center" vertical="center" wrapText="1"/>
    </xf>
    <xf numFmtId="0" fontId="50" fillId="12" borderId="4" xfId="0" applyFont="1" applyFill="1" applyBorder="1" applyAlignment="1">
      <alignment horizontal="center" vertical="center" wrapText="1"/>
    </xf>
    <xf numFmtId="164" fontId="24" fillId="12" borderId="58" xfId="0" applyNumberFormat="1" applyFont="1" applyFill="1" applyBorder="1" applyAlignment="1">
      <alignment horizontal="left" vertical="center"/>
    </xf>
    <xf numFmtId="164" fontId="24" fillId="12" borderId="24" xfId="0" applyNumberFormat="1" applyFont="1" applyFill="1" applyBorder="1" applyAlignment="1">
      <alignment horizontal="left" vertical="center"/>
    </xf>
    <xf numFmtId="164" fontId="24" fillId="12" borderId="59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5" fillId="10" borderId="34" xfId="0" applyFont="1" applyFill="1" applyBorder="1" applyAlignment="1">
      <alignment horizontal="center"/>
    </xf>
    <xf numFmtId="0" fontId="95" fillId="10" borderId="0" xfId="0" applyFont="1" applyFill="1" applyAlignment="1">
      <alignment horizontal="center"/>
    </xf>
    <xf numFmtId="0" fontId="96" fillId="10" borderId="0" xfId="1" applyFont="1" applyFill="1" applyBorder="1" applyAlignment="1">
      <alignment horizontal="center" vertical="center"/>
    </xf>
    <xf numFmtId="0" fontId="55" fillId="10" borderId="0" xfId="1" applyFont="1" applyFill="1" applyBorder="1" applyAlignment="1">
      <alignment horizontal="center" vertical="center"/>
    </xf>
    <xf numFmtId="4" fontId="13" fillId="10" borderId="0" xfId="0" quotePrefix="1" applyNumberFormat="1" applyFont="1" applyFill="1" applyAlignment="1">
      <alignment horizontal="center" vertical="center" wrapText="1"/>
    </xf>
    <xf numFmtId="164" fontId="24" fillId="10" borderId="17" xfId="0" applyNumberFormat="1" applyFont="1" applyFill="1" applyBorder="1" applyAlignment="1">
      <alignment horizontal="left" vertical="center" wrapText="1"/>
    </xf>
    <xf numFmtId="164" fontId="24" fillId="10" borderId="11" xfId="0" applyNumberFormat="1" applyFont="1" applyFill="1" applyBorder="1" applyAlignment="1">
      <alignment horizontal="left" vertical="center" wrapText="1"/>
    </xf>
    <xf numFmtId="164" fontId="24" fillId="10" borderId="18" xfId="0" applyNumberFormat="1" applyFont="1" applyFill="1" applyBorder="1" applyAlignment="1">
      <alignment horizontal="left" vertical="center" wrapText="1"/>
    </xf>
    <xf numFmtId="0" fontId="14" fillId="10" borderId="38" xfId="0" applyFont="1" applyFill="1" applyBorder="1" applyAlignment="1">
      <alignment horizontal="center"/>
    </xf>
    <xf numFmtId="0" fontId="98" fillId="10" borderId="39" xfId="1" applyFont="1" applyFill="1" applyBorder="1" applyAlignment="1">
      <alignment horizontal="center" vertical="center" wrapText="1"/>
    </xf>
    <xf numFmtId="0" fontId="72" fillId="16" borderId="23" xfId="0" applyFont="1" applyFill="1" applyBorder="1" applyAlignment="1">
      <alignment horizontal="center"/>
    </xf>
    <xf numFmtId="0" fontId="72" fillId="16" borderId="24" xfId="0" applyFont="1" applyFill="1" applyBorder="1" applyAlignment="1">
      <alignment horizontal="center"/>
    </xf>
    <xf numFmtId="0" fontId="72" fillId="16" borderId="25" xfId="0" applyFont="1" applyFill="1" applyBorder="1" applyAlignment="1">
      <alignment horizontal="center"/>
    </xf>
    <xf numFmtId="0" fontId="14" fillId="10" borderId="0" xfId="0" applyFont="1" applyFill="1" applyAlignment="1">
      <alignment horizontal="center" vertical="center"/>
    </xf>
    <xf numFmtId="0" fontId="58" fillId="10" borderId="0" xfId="0" applyFont="1" applyFill="1" applyAlignment="1">
      <alignment horizontal="center" vertical="top"/>
    </xf>
    <xf numFmtId="165" fontId="21" fillId="10" borderId="29" xfId="0" applyNumberFormat="1" applyFont="1" applyFill="1" applyBorder="1" applyAlignment="1">
      <alignment horizontal="center" vertical="center" wrapText="1"/>
    </xf>
    <xf numFmtId="165" fontId="21" fillId="10" borderId="31" xfId="0" applyNumberFormat="1" applyFont="1" applyFill="1" applyBorder="1" applyAlignment="1">
      <alignment horizontal="center" vertical="center" wrapText="1"/>
    </xf>
    <xf numFmtId="4" fontId="13" fillId="10" borderId="51" xfId="0" quotePrefix="1" applyNumberFormat="1" applyFont="1" applyFill="1" applyBorder="1" applyAlignment="1">
      <alignment horizontal="center" vertical="center" wrapText="1"/>
    </xf>
    <xf numFmtId="4" fontId="13" fillId="10" borderId="50" xfId="0" quotePrefix="1" applyNumberFormat="1" applyFont="1" applyFill="1" applyBorder="1" applyAlignment="1">
      <alignment horizontal="center" vertical="center" wrapText="1"/>
    </xf>
    <xf numFmtId="164" fontId="54" fillId="10" borderId="16" xfId="0" applyNumberFormat="1" applyFont="1" applyFill="1" applyBorder="1" applyAlignment="1">
      <alignment horizontal="center" vertical="center" wrapText="1"/>
    </xf>
    <xf numFmtId="164" fontId="54" fillId="10" borderId="22" xfId="0" applyNumberFormat="1" applyFont="1" applyFill="1" applyBorder="1" applyAlignment="1">
      <alignment horizontal="center" vertical="center" wrapText="1"/>
    </xf>
    <xf numFmtId="164" fontId="54" fillId="10" borderId="19" xfId="0" applyNumberFormat="1" applyFont="1" applyFill="1" applyBorder="1" applyAlignment="1">
      <alignment horizontal="center" vertical="center" wrapText="1"/>
    </xf>
    <xf numFmtId="164" fontId="24" fillId="10" borderId="6" xfId="0" applyNumberFormat="1" applyFont="1" applyFill="1" applyBorder="1" applyAlignment="1">
      <alignment horizontal="left" vertical="center" wrapText="1"/>
    </xf>
    <xf numFmtId="164" fontId="24" fillId="10" borderId="14" xfId="0" applyNumberFormat="1" applyFont="1" applyFill="1" applyBorder="1" applyAlignment="1">
      <alignment horizontal="left" vertical="center" wrapText="1"/>
    </xf>
    <xf numFmtId="164" fontId="24" fillId="10" borderId="4" xfId="0" applyNumberFormat="1" applyFont="1" applyFill="1" applyBorder="1" applyAlignment="1">
      <alignment horizontal="left" vertical="center" wrapText="1"/>
    </xf>
    <xf numFmtId="3" fontId="9" fillId="12" borderId="16" xfId="0" applyNumberFormat="1" applyFont="1" applyFill="1" applyBorder="1" applyAlignment="1">
      <alignment horizontal="center" vertical="center" wrapText="1"/>
    </xf>
    <xf numFmtId="3" fontId="9" fillId="12" borderId="22" xfId="0" applyNumberFormat="1" applyFont="1" applyFill="1" applyBorder="1" applyAlignment="1">
      <alignment horizontal="center" vertical="center" wrapText="1"/>
    </xf>
    <xf numFmtId="3" fontId="9" fillId="12" borderId="19" xfId="0" applyNumberFormat="1" applyFont="1" applyFill="1" applyBorder="1" applyAlignment="1">
      <alignment horizontal="center" vertical="center" wrapText="1"/>
    </xf>
    <xf numFmtId="173" fontId="10" fillId="12" borderId="17" xfId="0" applyNumberFormat="1" applyFont="1" applyFill="1" applyBorder="1" applyAlignment="1">
      <alignment horizontal="center" vertical="center"/>
    </xf>
    <xf numFmtId="173" fontId="10" fillId="12" borderId="11" xfId="0" applyNumberFormat="1" applyFont="1" applyFill="1" applyBorder="1" applyAlignment="1">
      <alignment horizontal="center" vertical="center"/>
    </xf>
    <xf numFmtId="173" fontId="10" fillId="12" borderId="42" xfId="0" applyNumberFormat="1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164" fontId="10" fillId="12" borderId="17" xfId="0" applyNumberFormat="1" applyFont="1" applyFill="1" applyBorder="1" applyAlignment="1">
      <alignment horizontal="left" vertical="center"/>
    </xf>
    <xf numFmtId="164" fontId="10" fillId="12" borderId="11" xfId="0" applyNumberFormat="1" applyFont="1" applyFill="1" applyBorder="1" applyAlignment="1">
      <alignment horizontal="left" vertical="center"/>
    </xf>
    <xf numFmtId="164" fontId="10" fillId="12" borderId="18" xfId="0" applyNumberFormat="1" applyFont="1" applyFill="1" applyBorder="1" applyAlignment="1">
      <alignment horizontal="left" vertical="center"/>
    </xf>
    <xf numFmtId="164" fontId="10" fillId="12" borderId="20" xfId="0" applyNumberFormat="1" applyFont="1" applyFill="1" applyBorder="1" applyAlignment="1">
      <alignment horizontal="left" vertical="center"/>
    </xf>
    <xf numFmtId="164" fontId="10" fillId="12" borderId="48" xfId="0" applyNumberFormat="1" applyFont="1" applyFill="1" applyBorder="1" applyAlignment="1">
      <alignment horizontal="left" vertical="center"/>
    </xf>
    <xf numFmtId="164" fontId="10" fillId="12" borderId="21" xfId="0" applyNumberFormat="1" applyFont="1" applyFill="1" applyBorder="1" applyAlignment="1">
      <alignment horizontal="left" vertical="center"/>
    </xf>
    <xf numFmtId="164" fontId="10" fillId="12" borderId="6" xfId="0" applyNumberFormat="1" applyFont="1" applyFill="1" applyBorder="1" applyAlignment="1">
      <alignment horizontal="left" vertical="center"/>
    </xf>
    <xf numFmtId="164" fontId="10" fillId="12" borderId="14" xfId="0" applyNumberFormat="1" applyFont="1" applyFill="1" applyBorder="1" applyAlignment="1">
      <alignment horizontal="left" vertical="center"/>
    </xf>
    <xf numFmtId="164" fontId="10" fillId="12" borderId="4" xfId="0" applyNumberFormat="1" applyFont="1" applyFill="1" applyBorder="1" applyAlignment="1">
      <alignment horizontal="left" vertical="center"/>
    </xf>
    <xf numFmtId="164" fontId="24" fillId="12" borderId="58" xfId="0" applyNumberFormat="1" applyFont="1" applyFill="1" applyBorder="1" applyAlignment="1">
      <alignment horizontal="left" vertical="center" wrapText="1"/>
    </xf>
    <xf numFmtId="164" fontId="24" fillId="12" borderId="59" xfId="0" applyNumberFormat="1" applyFont="1" applyFill="1" applyBorder="1" applyAlignment="1">
      <alignment horizontal="left" vertical="center" wrapText="1"/>
    </xf>
    <xf numFmtId="164" fontId="24" fillId="10" borderId="20" xfId="0" applyNumberFormat="1" applyFont="1" applyFill="1" applyBorder="1" applyAlignment="1">
      <alignment horizontal="left" vertical="center" wrapText="1"/>
    </xf>
    <xf numFmtId="164" fontId="24" fillId="10" borderId="48" xfId="0" applyNumberFormat="1" applyFont="1" applyFill="1" applyBorder="1" applyAlignment="1">
      <alignment horizontal="left" vertical="center" wrapText="1"/>
    </xf>
    <xf numFmtId="164" fontId="24" fillId="10" borderId="21" xfId="0" applyNumberFormat="1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4" fontId="13" fillId="10" borderId="34" xfId="0" quotePrefix="1" applyNumberFormat="1" applyFont="1" applyFill="1" applyBorder="1" applyAlignment="1">
      <alignment horizontal="center" vertical="center" wrapText="1"/>
    </xf>
    <xf numFmtId="0" fontId="25" fillId="0" borderId="65" xfId="0" applyFont="1" applyBorder="1" applyAlignment="1">
      <alignment vertical="center" wrapText="1"/>
    </xf>
  </cellXfs>
  <cellStyles count="2">
    <cellStyle name="Link" xfId="1" builtinId="8" customBuiltin="1"/>
    <cellStyle name="Standard" xfId="0" builtinId="0"/>
  </cellStyles>
  <dxfs count="60">
    <dxf>
      <font>
        <color rgb="FFFF0000"/>
      </font>
      <numFmt numFmtId="166" formatCode="0.0%"/>
    </dxf>
    <dxf>
      <font>
        <color rgb="FFFF0000"/>
      </font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  <color auto="1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D23ED"/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Current status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and forecast $</a:t>
            </a:r>
          </a:p>
        </c:rich>
      </c:tx>
      <c:layout>
        <c:manualLayout>
          <c:xMode val="edge"/>
          <c:yMode val="edge"/>
          <c:x val="4.0289577371850592E-2"/>
          <c:y val="2.8943169852835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3302647214380406"/>
          <c:w val="0.8597564327361924"/>
          <c:h val="0.80197029954597598"/>
        </c:manualLayout>
      </c:layout>
      <c:lineChart>
        <c:grouping val="standard"/>
        <c:varyColors val="0"/>
        <c:ser>
          <c:idx val="2"/>
          <c:order val="0"/>
          <c:tx>
            <c:v>€ Erste Schätzung max.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'AVENTURIA - Stories &amp; Legends'!$D$99:$D$120</c:f>
            </c:multiLvlStrRef>
          </c:cat>
          <c:val>
            <c:numRef>
              <c:f>'AVENTURIA - Stories &amp; Legends'!$L$99:$L$120</c:f>
            </c:numRef>
          </c:val>
          <c:smooth val="0"/>
          <c:extLst>
            <c:ext xmlns:c16="http://schemas.microsoft.com/office/drawing/2014/chart" uri="{C3380CC4-5D6E-409C-BE32-E72D297353CC}">
              <c16:uniqueId val="{00000033-92E9-44F5-946D-8A216D011837}"/>
            </c:ext>
          </c:extLst>
        </c:ser>
        <c:ser>
          <c:idx val="3"/>
          <c:order val="1"/>
          <c:tx>
            <c:v>€ Erste Schätzung min.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multiLvlStrRef>
              <c:f>'AVENTURIA - Stories &amp; Legends'!$D$99:$D$120</c:f>
            </c:multiLvlStrRef>
          </c:cat>
          <c:val>
            <c:numRef>
              <c:f>'AVENTURIA - Stories &amp; Legends'!$K$99:$K$120</c:f>
            </c:numRef>
          </c:val>
          <c:smooth val="0"/>
          <c:extLst>
            <c:ext xmlns:c16="http://schemas.microsoft.com/office/drawing/2014/chart" uri="{C3380CC4-5D6E-409C-BE32-E72D297353CC}">
              <c16:uniqueId val="{00000034-92E9-44F5-946D-8A216D011837}"/>
            </c:ext>
          </c:extLst>
        </c:ser>
        <c:ser>
          <c:idx val="7"/>
          <c:order val="2"/>
          <c:tx>
            <c:v>€ Prognose max.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'AVENTURIA - Stories &amp; Legends'!$O$99:$O$120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2-104F-43A6-8140-3A9161B54F64}"/>
            </c:ext>
          </c:extLst>
        </c:ser>
        <c:ser>
          <c:idx val="8"/>
          <c:order val="3"/>
          <c:tx>
            <c:v>€ Prognose min.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'AVENTURIA - Stories &amp; Legends'!$N$99:$N$120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3-104F-43A6-8140-3A9161B54F64}"/>
            </c:ext>
          </c:extLst>
        </c:ser>
        <c:ser>
          <c:idx val="0"/>
          <c:order val="4"/>
          <c:tx>
            <c:v>€ DSK: Schleichender Verfall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92E9-44F5-946D-8A216D011837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92E9-44F5-946D-8A216D011837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92E9-44F5-946D-8A216D011837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92E9-44F5-946D-8A216D011837}"/>
              </c:ext>
            </c:extLst>
          </c:dPt>
          <c:cat>
            <c:multiLvlStrRef>
              <c:f>'AVENTURIA - Stories &amp; Legends'!$D$99:$D$120</c:f>
            </c:multiLvlStrRef>
          </c:cat>
          <c:val>
            <c:numRef>
              <c:f>'AVENTURIA - Stories &amp; Legends'!$J$99:$J$120</c:f>
            </c:numRef>
          </c:val>
          <c:smooth val="0"/>
          <c:extLst>
            <c:ext xmlns:c16="http://schemas.microsoft.com/office/drawing/2014/chart" uri="{C3380CC4-5D6E-409C-BE32-E72D297353CC}">
              <c16:uniqueId val="{00000032-92E9-44F5-946D-8A216D01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/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195507066379303"/>
          <c:y val="7.5604929793808831E-3"/>
          <c:w val="0.79213273680686336"/>
          <c:h val="0.11767723079670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'AVENTURIA - Stories &amp; Legends'!$CA$124</c:f>
              <c:strCache>
                <c:ptCount val="1"/>
                <c:pt idx="0">
                  <c:v>AML (€/kum)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Legends'!$CA$126:$CA$143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AD-4B0F-940D-184573DF9252}"/>
            </c:ext>
          </c:extLst>
        </c:ser>
        <c:ser>
          <c:idx val="3"/>
          <c:order val="1"/>
          <c:tx>
            <c:strRef>
              <c:f>'AVENTURIA - Stories &amp; Legends'!$CC$124</c:f>
              <c:strCache>
                <c:ptCount val="1"/>
                <c:pt idx="0">
                  <c:v>AML (B/kum)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Legends'!$CC$126:$CC$143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5AD-4B0F-940D-184573DF9252}"/>
            </c:ext>
          </c:extLst>
        </c:ser>
        <c:ser>
          <c:idx val="5"/>
          <c:order val="2"/>
          <c:tx>
            <c:strRef>
              <c:f>'AVENTURIA - Stories &amp; Legends'!$CE$124</c:f>
              <c:strCache>
                <c:ptCount val="1"/>
                <c:pt idx="0">
                  <c:v>DSK (€/kum)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Legends'!$CE$126:$CE$143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5AD-4B0F-940D-184573DF9252}"/>
            </c:ext>
          </c:extLst>
        </c:ser>
        <c:ser>
          <c:idx val="7"/>
          <c:order val="3"/>
          <c:tx>
            <c:strRef>
              <c:f>'AVENTURIA - Stories &amp; Legends'!$CG$124</c:f>
              <c:strCache>
                <c:ptCount val="1"/>
                <c:pt idx="0">
                  <c:v>DSK (B/kum)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Legends'!$CG$126:$CG$143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85AD-4B0F-940D-184573DF9252}"/>
            </c:ext>
          </c:extLst>
        </c:ser>
        <c:ser>
          <c:idx val="9"/>
          <c:order val="4"/>
          <c:tx>
            <c:strRef>
              <c:f>'AVENTURIA - Stories &amp; Legends'!$CI$124</c:f>
              <c:strCache>
                <c:ptCount val="1"/>
                <c:pt idx="0">
                  <c:v>WM (€/kum)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Legends'!$CI$126:$CI$143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85AD-4B0F-940D-184573DF9252}"/>
            </c:ext>
          </c:extLst>
        </c:ser>
        <c:ser>
          <c:idx val="11"/>
          <c:order val="5"/>
          <c:tx>
            <c:strRef>
              <c:f>'AVENTURIA - Stories &amp; Legends'!$CK$124</c:f>
              <c:strCache>
                <c:ptCount val="1"/>
                <c:pt idx="0">
                  <c:v>WM (B/kum)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Legends'!$CK$126:$CK$143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85AD-4B0F-940D-184573DF9252}"/>
            </c:ext>
          </c:extLst>
        </c:ser>
        <c:ser>
          <c:idx val="14"/>
          <c:order val="6"/>
          <c:tx>
            <c:strRef>
              <c:f>'AVENTURIA - Stories &amp; Legends'!$CN$124</c:f>
              <c:strCache>
                <c:ptCount val="1"/>
                <c:pt idx="0">
                  <c:v>ANB (€/kum)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Legends'!$CN$126:$CN$143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'AVENTURIA - Stories &amp; Legends'!$BA$126:$BA$143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85AD-4B0F-940D-184573DF9252}"/>
            </c:ext>
          </c:extLst>
        </c:ser>
        <c:ser>
          <c:idx val="0"/>
          <c:order val="7"/>
          <c:tx>
            <c:strRef>
              <c:f>'AVENTURIA - Stories &amp; Legends'!$CP$124</c:f>
              <c:strCache>
                <c:ptCount val="1"/>
                <c:pt idx="0">
                  <c:v>ANB (B/kum)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Legends'!$CP$126:$CP$143</c:f>
            </c:numRef>
          </c:val>
          <c:smooth val="0"/>
          <c:extLst>
            <c:ext xmlns:c16="http://schemas.microsoft.com/office/drawing/2014/chart" uri="{C3380CC4-5D6E-409C-BE32-E72D297353CC}">
              <c16:uniqueId val="{00000011-85AD-4B0F-940D-184573DF9252}"/>
            </c:ext>
          </c:extLst>
        </c:ser>
        <c:ser>
          <c:idx val="2"/>
          <c:order val="8"/>
          <c:tx>
            <c:v>SOK (€/kum)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Legends'!$BW$126:$BW$143</c:f>
            </c:numRef>
          </c:val>
          <c:smooth val="0"/>
          <c:extLst>
            <c:ext xmlns:c16="http://schemas.microsoft.com/office/drawing/2014/chart" uri="{C3380CC4-5D6E-409C-BE32-E72D297353CC}">
              <c16:uniqueId val="{00000002-D0D2-4EA0-895C-0485D4383196}"/>
            </c:ext>
          </c:extLst>
        </c:ser>
        <c:ser>
          <c:idx val="4"/>
          <c:order val="9"/>
          <c:tx>
            <c:v>SOK (B/kum)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Legends'!$BY$126:$BY$143</c:f>
            </c:numRef>
          </c:val>
          <c:smooth val="0"/>
          <c:extLst>
            <c:ext xmlns:c16="http://schemas.microsoft.com/office/drawing/2014/chart" uri="{C3380CC4-5D6E-409C-BE32-E72D297353CC}">
              <c16:uniqueId val="{00000003-D0D2-4EA0-895C-0485D4383196}"/>
            </c:ext>
          </c:extLst>
        </c:ser>
        <c:ser>
          <c:idx val="6"/>
          <c:order val="10"/>
          <c:tx>
            <c:strRef>
              <c:f>'AVENTURIA - Stories &amp; Legends'!$BO$124</c:f>
              <c:strCache>
                <c:ptCount val="1"/>
                <c:pt idx="0">
                  <c:v>RE (€/kum)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Legends'!$BO$126:$BO$143</c:f>
            </c:numRef>
          </c:val>
          <c:smooth val="0"/>
          <c:extLst>
            <c:ext xmlns:c16="http://schemas.microsoft.com/office/drawing/2014/chart" uri="{C3380CC4-5D6E-409C-BE32-E72D297353CC}">
              <c16:uniqueId val="{00000001-518E-4C7B-B4E5-A647E746FC25}"/>
            </c:ext>
          </c:extLst>
        </c:ser>
        <c:ser>
          <c:idx val="8"/>
          <c:order val="11"/>
          <c:tx>
            <c:strRef>
              <c:f>'AVENTURIA - Stories &amp; Legends'!$BQ$124</c:f>
              <c:strCache>
                <c:ptCount val="1"/>
                <c:pt idx="0">
                  <c:v>RE (B/kum)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Stories &amp; Legends'!$BQ$126:$BQ$143</c:f>
            </c:numRef>
          </c:val>
          <c:smooth val="0"/>
          <c:extLst>
            <c:ext xmlns:c16="http://schemas.microsoft.com/office/drawing/2014/chart" uri="{C3380CC4-5D6E-409C-BE32-E72D297353CC}">
              <c16:uniqueId val="{00000002-518E-4C7B-B4E5-A647E74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04584"/>
        <c:axId val="721798024"/>
      </c:lineChart>
      <c:catAx>
        <c:axId val="72180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8024"/>
        <c:crosses val="autoZero"/>
        <c:auto val="1"/>
        <c:lblAlgn val="ctr"/>
        <c:lblOffset val="100"/>
        <c:noMultiLvlLbl val="0"/>
      </c:catAx>
      <c:valAx>
        <c:axId val="72179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8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Backer</a:t>
            </a:r>
          </a:p>
        </c:rich>
      </c:tx>
      <c:layout>
        <c:manualLayout>
          <c:xMode val="edge"/>
          <c:yMode val="edge"/>
          <c:x val="1.1117300339680791E-2"/>
          <c:y val="2.058963113220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3162305931180232"/>
          <c:w val="0.8597564327361924"/>
          <c:h val="0.80082603243445105"/>
        </c:manualLayout>
      </c:layout>
      <c:lineChart>
        <c:grouping val="standard"/>
        <c:varyColors val="0"/>
        <c:ser>
          <c:idx val="2"/>
          <c:order val="0"/>
          <c:tx>
            <c:v>Backer Erste Schätzung max.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'AVENTURIA - Stories &amp; Legends'!$D$99:$D$120</c:f>
            </c:multiLvlStrRef>
          </c:cat>
          <c:val>
            <c:numRef>
              <c:f>'AVENTURIA - Stories &amp; Legends'!$L$124:$L$145</c:f>
            </c:numRef>
          </c:val>
          <c:smooth val="0"/>
          <c:extLst>
            <c:ext xmlns:c16="http://schemas.microsoft.com/office/drawing/2014/chart" uri="{C3380CC4-5D6E-409C-BE32-E72D297353CC}">
              <c16:uniqueId val="{00000000-4DF2-4486-91E0-1FA3D1184EA2}"/>
            </c:ext>
          </c:extLst>
        </c:ser>
        <c:ser>
          <c:idx val="3"/>
          <c:order val="1"/>
          <c:tx>
            <c:v>Backer Erste Schätzung min.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multiLvlStrRef>
              <c:f>'AVENTURIA - Stories &amp; Legends'!$D$99:$D$120</c:f>
            </c:multiLvlStrRef>
          </c:cat>
          <c:val>
            <c:numRef>
              <c:f>'AVENTURIA - Stories &amp; Legends'!$K$124:$K$145</c:f>
            </c:numRef>
          </c:val>
          <c:smooth val="0"/>
          <c:extLst>
            <c:ext xmlns:c16="http://schemas.microsoft.com/office/drawing/2014/chart" uri="{C3380CC4-5D6E-409C-BE32-E72D297353CC}">
              <c16:uniqueId val="{00000001-4DF2-4486-91E0-1FA3D1184EA2}"/>
            </c:ext>
          </c:extLst>
        </c:ser>
        <c:ser>
          <c:idx val="7"/>
          <c:order val="2"/>
          <c:tx>
            <c:v>Backer Prognose min.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'AVENTURIA - Stories &amp; Legends'!$N$124:$N$145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93BC-4597-A852-0805225FEEF7}"/>
            </c:ext>
          </c:extLst>
        </c:ser>
        <c:ser>
          <c:idx val="8"/>
          <c:order val="3"/>
          <c:tx>
            <c:v>Backer Prognose max.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'AVENTURIA - Stories &amp; Legends'!$O$124:$O$145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93BC-4597-A852-0805225FEEF7}"/>
            </c:ext>
          </c:extLst>
        </c:ser>
        <c:ser>
          <c:idx val="0"/>
          <c:order val="4"/>
          <c:tx>
            <c:v>Backer DSK: Schleichender Verfall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4DF2-4486-91E0-1FA3D1184EA2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4DF2-4486-91E0-1FA3D1184EA2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4DF2-4486-91E0-1FA3D1184EA2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4DF2-4486-91E0-1FA3D1184EA2}"/>
              </c:ext>
            </c:extLst>
          </c:dPt>
          <c:cat>
            <c:multiLvlStrRef>
              <c:f>'AVENTURIA - Stories &amp; Legends'!$D$99:$D$120</c:f>
            </c:multiLvlStrRef>
          </c:cat>
          <c:val>
            <c:numRef>
              <c:f>'AVENTURIA - Stories &amp; Legends'!$J$124:$J$145</c:f>
            </c:numRef>
          </c:val>
          <c:smooth val="0"/>
          <c:extLst>
            <c:ext xmlns:c16="http://schemas.microsoft.com/office/drawing/2014/chart" uri="{C3380CC4-5D6E-409C-BE32-E72D297353CC}">
              <c16:uniqueId val="{00000037-4DF2-4486-91E0-1FA3D118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/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25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490164528917559"/>
          <c:y val="7.5604929793808831E-3"/>
          <c:w val="0.79509835471082457"/>
          <c:h val="0.11165070689110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Vergleich!$C$2</c:f>
              <c:strCache>
                <c:ptCount val="1"/>
                <c:pt idx="0">
                  <c:v>Nedime (€)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Vergleich!$C$3:$C$24</c:f>
              <c:numCache>
                <c:formatCode>#,##0</c:formatCode>
                <c:ptCount val="22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1-40A9-B8C8-DD6E3F7C80B9}"/>
            </c:ext>
          </c:extLst>
        </c:ser>
        <c:ser>
          <c:idx val="3"/>
          <c:order val="2"/>
          <c:tx>
            <c:strRef>
              <c:f>Vergleich!$E$2</c:f>
              <c:strCache>
                <c:ptCount val="1"/>
                <c:pt idx="0">
                  <c:v>Thorwal norm (€)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Vergleich!$E$3:$E$24</c:f>
              <c:numCache>
                <c:formatCode>#,##0</c:formatCode>
                <c:ptCount val="22"/>
                <c:pt idx="0">
                  <c:v>0</c:v>
                </c:pt>
                <c:pt idx="1">
                  <c:v>15220.890095815445</c:v>
                </c:pt>
                <c:pt idx="2">
                  <c:v>16625.895335429177</c:v>
                </c:pt>
                <c:pt idx="3">
                  <c:v>18030.90057504291</c:v>
                </c:pt>
                <c:pt idx="4">
                  <c:v>19435.905814656642</c:v>
                </c:pt>
                <c:pt idx="5">
                  <c:v>20840.911054270375</c:v>
                </c:pt>
                <c:pt idx="6">
                  <c:v>22245.916293884107</c:v>
                </c:pt>
                <c:pt idx="7">
                  <c:v>23650.92153349784</c:v>
                </c:pt>
                <c:pt idx="8">
                  <c:v>25055.926773111572</c:v>
                </c:pt>
                <c:pt idx="9">
                  <c:v>26460.932012725305</c:v>
                </c:pt>
                <c:pt idx="10">
                  <c:v>27865.937252339038</c:v>
                </c:pt>
                <c:pt idx="11">
                  <c:v>29270.942491952781</c:v>
                </c:pt>
                <c:pt idx="12">
                  <c:v>32578.348242757504</c:v>
                </c:pt>
                <c:pt idx="13">
                  <c:v>35885.753993562226</c:v>
                </c:pt>
                <c:pt idx="14">
                  <c:v>39193.159744366945</c:v>
                </c:pt>
                <c:pt idx="15">
                  <c:v>42500.565495171664</c:v>
                </c:pt>
                <c:pt idx="16">
                  <c:v>45807.971245976383</c:v>
                </c:pt>
                <c:pt idx="17">
                  <c:v>49115.376996781102</c:v>
                </c:pt>
                <c:pt idx="18">
                  <c:v>52422.782747585821</c:v>
                </c:pt>
                <c:pt idx="19">
                  <c:v>55730.18849839054</c:v>
                </c:pt>
                <c:pt idx="20">
                  <c:v>59037.594249195259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1-40A9-B8C8-DD6E3F7C80B9}"/>
            </c:ext>
          </c:extLst>
        </c:ser>
        <c:ser>
          <c:idx val="5"/>
          <c:order val="4"/>
          <c:tx>
            <c:strRef>
              <c:f>Vergleich!$G$2</c:f>
              <c:strCache>
                <c:ptCount val="1"/>
                <c:pt idx="0">
                  <c:v>Werkzeuge norm (€)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Vergleich!$G$3:$G$24</c:f>
              <c:numCache>
                <c:formatCode>#,##0</c:formatCode>
                <c:ptCount val="22"/>
                <c:pt idx="0">
                  <c:v>0</c:v>
                </c:pt>
                <c:pt idx="1">
                  <c:v>15879.347283058034</c:v>
                </c:pt>
                <c:pt idx="2">
                  <c:v>18103.852387402443</c:v>
                </c:pt>
                <c:pt idx="3">
                  <c:v>19704.691804316852</c:v>
                </c:pt>
                <c:pt idx="4">
                  <c:v>21920.78875461033</c:v>
                </c:pt>
                <c:pt idx="5">
                  <c:v>23073.071431503275</c:v>
                </c:pt>
                <c:pt idx="6">
                  <c:v>23816.279135222616</c:v>
                </c:pt>
                <c:pt idx="7">
                  <c:v>25452.213456001784</c:v>
                </c:pt>
                <c:pt idx="8">
                  <c:v>26607.420708216792</c:v>
                </c:pt>
                <c:pt idx="9">
                  <c:v>28001.711993010478</c:v>
                </c:pt>
                <c:pt idx="10">
                  <c:v>29730.867152180414</c:v>
                </c:pt>
                <c:pt idx="11">
                  <c:v>30365.134425152894</c:v>
                </c:pt>
                <c:pt idx="12">
                  <c:v>31495.482787130364</c:v>
                </c:pt>
                <c:pt idx="13">
                  <c:v>32558.56591670038</c:v>
                </c:pt>
                <c:pt idx="14">
                  <c:v>34038.035457749167</c:v>
                </c:pt>
                <c:pt idx="15">
                  <c:v>35630.832292527899</c:v>
                </c:pt>
                <c:pt idx="16">
                  <c:v>37819.145777261772</c:v>
                </c:pt>
                <c:pt idx="17">
                  <c:v>40047.306600758762</c:v>
                </c:pt>
                <c:pt idx="18">
                  <c:v>42194.310459068496</c:v>
                </c:pt>
                <c:pt idx="19">
                  <c:v>45163.485554793275</c:v>
                </c:pt>
                <c:pt idx="20">
                  <c:v>47642.79428407245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51-40A9-B8C8-DD6E3F7C80B9}"/>
            </c:ext>
          </c:extLst>
        </c:ser>
        <c:ser>
          <c:idx val="0"/>
          <c:order val="6"/>
          <c:tx>
            <c:strRef>
              <c:f>Vergleich!$I$2</c:f>
              <c:strCache>
                <c:ptCount val="1"/>
                <c:pt idx="0">
                  <c:v>Mythos norm (€)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Vergleich!$I$3:$I$24</c:f>
              <c:numCache>
                <c:formatCode>#,##0</c:formatCode>
                <c:ptCount val="22"/>
                <c:pt idx="0">
                  <c:v>0</c:v>
                </c:pt>
                <c:pt idx="1">
                  <c:v>8008.0810450070085</c:v>
                </c:pt>
                <c:pt idx="2">
                  <c:v>16016.162090014017</c:v>
                </c:pt>
                <c:pt idx="3">
                  <c:v>24024.243135021028</c:v>
                </c:pt>
                <c:pt idx="4">
                  <c:v>26153.174071964302</c:v>
                </c:pt>
                <c:pt idx="5">
                  <c:v>28282.10500890758</c:v>
                </c:pt>
                <c:pt idx="6">
                  <c:v>30411.035945850857</c:v>
                </c:pt>
                <c:pt idx="7">
                  <c:v>32539.966882794135</c:v>
                </c:pt>
                <c:pt idx="8">
                  <c:v>34668.897819737409</c:v>
                </c:pt>
                <c:pt idx="9">
                  <c:v>36797.828756680683</c:v>
                </c:pt>
                <c:pt idx="10">
                  <c:v>38926.759693623957</c:v>
                </c:pt>
                <c:pt idx="11">
                  <c:v>41055.690630567231</c:v>
                </c:pt>
                <c:pt idx="12">
                  <c:v>43184.621567510505</c:v>
                </c:pt>
                <c:pt idx="13">
                  <c:v>45313.552504453779</c:v>
                </c:pt>
                <c:pt idx="14">
                  <c:v>47442.483441397053</c:v>
                </c:pt>
                <c:pt idx="15">
                  <c:v>49571.414378340327</c:v>
                </c:pt>
                <c:pt idx="16">
                  <c:v>51700.345315283601</c:v>
                </c:pt>
                <c:pt idx="17">
                  <c:v>53829.276252226875</c:v>
                </c:pt>
                <c:pt idx="18">
                  <c:v>55958.207189170149</c:v>
                </c:pt>
                <c:pt idx="19">
                  <c:v>58087.138126113423</c:v>
                </c:pt>
                <c:pt idx="20">
                  <c:v>60216.069063056697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51-40A9-B8C8-DD6E3F7C80B9}"/>
            </c:ext>
          </c:extLst>
        </c:ser>
        <c:ser>
          <c:idx val="8"/>
          <c:order val="9"/>
          <c:tx>
            <c:strRef>
              <c:f>Vergleich!$K$2</c:f>
              <c:strCache>
                <c:ptCount val="1"/>
                <c:pt idx="0">
                  <c:v>DSK norm (€)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Vergleich!$K$3:$K$24</c:f>
              <c:numCache>
                <c:formatCode>#,##0</c:formatCode>
                <c:ptCount val="22"/>
                <c:pt idx="0">
                  <c:v>0</c:v>
                </c:pt>
                <c:pt idx="1">
                  <c:v>18321.783592211064</c:v>
                </c:pt>
                <c:pt idx="2">
                  <c:v>21471.044620079439</c:v>
                </c:pt>
                <c:pt idx="3">
                  <c:v>22786.717998191623</c:v>
                </c:pt>
                <c:pt idx="4">
                  <c:v>24137.623639680951</c:v>
                </c:pt>
                <c:pt idx="5">
                  <c:v>25549.934083056156</c:v>
                </c:pt>
                <c:pt idx="6">
                  <c:v>27093.107218975038</c:v>
                </c:pt>
                <c:pt idx="7">
                  <c:v>28176.247658798078</c:v>
                </c:pt>
                <c:pt idx="8">
                  <c:v>29592.58464655924</c:v>
                </c:pt>
                <c:pt idx="9">
                  <c:v>31860.032453902542</c:v>
                </c:pt>
                <c:pt idx="10">
                  <c:v>33546.147915522975</c:v>
                </c:pt>
                <c:pt idx="11">
                  <c:v>35065.161785126103</c:v>
                </c:pt>
                <c:pt idx="12">
                  <c:v>35879.530387186358</c:v>
                </c:pt>
                <c:pt idx="13">
                  <c:v>37285.297695934387</c:v>
                </c:pt>
                <c:pt idx="14">
                  <c:v>37955.717336196598</c:v>
                </c:pt>
                <c:pt idx="15">
                  <c:v>38763.542803629673</c:v>
                </c:pt>
                <c:pt idx="16">
                  <c:v>40290.106443956465</c:v>
                </c:pt>
                <c:pt idx="17">
                  <c:v>43704.616083249915</c:v>
                </c:pt>
                <c:pt idx="18">
                  <c:v>46292.174169276972</c:v>
                </c:pt>
                <c:pt idx="19">
                  <c:v>50920.686940937128</c:v>
                </c:pt>
                <c:pt idx="20">
                  <c:v>54792.209368036936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251-40A9-B8C8-DD6E3F7C80B9}"/>
            </c:ext>
          </c:extLst>
        </c:ser>
        <c:ser>
          <c:idx val="10"/>
          <c:order val="10"/>
          <c:tx>
            <c:strRef>
              <c:f>Vergleich!$M$2</c:f>
              <c:strCache>
                <c:ptCount val="1"/>
                <c:pt idx="0">
                  <c:v>Mythen norm (€)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Vergleich!$M$3:$M$24</c:f>
              <c:numCache>
                <c:formatCode>#,##0</c:formatCode>
                <c:ptCount val="22"/>
                <c:pt idx="0">
                  <c:v>0</c:v>
                </c:pt>
                <c:pt idx="1">
                  <c:v>13585.517272030311</c:v>
                </c:pt>
                <c:pt idx="2">
                  <c:v>16993.672736969591</c:v>
                </c:pt>
                <c:pt idx="3">
                  <c:v>19168.103632181865</c:v>
                </c:pt>
                <c:pt idx="4">
                  <c:v>21005.875268052576</c:v>
                </c:pt>
                <c:pt idx="5">
                  <c:v>22597.040532882966</c:v>
                </c:pt>
                <c:pt idx="6">
                  <c:v>25963.633126298595</c:v>
                </c:pt>
                <c:pt idx="7">
                  <c:v>27863.056354929391</c:v>
                </c:pt>
                <c:pt idx="8">
                  <c:v>30317.343918400908</c:v>
                </c:pt>
                <c:pt idx="9">
                  <c:v>31844.779446895034</c:v>
                </c:pt>
                <c:pt idx="10">
                  <c:v>33841.182709081011</c:v>
                </c:pt>
                <c:pt idx="11">
                  <c:v>34832.457194920054</c:v>
                </c:pt>
                <c:pt idx="12">
                  <c:v>37557.596137820692</c:v>
                </c:pt>
                <c:pt idx="13">
                  <c:v>38504.536894034507</c:v>
                </c:pt>
                <c:pt idx="14">
                  <c:v>39940.534105176608</c:v>
                </c:pt>
                <c:pt idx="15">
                  <c:v>40976.835035166274</c:v>
                </c:pt>
                <c:pt idx="16">
                  <c:v>42838.851679425781</c:v>
                </c:pt>
                <c:pt idx="17">
                  <c:v>44512.449972778079</c:v>
                </c:pt>
                <c:pt idx="18">
                  <c:v>46238.001855534945</c:v>
                </c:pt>
                <c:pt idx="19">
                  <c:v>49482.676692481196</c:v>
                </c:pt>
                <c:pt idx="20">
                  <c:v>54719.598504461064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4-487C-B806-F0C4AB4B9284}"/>
            </c:ext>
          </c:extLst>
        </c:ser>
        <c:ser>
          <c:idx val="12"/>
          <c:order val="12"/>
          <c:tx>
            <c:v>SOK norm (€)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Vergleich!$O$3:$O$24</c:f>
              <c:numCache>
                <c:formatCode>#,##0</c:formatCode>
                <c:ptCount val="22"/>
                <c:pt idx="0">
                  <c:v>0</c:v>
                </c:pt>
                <c:pt idx="1">
                  <c:v>23389.670781979032</c:v>
                </c:pt>
                <c:pt idx="2">
                  <c:v>29715.190707727812</c:v>
                </c:pt>
                <c:pt idx="3">
                  <c:v>31934.909171864809</c:v>
                </c:pt>
                <c:pt idx="4">
                  <c:v>33260.328193722096</c:v>
                </c:pt>
                <c:pt idx="5">
                  <c:v>34216.923633292638</c:v>
                </c:pt>
                <c:pt idx="6">
                  <c:v>35342.682680569254</c:v>
                </c:pt>
                <c:pt idx="7">
                  <c:v>38393.361978861816</c:v>
                </c:pt>
                <c:pt idx="8">
                  <c:v>40180.657599879589</c:v>
                </c:pt>
                <c:pt idx="9">
                  <c:v>41350.466954863958</c:v>
                </c:pt>
                <c:pt idx="10">
                  <c:v>42536.958083181431</c:v>
                </c:pt>
                <c:pt idx="11">
                  <c:v>43373.913929628579</c:v>
                </c:pt>
                <c:pt idx="12">
                  <c:v>44253.616820241819</c:v>
                </c:pt>
                <c:pt idx="13">
                  <c:v>44945.9104135659</c:v>
                </c:pt>
                <c:pt idx="14">
                  <c:v>46038.82721959296</c:v>
                </c:pt>
                <c:pt idx="15">
                  <c:v>49073.867355385722</c:v>
                </c:pt>
                <c:pt idx="16">
                  <c:v>50374.785022659999</c:v>
                </c:pt>
                <c:pt idx="17">
                  <c:v>51677.266606184254</c:v>
                </c:pt>
                <c:pt idx="18">
                  <c:v>52943.517463250668</c:v>
                </c:pt>
                <c:pt idx="19">
                  <c:v>55306.855569677406</c:v>
                </c:pt>
                <c:pt idx="20">
                  <c:v>57577.401311938731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4864"/>
        <c:axId val="502641912"/>
      </c:lineChart>
      <c:lineChart>
        <c:grouping val="standard"/>
        <c:varyColors val="0"/>
        <c:ser>
          <c:idx val="2"/>
          <c:order val="1"/>
          <c:tx>
            <c:strRef>
              <c:f>Vergleich!$D$2</c:f>
              <c:strCache>
                <c:ptCount val="1"/>
                <c:pt idx="0">
                  <c:v>Nedime (Backer)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Vergleich!$D$3:$D$24</c:f>
              <c:numCache>
                <c:formatCode>#,##0</c:formatCode>
                <c:ptCount val="22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51-40A9-B8C8-DD6E3F7C80B9}"/>
            </c:ext>
          </c:extLst>
        </c:ser>
        <c:ser>
          <c:idx val="4"/>
          <c:order val="3"/>
          <c:tx>
            <c:strRef>
              <c:f>Vergleich!$F$2</c:f>
              <c:strCache>
                <c:ptCount val="1"/>
                <c:pt idx="0">
                  <c:v>Thorwal norm (Backer)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Vergleich!$F$3:$F$24</c:f>
              <c:numCache>
                <c:formatCode>#,##0</c:formatCode>
                <c:ptCount val="22"/>
                <c:pt idx="0">
                  <c:v>0</c:v>
                </c:pt>
                <c:pt idx="1">
                  <c:v>110.36895674300254</c:v>
                </c:pt>
                <c:pt idx="2">
                  <c:v>119.19847328244275</c:v>
                </c:pt>
                <c:pt idx="3">
                  <c:v>128.02798982188295</c:v>
                </c:pt>
                <c:pt idx="4">
                  <c:v>136.85750636132315</c:v>
                </c:pt>
                <c:pt idx="5">
                  <c:v>145.68702290076334</c:v>
                </c:pt>
                <c:pt idx="6">
                  <c:v>154.51653944020353</c:v>
                </c:pt>
                <c:pt idx="7">
                  <c:v>163.34605597964372</c:v>
                </c:pt>
                <c:pt idx="8">
                  <c:v>172.17557251908391</c:v>
                </c:pt>
                <c:pt idx="9">
                  <c:v>181.00508905852411</c:v>
                </c:pt>
                <c:pt idx="10">
                  <c:v>189.8346055979643</c:v>
                </c:pt>
                <c:pt idx="11">
                  <c:v>198.66412213740458</c:v>
                </c:pt>
                <c:pt idx="12">
                  <c:v>213.4977099236641</c:v>
                </c:pt>
                <c:pt idx="13">
                  <c:v>228.33129770992366</c:v>
                </c:pt>
                <c:pt idx="14">
                  <c:v>243.16488549618322</c:v>
                </c:pt>
                <c:pt idx="15">
                  <c:v>257.99847328244277</c:v>
                </c:pt>
                <c:pt idx="16">
                  <c:v>272.83206106870233</c:v>
                </c:pt>
                <c:pt idx="17">
                  <c:v>287.66564885496189</c:v>
                </c:pt>
                <c:pt idx="18">
                  <c:v>302.49923664122144</c:v>
                </c:pt>
                <c:pt idx="19">
                  <c:v>317.332824427481</c:v>
                </c:pt>
                <c:pt idx="20">
                  <c:v>332.16641221374056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51-40A9-B8C8-DD6E3F7C80B9}"/>
            </c:ext>
          </c:extLst>
        </c:ser>
        <c:ser>
          <c:idx val="6"/>
          <c:order val="5"/>
          <c:tx>
            <c:strRef>
              <c:f>Vergleich!$H$2</c:f>
              <c:strCache>
                <c:ptCount val="1"/>
                <c:pt idx="0">
                  <c:v>Werkzeuge norm (Backer)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Vergleich!$H$3:$H$24</c:f>
              <c:numCache>
                <c:formatCode>#,##0</c:formatCode>
                <c:ptCount val="22"/>
                <c:pt idx="0">
                  <c:v>0</c:v>
                </c:pt>
                <c:pt idx="1">
                  <c:v>82.160052910052912</c:v>
                </c:pt>
                <c:pt idx="2">
                  <c:v>94.55291005291005</c:v>
                </c:pt>
                <c:pt idx="3">
                  <c:v>102.81481481481481</c:v>
                </c:pt>
                <c:pt idx="4">
                  <c:v>113.37169312169313</c:v>
                </c:pt>
                <c:pt idx="5">
                  <c:v>121.17460317460316</c:v>
                </c:pt>
                <c:pt idx="6">
                  <c:v>125.76455026455027</c:v>
                </c:pt>
                <c:pt idx="7">
                  <c:v>135.40343915343917</c:v>
                </c:pt>
                <c:pt idx="8">
                  <c:v>141.37037037037035</c:v>
                </c:pt>
                <c:pt idx="9">
                  <c:v>151.00925925925927</c:v>
                </c:pt>
                <c:pt idx="10">
                  <c:v>160.64814814814815</c:v>
                </c:pt>
                <c:pt idx="11">
                  <c:v>163.40211640211641</c:v>
                </c:pt>
                <c:pt idx="12">
                  <c:v>170.28703703703704</c:v>
                </c:pt>
                <c:pt idx="13">
                  <c:v>177.17195767195767</c:v>
                </c:pt>
                <c:pt idx="14">
                  <c:v>184.97486772486772</c:v>
                </c:pt>
                <c:pt idx="15">
                  <c:v>193.69576719576722</c:v>
                </c:pt>
                <c:pt idx="16">
                  <c:v>204.25264550264549</c:v>
                </c:pt>
                <c:pt idx="17">
                  <c:v>216.18650793650795</c:v>
                </c:pt>
                <c:pt idx="18">
                  <c:v>229.95634920634919</c:v>
                </c:pt>
                <c:pt idx="19">
                  <c:v>246.48015873015873</c:v>
                </c:pt>
                <c:pt idx="20">
                  <c:v>264.38095238095235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51-40A9-B8C8-DD6E3F7C80B9}"/>
            </c:ext>
          </c:extLst>
        </c:ser>
        <c:ser>
          <c:idx val="7"/>
          <c:order val="7"/>
          <c:tx>
            <c:strRef>
              <c:f>Vergleich!$J$2</c:f>
              <c:strCache>
                <c:ptCount val="1"/>
                <c:pt idx="0">
                  <c:v>Mythos norm (Backer)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Vergleich!$J$3:$J$24</c:f>
              <c:numCache>
                <c:formatCode>#,##0</c:formatCode>
                <c:ptCount val="22"/>
                <c:pt idx="0">
                  <c:v>0</c:v>
                </c:pt>
                <c:pt idx="1">
                  <c:v>48.804500703234879</c:v>
                </c:pt>
                <c:pt idx="2">
                  <c:v>97.609001406469758</c:v>
                </c:pt>
                <c:pt idx="3">
                  <c:v>146.41350210970464</c:v>
                </c:pt>
                <c:pt idx="4">
                  <c:v>157.55719643694326</c:v>
                </c:pt>
                <c:pt idx="5">
                  <c:v>168.70089076418188</c:v>
                </c:pt>
                <c:pt idx="6">
                  <c:v>179.84458509142053</c:v>
                </c:pt>
                <c:pt idx="7">
                  <c:v>190.98827941865915</c:v>
                </c:pt>
                <c:pt idx="8">
                  <c:v>202.13197374589777</c:v>
                </c:pt>
                <c:pt idx="9">
                  <c:v>213.27566807313639</c:v>
                </c:pt>
                <c:pt idx="10">
                  <c:v>224.41936240037501</c:v>
                </c:pt>
                <c:pt idx="11">
                  <c:v>235.56305672761363</c:v>
                </c:pt>
                <c:pt idx="12">
                  <c:v>246.70675105485225</c:v>
                </c:pt>
                <c:pt idx="13">
                  <c:v>257.85044538209087</c:v>
                </c:pt>
                <c:pt idx="14">
                  <c:v>268.99413970932949</c:v>
                </c:pt>
                <c:pt idx="15">
                  <c:v>280.13783403656817</c:v>
                </c:pt>
                <c:pt idx="16">
                  <c:v>291.28152836380679</c:v>
                </c:pt>
                <c:pt idx="17">
                  <c:v>302.42522269104546</c:v>
                </c:pt>
                <c:pt idx="18">
                  <c:v>313.56891701828408</c:v>
                </c:pt>
                <c:pt idx="19">
                  <c:v>324.71261134552276</c:v>
                </c:pt>
                <c:pt idx="20">
                  <c:v>335.85630567276144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1-40A9-B8C8-DD6E3F7C80B9}"/>
            </c:ext>
          </c:extLst>
        </c:ser>
        <c:ser>
          <c:idx val="9"/>
          <c:order val="8"/>
          <c:tx>
            <c:strRef>
              <c:f>Vergleich!$L$2</c:f>
              <c:strCache>
                <c:ptCount val="1"/>
                <c:pt idx="0">
                  <c:v>DSK norm (Backer)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Vergleich!$L$3:$L$24</c:f>
              <c:numCache>
                <c:formatCode>#,##0</c:formatCode>
                <c:ptCount val="22"/>
                <c:pt idx="0">
                  <c:v>0</c:v>
                </c:pt>
                <c:pt idx="1">
                  <c:v>103.14786585365853</c:v>
                </c:pt>
                <c:pt idx="2">
                  <c:v>123.24847560975608</c:v>
                </c:pt>
                <c:pt idx="3">
                  <c:v>131.1829268292683</c:v>
                </c:pt>
                <c:pt idx="4">
                  <c:v>139.64634146341464</c:v>
                </c:pt>
                <c:pt idx="5">
                  <c:v>148.10975609756096</c:v>
                </c:pt>
                <c:pt idx="6">
                  <c:v>155.51524390243904</c:v>
                </c:pt>
                <c:pt idx="7">
                  <c:v>162.92073170731706</c:v>
                </c:pt>
                <c:pt idx="8">
                  <c:v>171.91310975609755</c:v>
                </c:pt>
                <c:pt idx="9">
                  <c:v>185.13719512195124</c:v>
                </c:pt>
                <c:pt idx="10">
                  <c:v>195.1875</c:v>
                </c:pt>
                <c:pt idx="11">
                  <c:v>204.17987804878047</c:v>
                </c:pt>
                <c:pt idx="12">
                  <c:v>208.94054878048783</c:v>
                </c:pt>
                <c:pt idx="13">
                  <c:v>216.875</c:v>
                </c:pt>
                <c:pt idx="14">
                  <c:v>220.57774390243901</c:v>
                </c:pt>
                <c:pt idx="15">
                  <c:v>225.86737804878047</c:v>
                </c:pt>
                <c:pt idx="16">
                  <c:v>234.85975609756099</c:v>
                </c:pt>
                <c:pt idx="17">
                  <c:v>257.60518292682929</c:v>
                </c:pt>
                <c:pt idx="18">
                  <c:v>271.88719512195121</c:v>
                </c:pt>
                <c:pt idx="19">
                  <c:v>290.40091463414637</c:v>
                </c:pt>
                <c:pt idx="20">
                  <c:v>308.91463414634148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51-40A9-B8C8-DD6E3F7C80B9}"/>
            </c:ext>
          </c:extLst>
        </c:ser>
        <c:ser>
          <c:idx val="11"/>
          <c:order val="11"/>
          <c:tx>
            <c:strRef>
              <c:f>Vergleich!$N$2</c:f>
              <c:strCache>
                <c:ptCount val="1"/>
                <c:pt idx="0">
                  <c:v>Mythen norm (Backer)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Vergleich!$N$3:$N$24</c:f>
              <c:numCache>
                <c:formatCode>#,##0</c:formatCode>
                <c:ptCount val="22"/>
                <c:pt idx="0">
                  <c:v>0</c:v>
                </c:pt>
                <c:pt idx="1">
                  <c:v>80.453629032258064</c:v>
                </c:pt>
                <c:pt idx="2">
                  <c:v>101.44153225806453</c:v>
                </c:pt>
                <c:pt idx="3">
                  <c:v>113.33467741935483</c:v>
                </c:pt>
                <c:pt idx="4">
                  <c:v>124.52822580645162</c:v>
                </c:pt>
                <c:pt idx="5">
                  <c:v>133.62298387096774</c:v>
                </c:pt>
                <c:pt idx="6">
                  <c:v>153.91129032258064</c:v>
                </c:pt>
                <c:pt idx="7">
                  <c:v>165.10483870967744</c:v>
                </c:pt>
                <c:pt idx="8">
                  <c:v>176.99798387096777</c:v>
                </c:pt>
                <c:pt idx="9">
                  <c:v>186.79233870967744</c:v>
                </c:pt>
                <c:pt idx="10">
                  <c:v>197.28629032258067</c:v>
                </c:pt>
                <c:pt idx="11">
                  <c:v>203.58266129032256</c:v>
                </c:pt>
                <c:pt idx="12">
                  <c:v>217.57459677419357</c:v>
                </c:pt>
                <c:pt idx="13">
                  <c:v>223.17137096774195</c:v>
                </c:pt>
                <c:pt idx="14">
                  <c:v>230.86693548387095</c:v>
                </c:pt>
                <c:pt idx="15">
                  <c:v>235.76411290322582</c:v>
                </c:pt>
                <c:pt idx="16">
                  <c:v>244.15927419354838</c:v>
                </c:pt>
                <c:pt idx="17">
                  <c:v>253.95362903225805</c:v>
                </c:pt>
                <c:pt idx="18">
                  <c:v>263.74798387096774</c:v>
                </c:pt>
                <c:pt idx="19">
                  <c:v>280.53830645161293</c:v>
                </c:pt>
                <c:pt idx="20">
                  <c:v>307.82258064516128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4-487C-B806-F0C4AB4B9284}"/>
            </c:ext>
          </c:extLst>
        </c:ser>
        <c:ser>
          <c:idx val="13"/>
          <c:order val="13"/>
          <c:tx>
            <c:v>SOK norm (Backer)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Vergleich!$P$3:$P$24</c:f>
              <c:numCache>
                <c:formatCode>#,##0</c:formatCode>
                <c:ptCount val="22"/>
                <c:pt idx="0">
                  <c:v>0</c:v>
                </c:pt>
                <c:pt idx="1">
                  <c:v>130.33353365384616</c:v>
                </c:pt>
                <c:pt idx="2">
                  <c:v>164.53305288461539</c:v>
                </c:pt>
                <c:pt idx="3">
                  <c:v>177.67067307692307</c:v>
                </c:pt>
                <c:pt idx="4">
                  <c:v>185.80348557692307</c:v>
                </c:pt>
                <c:pt idx="5">
                  <c:v>191.43389423076923</c:v>
                </c:pt>
                <c:pt idx="6">
                  <c:v>198.73257211538461</c:v>
                </c:pt>
                <c:pt idx="7">
                  <c:v>217.70913461538461</c:v>
                </c:pt>
                <c:pt idx="8">
                  <c:v>226.05048076923077</c:v>
                </c:pt>
                <c:pt idx="9">
                  <c:v>231.88942307692307</c:v>
                </c:pt>
                <c:pt idx="10">
                  <c:v>237.72836538461539</c:v>
                </c:pt>
                <c:pt idx="11">
                  <c:v>242.52463942307693</c:v>
                </c:pt>
                <c:pt idx="12">
                  <c:v>247.94651442307693</c:v>
                </c:pt>
                <c:pt idx="13">
                  <c:v>251.28305288461539</c:v>
                </c:pt>
                <c:pt idx="14">
                  <c:v>256.91346153846155</c:v>
                </c:pt>
                <c:pt idx="15">
                  <c:v>273.8046875</c:v>
                </c:pt>
                <c:pt idx="16">
                  <c:v>281.52043269230768</c:v>
                </c:pt>
                <c:pt idx="17">
                  <c:v>288.61057692307696</c:v>
                </c:pt>
                <c:pt idx="18">
                  <c:v>295.90925480769232</c:v>
                </c:pt>
                <c:pt idx="19">
                  <c:v>309.25540865384619</c:v>
                </c:pt>
                <c:pt idx="20">
                  <c:v>322.18449519230768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600"/>
        <c:axId val="568508928"/>
      </c:lineChart>
      <c:catAx>
        <c:axId val="502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1912"/>
        <c:crosses val="autoZero"/>
        <c:auto val="1"/>
        <c:lblAlgn val="ctr"/>
        <c:lblOffset val="100"/>
        <c:noMultiLvlLbl val="0"/>
      </c:catAx>
      <c:valAx>
        <c:axId val="502641912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4864"/>
        <c:crosses val="autoZero"/>
        <c:crossBetween val="between"/>
        <c:majorUnit val="5000"/>
      </c:valAx>
      <c:valAx>
        <c:axId val="568508928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508600"/>
        <c:crosses val="max"/>
        <c:crossBetween val="between"/>
        <c:majorUnit val="50"/>
      </c:valAx>
      <c:catAx>
        <c:axId val="56850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5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www.kickstarter.com/projects/ulissesspiele/aventuria-stories-and-legends" TargetMode="External"/><Relationship Id="rId5" Type="http://schemas.openxmlformats.org/officeDocument/2006/relationships/chart" Target="../charts/chart3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60854</xdr:colOff>
      <xdr:row>95</xdr:row>
      <xdr:rowOff>238124</xdr:rowOff>
    </xdr:from>
    <xdr:to>
      <xdr:col>4</xdr:col>
      <xdr:colOff>409575</xdr:colOff>
      <xdr:row>157</xdr:row>
      <xdr:rowOff>228600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2A2DF1A-BAA4-4851-AB48-5B80266E9280}"/>
            </a:ext>
          </a:extLst>
        </xdr:cNvPr>
        <xdr:cNvSpPr txBox="1"/>
      </xdr:nvSpPr>
      <xdr:spPr>
        <a:xfrm>
          <a:off x="146579" y="27765374"/>
          <a:ext cx="7482946" cy="18478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guide is a purely private story and without guarantee of completeness and 100% correctness!</a:t>
          </a: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event of errors on my part, Ulisses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Spiele</a:t>
          </a:r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NOT to be held responsible! And also not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</a:t>
          </a:r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;)</a:t>
          </a:r>
          <a:endParaRPr lang="de-DE" sz="1400">
            <a:effectLst/>
          </a:endParaRPr>
        </a:p>
        <a:p>
          <a:endParaRPr lang="de-DE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very welcome to report errors to me in the CF comments or at the blog.</a:t>
          </a:r>
          <a:endParaRPr lang="de-DE" sz="1400">
            <a:effectLst/>
          </a:endParaRPr>
        </a:p>
        <a:p>
          <a:endParaRPr lang="de-DE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now on to 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stories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let's become legends</a:t>
          </a:r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de-DE" sz="1400">
            <a:effectLst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Yours Gernot</a:t>
          </a:r>
          <a:endParaRPr lang="de-DE" sz="1400" b="1"/>
        </a:p>
      </xdr:txBody>
    </xdr:sp>
    <xdr:clientData/>
  </xdr:twoCellAnchor>
  <xdr:twoCellAnchor>
    <xdr:from>
      <xdr:col>1</xdr:col>
      <xdr:colOff>71436</xdr:colOff>
      <xdr:row>97</xdr:row>
      <xdr:rowOff>105832</xdr:rowOff>
    </xdr:from>
    <xdr:to>
      <xdr:col>3</xdr:col>
      <xdr:colOff>1369218</xdr:colOff>
      <xdr:row>120</xdr:row>
      <xdr:rowOff>180975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A89B5485-9BAF-4F11-ABE9-4732FBF57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691753</xdr:colOff>
      <xdr:row>146</xdr:row>
      <xdr:rowOff>192880</xdr:rowOff>
    </xdr:from>
    <xdr:to>
      <xdr:col>88</xdr:col>
      <xdr:colOff>247650</xdr:colOff>
      <xdr:row>189</xdr:row>
      <xdr:rowOff>71437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027FC00-2D44-44A3-9880-9030337EC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504825</xdr:colOff>
      <xdr:row>5</xdr:row>
      <xdr:rowOff>280288</xdr:rowOff>
    </xdr:from>
    <xdr:to>
      <xdr:col>18</xdr:col>
      <xdr:colOff>247650</xdr:colOff>
      <xdr:row>10</xdr:row>
      <xdr:rowOff>684953</xdr:rowOff>
    </xdr:to>
    <xdr:pic>
      <xdr:nvPicPr>
        <xdr:cNvPr id="8" name="Grafi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26D25F-E4C2-E93D-C2EF-7F37FC8B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2525" y="556513"/>
          <a:ext cx="2200275" cy="203344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122</xdr:row>
      <xdr:rowOff>0</xdr:rowOff>
    </xdr:from>
    <xdr:to>
      <xdr:col>3</xdr:col>
      <xdr:colOff>1373982</xdr:colOff>
      <xdr:row>145</xdr:row>
      <xdr:rowOff>178593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31F1DF-23B1-4198-9721-9B78D3C52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438150</xdr:colOff>
      <xdr:row>5</xdr:row>
      <xdr:rowOff>27001</xdr:rowOff>
    </xdr:from>
    <xdr:to>
      <xdr:col>2</xdr:col>
      <xdr:colOff>4527324</xdr:colOff>
      <xdr:row>10</xdr:row>
      <xdr:rowOff>696637</xdr:rowOff>
    </xdr:to>
    <xdr:pic>
      <xdr:nvPicPr>
        <xdr:cNvPr id="7" name="Grafik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D4DA91-703B-B7D0-F470-9AC5368BD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66900" y="303226"/>
          <a:ext cx="4089174" cy="2298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27</xdr:row>
      <xdr:rowOff>33336</xdr:rowOff>
    </xdr:from>
    <xdr:to>
      <xdr:col>19</xdr:col>
      <xdr:colOff>714374</xdr:colOff>
      <xdr:row>52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6C9BA-881E-46C9-8576-20415BCC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E6C9E0-F6F6-45FF-A5D1-EBE4C7FC0B79}" name="Tabelle2" displayName="Tabelle2" ref="M13:O34" totalsRowShown="0" headerRowDxfId="46" dataDxfId="45" tableBorderDxfId="44">
  <autoFilter ref="M13:O34" xr:uid="{7E5D117A-5BCD-41C7-9378-1146F36C69B4}"/>
  <sortState xmlns:xlrd2="http://schemas.microsoft.com/office/spreadsheetml/2017/richdata2" ref="M14:O34">
    <sortCondition ref="M13:M34"/>
  </sortState>
  <tableColumns count="3">
    <tableColumn id="1" xr3:uid="{3BF4B4A5-763F-44D6-82F2-633AF2B5A661}" name="Tag" dataDxfId="43"/>
    <tableColumn id="2" xr3:uid="{C2C59895-AB02-4E18-B5B3-A6018F118014}" name="$" dataDxfId="42">
      <calculatedColumnFormula>VLOOKUP(M14,$V$99:$AF$120,11,FALSE)</calculatedColumnFormula>
    </tableColumn>
    <tableColumn id="3" xr3:uid="{E1A7CA4C-C663-4044-B496-19D15B31B27D}" name="Backer" dataDxfId="41">
      <calculatedColumnFormula>VLOOKUP(M14,$V$99:$AE$120,10,FALSE)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B2:AP24" totalsRowShown="0" headerRowDxfId="40">
  <autoFilter ref="B2:AP24" xr:uid="{27422959-90AD-4338-8C23-E3B9F7316881}"/>
  <tableColumns count="41">
    <tableColumn id="1" xr3:uid="{F20F49F8-6EB7-43C1-9922-F620A023E7F0}" name="Tag"/>
    <tableColumn id="2" xr3:uid="{6971CB83-29C8-475B-A31E-D387F03E1C07}" name="Nedime (€)" dataDxfId="39"/>
    <tableColumn id="3" xr3:uid="{F664882F-3BD9-41DE-A643-1C890FC1B073}" name="Nedime (Backer)" dataDxfId="38"/>
    <tableColumn id="4" xr3:uid="{6F8F036B-D5DC-4216-84F0-2BEBB08CBACA}" name="Thorwal norm (€)" dataDxfId="37"/>
    <tableColumn id="5" xr3:uid="{FD2FB521-94BA-46E4-A5EA-A7CEFF140F9A}" name="Thorwal norm (Backer)" dataDxfId="36"/>
    <tableColumn id="6" xr3:uid="{25BEFAD5-BE69-4A80-ABD3-5577E99AE16C}" name="Werkzeuge norm (€)" dataDxfId="35"/>
    <tableColumn id="7" xr3:uid="{AF4584B6-52C3-49C8-9E39-F43C0B8FEB14}" name="Werkzeuge norm (Backer)" dataDxfId="34"/>
    <tableColumn id="22" xr3:uid="{266EF583-8DD5-4805-B391-903ED2BAC519}" name="Mythos norm (€)" dataDxfId="33"/>
    <tableColumn id="23" xr3:uid="{3AB32905-68A3-4D5A-B37B-E5533823CB41}" name="Mythos norm (Backer)" dataDxfId="32"/>
    <tableColumn id="28" xr3:uid="{48AFB569-0998-4E2C-8C85-86F96730174E}" name="DSK norm (€)" dataDxfId="31"/>
    <tableColumn id="27" xr3:uid="{E47209D4-64AB-4094-A811-0DF73184FDC3}" name="DSK norm (Backer)" dataDxfId="30"/>
    <tableColumn id="30" xr3:uid="{1CA79BBE-302A-4822-AE79-917DFA78E074}" name="Mythen norm (€)" dataDxfId="29"/>
    <tableColumn id="31" xr3:uid="{6670A725-1507-4497-9A0C-43A65D0B6954}" name="Mythen norm (Backer)" dataDxfId="28"/>
    <tableColumn id="36" xr3:uid="{2953A814-9630-4F7F-9B69-5E63A7325641}" name="SOK norm (€)" dataDxfId="27"/>
    <tableColumn id="37" xr3:uid="{3770DD86-5295-4580-8942-09F337054C13}" name="SOK norm (Backer)" dataDxfId="26"/>
    <tableColumn id="8" xr3:uid="{2114D7A1-DEA0-40EE-9B8B-0A668EFEB97B}" name="Thorwal (€)" dataDxfId="25"/>
    <tableColumn id="9" xr3:uid="{9A9EB59B-6CA6-4F08-B68D-0962E0D83338}" name="Thorwal (Backer)" dataDxfId="24"/>
    <tableColumn id="10" xr3:uid="{DF5363C3-935A-49F1-B72D-9DF733CE4302}" name="Werkzeuge (€)" dataDxfId="23"/>
    <tableColumn id="11" xr3:uid="{4CFD1B7C-52BE-49FD-B7F5-1D7A36D73889}" name="Werkzeuge (Backer)" dataDxfId="22"/>
    <tableColumn id="18" xr3:uid="{C732132C-C661-400E-A33E-810D292F34AA}" name="Mythos (€)" dataDxfId="21"/>
    <tableColumn id="19" xr3:uid="{90EA6656-0F6B-435F-8A50-D1F413A22B34}" name="Mythos (Backer)" dataDxfId="20"/>
    <tableColumn id="26" xr3:uid="{F4AEE733-FE50-4D43-B8B6-2CFA99AA7EE6}" name="DSK (€)" dataDxfId="19"/>
    <tableColumn id="29" xr3:uid="{519C5630-D167-4EFA-B84F-F9BC19E907B3}" name="DSK (Backer)" dataDxfId="18"/>
    <tableColumn id="20" xr3:uid="{C33B8766-778A-4CBA-B6CD-11F696D9BF3F}" name="Mythen (€)" dataDxfId="17"/>
    <tableColumn id="21" xr3:uid="{7FE9A82A-5A08-46A8-A0C2-586311B74BB6}" name="Mythen (Backer)" dataDxfId="16"/>
    <tableColumn id="34" xr3:uid="{ECB31B1D-5FD5-4EF9-871C-99A9FFBB4E6B}" name="SOK (€)" dataDxfId="15"/>
    <tableColumn id="35" xr3:uid="{1E34A881-32F6-48DB-8A12-F2F7F315C3B2}" name="SOK (Backer)" dataDxfId="14"/>
    <tableColumn id="32" xr3:uid="{E4B16DC1-4EE4-4038-B4B5-B981FD62F8EA}" name="RE (€)" dataDxfId="13">
      <calculatedColumnFormula>'AVENTURIA - Stories &amp; Legends'!BJ99</calculatedColumnFormula>
    </tableColumn>
    <tableColumn id="33" xr3:uid="{8EB42BB1-C038-48A6-A211-78A44E799A6C}" name="RE (Backer)" dataDxfId="12">
      <calculatedColumnFormula>'AVENTURIA - Stories &amp; Legends'!BK99</calculatedColumnFormula>
    </tableColumn>
    <tableColumn id="40" xr3:uid="{15EAF542-B790-46E0-8A04-B457DA3DD121}" name="DGG (€)" dataDxfId="11"/>
    <tableColumn id="41" xr3:uid="{F200E9A2-EF31-4DA6-9957-E942AB0C08B8}" name="DGG (Backer)" dataDxfId="10"/>
    <tableColumn id="38" xr3:uid="{1AF87199-875A-4AB9-9AC0-88E8D7A82669}" name="DSV (€)" dataDxfId="9"/>
    <tableColumn id="39" xr3:uid="{1B706C0D-84D1-42A8-B0AB-701DEC761DD3}" name="DSV (Backer)" dataDxfId="8"/>
    <tableColumn id="12" xr3:uid="{CE532E56-7537-4234-994D-EF5975A2D3B8}" name="Aventuria (€) %" dataDxfId="7">
      <calculatedColumnFormula>Tabelle3[[#This Row],[Nedime (€)]]/C$24</calculatedColumnFormula>
    </tableColumn>
    <tableColumn id="13" xr3:uid="{6E91BB61-A019-4B20-A7F5-D01EA616EE80}" name="Aventuria (Backer) %" dataDxfId="6">
      <calculatedColumnFormula>Tabelle3[[#This Row],[Nedime (Backer)]]/D$24</calculatedColumnFormula>
    </tableColumn>
    <tableColumn id="14" xr3:uid="{FBF481DA-2BF3-4C7F-8B01-5CB18A4093B2}" name="Thorwal (€) %" dataDxfId="5">
      <calculatedColumnFormula>Tabelle3[[#This Row],[Thorwal (€)]]/Q$24</calculatedColumnFormula>
    </tableColumn>
    <tableColumn id="15" xr3:uid="{B21023AA-7241-4A20-9F45-D78A9ACC5244}" name="Thorwal (Backer) %" dataDxfId="4">
      <calculatedColumnFormula>Tabelle3[[#This Row],[Thorwal (Backer)]]/R$24</calculatedColumnFormula>
    </tableColumn>
    <tableColumn id="16" xr3:uid="{DC7AD9E1-E99C-4261-9C20-A1E356A99AC0}" name="Werkzeuge (€) %" dataDxfId="3">
      <calculatedColumnFormula>Tabelle3[[#This Row],[Werkzeuge (€)]]/S$24</calculatedColumnFormula>
    </tableColumn>
    <tableColumn id="17" xr3:uid="{BB027685-5D11-4F55-81EA-63B2D41CE363}" name="Werkzeuge (Backer) %" dataDxfId="2">
      <calculatedColumnFormula>Tabelle3[[#This Row],[Werkzeuge (Backer)]]/T$24</calculatedColumnFormula>
    </tableColumn>
    <tableColumn id="24" xr3:uid="{A23C8788-EEA7-4461-8240-391ABED3EBA3}" name="Mythos (€) %" dataDxfId="1">
      <calculatedColumnFormula>Tabelle3[[#This Row],[Mythos (€)]]/U$24</calculatedColumnFormula>
    </tableColumn>
    <tableColumn id="25" xr3:uid="{5DE909DD-E845-49F6-9E9A-EA884B351553}" name="Mthos (Backer) %" dataDxfId="0">
      <calculatedColumnFormula>Tabelle3[[#This Row],[Mythos (Backer)]]/V$24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ardgamegeek.com/boardgameexpansion/302651/aventuria-curse-borbarad" TargetMode="External"/><Relationship Id="rId13" Type="http://schemas.openxmlformats.org/officeDocument/2006/relationships/hyperlink" Target="https://boardgamegeek.com/boardgameexpansion/302656/aventuria-schleiertanzerin-heldenset" TargetMode="External"/><Relationship Id="rId18" Type="http://schemas.openxmlformats.org/officeDocument/2006/relationships/hyperlink" Target="https://boardgamegeek.com/boardgameexpansion/228962/aventuria-heroes-struggle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boardgamegeek.com/boardgame/190400/aventuria-adventure-card-game" TargetMode="External"/><Relationship Id="rId21" Type="http://schemas.openxmlformats.org/officeDocument/2006/relationships/hyperlink" Target="https://boardgamegeek.com/boardgameexpansion/204406/aventuria-ship-lost-souls" TargetMode="External"/><Relationship Id="rId7" Type="http://schemas.openxmlformats.org/officeDocument/2006/relationships/hyperlink" Target="https://boardgamegeek.com/boardgameexpansion/336913/aventuria-pfad-der-legenden" TargetMode="External"/><Relationship Id="rId12" Type="http://schemas.openxmlformats.org/officeDocument/2006/relationships/hyperlink" Target="https://boardgamegeek.com/boardgameexpansion/302657/aventuria-schatzjager-heldenset" TargetMode="External"/><Relationship Id="rId17" Type="http://schemas.openxmlformats.org/officeDocument/2006/relationships/hyperlink" Target="https://boardgamegeek.com/boardgameexpansion/240176/aventuria-arsenal-heroes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hinter-dem-schwarzen-auge.de/links/" TargetMode="External"/><Relationship Id="rId16" Type="http://schemas.openxmlformats.org/officeDocument/2006/relationships/hyperlink" Target="https://boardgamegeek.com/boardgameexpansion/279460/aventuria-return-inn-black-boar" TargetMode="External"/><Relationship Id="rId20" Type="http://schemas.openxmlformats.org/officeDocument/2006/relationships/hyperlink" Target="https://boardgamegeek.com/boardgameexpansion/199943/aventuria-forest-no-return" TargetMode="External"/><Relationship Id="rId1" Type="http://schemas.openxmlformats.org/officeDocument/2006/relationships/hyperlink" Target="https://hinter-dem-schwarzen-auge.de/links" TargetMode="External"/><Relationship Id="rId6" Type="http://schemas.openxmlformats.org/officeDocument/2006/relationships/hyperlink" Target="https://boardgamegeek.com/boardgameexpansion/336912/aventuria-mythische-geschichten" TargetMode="External"/><Relationship Id="rId11" Type="http://schemas.openxmlformats.org/officeDocument/2006/relationships/hyperlink" Target="https://boardgamegeek.com/boardgameexpansion/302650/aventuria-nedime-caliphs-daughte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boardgamegeek.com/boardgameexpansion/336911/aventuria-garether-doppelsoldner-heldenset" TargetMode="External"/><Relationship Id="rId15" Type="http://schemas.openxmlformats.org/officeDocument/2006/relationships/hyperlink" Target="https://boardgamegeek.com/boardgameexpansion/279459/aventuria-inn-black-boar" TargetMode="External"/><Relationship Id="rId23" Type="http://schemas.openxmlformats.org/officeDocument/2006/relationships/hyperlink" Target="https://www.kickstarter.com/projects/ulissesspiele/aventuria-stories-and-legends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boardgamegeek.com/boardgameexpansion/302655/aventuria-meisterin-der-alchimie-heldenset" TargetMode="External"/><Relationship Id="rId19" Type="http://schemas.openxmlformats.org/officeDocument/2006/relationships/hyperlink" Target="https://boardgamegeek.com/boardgameexpansion/237028/aventuria-tears-fire" TargetMode="External"/><Relationship Id="rId4" Type="http://schemas.openxmlformats.org/officeDocument/2006/relationships/hyperlink" Target="https://boardgamegeek.com/boardgameexpansion/336910/aventuria-alanfanische-borongeweihte-heldenset" TargetMode="External"/><Relationship Id="rId9" Type="http://schemas.openxmlformats.org/officeDocument/2006/relationships/hyperlink" Target="https://boardgamegeek.com/boardgameexpansion/302654/aventuria-diener-des-namenlosen-heldenset" TargetMode="External"/><Relationship Id="rId14" Type="http://schemas.openxmlformats.org/officeDocument/2006/relationships/hyperlink" Target="https://boardgamegeek.com/boardgameexpansion/302652/aventuria-schneidermeisters-poltergeister" TargetMode="External"/><Relationship Id="rId22" Type="http://schemas.openxmlformats.org/officeDocument/2006/relationships/hyperlink" Target="https://boardgamegeek.com/boardgameexpansion/302699/aventuria-ship-stone/ratings" TargetMode="External"/><Relationship Id="rId27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>
    <pageSetUpPr fitToPage="1"/>
  </sheetPr>
  <dimension ref="A1:DO259"/>
  <sheetViews>
    <sheetView showGridLines="0" tabSelected="1" zoomScaleNormal="100" workbookViewId="0">
      <pane xSplit="4" ySplit="12" topLeftCell="E13" activePane="bottomRight" state="frozen"/>
      <selection pane="topRight" activeCell="F1" sqref="F1"/>
      <selection pane="bottomLeft" activeCell="A6" sqref="A6"/>
      <selection pane="bottomRight" activeCell="B36" sqref="B36"/>
    </sheetView>
  </sheetViews>
  <sheetFormatPr baseColWidth="10" defaultRowHeight="18.75" outlineLevelRow="1" outlineLevelCol="2" x14ac:dyDescent="0.3"/>
  <cols>
    <col min="1" max="1" width="1.28515625" style="183" customWidth="1"/>
    <col min="2" max="2" width="13.85546875" style="162" customWidth="1"/>
    <col min="3" max="3" width="74" style="95" bestFit="1" customWidth="1"/>
    <col min="4" max="4" width="19.140625" style="462" customWidth="1"/>
    <col min="5" max="5" width="7.5703125" style="477" customWidth="1"/>
    <col min="6" max="6" width="7.28515625" style="95" customWidth="1"/>
    <col min="7" max="7" width="7.28515625" style="440" customWidth="1"/>
    <col min="8" max="8" width="7.28515625" style="423" customWidth="1"/>
    <col min="9" max="9" width="12.42578125" style="163" hidden="1" customWidth="1" outlineLevel="1"/>
    <col min="10" max="10" width="12.42578125" style="196" customWidth="1" collapsed="1"/>
    <col min="11" max="15" width="12.42578125" style="163" customWidth="1"/>
    <col min="16" max="16" width="7.7109375" style="307" customWidth="1"/>
    <col min="17" max="17" width="7.7109375" style="308" customWidth="1"/>
    <col min="18" max="18" width="29.140625" style="496" customWidth="1"/>
    <col min="19" max="19" width="6.140625" style="164" customWidth="1"/>
    <col min="20" max="20" width="11.42578125" style="172" hidden="1" customWidth="1" outlineLevel="2"/>
    <col min="21" max="21" width="11.42578125" style="43" hidden="1" customWidth="1" outlineLevel="1"/>
    <col min="22" max="22" width="4.28515625" style="43" hidden="1" customWidth="1" outlineLevel="1"/>
    <col min="23" max="23" width="10.7109375" style="43" hidden="1" customWidth="1" outlineLevel="1"/>
    <col min="24" max="25" width="11.42578125" style="43" hidden="1" customWidth="1" outlineLevel="1"/>
    <col min="26" max="26" width="6.140625" style="43" hidden="1" customWidth="1" outlineLevel="2"/>
    <col min="27" max="27" width="7.28515625" style="43" hidden="1" customWidth="1" outlineLevel="1"/>
    <col min="28" max="28" width="9.28515625" style="43" hidden="1" customWidth="1" outlineLevel="2"/>
    <col min="29" max="29" width="12.5703125" style="347" hidden="1" customWidth="1" outlineLevel="1"/>
    <col min="30" max="32" width="11.42578125" style="43" hidden="1" customWidth="1" outlineLevel="1"/>
    <col min="33" max="33" width="11.42578125" style="44" hidden="1" customWidth="1" outlineLevel="1"/>
    <col min="34" max="35" width="11.42578125" style="43" hidden="1" customWidth="1" outlineLevel="1"/>
    <col min="36" max="36" width="11.42578125" style="219" hidden="1" customWidth="1" outlineLevel="1"/>
    <col min="37" max="37" width="11.42578125" style="43" hidden="1" customWidth="1" outlineLevel="1"/>
    <col min="38" max="38" width="11.42578125" style="219" hidden="1" customWidth="1" outlineLevel="1"/>
    <col min="39" max="43" width="11.42578125" style="43" hidden="1" customWidth="1" outlineLevel="1"/>
    <col min="44" max="44" width="14" style="43" hidden="1" customWidth="1" outlineLevel="1"/>
    <col min="45" max="47" width="11.42578125" style="59" hidden="1" customWidth="1" outlineLevel="1"/>
    <col min="48" max="48" width="11.42578125" style="43" hidden="1" customWidth="1" outlineLevel="1"/>
    <col min="49" max="51" width="11.42578125" style="59" hidden="1" customWidth="1" outlineLevel="1"/>
    <col min="52" max="79" width="11.42578125" style="43" hidden="1" customWidth="1" outlineLevel="1"/>
    <col min="80" max="81" width="11.42578125" style="44" hidden="1" customWidth="1" outlineLevel="1"/>
    <col min="82" max="83" width="11.42578125" style="43" hidden="1" customWidth="1" outlineLevel="1"/>
    <col min="84" max="85" width="11.42578125" style="44" hidden="1" customWidth="1" outlineLevel="1"/>
    <col min="86" max="87" width="11.42578125" style="43" hidden="1" customWidth="1" outlineLevel="1"/>
    <col min="88" max="89" width="11.42578125" style="44" hidden="1" customWidth="1" outlineLevel="1"/>
    <col min="90" max="90" width="11.28515625" style="43" hidden="1" customWidth="1" outlineLevel="1"/>
    <col min="91" max="92" width="11.42578125" style="43" hidden="1" customWidth="1" outlineLevel="1"/>
    <col min="93" max="94" width="11.42578125" style="44" hidden="1" customWidth="1" outlineLevel="1"/>
    <col min="95" max="95" width="11.42578125" style="45" hidden="1" customWidth="1" outlineLevel="1"/>
    <col min="96" max="96" width="11.42578125" style="43" hidden="1" customWidth="1" outlineLevel="1"/>
    <col min="97" max="97" width="11.42578125" style="183" collapsed="1"/>
    <col min="98" max="115" width="11.42578125" style="183"/>
    <col min="116" max="16384" width="11.42578125" style="95"/>
  </cols>
  <sheetData>
    <row r="1" spans="1:119" s="43" customFormat="1" ht="19.5" hidden="1" customHeight="1" outlineLevel="1" x14ac:dyDescent="0.3">
      <c r="B1" s="213"/>
      <c r="C1" s="61"/>
      <c r="D1" s="446"/>
      <c r="E1" s="446"/>
      <c r="F1" s="62"/>
      <c r="G1" s="424"/>
      <c r="H1" s="407"/>
      <c r="I1" s="64" t="s">
        <v>9</v>
      </c>
      <c r="K1" s="68">
        <v>19</v>
      </c>
      <c r="L1" s="64" t="s">
        <v>8</v>
      </c>
      <c r="M1" s="65">
        <v>113011</v>
      </c>
      <c r="N1" s="73"/>
      <c r="O1" s="81" t="s">
        <v>83</v>
      </c>
      <c r="P1" s="288"/>
      <c r="Q1" s="289"/>
      <c r="R1" s="447"/>
      <c r="T1" s="172"/>
      <c r="U1" s="89"/>
      <c r="V1" s="89"/>
      <c r="W1" s="89"/>
      <c r="X1" s="89"/>
      <c r="Y1" s="89"/>
      <c r="Z1" s="89"/>
      <c r="AA1" s="89"/>
      <c r="AB1" s="89"/>
      <c r="AC1" s="344"/>
      <c r="AD1" s="89"/>
      <c r="AE1" s="89"/>
      <c r="AF1" s="89"/>
      <c r="AG1" s="89"/>
      <c r="AH1" s="89"/>
      <c r="AI1" s="89"/>
      <c r="AJ1" s="247"/>
      <c r="AK1" s="97"/>
      <c r="AL1" s="247"/>
      <c r="AM1" s="97"/>
      <c r="AN1" s="97"/>
      <c r="AO1" s="97"/>
      <c r="AP1" s="97"/>
      <c r="AQ1" s="97"/>
      <c r="AR1" s="89"/>
      <c r="AS1" s="89"/>
      <c r="AT1" s="89"/>
      <c r="AU1" s="59"/>
      <c r="AW1" s="59"/>
      <c r="AX1" s="59"/>
      <c r="AY1" s="59"/>
      <c r="CB1" s="44"/>
      <c r="CC1" s="44"/>
      <c r="CF1" s="44"/>
      <c r="CG1" s="44"/>
      <c r="CJ1" s="44"/>
      <c r="CK1" s="44"/>
      <c r="CO1" s="44"/>
      <c r="CP1" s="44"/>
      <c r="CQ1" s="45"/>
    </row>
    <row r="2" spans="1:119" s="43" customFormat="1" ht="19.5" hidden="1" customHeight="1" outlineLevel="1" thickBot="1" x14ac:dyDescent="0.35">
      <c r="B2" s="213"/>
      <c r="D2" s="447"/>
      <c r="E2" s="466"/>
      <c r="G2" s="425"/>
      <c r="H2" s="408"/>
      <c r="I2" s="64" t="s">
        <v>6</v>
      </c>
      <c r="K2" s="75">
        <v>44966</v>
      </c>
      <c r="L2" s="64" t="s">
        <v>7</v>
      </c>
      <c r="M2" s="68">
        <v>630</v>
      </c>
      <c r="N2" s="76">
        <v>21</v>
      </c>
      <c r="O2" s="84" t="e">
        <f>SUM(#REF!)</f>
        <v>#REF!</v>
      </c>
      <c r="P2" s="288"/>
      <c r="Q2" s="289"/>
      <c r="R2" s="447"/>
      <c r="S2" s="183"/>
      <c r="T2" s="172"/>
      <c r="U2" s="89"/>
      <c r="V2" s="89"/>
      <c r="W2" s="89"/>
      <c r="X2" s="89"/>
      <c r="Y2" s="89"/>
      <c r="Z2" s="89"/>
      <c r="AA2" s="89"/>
      <c r="AB2" s="89"/>
      <c r="AC2" s="344"/>
      <c r="AD2" s="89"/>
      <c r="AE2" s="89"/>
      <c r="AF2" s="89"/>
      <c r="AG2" s="89"/>
      <c r="AH2" s="89"/>
      <c r="AI2" s="89"/>
      <c r="AJ2" s="247"/>
      <c r="AK2" s="97"/>
      <c r="AL2" s="247"/>
      <c r="AM2" s="97"/>
      <c r="AN2" s="97"/>
      <c r="AO2" s="97"/>
      <c r="AP2" s="97"/>
      <c r="AQ2" s="97"/>
      <c r="AR2" s="89"/>
      <c r="AS2" s="89"/>
      <c r="AT2" s="89"/>
      <c r="AU2" s="59"/>
      <c r="AW2" s="59"/>
      <c r="AX2" s="59"/>
      <c r="AY2" s="59"/>
      <c r="CB2" s="44"/>
      <c r="CC2" s="44"/>
      <c r="CF2" s="44"/>
      <c r="CG2" s="44"/>
      <c r="CJ2" s="44"/>
      <c r="CK2" s="44"/>
      <c r="CO2" s="44"/>
      <c r="CP2" s="44"/>
      <c r="CQ2" s="45"/>
    </row>
    <row r="3" spans="1:119" s="43" customFormat="1" ht="19.5" hidden="1" customHeight="1" outlineLevel="1" thickBot="1" x14ac:dyDescent="0.35">
      <c r="B3" s="213"/>
      <c r="D3" s="447"/>
      <c r="E3" s="466"/>
      <c r="G3" s="425"/>
      <c r="H3" s="408"/>
      <c r="I3" s="64" t="s">
        <v>23</v>
      </c>
      <c r="K3" s="73" t="s">
        <v>178</v>
      </c>
      <c r="L3" s="64" t="s">
        <v>129</v>
      </c>
      <c r="M3" s="71">
        <f>M1/M2</f>
        <v>179.38253968253969</v>
      </c>
      <c r="N3" s="69"/>
      <c r="O3" s="214" t="e">
        <f>O2-M2</f>
        <v>#REF!</v>
      </c>
      <c r="P3" s="288"/>
      <c r="Q3" s="289"/>
      <c r="R3" s="447"/>
      <c r="S3" s="183"/>
      <c r="T3" s="172"/>
      <c r="U3" s="89"/>
      <c r="V3" s="89"/>
      <c r="W3" s="89"/>
      <c r="X3" s="89"/>
      <c r="Y3" s="89"/>
      <c r="Z3" s="89"/>
      <c r="AA3" s="89"/>
      <c r="AB3" s="89"/>
      <c r="AC3" s="344"/>
      <c r="AD3" s="89"/>
      <c r="AE3" s="89"/>
      <c r="AF3" s="89"/>
      <c r="AG3" s="89"/>
      <c r="AH3" s="89"/>
      <c r="AI3" s="89"/>
      <c r="AJ3" s="247"/>
      <c r="AK3" s="97"/>
      <c r="AL3" s="247"/>
      <c r="AM3" s="97"/>
      <c r="AN3" s="97"/>
      <c r="AO3" s="97"/>
      <c r="AP3" s="97"/>
      <c r="AQ3" s="97"/>
      <c r="AR3" s="89"/>
      <c r="AS3" s="89"/>
      <c r="AT3" s="89"/>
      <c r="AU3" s="59"/>
      <c r="AW3" s="59"/>
      <c r="AX3" s="59"/>
      <c r="AY3" s="59"/>
      <c r="CB3" s="44"/>
      <c r="CC3" s="44"/>
      <c r="CF3" s="44"/>
      <c r="CG3" s="44"/>
      <c r="CJ3" s="44"/>
      <c r="CK3" s="44"/>
      <c r="CO3" s="44"/>
      <c r="CP3" s="44"/>
      <c r="CQ3" s="45"/>
    </row>
    <row r="4" spans="1:119" s="43" customFormat="1" ht="19.5" hidden="1" customHeight="1" outlineLevel="1" thickBot="1" x14ac:dyDescent="0.35">
      <c r="B4" s="213"/>
      <c r="D4" s="447"/>
      <c r="E4" s="466"/>
      <c r="G4" s="425"/>
      <c r="H4" s="408"/>
      <c r="I4" s="69"/>
      <c r="P4" s="288"/>
      <c r="Q4" s="289"/>
      <c r="R4" s="447"/>
      <c r="S4" s="183"/>
      <c r="T4" s="172"/>
      <c r="U4" s="89"/>
      <c r="V4" s="89"/>
      <c r="W4" s="89"/>
      <c r="X4" s="89"/>
      <c r="Y4" s="89"/>
      <c r="Z4" s="89"/>
      <c r="AA4" s="89"/>
      <c r="AB4" s="89"/>
      <c r="AC4" s="344"/>
      <c r="AD4" s="89"/>
      <c r="AE4" s="89"/>
      <c r="AF4" s="89"/>
      <c r="AG4" s="89"/>
      <c r="AH4" s="89"/>
      <c r="AI4" s="89"/>
      <c r="AJ4" s="247"/>
      <c r="AK4" s="97"/>
      <c r="AL4" s="247"/>
      <c r="AM4" s="97"/>
      <c r="AN4" s="97"/>
      <c r="AO4" s="97"/>
      <c r="AP4" s="97"/>
      <c r="AQ4" s="97"/>
      <c r="AR4" s="89"/>
      <c r="AS4" s="89"/>
      <c r="AT4" s="89"/>
      <c r="AU4" s="59"/>
      <c r="AW4" s="59"/>
      <c r="AX4" s="59"/>
      <c r="AY4" s="59"/>
      <c r="CB4" s="44"/>
      <c r="CC4" s="44"/>
      <c r="CF4" s="44"/>
      <c r="CG4" s="44"/>
      <c r="CJ4" s="44"/>
      <c r="CK4" s="44"/>
      <c r="CO4" s="44"/>
      <c r="CP4" s="44"/>
      <c r="CQ4" s="45"/>
    </row>
    <row r="5" spans="1:119" s="2" customFormat="1" ht="21.75" collapsed="1" thickBot="1" x14ac:dyDescent="0.4">
      <c r="A5" s="183"/>
      <c r="B5" s="569" t="s">
        <v>244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1"/>
      <c r="P5" s="559" t="s">
        <v>183</v>
      </c>
      <c r="Q5" s="560"/>
      <c r="R5" s="560"/>
      <c r="S5" s="560"/>
      <c r="T5" s="166"/>
      <c r="U5" s="89"/>
      <c r="V5" s="89"/>
      <c r="W5" s="89"/>
      <c r="X5" s="89"/>
      <c r="Y5" s="89"/>
      <c r="Z5" s="89"/>
      <c r="AA5" s="89"/>
      <c r="AB5" s="89"/>
      <c r="AC5" s="344"/>
      <c r="AD5" s="89"/>
      <c r="AE5" s="89"/>
      <c r="AF5" s="89"/>
      <c r="AG5" s="89"/>
      <c r="AH5" s="89"/>
      <c r="AI5" s="89"/>
      <c r="AJ5" s="247"/>
      <c r="AK5" s="97"/>
      <c r="AL5" s="247"/>
      <c r="AM5" s="97"/>
      <c r="AN5" s="97"/>
      <c r="AO5" s="97"/>
      <c r="AP5" s="97"/>
      <c r="AQ5" s="97"/>
      <c r="AR5" s="89"/>
      <c r="AS5" s="89"/>
      <c r="AT5" s="89"/>
      <c r="AU5" s="59"/>
      <c r="AV5" s="43"/>
      <c r="AW5" s="43"/>
      <c r="AX5" s="43"/>
      <c r="AY5" s="59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4"/>
      <c r="CC5" s="44"/>
      <c r="CD5" s="43"/>
      <c r="CE5" s="43"/>
      <c r="CF5" s="44"/>
      <c r="CG5" s="44"/>
      <c r="CH5" s="43"/>
      <c r="CI5" s="43"/>
      <c r="CJ5" s="44"/>
      <c r="CK5" s="44"/>
      <c r="CL5" s="43"/>
      <c r="CM5" s="43"/>
      <c r="CN5" s="43"/>
      <c r="CO5" s="44"/>
      <c r="CP5" s="44"/>
      <c r="CQ5" s="45"/>
      <c r="CR5" s="4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</row>
    <row r="6" spans="1:119" s="2" customFormat="1" ht="24" customHeight="1" thickBot="1" x14ac:dyDescent="0.35">
      <c r="A6" s="183"/>
      <c r="B6" s="183"/>
      <c r="C6" s="572"/>
      <c r="D6" s="572"/>
      <c r="E6" s="278"/>
      <c r="F6" s="278"/>
      <c r="G6" s="426"/>
      <c r="H6" s="409"/>
      <c r="J6" s="567" t="s">
        <v>179</v>
      </c>
      <c r="K6" s="567"/>
      <c r="L6" s="567"/>
      <c r="M6" s="567"/>
      <c r="N6" s="567"/>
      <c r="O6" s="567"/>
      <c r="P6" s="561" t="s">
        <v>177</v>
      </c>
      <c r="Q6" s="561"/>
      <c r="R6" s="561"/>
      <c r="S6" s="561"/>
      <c r="T6" s="171" t="s">
        <v>1</v>
      </c>
      <c r="U6" s="89"/>
      <c r="V6" s="89"/>
      <c r="W6" s="89"/>
      <c r="X6" s="89"/>
      <c r="Y6" s="89"/>
      <c r="Z6" s="89"/>
      <c r="AA6" s="89"/>
      <c r="AB6" s="89"/>
      <c r="AC6" s="344"/>
      <c r="AD6" s="89"/>
      <c r="AE6" s="89"/>
      <c r="AF6" s="89"/>
      <c r="AG6" s="89"/>
      <c r="AH6" s="89"/>
      <c r="AI6" s="89"/>
      <c r="AJ6" s="247"/>
      <c r="AK6" s="97"/>
      <c r="AL6" s="247"/>
      <c r="AM6" s="97"/>
      <c r="AN6" s="97"/>
      <c r="AO6" s="97"/>
      <c r="AP6" s="97"/>
      <c r="AQ6" s="97"/>
      <c r="AR6" s="89"/>
      <c r="AS6" s="89"/>
      <c r="AT6" s="89"/>
      <c r="AU6" s="59"/>
      <c r="AV6" s="43"/>
      <c r="AW6" s="43"/>
      <c r="AX6" s="43"/>
      <c r="AY6" s="59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4"/>
      <c r="CC6" s="44"/>
      <c r="CD6" s="43"/>
      <c r="CE6" s="43"/>
      <c r="CF6" s="44"/>
      <c r="CG6" s="44"/>
      <c r="CH6" s="43"/>
      <c r="CI6" s="43"/>
      <c r="CJ6" s="44"/>
      <c r="CK6" s="44"/>
      <c r="CL6" s="43"/>
      <c r="CM6" s="43"/>
      <c r="CN6" s="43"/>
      <c r="CO6" s="44"/>
      <c r="CP6" s="44"/>
      <c r="CQ6" s="45"/>
      <c r="CR6" s="4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</row>
    <row r="7" spans="1:119" s="2" customFormat="1" ht="24" customHeight="1" thickBot="1" x14ac:dyDescent="0.35">
      <c r="A7" s="183"/>
      <c r="B7" s="574" t="s">
        <v>325</v>
      </c>
      <c r="C7" s="280"/>
      <c r="D7" s="573"/>
      <c r="E7" s="573"/>
      <c r="F7" s="573"/>
      <c r="G7" s="427"/>
      <c r="H7" s="410"/>
      <c r="J7" s="568" t="s">
        <v>180</v>
      </c>
      <c r="K7" s="568"/>
      <c r="L7" s="568"/>
      <c r="M7" s="568"/>
      <c r="N7" s="568"/>
      <c r="O7" s="568"/>
      <c r="P7" s="562"/>
      <c r="Q7" s="562"/>
      <c r="R7" s="562"/>
      <c r="S7" s="562"/>
      <c r="T7" s="171" t="s">
        <v>1</v>
      </c>
      <c r="U7" s="89"/>
      <c r="V7" s="89"/>
      <c r="W7" s="89"/>
      <c r="X7" s="89"/>
      <c r="Y7" s="89"/>
      <c r="Z7" s="89"/>
      <c r="AA7" s="89"/>
      <c r="AB7" s="89"/>
      <c r="AC7" s="344"/>
      <c r="AD7" s="89"/>
      <c r="AE7" s="89"/>
      <c r="AF7" s="89"/>
      <c r="AG7" s="89"/>
      <c r="AH7" s="89"/>
      <c r="AI7" s="89"/>
      <c r="AJ7" s="247"/>
      <c r="AK7" s="97"/>
      <c r="AL7" s="247"/>
      <c r="AM7" s="97"/>
      <c r="AN7" s="97"/>
      <c r="AO7" s="97"/>
      <c r="AP7" s="97"/>
      <c r="AQ7" s="97"/>
      <c r="AR7" s="89"/>
      <c r="AS7" s="89"/>
      <c r="AT7" s="89"/>
      <c r="AU7" s="59"/>
      <c r="AV7" s="43"/>
      <c r="AW7" s="43"/>
      <c r="AX7" s="43"/>
      <c r="AY7" s="59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4"/>
      <c r="CC7" s="44"/>
      <c r="CD7" s="43"/>
      <c r="CE7" s="43"/>
      <c r="CF7" s="44"/>
      <c r="CG7" s="44"/>
      <c r="CH7" s="43"/>
      <c r="CI7" s="43"/>
      <c r="CJ7" s="44"/>
      <c r="CK7" s="44"/>
      <c r="CL7" s="43"/>
      <c r="CM7" s="43"/>
      <c r="CN7" s="43"/>
      <c r="CO7" s="44"/>
      <c r="CP7" s="44"/>
      <c r="CQ7" s="45"/>
      <c r="CR7" s="4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</row>
    <row r="8" spans="1:119" s="2" customFormat="1" ht="36.75" customHeight="1" thickBot="1" x14ac:dyDescent="0.35">
      <c r="A8" s="183"/>
      <c r="B8" s="575"/>
      <c r="C8" s="573"/>
      <c r="D8" s="573"/>
      <c r="E8" s="281"/>
      <c r="F8" s="281"/>
      <c r="G8" s="428"/>
      <c r="H8" s="411"/>
      <c r="J8" s="613" t="s">
        <v>328</v>
      </c>
      <c r="K8" s="614"/>
      <c r="L8" s="614"/>
      <c r="M8" s="614"/>
      <c r="N8" s="614"/>
      <c r="O8" s="615"/>
      <c r="P8" s="290"/>
      <c r="Q8" s="291"/>
      <c r="R8" s="449"/>
      <c r="S8" s="183"/>
      <c r="T8" s="168" t="s">
        <v>4</v>
      </c>
      <c r="U8" s="89"/>
      <c r="V8" s="89"/>
      <c r="W8" s="89"/>
      <c r="X8" s="89"/>
      <c r="Y8" s="89"/>
      <c r="Z8" s="89"/>
      <c r="AA8" s="89"/>
      <c r="AB8" s="89"/>
      <c r="AC8" s="344"/>
      <c r="AD8" s="89"/>
      <c r="AE8" s="89"/>
      <c r="AF8" s="89"/>
      <c r="AG8" s="89"/>
      <c r="AH8" s="89"/>
      <c r="AI8" s="89"/>
      <c r="AJ8" s="247"/>
      <c r="AK8" s="97"/>
      <c r="AL8" s="247"/>
      <c r="AM8" s="97"/>
      <c r="AN8" s="97"/>
      <c r="AO8" s="97"/>
      <c r="AP8" s="97"/>
      <c r="AQ8" s="97"/>
      <c r="AR8" s="89"/>
      <c r="AS8" s="89"/>
      <c r="AT8" s="89"/>
      <c r="AU8" s="59"/>
      <c r="AV8" s="43"/>
      <c r="AW8" s="43"/>
      <c r="AX8" s="43"/>
      <c r="AY8" s="59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4"/>
      <c r="CC8" s="44"/>
      <c r="CD8" s="43"/>
      <c r="CE8" s="43"/>
      <c r="CF8" s="44"/>
      <c r="CG8" s="44"/>
      <c r="CH8" s="43"/>
      <c r="CI8" s="43"/>
      <c r="CJ8" s="44"/>
      <c r="CK8" s="44"/>
      <c r="CL8" s="43"/>
      <c r="CM8" s="43"/>
      <c r="CN8" s="43"/>
      <c r="CO8" s="44"/>
      <c r="CP8" s="44"/>
      <c r="CQ8" s="45"/>
      <c r="CR8" s="4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</row>
    <row r="9" spans="1:119" s="2" customFormat="1" ht="36.75" customHeight="1" thickBot="1" x14ac:dyDescent="0.35">
      <c r="A9" s="183"/>
      <c r="B9" s="184" t="s">
        <v>227</v>
      </c>
      <c r="C9" s="183"/>
      <c r="D9" s="448" t="s">
        <v>270</v>
      </c>
      <c r="E9" s="467"/>
      <c r="F9" s="183"/>
      <c r="G9" s="429"/>
      <c r="H9" s="412"/>
      <c r="J9" s="616" t="s">
        <v>306</v>
      </c>
      <c r="K9" s="617"/>
      <c r="L9" s="617"/>
      <c r="M9" s="617"/>
      <c r="N9" s="617"/>
      <c r="O9" s="618"/>
      <c r="P9" s="290"/>
      <c r="Q9" s="291"/>
      <c r="R9" s="449"/>
      <c r="S9" s="183"/>
      <c r="T9" s="168" t="s">
        <v>4</v>
      </c>
      <c r="U9" s="89"/>
      <c r="V9" s="89"/>
      <c r="W9" s="89"/>
      <c r="X9" s="89"/>
      <c r="Y9" s="89"/>
      <c r="Z9" s="89"/>
      <c r="AA9" s="89"/>
      <c r="AB9" s="89"/>
      <c r="AC9" s="344"/>
      <c r="AD9" s="89"/>
      <c r="AE9" s="89"/>
      <c r="AF9" s="89"/>
      <c r="AG9" s="89"/>
      <c r="AH9" s="89"/>
      <c r="AI9" s="89"/>
      <c r="AJ9" s="247"/>
      <c r="AK9" s="97"/>
      <c r="AL9" s="247"/>
      <c r="AM9" s="97"/>
      <c r="AN9" s="97"/>
      <c r="AO9" s="97"/>
      <c r="AP9" s="97"/>
      <c r="AQ9" s="97"/>
      <c r="AR9" s="89"/>
      <c r="AS9" s="89"/>
      <c r="AT9" s="89"/>
      <c r="AU9" s="59"/>
      <c r="AV9" s="43"/>
      <c r="AW9" s="43"/>
      <c r="AX9" s="43"/>
      <c r="AY9" s="59"/>
      <c r="AZ9" s="72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4"/>
      <c r="CC9" s="44"/>
      <c r="CD9" s="43"/>
      <c r="CE9" s="43"/>
      <c r="CF9" s="44"/>
      <c r="CG9" s="44"/>
      <c r="CH9" s="43"/>
      <c r="CI9" s="43"/>
      <c r="CJ9" s="44"/>
      <c r="CK9" s="44"/>
      <c r="CL9" s="43"/>
      <c r="CM9" s="43"/>
      <c r="CN9" s="43"/>
      <c r="CO9" s="44"/>
      <c r="CP9" s="44"/>
      <c r="CQ9" s="45"/>
      <c r="CR9" s="4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</row>
    <row r="10" spans="1:119" s="2" customFormat="1" ht="6.75" customHeight="1" x14ac:dyDescent="0.3">
      <c r="A10" s="183"/>
      <c r="B10" s="184"/>
      <c r="C10" s="183"/>
      <c r="D10" s="449"/>
      <c r="E10" s="468"/>
      <c r="F10" s="183"/>
      <c r="G10" s="429"/>
      <c r="H10" s="412"/>
      <c r="I10" s="196"/>
      <c r="J10" s="196"/>
      <c r="K10" s="197"/>
      <c r="L10" s="197"/>
      <c r="M10" s="197"/>
      <c r="N10" s="197"/>
      <c r="O10" s="197"/>
      <c r="P10" s="290"/>
      <c r="Q10" s="291"/>
      <c r="R10" s="449"/>
      <c r="S10" s="183"/>
      <c r="T10" s="167" t="s">
        <v>1</v>
      </c>
      <c r="U10" s="89"/>
      <c r="V10" s="89"/>
      <c r="W10" s="89"/>
      <c r="X10" s="89"/>
      <c r="Y10" s="89"/>
      <c r="Z10" s="89"/>
      <c r="AA10" s="89"/>
      <c r="AB10" s="89"/>
      <c r="AC10" s="344"/>
      <c r="AD10" s="89"/>
      <c r="AE10" s="89"/>
      <c r="AF10" s="89"/>
      <c r="AG10" s="89"/>
      <c r="AH10" s="89"/>
      <c r="AI10" s="89"/>
      <c r="AJ10" s="247"/>
      <c r="AK10" s="97"/>
      <c r="AL10" s="247"/>
      <c r="AM10" s="97"/>
      <c r="AN10" s="97"/>
      <c r="AO10" s="97"/>
      <c r="AP10" s="97"/>
      <c r="AQ10" s="97"/>
      <c r="AR10" s="89"/>
      <c r="AS10" s="89"/>
      <c r="AT10" s="89"/>
      <c r="AU10" s="59"/>
      <c r="AV10" s="43"/>
      <c r="AW10" s="43"/>
      <c r="AX10" s="43"/>
      <c r="AY10" s="59"/>
      <c r="AZ10" s="72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4"/>
      <c r="CC10" s="44"/>
      <c r="CD10" s="43"/>
      <c r="CE10" s="43"/>
      <c r="CF10" s="44"/>
      <c r="CG10" s="44"/>
      <c r="CH10" s="43"/>
      <c r="CI10" s="43"/>
      <c r="CJ10" s="44"/>
      <c r="CK10" s="44"/>
      <c r="CL10" s="43"/>
      <c r="CM10" s="43"/>
      <c r="CN10" s="43"/>
      <c r="CO10" s="44"/>
      <c r="CP10" s="44"/>
      <c r="CQ10" s="45"/>
      <c r="CR10" s="4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</row>
    <row r="11" spans="1:119" s="74" customFormat="1" ht="58.5" customHeight="1" thickBot="1" x14ac:dyDescent="0.35">
      <c r="A11" s="185"/>
      <c r="B11" s="277" t="s">
        <v>0</v>
      </c>
      <c r="C11" s="279"/>
      <c r="D11" s="590" t="s">
        <v>261</v>
      </c>
      <c r="E11" s="590"/>
      <c r="F11" s="590"/>
      <c r="G11" s="590"/>
      <c r="H11" s="591"/>
      <c r="I11" s="215" t="s">
        <v>184</v>
      </c>
      <c r="J11" s="215" t="s">
        <v>185</v>
      </c>
      <c r="K11" s="215" t="s">
        <v>186</v>
      </c>
      <c r="L11" s="208" t="s">
        <v>187</v>
      </c>
      <c r="M11" s="215" t="s">
        <v>188</v>
      </c>
      <c r="N11" s="208" t="s">
        <v>189</v>
      </c>
      <c r="O11" s="209" t="s">
        <v>190</v>
      </c>
      <c r="P11" s="576" t="s">
        <v>318</v>
      </c>
      <c r="Q11" s="577"/>
      <c r="R11" s="485"/>
      <c r="S11" s="183"/>
      <c r="T11" s="168" t="s">
        <v>4</v>
      </c>
      <c r="U11" s="89"/>
      <c r="V11" s="89"/>
      <c r="W11" s="89"/>
      <c r="X11" s="89"/>
      <c r="Y11" s="89"/>
      <c r="Z11" s="89"/>
      <c r="AA11" s="89"/>
      <c r="AB11" s="89"/>
      <c r="AC11" s="344"/>
      <c r="AD11" s="89"/>
      <c r="AE11" s="89"/>
      <c r="AF11" s="89"/>
      <c r="AG11" s="89"/>
      <c r="AH11" s="89"/>
      <c r="AI11" s="89"/>
      <c r="AJ11" s="247"/>
      <c r="AK11" s="97"/>
      <c r="AL11" s="247"/>
      <c r="AM11" s="97"/>
      <c r="AN11" s="97"/>
      <c r="AO11" s="97"/>
      <c r="AP11" s="97"/>
      <c r="AQ11" s="97"/>
      <c r="AR11" s="89"/>
      <c r="AS11" s="89"/>
      <c r="AT11" s="89"/>
      <c r="AU11" s="272"/>
      <c r="AV11" s="78"/>
      <c r="AW11" s="70"/>
      <c r="AX11" s="70"/>
      <c r="AY11" s="96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0"/>
      <c r="CA11" s="70"/>
      <c r="CB11" s="77"/>
      <c r="CC11" s="77"/>
      <c r="CD11" s="70"/>
      <c r="CE11" s="70"/>
      <c r="CF11" s="77"/>
      <c r="CG11" s="77"/>
      <c r="CH11" s="70"/>
      <c r="CI11" s="70"/>
      <c r="CJ11" s="77"/>
      <c r="CK11" s="77"/>
      <c r="CL11" s="70"/>
      <c r="CM11" s="70"/>
      <c r="CN11" s="70"/>
      <c r="CO11" s="77"/>
      <c r="CP11" s="77"/>
      <c r="CQ11" s="80"/>
      <c r="CR11" s="70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</row>
    <row r="12" spans="1:119" s="86" customFormat="1" ht="51" x14ac:dyDescent="0.25">
      <c r="A12" s="185"/>
      <c r="B12" s="282" t="s">
        <v>299</v>
      </c>
      <c r="C12" s="283" t="s">
        <v>213</v>
      </c>
      <c r="D12" s="450" t="s">
        <v>182</v>
      </c>
      <c r="E12" s="463" t="s">
        <v>272</v>
      </c>
      <c r="F12" s="482" t="s">
        <v>254</v>
      </c>
      <c r="G12" s="483" t="s">
        <v>255</v>
      </c>
      <c r="H12" s="484" t="s">
        <v>256</v>
      </c>
      <c r="I12" s="284">
        <v>1</v>
      </c>
      <c r="J12" s="284">
        <v>45</v>
      </c>
      <c r="K12" s="284">
        <v>120</v>
      </c>
      <c r="L12" s="284">
        <v>145</v>
      </c>
      <c r="M12" s="284">
        <v>180</v>
      </c>
      <c r="N12" s="285">
        <v>299</v>
      </c>
      <c r="O12" s="286">
        <v>599</v>
      </c>
      <c r="P12" s="392" t="s">
        <v>191</v>
      </c>
      <c r="Q12" s="393" t="s">
        <v>192</v>
      </c>
      <c r="R12" s="287" t="s">
        <v>193</v>
      </c>
      <c r="S12" s="183"/>
      <c r="T12" s="168" t="s">
        <v>4</v>
      </c>
      <c r="U12" s="89"/>
      <c r="V12" s="89"/>
      <c r="W12" s="89"/>
      <c r="X12" s="89"/>
      <c r="Y12" s="89"/>
      <c r="Z12" s="89"/>
      <c r="AA12" s="89"/>
      <c r="AB12" s="89"/>
      <c r="AC12" s="344"/>
      <c r="AD12" s="89"/>
      <c r="AE12" s="89"/>
      <c r="AF12" s="89"/>
      <c r="AG12" s="89"/>
      <c r="AH12" s="89"/>
      <c r="AI12" s="89"/>
      <c r="AJ12" s="247"/>
      <c r="AK12" s="97"/>
      <c r="AL12" s="247"/>
      <c r="AM12" s="97"/>
      <c r="AN12" s="97"/>
      <c r="AO12" s="97"/>
      <c r="AP12" s="97"/>
      <c r="AQ12" s="97"/>
      <c r="AR12" s="89"/>
      <c r="AS12" s="89"/>
      <c r="AT12" s="89"/>
      <c r="AU12" s="97"/>
      <c r="AV12" s="66"/>
      <c r="AW12" s="70"/>
      <c r="AX12" s="70"/>
      <c r="AY12" s="9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70"/>
      <c r="CB12" s="77"/>
      <c r="CC12" s="77"/>
      <c r="CD12" s="70"/>
      <c r="CE12" s="70"/>
      <c r="CF12" s="77"/>
      <c r="CG12" s="77"/>
      <c r="CH12" s="70"/>
      <c r="CI12" s="70"/>
      <c r="CJ12" s="77"/>
      <c r="CK12" s="77"/>
      <c r="CL12" s="70"/>
      <c r="CM12" s="70"/>
      <c r="CN12" s="70"/>
      <c r="CO12" s="77"/>
      <c r="CP12" s="77"/>
      <c r="CQ12" s="80"/>
      <c r="CR12" s="70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</row>
    <row r="13" spans="1:119" s="234" customFormat="1" ht="18" hidden="1" outlineLevel="1" x14ac:dyDescent="0.3">
      <c r="A13" s="227"/>
      <c r="B13" s="87">
        <v>0</v>
      </c>
      <c r="C13" s="263" t="s">
        <v>194</v>
      </c>
      <c r="D13" s="451">
        <v>15000</v>
      </c>
      <c r="E13" s="464"/>
      <c r="F13" s="309"/>
      <c r="G13" s="430"/>
      <c r="H13" s="413"/>
      <c r="I13" s="264"/>
      <c r="J13" s="264"/>
      <c r="K13" s="264"/>
      <c r="L13" s="146"/>
      <c r="M13" s="181" t="s">
        <v>20</v>
      </c>
      <c r="N13" s="181" t="s">
        <v>202</v>
      </c>
      <c r="O13" s="181" t="s">
        <v>7</v>
      </c>
      <c r="P13" s="394"/>
      <c r="Q13" s="394"/>
      <c r="R13" s="486"/>
      <c r="S13" s="183"/>
      <c r="T13" s="230"/>
      <c r="U13" s="229"/>
      <c r="V13" s="229"/>
      <c r="W13" s="229"/>
      <c r="X13" s="229"/>
      <c r="Y13" s="229"/>
      <c r="Z13" s="229"/>
      <c r="AA13" s="229"/>
      <c r="AB13" s="229"/>
      <c r="AC13" s="294"/>
      <c r="AD13" s="229"/>
      <c r="AE13" s="229"/>
      <c r="AF13" s="229"/>
      <c r="AG13" s="229"/>
      <c r="AH13" s="229"/>
      <c r="AI13" s="229"/>
      <c r="AJ13" s="249"/>
      <c r="AK13" s="132"/>
      <c r="AL13" s="249"/>
      <c r="AM13" s="132"/>
      <c r="AN13" s="132"/>
      <c r="AO13" s="132"/>
      <c r="AP13" s="132"/>
      <c r="AQ13" s="132"/>
      <c r="AR13" s="229"/>
      <c r="AS13" s="229"/>
      <c r="AT13" s="229"/>
      <c r="AU13" s="97"/>
      <c r="AV13" s="231"/>
      <c r="AW13" s="231"/>
      <c r="AX13" s="231"/>
      <c r="AY13" s="96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231"/>
      <c r="CB13" s="233"/>
      <c r="CC13" s="233"/>
      <c r="CD13" s="231"/>
      <c r="CE13" s="231"/>
      <c r="CF13" s="233"/>
      <c r="CG13" s="233"/>
      <c r="CH13" s="231"/>
      <c r="CI13" s="231"/>
      <c r="CJ13" s="233"/>
      <c r="CK13" s="233"/>
      <c r="CL13" s="231"/>
      <c r="CM13" s="231"/>
      <c r="CN13" s="231"/>
      <c r="CO13" s="233"/>
      <c r="CP13" s="233"/>
      <c r="CQ13" s="144"/>
      <c r="CR13" s="231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</row>
    <row r="14" spans="1:119" s="234" customFormat="1" ht="18" hidden="1" outlineLevel="1" x14ac:dyDescent="0.3">
      <c r="A14" s="227"/>
      <c r="B14" s="87">
        <v>1</v>
      </c>
      <c r="C14" s="263" t="s">
        <v>197</v>
      </c>
      <c r="D14" s="451">
        <v>20000</v>
      </c>
      <c r="E14" s="464"/>
      <c r="F14" s="309"/>
      <c r="G14" s="430"/>
      <c r="H14" s="413"/>
      <c r="I14" s="264" t="s">
        <v>203</v>
      </c>
      <c r="J14" s="264"/>
      <c r="K14" s="264"/>
      <c r="L14" s="132" t="s">
        <v>10</v>
      </c>
      <c r="M14" s="261">
        <v>1</v>
      </c>
      <c r="N14" s="262">
        <f t="shared" ref="N14:N34" si="0">VLOOKUP(M14,$V$99:$AF$120,11,FALSE)</f>
        <v>32500</v>
      </c>
      <c r="O14" s="262">
        <f t="shared" ref="O14:O34" si="1">VLOOKUP(M14,$V$99:$AE$120,10,FALSE)</f>
        <v>170</v>
      </c>
      <c r="P14" s="394"/>
      <c r="Q14" s="394"/>
      <c r="R14" s="486"/>
      <c r="S14" s="183"/>
      <c r="T14" s="230"/>
      <c r="U14" s="229"/>
      <c r="V14" s="229"/>
      <c r="W14" s="229"/>
      <c r="X14" s="229"/>
      <c r="Y14" s="229"/>
      <c r="Z14" s="229"/>
      <c r="AA14" s="229"/>
      <c r="AB14" s="229"/>
      <c r="AC14" s="294"/>
      <c r="AD14" s="229"/>
      <c r="AE14" s="229"/>
      <c r="AF14" s="229"/>
      <c r="AG14" s="229"/>
      <c r="AH14" s="229"/>
      <c r="AI14" s="229"/>
      <c r="AJ14" s="249"/>
      <c r="AK14" s="132"/>
      <c r="AL14" s="249"/>
      <c r="AM14" s="132"/>
      <c r="AN14" s="132"/>
      <c r="AO14" s="132"/>
      <c r="AP14" s="132"/>
      <c r="AQ14" s="132"/>
      <c r="AR14" s="229"/>
      <c r="AS14" s="229"/>
      <c r="AT14" s="229"/>
      <c r="AU14" s="97"/>
      <c r="AV14" s="231"/>
      <c r="AW14" s="231"/>
      <c r="AX14" s="231"/>
      <c r="AY14" s="96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231"/>
      <c r="CB14" s="233"/>
      <c r="CC14" s="233"/>
      <c r="CD14" s="231"/>
      <c r="CE14" s="231"/>
      <c r="CF14" s="233"/>
      <c r="CG14" s="233"/>
      <c r="CH14" s="231"/>
      <c r="CI14" s="231"/>
      <c r="CJ14" s="233"/>
      <c r="CK14" s="233"/>
      <c r="CL14" s="231"/>
      <c r="CM14" s="231"/>
      <c r="CN14" s="231"/>
      <c r="CO14" s="233"/>
      <c r="CP14" s="233"/>
      <c r="CQ14" s="144"/>
      <c r="CR14" s="231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</row>
    <row r="15" spans="1:119" s="234" customFormat="1" ht="18" hidden="1" outlineLevel="1" x14ac:dyDescent="0.3">
      <c r="A15" s="227"/>
      <c r="B15" s="87">
        <v>2</v>
      </c>
      <c r="C15" s="263" t="s">
        <v>195</v>
      </c>
      <c r="D15" s="451">
        <f>D14+2500</f>
        <v>22500</v>
      </c>
      <c r="E15" s="464"/>
      <c r="F15" s="309"/>
      <c r="G15" s="430"/>
      <c r="H15" s="413"/>
      <c r="I15" s="264" t="s">
        <v>204</v>
      </c>
      <c r="J15" s="264"/>
      <c r="K15" s="264"/>
      <c r="L15" s="155" t="s">
        <v>11</v>
      </c>
      <c r="M15" s="235">
        <v>2</v>
      </c>
      <c r="N15" s="180">
        <f t="shared" si="0"/>
        <v>281</v>
      </c>
      <c r="O15" s="180">
        <f t="shared" si="1"/>
        <v>24</v>
      </c>
      <c r="P15" s="394"/>
      <c r="Q15" s="394"/>
      <c r="R15" s="486"/>
      <c r="S15" s="183"/>
      <c r="T15" s="230"/>
      <c r="U15" s="229"/>
      <c r="V15" s="229"/>
      <c r="W15" s="229"/>
      <c r="X15" s="229"/>
      <c r="Y15" s="229"/>
      <c r="Z15" s="229"/>
      <c r="AA15" s="229"/>
      <c r="AB15" s="229"/>
      <c r="AC15" s="294"/>
      <c r="AD15" s="229"/>
      <c r="AE15" s="229"/>
      <c r="AF15" s="229"/>
      <c r="AG15" s="229"/>
      <c r="AH15" s="229"/>
      <c r="AI15" s="229"/>
      <c r="AJ15" s="249"/>
      <c r="AK15" s="132"/>
      <c r="AL15" s="249"/>
      <c r="AM15" s="132"/>
      <c r="AN15" s="132"/>
      <c r="AO15" s="132"/>
      <c r="AP15" s="132"/>
      <c r="AQ15" s="132"/>
      <c r="AR15" s="229"/>
      <c r="AS15" s="229"/>
      <c r="AT15" s="229"/>
      <c r="AU15" s="97"/>
      <c r="AV15" s="231"/>
      <c r="AW15" s="231"/>
      <c r="AX15" s="231"/>
      <c r="AY15" s="96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231"/>
      <c r="CB15" s="233"/>
      <c r="CC15" s="233"/>
      <c r="CD15" s="231"/>
      <c r="CE15" s="231"/>
      <c r="CF15" s="233"/>
      <c r="CG15" s="233"/>
      <c r="CH15" s="231"/>
      <c r="CI15" s="231"/>
      <c r="CJ15" s="233"/>
      <c r="CK15" s="233"/>
      <c r="CL15" s="231"/>
      <c r="CM15" s="231"/>
      <c r="CN15" s="231"/>
      <c r="CO15" s="233"/>
      <c r="CP15" s="233"/>
      <c r="CQ15" s="144"/>
      <c r="CR15" s="231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</row>
    <row r="16" spans="1:119" s="234" customFormat="1" ht="18" hidden="1" outlineLevel="1" x14ac:dyDescent="0.3">
      <c r="A16" s="227"/>
      <c r="B16" s="87">
        <v>3</v>
      </c>
      <c r="C16" s="263" t="s">
        <v>196</v>
      </c>
      <c r="D16" s="451">
        <f t="shared" ref="D16:D35" si="2">D15+2500</f>
        <v>25000</v>
      </c>
      <c r="E16" s="464"/>
      <c r="F16" s="309"/>
      <c r="G16" s="430"/>
      <c r="H16" s="413"/>
      <c r="I16" s="264" t="s">
        <v>205</v>
      </c>
      <c r="J16" s="264"/>
      <c r="K16" s="264"/>
      <c r="L16" s="132" t="s">
        <v>13</v>
      </c>
      <c r="M16" s="235">
        <v>3</v>
      </c>
      <c r="N16" s="180">
        <f t="shared" si="0"/>
        <v>5410</v>
      </c>
      <c r="O16" s="180">
        <f t="shared" si="1"/>
        <v>5</v>
      </c>
      <c r="P16" s="394"/>
      <c r="Q16" s="394"/>
      <c r="R16" s="486"/>
      <c r="S16" s="183"/>
      <c r="T16" s="230"/>
      <c r="U16" s="229"/>
      <c r="V16" s="229"/>
      <c r="W16" s="229"/>
      <c r="X16" s="229"/>
      <c r="Y16" s="229"/>
      <c r="Z16" s="229"/>
      <c r="AA16" s="229"/>
      <c r="AB16" s="229"/>
      <c r="AC16" s="294"/>
      <c r="AD16" s="229"/>
      <c r="AE16" s="229"/>
      <c r="AF16" s="229"/>
      <c r="AG16" s="229"/>
      <c r="AH16" s="229"/>
      <c r="AI16" s="229"/>
      <c r="AJ16" s="249"/>
      <c r="AK16" s="132"/>
      <c r="AL16" s="249"/>
      <c r="AM16" s="132"/>
      <c r="AN16" s="132"/>
      <c r="AO16" s="132"/>
      <c r="AP16" s="132"/>
      <c r="AQ16" s="132"/>
      <c r="AR16" s="229"/>
      <c r="AS16" s="229"/>
      <c r="AT16" s="229"/>
      <c r="AU16" s="97"/>
      <c r="AV16" s="231"/>
      <c r="AW16" s="231"/>
      <c r="AX16" s="231"/>
      <c r="AY16" s="96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231"/>
      <c r="CB16" s="233"/>
      <c r="CC16" s="233"/>
      <c r="CD16" s="231"/>
      <c r="CE16" s="231"/>
      <c r="CF16" s="233"/>
      <c r="CG16" s="233"/>
      <c r="CH16" s="231"/>
      <c r="CI16" s="231"/>
      <c r="CJ16" s="233"/>
      <c r="CK16" s="233"/>
      <c r="CL16" s="231"/>
      <c r="CM16" s="231"/>
      <c r="CN16" s="231"/>
      <c r="CO16" s="233"/>
      <c r="CP16" s="233"/>
      <c r="CQ16" s="144"/>
      <c r="CR16" s="231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</row>
    <row r="17" spans="1:115" s="234" customFormat="1" ht="18" hidden="1" outlineLevel="1" x14ac:dyDescent="0.3">
      <c r="A17" s="227"/>
      <c r="B17" s="87">
        <v>4</v>
      </c>
      <c r="C17" s="263" t="s">
        <v>197</v>
      </c>
      <c r="D17" s="451">
        <f t="shared" si="2"/>
        <v>27500</v>
      </c>
      <c r="E17" s="464"/>
      <c r="F17" s="309"/>
      <c r="G17" s="430"/>
      <c r="H17" s="413"/>
      <c r="I17" s="264" t="s">
        <v>206</v>
      </c>
      <c r="J17" s="264"/>
      <c r="K17" s="264"/>
      <c r="L17" s="155" t="s">
        <v>84</v>
      </c>
      <c r="M17" s="235">
        <v>4</v>
      </c>
      <c r="N17" s="180">
        <f t="shared" si="0"/>
        <v>2686.804020100506</v>
      </c>
      <c r="O17" s="180">
        <f t="shared" si="1"/>
        <v>14</v>
      </c>
      <c r="P17" s="394"/>
      <c r="Q17" s="394"/>
      <c r="R17" s="486"/>
      <c r="S17" s="183"/>
      <c r="T17" s="230"/>
      <c r="U17" s="229"/>
      <c r="V17" s="231"/>
      <c r="W17" s="231"/>
      <c r="X17" s="231"/>
      <c r="Y17" s="231"/>
      <c r="Z17" s="231"/>
      <c r="AA17" s="231"/>
      <c r="AB17" s="231"/>
      <c r="AC17" s="345"/>
      <c r="AD17" s="132"/>
      <c r="AE17" s="132"/>
      <c r="AF17" s="132"/>
      <c r="AG17" s="232"/>
      <c r="AH17" s="132"/>
      <c r="AI17" s="132"/>
      <c r="AJ17" s="249"/>
      <c r="AK17" s="132"/>
      <c r="AL17" s="249"/>
      <c r="AM17" s="132"/>
      <c r="AN17" s="132"/>
      <c r="AO17" s="132"/>
      <c r="AP17" s="132"/>
      <c r="AQ17" s="132"/>
      <c r="AR17" s="132"/>
      <c r="AS17" s="132"/>
      <c r="AT17" s="132"/>
      <c r="AU17" s="97"/>
      <c r="AV17" s="231"/>
      <c r="AW17" s="231"/>
      <c r="AX17" s="231"/>
      <c r="AY17" s="96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231"/>
      <c r="CB17" s="233"/>
      <c r="CC17" s="233"/>
      <c r="CD17" s="231"/>
      <c r="CE17" s="231"/>
      <c r="CF17" s="233"/>
      <c r="CG17" s="233"/>
      <c r="CH17" s="231"/>
      <c r="CI17" s="231"/>
      <c r="CJ17" s="233"/>
      <c r="CK17" s="233"/>
      <c r="CL17" s="231"/>
      <c r="CM17" s="231"/>
      <c r="CN17" s="231"/>
      <c r="CO17" s="233"/>
      <c r="CP17" s="233"/>
      <c r="CQ17" s="144"/>
      <c r="CR17" s="231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</row>
    <row r="18" spans="1:115" s="234" customFormat="1" ht="18" hidden="1" outlineLevel="1" x14ac:dyDescent="0.3">
      <c r="A18" s="227"/>
      <c r="B18" s="87">
        <v>5</v>
      </c>
      <c r="C18" s="263" t="s">
        <v>197</v>
      </c>
      <c r="D18" s="451">
        <f t="shared" si="2"/>
        <v>30000</v>
      </c>
      <c r="E18" s="464"/>
      <c r="F18" s="309"/>
      <c r="G18" s="430"/>
      <c r="H18" s="413"/>
      <c r="I18" s="264" t="s">
        <v>210</v>
      </c>
      <c r="J18" s="264"/>
      <c r="K18" s="264"/>
      <c r="L18" s="132" t="s">
        <v>12</v>
      </c>
      <c r="M18" s="235">
        <v>5</v>
      </c>
      <c r="N18" s="180">
        <f t="shared" si="0"/>
        <v>2686.804020100506</v>
      </c>
      <c r="O18" s="180">
        <f t="shared" si="1"/>
        <v>14</v>
      </c>
      <c r="P18" s="394"/>
      <c r="Q18" s="394"/>
      <c r="R18" s="486"/>
      <c r="S18" s="183"/>
      <c r="T18" s="230"/>
      <c r="U18" s="229"/>
      <c r="V18" s="231"/>
      <c r="W18" s="231"/>
      <c r="X18" s="231"/>
      <c r="Y18" s="231"/>
      <c r="Z18" s="231"/>
      <c r="AA18" s="231"/>
      <c r="AB18" s="231"/>
      <c r="AC18" s="345"/>
      <c r="AD18" s="132"/>
      <c r="AE18" s="132"/>
      <c r="AF18" s="132"/>
      <c r="AG18" s="232"/>
      <c r="AH18" s="132"/>
      <c r="AI18" s="132"/>
      <c r="AJ18" s="249"/>
      <c r="AK18" s="132"/>
      <c r="AL18" s="249"/>
      <c r="AM18" s="132"/>
      <c r="AN18" s="132"/>
      <c r="AO18" s="132"/>
      <c r="AP18" s="132"/>
      <c r="AQ18" s="132"/>
      <c r="AR18" s="132"/>
      <c r="AS18" s="132"/>
      <c r="AT18" s="132"/>
      <c r="AU18" s="97"/>
      <c r="AV18" s="231"/>
      <c r="AW18" s="231"/>
      <c r="AX18" s="231"/>
      <c r="AY18" s="96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231"/>
      <c r="CB18" s="233"/>
      <c r="CC18" s="233"/>
      <c r="CD18" s="231"/>
      <c r="CE18" s="231"/>
      <c r="CF18" s="233"/>
      <c r="CG18" s="233"/>
      <c r="CH18" s="231"/>
      <c r="CI18" s="231"/>
      <c r="CJ18" s="233"/>
      <c r="CK18" s="233"/>
      <c r="CL18" s="231"/>
      <c r="CM18" s="231"/>
      <c r="CN18" s="231"/>
      <c r="CO18" s="233"/>
      <c r="CP18" s="233"/>
      <c r="CQ18" s="144"/>
      <c r="CR18" s="231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</row>
    <row r="19" spans="1:115" s="234" customFormat="1" ht="18" hidden="1" outlineLevel="1" x14ac:dyDescent="0.3">
      <c r="A19" s="227"/>
      <c r="B19" s="87">
        <v>6</v>
      </c>
      <c r="C19" s="263" t="s">
        <v>198</v>
      </c>
      <c r="D19" s="451">
        <f t="shared" si="2"/>
        <v>32500</v>
      </c>
      <c r="E19" s="464"/>
      <c r="F19" s="309"/>
      <c r="G19" s="430"/>
      <c r="H19" s="413"/>
      <c r="I19" s="264" t="s">
        <v>207</v>
      </c>
      <c r="J19" s="39"/>
      <c r="K19" s="39"/>
      <c r="L19" s="155" t="s">
        <v>85</v>
      </c>
      <c r="M19" s="235">
        <v>6</v>
      </c>
      <c r="N19" s="180">
        <f t="shared" si="0"/>
        <v>2302.9748743718592</v>
      </c>
      <c r="O19" s="180">
        <f t="shared" si="1"/>
        <v>12</v>
      </c>
      <c r="P19" s="395"/>
      <c r="Q19" s="395"/>
      <c r="R19" s="487"/>
      <c r="S19" s="183"/>
      <c r="T19" s="230"/>
      <c r="U19" s="229"/>
      <c r="V19" s="231"/>
      <c r="W19" s="231"/>
      <c r="X19" s="231"/>
      <c r="Y19" s="231"/>
      <c r="Z19" s="231"/>
      <c r="AA19" s="231"/>
      <c r="AB19" s="231"/>
      <c r="AC19" s="345"/>
      <c r="AD19" s="132"/>
      <c r="AE19" s="132"/>
      <c r="AF19" s="132"/>
      <c r="AG19" s="232"/>
      <c r="AH19" s="132"/>
      <c r="AI19" s="132"/>
      <c r="AJ19" s="249"/>
      <c r="AK19" s="132"/>
      <c r="AL19" s="249"/>
      <c r="AM19" s="132"/>
      <c r="AN19" s="132"/>
      <c r="AO19" s="132"/>
      <c r="AP19" s="132"/>
      <c r="AQ19" s="132"/>
      <c r="AR19" s="132"/>
      <c r="AS19" s="132"/>
      <c r="AT19" s="132"/>
      <c r="AU19" s="97"/>
      <c r="AV19" s="231"/>
      <c r="AW19" s="231"/>
      <c r="AX19" s="231"/>
      <c r="AY19" s="96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231"/>
      <c r="CB19" s="233"/>
      <c r="CC19" s="233"/>
      <c r="CD19" s="231"/>
      <c r="CE19" s="231"/>
      <c r="CF19" s="233"/>
      <c r="CG19" s="233"/>
      <c r="CH19" s="231"/>
      <c r="CI19" s="231"/>
      <c r="CJ19" s="233"/>
      <c r="CK19" s="233"/>
      <c r="CL19" s="231"/>
      <c r="CM19" s="231"/>
      <c r="CN19" s="231"/>
      <c r="CO19" s="233"/>
      <c r="CP19" s="233"/>
      <c r="CQ19" s="144"/>
      <c r="CR19" s="231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</row>
    <row r="20" spans="1:115" s="234" customFormat="1" ht="18" hidden="1" outlineLevel="1" x14ac:dyDescent="0.3">
      <c r="A20" s="227"/>
      <c r="B20" s="87">
        <v>7</v>
      </c>
      <c r="C20" s="263" t="s">
        <v>199</v>
      </c>
      <c r="D20" s="451">
        <f t="shared" si="2"/>
        <v>35000</v>
      </c>
      <c r="E20" s="464"/>
      <c r="F20" s="309"/>
      <c r="G20" s="309"/>
      <c r="H20" s="309"/>
      <c r="I20" s="264" t="s">
        <v>208</v>
      </c>
      <c r="J20" s="264"/>
      <c r="K20" s="264"/>
      <c r="L20" s="132" t="s">
        <v>14</v>
      </c>
      <c r="M20" s="235">
        <v>7</v>
      </c>
      <c r="N20" s="180">
        <f t="shared" si="0"/>
        <v>2324.7970286213676</v>
      </c>
      <c r="O20" s="180">
        <f t="shared" si="1"/>
        <v>12</v>
      </c>
      <c r="P20" s="395"/>
      <c r="Q20" s="395"/>
      <c r="R20" s="487"/>
      <c r="S20" s="183"/>
      <c r="T20" s="230"/>
      <c r="U20" s="229"/>
      <c r="V20" s="231"/>
      <c r="W20" s="231"/>
      <c r="X20" s="231"/>
      <c r="Y20" s="231"/>
      <c r="Z20" s="231"/>
      <c r="AA20" s="231"/>
      <c r="AB20" s="231"/>
      <c r="AC20" s="345"/>
      <c r="AD20" s="132"/>
      <c r="AE20" s="132"/>
      <c r="AF20" s="132"/>
      <c r="AG20" s="232"/>
      <c r="AH20" s="132"/>
      <c r="AI20" s="132"/>
      <c r="AJ20" s="249"/>
      <c r="AK20" s="132"/>
      <c r="AL20" s="249"/>
      <c r="AM20" s="132"/>
      <c r="AN20" s="132"/>
      <c r="AO20" s="132"/>
      <c r="AP20" s="132"/>
      <c r="AQ20" s="132"/>
      <c r="AR20" s="132"/>
      <c r="AS20" s="132"/>
      <c r="AT20" s="132"/>
      <c r="AU20" s="132"/>
      <c r="AV20" s="231"/>
      <c r="AW20" s="231"/>
      <c r="AX20" s="231"/>
      <c r="AY20" s="231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231"/>
      <c r="CB20" s="233"/>
      <c r="CC20" s="233"/>
      <c r="CD20" s="231"/>
      <c r="CE20" s="231"/>
      <c r="CF20" s="233"/>
      <c r="CG20" s="233"/>
      <c r="CH20" s="231"/>
      <c r="CI20" s="231"/>
      <c r="CJ20" s="233"/>
      <c r="CK20" s="233"/>
      <c r="CL20" s="231"/>
      <c r="CM20" s="231"/>
      <c r="CN20" s="231"/>
      <c r="CO20" s="233"/>
      <c r="CP20" s="233"/>
      <c r="CQ20" s="144"/>
      <c r="CR20" s="231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</row>
    <row r="21" spans="1:115" s="234" customFormat="1" ht="18" hidden="1" outlineLevel="1" x14ac:dyDescent="0.3">
      <c r="A21" s="227"/>
      <c r="B21" s="87">
        <v>8</v>
      </c>
      <c r="C21" s="263" t="s">
        <v>200</v>
      </c>
      <c r="D21" s="451">
        <f t="shared" si="2"/>
        <v>37500</v>
      </c>
      <c r="E21" s="464"/>
      <c r="F21" s="309"/>
      <c r="G21" s="309"/>
      <c r="H21" s="309"/>
      <c r="I21" s="264" t="s">
        <v>209</v>
      </c>
      <c r="J21" s="264"/>
      <c r="K21" s="264"/>
      <c r="L21" s="155" t="s">
        <v>86</v>
      </c>
      <c r="M21" s="235">
        <v>8</v>
      </c>
      <c r="N21" s="180">
        <f t="shared" si="0"/>
        <v>4055.6263008405876</v>
      </c>
      <c r="O21" s="180">
        <f t="shared" si="1"/>
        <v>15</v>
      </c>
      <c r="P21" s="395"/>
      <c r="Q21" s="395"/>
      <c r="R21" s="487"/>
      <c r="S21" s="183"/>
      <c r="T21" s="230"/>
      <c r="U21" s="229"/>
      <c r="V21" s="231"/>
      <c r="W21" s="231"/>
      <c r="X21" s="231"/>
      <c r="Y21" s="231"/>
      <c r="Z21" s="231"/>
      <c r="AA21" s="231"/>
      <c r="AB21" s="231"/>
      <c r="AC21" s="345"/>
      <c r="AD21" s="132"/>
      <c r="AE21" s="132"/>
      <c r="AF21" s="132"/>
      <c r="AG21" s="232"/>
      <c r="AH21" s="132"/>
      <c r="AI21" s="132"/>
      <c r="AJ21" s="249"/>
      <c r="AK21" s="132"/>
      <c r="AL21" s="249"/>
      <c r="AM21" s="132"/>
      <c r="AN21" s="132"/>
      <c r="AO21" s="132"/>
      <c r="AP21" s="132"/>
      <c r="AQ21" s="132"/>
      <c r="AR21" s="132"/>
      <c r="AS21" s="132"/>
      <c r="AT21" s="132"/>
      <c r="AU21" s="132"/>
      <c r="AV21" s="231"/>
      <c r="AW21" s="231"/>
      <c r="AX21" s="231"/>
      <c r="AY21" s="231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231"/>
      <c r="CB21" s="233"/>
      <c r="CC21" s="233"/>
      <c r="CD21" s="231"/>
      <c r="CE21" s="231"/>
      <c r="CF21" s="233"/>
      <c r="CG21" s="233"/>
      <c r="CH21" s="231"/>
      <c r="CI21" s="231"/>
      <c r="CJ21" s="233"/>
      <c r="CK21" s="233"/>
      <c r="CL21" s="231"/>
      <c r="CM21" s="231"/>
      <c r="CN21" s="231"/>
      <c r="CO21" s="233"/>
      <c r="CP21" s="233"/>
      <c r="CQ21" s="144"/>
      <c r="CR21" s="231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</row>
    <row r="22" spans="1:115" s="234" customFormat="1" ht="18" hidden="1" outlineLevel="1" x14ac:dyDescent="0.3">
      <c r="A22" s="227"/>
      <c r="B22" s="87">
        <v>9</v>
      </c>
      <c r="C22" s="263" t="s">
        <v>201</v>
      </c>
      <c r="D22" s="451">
        <f t="shared" si="2"/>
        <v>40000</v>
      </c>
      <c r="E22" s="464"/>
      <c r="F22" s="309"/>
      <c r="G22" s="309"/>
      <c r="H22" s="309"/>
      <c r="I22" s="264"/>
      <c r="J22" s="264"/>
      <c r="K22" s="264"/>
      <c r="L22" s="132" t="s">
        <v>16</v>
      </c>
      <c r="M22" s="235">
        <v>9</v>
      </c>
      <c r="N22" s="180">
        <f t="shared" si="0"/>
        <v>4405.9273302198708</v>
      </c>
      <c r="O22" s="180">
        <f t="shared" si="1"/>
        <v>21</v>
      </c>
      <c r="P22" s="395"/>
      <c r="Q22" s="395"/>
      <c r="R22" s="487"/>
      <c r="S22" s="183"/>
      <c r="T22" s="230"/>
      <c r="U22" s="229"/>
      <c r="V22" s="231"/>
      <c r="W22" s="231"/>
      <c r="X22" s="231"/>
      <c r="Y22" s="231"/>
      <c r="Z22" s="231"/>
      <c r="AA22" s="231"/>
      <c r="AB22" s="231"/>
      <c r="AC22" s="345"/>
      <c r="AD22" s="132"/>
      <c r="AE22" s="132"/>
      <c r="AF22" s="132"/>
      <c r="AG22" s="232"/>
      <c r="AH22" s="132"/>
      <c r="AI22" s="132"/>
      <c r="AJ22" s="249"/>
      <c r="AK22" s="132"/>
      <c r="AL22" s="249"/>
      <c r="AM22" s="132"/>
      <c r="AN22" s="132"/>
      <c r="AO22" s="132"/>
      <c r="AP22" s="132"/>
      <c r="AQ22" s="132"/>
      <c r="AR22" s="132"/>
      <c r="AS22" s="132"/>
      <c r="AT22" s="132"/>
      <c r="AU22" s="132"/>
      <c r="AV22" s="231"/>
      <c r="AW22" s="231"/>
      <c r="AX22" s="231"/>
      <c r="AY22" s="231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231"/>
      <c r="CB22" s="233"/>
      <c r="CC22" s="233"/>
      <c r="CD22" s="231"/>
      <c r="CE22" s="231"/>
      <c r="CF22" s="233"/>
      <c r="CG22" s="233"/>
      <c r="CH22" s="231"/>
      <c r="CI22" s="231"/>
      <c r="CJ22" s="233"/>
      <c r="CK22" s="233"/>
      <c r="CL22" s="231"/>
      <c r="CM22" s="231"/>
      <c r="CN22" s="231"/>
      <c r="CO22" s="233"/>
      <c r="CP22" s="233"/>
      <c r="CQ22" s="144"/>
      <c r="CR22" s="231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</row>
    <row r="23" spans="1:115" s="234" customFormat="1" ht="18" hidden="1" outlineLevel="1" x14ac:dyDescent="0.3">
      <c r="A23" s="227"/>
      <c r="B23" s="87">
        <v>10</v>
      </c>
      <c r="C23" s="263" t="s">
        <v>197</v>
      </c>
      <c r="D23" s="451">
        <f t="shared" si="2"/>
        <v>42500</v>
      </c>
      <c r="E23" s="465"/>
      <c r="F23" s="310"/>
      <c r="G23" s="430"/>
      <c r="H23" s="413"/>
      <c r="I23" s="39"/>
      <c r="J23" s="39"/>
      <c r="K23" s="39"/>
      <c r="L23" s="132" t="s">
        <v>15</v>
      </c>
      <c r="M23" s="235">
        <v>10</v>
      </c>
      <c r="N23" s="180">
        <f t="shared" si="0"/>
        <v>3411.0550387360418</v>
      </c>
      <c r="O23" s="180">
        <f t="shared" si="1"/>
        <v>16</v>
      </c>
      <c r="P23" s="395"/>
      <c r="Q23" s="395"/>
      <c r="R23" s="487"/>
      <c r="S23" s="183"/>
      <c r="T23" s="230"/>
      <c r="U23" s="229"/>
      <c r="V23" s="231"/>
      <c r="W23" s="231"/>
      <c r="X23" s="231"/>
      <c r="Y23" s="231"/>
      <c r="Z23" s="231"/>
      <c r="AA23" s="231"/>
      <c r="AB23" s="231"/>
      <c r="AC23" s="345"/>
      <c r="AD23" s="132"/>
      <c r="AE23" s="132"/>
      <c r="AF23" s="132"/>
      <c r="AG23" s="232"/>
      <c r="AH23" s="132"/>
      <c r="AI23" s="132"/>
      <c r="AJ23" s="249"/>
      <c r="AK23" s="132"/>
      <c r="AL23" s="249"/>
      <c r="AM23" s="132"/>
      <c r="AN23" s="132"/>
      <c r="AO23" s="132"/>
      <c r="AP23" s="132"/>
      <c r="AQ23" s="132"/>
      <c r="AR23" s="132"/>
      <c r="AS23" s="132"/>
      <c r="AT23" s="132"/>
      <c r="AU23" s="132"/>
      <c r="AV23" s="231"/>
      <c r="AW23" s="231"/>
      <c r="AX23" s="231"/>
      <c r="AY23" s="231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231"/>
      <c r="CB23" s="233"/>
      <c r="CC23" s="233"/>
      <c r="CD23" s="231"/>
      <c r="CE23" s="231"/>
      <c r="CF23" s="233"/>
      <c r="CG23" s="233"/>
      <c r="CH23" s="231"/>
      <c r="CI23" s="231"/>
      <c r="CJ23" s="233"/>
      <c r="CK23" s="233"/>
      <c r="CL23" s="231"/>
      <c r="CM23" s="231"/>
      <c r="CN23" s="231"/>
      <c r="CO23" s="233"/>
      <c r="CP23" s="233"/>
      <c r="CQ23" s="144"/>
      <c r="CR23" s="231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</row>
    <row r="24" spans="1:115" s="234" customFormat="1" ht="18" hidden="1" outlineLevel="1" x14ac:dyDescent="0.3">
      <c r="A24" s="227"/>
      <c r="B24" s="87">
        <v>11</v>
      </c>
      <c r="C24" s="263" t="s">
        <v>332</v>
      </c>
      <c r="D24" s="451">
        <f t="shared" si="2"/>
        <v>45000</v>
      </c>
      <c r="E24" s="465"/>
      <c r="F24" s="310"/>
      <c r="G24" s="430"/>
      <c r="H24" s="413"/>
      <c r="I24" s="39"/>
      <c r="J24" s="39"/>
      <c r="K24" s="39"/>
      <c r="L24" s="132" t="s">
        <v>17</v>
      </c>
      <c r="M24" s="235">
        <v>11</v>
      </c>
      <c r="N24" s="180">
        <f t="shared" si="0"/>
        <v>3256.6540604190232</v>
      </c>
      <c r="O24" s="180">
        <f t="shared" si="1"/>
        <v>15</v>
      </c>
      <c r="P24" s="395"/>
      <c r="Q24" s="395"/>
      <c r="R24" s="487"/>
      <c r="S24" s="183"/>
      <c r="T24" s="230"/>
      <c r="U24" s="229"/>
      <c r="V24" s="231"/>
      <c r="W24" s="231"/>
      <c r="X24" s="231"/>
      <c r="Y24" s="231"/>
      <c r="Z24" s="231"/>
      <c r="AA24" s="231"/>
      <c r="AB24" s="231"/>
      <c r="AC24" s="345"/>
      <c r="AD24" s="132"/>
      <c r="AE24" s="132"/>
      <c r="AF24" s="132"/>
      <c r="AG24" s="232"/>
      <c r="AH24" s="132"/>
      <c r="AI24" s="132"/>
      <c r="AJ24" s="249"/>
      <c r="AK24" s="132"/>
      <c r="AL24" s="249"/>
      <c r="AM24" s="132"/>
      <c r="AN24" s="132"/>
      <c r="AO24" s="132"/>
      <c r="AP24" s="132"/>
      <c r="AQ24" s="132"/>
      <c r="AR24" s="132"/>
      <c r="AS24" s="132"/>
      <c r="AT24" s="132"/>
      <c r="AU24" s="132"/>
      <c r="AV24" s="231"/>
      <c r="AW24" s="231"/>
      <c r="AX24" s="231"/>
      <c r="AY24" s="231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231"/>
      <c r="CB24" s="233"/>
      <c r="CC24" s="233"/>
      <c r="CD24" s="231"/>
      <c r="CE24" s="231"/>
      <c r="CF24" s="233"/>
      <c r="CG24" s="233"/>
      <c r="CH24" s="231"/>
      <c r="CI24" s="231"/>
      <c r="CJ24" s="233"/>
      <c r="CK24" s="233"/>
      <c r="CL24" s="231"/>
      <c r="CM24" s="231"/>
      <c r="CN24" s="231"/>
      <c r="CO24" s="233"/>
      <c r="CP24" s="233"/>
      <c r="CQ24" s="144"/>
      <c r="CR24" s="231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</row>
    <row r="25" spans="1:115" s="234" customFormat="1" ht="18" hidden="1" outlineLevel="1" x14ac:dyDescent="0.3">
      <c r="A25" s="227"/>
      <c r="B25" s="87">
        <v>12</v>
      </c>
      <c r="C25" s="263" t="s">
        <v>333</v>
      </c>
      <c r="D25" s="451">
        <f t="shared" si="2"/>
        <v>47500</v>
      </c>
      <c r="E25" s="465"/>
      <c r="F25" s="310"/>
      <c r="G25" s="430"/>
      <c r="H25" s="413"/>
      <c r="I25" s="39"/>
      <c r="J25" s="39"/>
      <c r="K25" s="39"/>
      <c r="L25" s="132" t="s">
        <v>87</v>
      </c>
      <c r="M25" s="235">
        <v>12</v>
      </c>
      <c r="N25" s="180">
        <f t="shared" si="0"/>
        <v>1767.4997224138642</v>
      </c>
      <c r="O25" s="180">
        <f t="shared" si="1"/>
        <v>8</v>
      </c>
      <c r="P25" s="395"/>
      <c r="Q25" s="395"/>
      <c r="R25" s="487"/>
      <c r="S25" s="183"/>
      <c r="T25" s="230"/>
      <c r="U25" s="229"/>
      <c r="V25" s="231"/>
      <c r="W25" s="231"/>
      <c r="X25" s="231"/>
      <c r="Y25" s="231"/>
      <c r="Z25" s="231"/>
      <c r="AA25" s="231"/>
      <c r="AB25" s="231"/>
      <c r="AC25" s="345"/>
      <c r="AD25" s="132"/>
      <c r="AE25" s="132"/>
      <c r="AF25" s="132"/>
      <c r="AG25" s="232"/>
      <c r="AH25" s="132"/>
      <c r="AI25" s="132"/>
      <c r="AJ25" s="249"/>
      <c r="AK25" s="132"/>
      <c r="AL25" s="249"/>
      <c r="AM25" s="132"/>
      <c r="AN25" s="132"/>
      <c r="AO25" s="132"/>
      <c r="AP25" s="132"/>
      <c r="AQ25" s="132"/>
      <c r="AR25" s="132"/>
      <c r="AS25" s="132"/>
      <c r="AT25" s="132"/>
      <c r="AU25" s="132"/>
      <c r="AV25" s="231"/>
      <c r="AW25" s="231"/>
      <c r="AX25" s="231"/>
      <c r="AY25" s="231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231"/>
      <c r="CB25" s="233"/>
      <c r="CC25" s="233"/>
      <c r="CD25" s="231"/>
      <c r="CE25" s="231"/>
      <c r="CF25" s="233"/>
      <c r="CG25" s="233"/>
      <c r="CH25" s="231"/>
      <c r="CI25" s="231"/>
      <c r="CJ25" s="233"/>
      <c r="CK25" s="233"/>
      <c r="CL25" s="231"/>
      <c r="CM25" s="231"/>
      <c r="CN25" s="231"/>
      <c r="CO25" s="233"/>
      <c r="CP25" s="233"/>
      <c r="CQ25" s="144"/>
      <c r="CR25" s="231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</row>
    <row r="26" spans="1:115" s="234" customFormat="1" ht="18" hidden="1" outlineLevel="1" x14ac:dyDescent="0.3">
      <c r="A26" s="227"/>
      <c r="B26" s="87">
        <v>13</v>
      </c>
      <c r="C26" s="263" t="s">
        <v>334</v>
      </c>
      <c r="D26" s="451">
        <f t="shared" si="2"/>
        <v>50000</v>
      </c>
      <c r="E26" s="465"/>
      <c r="F26" s="310"/>
      <c r="G26" s="430"/>
      <c r="H26" s="413"/>
      <c r="I26" s="39"/>
      <c r="J26" s="39"/>
      <c r="K26" s="39"/>
      <c r="L26" s="132" t="s">
        <v>18</v>
      </c>
      <c r="M26" s="235">
        <v>13</v>
      </c>
      <c r="N26" s="180">
        <f t="shared" si="0"/>
        <v>2928.7721584557585</v>
      </c>
      <c r="O26" s="180">
        <f t="shared" si="1"/>
        <v>13</v>
      </c>
      <c r="P26" s="395"/>
      <c r="Q26" s="395"/>
      <c r="R26" s="487"/>
      <c r="S26" s="183"/>
      <c r="T26" s="230"/>
      <c r="U26" s="229"/>
      <c r="V26" s="231"/>
      <c r="W26" s="231"/>
      <c r="X26" s="231"/>
      <c r="Y26" s="231"/>
      <c r="Z26" s="231"/>
      <c r="AA26" s="231"/>
      <c r="AB26" s="231"/>
      <c r="AC26" s="345"/>
      <c r="AD26" s="132"/>
      <c r="AE26" s="132"/>
      <c r="AF26" s="132"/>
      <c r="AG26" s="232"/>
      <c r="AH26" s="132"/>
      <c r="AI26" s="132"/>
      <c r="AJ26" s="249"/>
      <c r="AK26" s="132"/>
      <c r="AL26" s="249"/>
      <c r="AM26" s="132"/>
      <c r="AN26" s="132"/>
      <c r="AO26" s="132"/>
      <c r="AP26" s="132"/>
      <c r="AQ26" s="132"/>
      <c r="AR26" s="132"/>
      <c r="AS26" s="132"/>
      <c r="AT26" s="132"/>
      <c r="AU26" s="132"/>
      <c r="AV26" s="231"/>
      <c r="AW26" s="231"/>
      <c r="AX26" s="231"/>
      <c r="AY26" s="231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231"/>
      <c r="CB26" s="233"/>
      <c r="CC26" s="233"/>
      <c r="CD26" s="231"/>
      <c r="CE26" s="231"/>
      <c r="CF26" s="233"/>
      <c r="CG26" s="233"/>
      <c r="CH26" s="231"/>
      <c r="CI26" s="231"/>
      <c r="CJ26" s="233"/>
      <c r="CK26" s="233"/>
      <c r="CL26" s="231"/>
      <c r="CM26" s="231"/>
      <c r="CN26" s="231"/>
      <c r="CO26" s="233"/>
      <c r="CP26" s="233"/>
      <c r="CQ26" s="144"/>
      <c r="CR26" s="231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</row>
    <row r="27" spans="1:115" s="234" customFormat="1" ht="18" hidden="1" outlineLevel="1" x14ac:dyDescent="0.3">
      <c r="A27" s="227"/>
      <c r="B27" s="87">
        <v>14</v>
      </c>
      <c r="C27" s="263" t="s">
        <v>335</v>
      </c>
      <c r="D27" s="451">
        <f>D26+2000</f>
        <v>52000</v>
      </c>
      <c r="E27" s="465"/>
      <c r="F27" s="310"/>
      <c r="G27" s="430"/>
      <c r="H27" s="413"/>
      <c r="I27" s="39"/>
      <c r="J27" s="39"/>
      <c r="K27" s="39"/>
      <c r="L27" s="132" t="s">
        <v>88</v>
      </c>
      <c r="M27" s="235">
        <v>14</v>
      </c>
      <c r="N27" s="180">
        <f t="shared" si="0"/>
        <v>1296.1568474173546</v>
      </c>
      <c r="O27" s="180">
        <f t="shared" si="1"/>
        <v>6</v>
      </c>
      <c r="P27" s="395"/>
      <c r="Q27" s="395"/>
      <c r="R27" s="487"/>
      <c r="S27" s="183"/>
      <c r="T27" s="230"/>
      <c r="U27" s="229"/>
      <c r="V27" s="231"/>
      <c r="W27" s="231"/>
      <c r="X27" s="231"/>
      <c r="Y27" s="231"/>
      <c r="Z27" s="231"/>
      <c r="AA27" s="231"/>
      <c r="AB27" s="231"/>
      <c r="AC27" s="345"/>
      <c r="AD27" s="132"/>
      <c r="AE27" s="132"/>
      <c r="AF27" s="132"/>
      <c r="AG27" s="232"/>
      <c r="AH27" s="132"/>
      <c r="AI27" s="132"/>
      <c r="AJ27" s="249"/>
      <c r="AK27" s="132"/>
      <c r="AL27" s="249"/>
      <c r="AM27" s="132"/>
      <c r="AN27" s="132"/>
      <c r="AO27" s="132"/>
      <c r="AP27" s="132"/>
      <c r="AQ27" s="132"/>
      <c r="AR27" s="132"/>
      <c r="AS27" s="132"/>
      <c r="AT27" s="132"/>
      <c r="AU27" s="132"/>
      <c r="AV27" s="231"/>
      <c r="AW27" s="231"/>
      <c r="AX27" s="231"/>
      <c r="AY27" s="231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231"/>
      <c r="CB27" s="233"/>
      <c r="CC27" s="233"/>
      <c r="CD27" s="231"/>
      <c r="CE27" s="231"/>
      <c r="CF27" s="233"/>
      <c r="CG27" s="233"/>
      <c r="CH27" s="231"/>
      <c r="CI27" s="231"/>
      <c r="CJ27" s="233"/>
      <c r="CK27" s="233"/>
      <c r="CL27" s="231"/>
      <c r="CM27" s="231"/>
      <c r="CN27" s="231"/>
      <c r="CO27" s="233"/>
      <c r="CP27" s="233"/>
      <c r="CQ27" s="144"/>
      <c r="CR27" s="231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</row>
    <row r="28" spans="1:115" s="234" customFormat="1" ht="18" hidden="1" outlineLevel="1" x14ac:dyDescent="0.3">
      <c r="A28" s="227"/>
      <c r="B28" s="87">
        <v>15</v>
      </c>
      <c r="C28" s="263" t="s">
        <v>336</v>
      </c>
      <c r="D28" s="451">
        <f t="shared" ref="D28:D35" si="3">D27+2000</f>
        <v>54000</v>
      </c>
      <c r="E28" s="465"/>
      <c r="F28" s="310"/>
      <c r="G28" s="430"/>
      <c r="H28" s="413"/>
      <c r="I28" s="39"/>
      <c r="J28" s="39"/>
      <c r="K28" s="39"/>
      <c r="L28" s="132" t="s">
        <v>19</v>
      </c>
      <c r="M28" s="235">
        <v>15</v>
      </c>
      <c r="N28" s="180">
        <f t="shared" si="0"/>
        <v>1964.504145637562</v>
      </c>
      <c r="O28" s="180">
        <f t="shared" si="1"/>
        <v>9</v>
      </c>
      <c r="P28" s="395"/>
      <c r="Q28" s="395"/>
      <c r="R28" s="487"/>
      <c r="S28" s="183"/>
      <c r="T28" s="230"/>
      <c r="U28" s="229"/>
      <c r="V28" s="231"/>
      <c r="W28" s="231"/>
      <c r="X28" s="231"/>
      <c r="Y28" s="231"/>
      <c r="Z28" s="231"/>
      <c r="AA28" s="231"/>
      <c r="AB28" s="231"/>
      <c r="AC28" s="345"/>
      <c r="AD28" s="132"/>
      <c r="AE28" s="132"/>
      <c r="AF28" s="132"/>
      <c r="AG28" s="232"/>
      <c r="AH28" s="132"/>
      <c r="AI28" s="132"/>
      <c r="AJ28" s="249"/>
      <c r="AK28" s="132"/>
      <c r="AL28" s="249"/>
      <c r="AM28" s="132"/>
      <c r="AN28" s="132"/>
      <c r="AO28" s="132"/>
      <c r="AP28" s="132"/>
      <c r="AQ28" s="132"/>
      <c r="AR28" s="132"/>
      <c r="AS28" s="132"/>
      <c r="AT28" s="132"/>
      <c r="AU28" s="132"/>
      <c r="AV28" s="231"/>
      <c r="AW28" s="231"/>
      <c r="AX28" s="231"/>
      <c r="AY28" s="231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231"/>
      <c r="CB28" s="233"/>
      <c r="CC28" s="233"/>
      <c r="CD28" s="231"/>
      <c r="CE28" s="231"/>
      <c r="CF28" s="233"/>
      <c r="CG28" s="233"/>
      <c r="CH28" s="231"/>
      <c r="CI28" s="231"/>
      <c r="CJ28" s="233"/>
      <c r="CK28" s="233"/>
      <c r="CL28" s="231"/>
      <c r="CM28" s="231"/>
      <c r="CN28" s="231"/>
      <c r="CO28" s="233"/>
      <c r="CP28" s="233"/>
      <c r="CQ28" s="144"/>
      <c r="CR28" s="231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</row>
    <row r="29" spans="1:115" s="234" customFormat="1" ht="18" hidden="1" outlineLevel="1" x14ac:dyDescent="0.3">
      <c r="A29" s="227"/>
      <c r="B29" s="87">
        <v>16</v>
      </c>
      <c r="C29" s="263" t="s">
        <v>337</v>
      </c>
      <c r="D29" s="451">
        <f t="shared" si="3"/>
        <v>56000</v>
      </c>
      <c r="E29" s="465"/>
      <c r="F29" s="310"/>
      <c r="G29" s="430"/>
      <c r="H29" s="413"/>
      <c r="I29" s="39"/>
      <c r="J29" s="39"/>
      <c r="K29" s="39"/>
      <c r="L29" s="132" t="s">
        <v>89</v>
      </c>
      <c r="M29" s="235">
        <v>16</v>
      </c>
      <c r="N29" s="180">
        <f t="shared" si="0"/>
        <v>3298.113804218694</v>
      </c>
      <c r="O29" s="180">
        <f t="shared" si="1"/>
        <v>15</v>
      </c>
      <c r="P29" s="395"/>
      <c r="Q29" s="395"/>
      <c r="R29" s="487"/>
      <c r="S29" s="183"/>
      <c r="T29" s="230"/>
      <c r="U29" s="229"/>
      <c r="V29" s="231"/>
      <c r="W29" s="231"/>
      <c r="X29" s="231"/>
      <c r="Y29" s="231"/>
      <c r="Z29" s="231"/>
      <c r="AA29" s="231"/>
      <c r="AB29" s="231"/>
      <c r="AC29" s="345"/>
      <c r="AD29" s="132"/>
      <c r="AE29" s="132"/>
      <c r="AF29" s="132"/>
      <c r="AG29" s="232"/>
      <c r="AH29" s="132"/>
      <c r="AI29" s="132"/>
      <c r="AJ29" s="249"/>
      <c r="AK29" s="132"/>
      <c r="AL29" s="249"/>
      <c r="AM29" s="132"/>
      <c r="AN29" s="132"/>
      <c r="AO29" s="132"/>
      <c r="AP29" s="132"/>
      <c r="AQ29" s="132"/>
      <c r="AR29" s="132"/>
      <c r="AS29" s="132"/>
      <c r="AT29" s="132"/>
      <c r="AU29" s="132"/>
      <c r="AV29" s="231"/>
      <c r="AW29" s="231"/>
      <c r="AX29" s="231"/>
      <c r="AY29" s="231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231"/>
      <c r="CB29" s="233"/>
      <c r="CC29" s="233"/>
      <c r="CD29" s="231"/>
      <c r="CE29" s="231"/>
      <c r="CF29" s="233"/>
      <c r="CG29" s="233"/>
      <c r="CH29" s="231"/>
      <c r="CI29" s="231"/>
      <c r="CJ29" s="233"/>
      <c r="CK29" s="233"/>
      <c r="CL29" s="231"/>
      <c r="CM29" s="231"/>
      <c r="CN29" s="231"/>
      <c r="CO29" s="233"/>
      <c r="CP29" s="233"/>
      <c r="CQ29" s="144"/>
      <c r="CR29" s="231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</row>
    <row r="30" spans="1:115" s="234" customFormat="1" ht="18" hidden="1" outlineLevel="1" x14ac:dyDescent="0.3">
      <c r="A30" s="227"/>
      <c r="B30" s="87">
        <v>17</v>
      </c>
      <c r="C30" s="263" t="s">
        <v>338</v>
      </c>
      <c r="D30" s="451">
        <f t="shared" si="3"/>
        <v>58000</v>
      </c>
      <c r="E30" s="465"/>
      <c r="F30" s="310"/>
      <c r="G30" s="430"/>
      <c r="H30" s="413"/>
      <c r="I30" s="39"/>
      <c r="J30" s="39"/>
      <c r="K30" s="39"/>
      <c r="L30" s="132" t="s">
        <v>90</v>
      </c>
      <c r="M30" s="235">
        <v>17</v>
      </c>
      <c r="N30" s="180">
        <f t="shared" si="0"/>
        <v>8165.4260213980306</v>
      </c>
      <c r="O30" s="180">
        <f t="shared" si="1"/>
        <v>37</v>
      </c>
      <c r="P30" s="395"/>
      <c r="Q30" s="395"/>
      <c r="R30" s="487"/>
      <c r="S30" s="183"/>
      <c r="T30" s="230"/>
      <c r="U30" s="229"/>
      <c r="V30" s="231"/>
      <c r="W30" s="231"/>
      <c r="X30" s="231"/>
      <c r="Y30" s="231"/>
      <c r="Z30" s="231"/>
      <c r="AA30" s="231"/>
      <c r="AB30" s="231"/>
      <c r="AC30" s="345"/>
      <c r="AD30" s="132"/>
      <c r="AE30" s="132"/>
      <c r="AF30" s="132"/>
      <c r="AG30" s="232"/>
      <c r="AH30" s="132"/>
      <c r="AI30" s="132"/>
      <c r="AJ30" s="249"/>
      <c r="AK30" s="132"/>
      <c r="AL30" s="249"/>
      <c r="AM30" s="132"/>
      <c r="AN30" s="132"/>
      <c r="AO30" s="132"/>
      <c r="AP30" s="132"/>
      <c r="AQ30" s="132"/>
      <c r="AR30" s="132"/>
      <c r="AS30" s="132"/>
      <c r="AT30" s="132"/>
      <c r="AU30" s="132"/>
      <c r="AV30" s="231"/>
      <c r="AW30" s="231"/>
      <c r="AX30" s="231"/>
      <c r="AY30" s="231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231"/>
      <c r="CB30" s="233"/>
      <c r="CC30" s="233"/>
      <c r="CD30" s="231"/>
      <c r="CE30" s="231"/>
      <c r="CF30" s="233"/>
      <c r="CG30" s="233"/>
      <c r="CH30" s="231"/>
      <c r="CI30" s="231"/>
      <c r="CJ30" s="233"/>
      <c r="CK30" s="233"/>
      <c r="CL30" s="231"/>
      <c r="CM30" s="231"/>
      <c r="CN30" s="231"/>
      <c r="CO30" s="233"/>
      <c r="CP30" s="233"/>
      <c r="CQ30" s="144"/>
      <c r="CR30" s="231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</row>
    <row r="31" spans="1:115" s="234" customFormat="1" ht="18" hidden="1" outlineLevel="1" x14ac:dyDescent="0.3">
      <c r="A31" s="227"/>
      <c r="B31" s="131">
        <v>18</v>
      </c>
      <c r="C31" s="228" t="s">
        <v>339</v>
      </c>
      <c r="D31" s="452">
        <f t="shared" si="3"/>
        <v>60000</v>
      </c>
      <c r="E31" s="465"/>
      <c r="F31" s="310"/>
      <c r="G31" s="430"/>
      <c r="H31" s="413"/>
      <c r="I31" s="39"/>
      <c r="J31" s="39"/>
      <c r="K31" s="39"/>
      <c r="L31" s="132" t="s">
        <v>91</v>
      </c>
      <c r="M31" s="235">
        <v>18</v>
      </c>
      <c r="N31" s="180">
        <f t="shared" si="0"/>
        <v>5075.2297309241258</v>
      </c>
      <c r="O31" s="180">
        <f t="shared" si="1"/>
        <v>23</v>
      </c>
      <c r="P31" s="395"/>
      <c r="Q31" s="395"/>
      <c r="R31" s="487"/>
      <c r="S31" s="183"/>
      <c r="T31" s="230"/>
      <c r="U31" s="229"/>
      <c r="V31" s="231"/>
      <c r="W31" s="231"/>
      <c r="X31" s="231"/>
      <c r="Y31" s="231"/>
      <c r="Z31" s="231"/>
      <c r="AA31" s="231"/>
      <c r="AB31" s="231"/>
      <c r="AC31" s="345"/>
      <c r="AD31" s="132"/>
      <c r="AE31" s="132"/>
      <c r="AF31" s="132"/>
      <c r="AG31" s="232"/>
      <c r="AH31" s="132"/>
      <c r="AI31" s="132"/>
      <c r="AJ31" s="249"/>
      <c r="AK31" s="132"/>
      <c r="AL31" s="249"/>
      <c r="AM31" s="132"/>
      <c r="AN31" s="132"/>
      <c r="AO31" s="132"/>
      <c r="AP31" s="132"/>
      <c r="AQ31" s="132"/>
      <c r="AR31" s="132"/>
      <c r="AS31" s="132"/>
      <c r="AT31" s="132"/>
      <c r="AU31" s="132"/>
      <c r="AV31" s="231"/>
      <c r="AW31" s="231"/>
      <c r="AX31" s="231"/>
      <c r="AY31" s="231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231"/>
      <c r="CB31" s="233"/>
      <c r="CC31" s="233"/>
      <c r="CD31" s="231"/>
      <c r="CE31" s="231"/>
      <c r="CF31" s="233"/>
      <c r="CG31" s="233"/>
      <c r="CH31" s="231"/>
      <c r="CI31" s="231"/>
      <c r="CJ31" s="233"/>
      <c r="CK31" s="233"/>
      <c r="CL31" s="231"/>
      <c r="CM31" s="231"/>
      <c r="CN31" s="231"/>
      <c r="CO31" s="233"/>
      <c r="CP31" s="233"/>
      <c r="CQ31" s="144"/>
      <c r="CR31" s="231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</row>
    <row r="32" spans="1:115" s="234" customFormat="1" ht="18" hidden="1" outlineLevel="1" x14ac:dyDescent="0.3">
      <c r="A32" s="227"/>
      <c r="B32" s="131">
        <v>19</v>
      </c>
      <c r="C32" s="228"/>
      <c r="D32" s="452">
        <f t="shared" si="3"/>
        <v>62000</v>
      </c>
      <c r="E32" s="465"/>
      <c r="F32" s="310"/>
      <c r="G32" s="430"/>
      <c r="H32" s="413"/>
      <c r="I32" s="39"/>
      <c r="J32" s="39"/>
      <c r="K32" s="39"/>
      <c r="L32" s="132" t="s">
        <v>94</v>
      </c>
      <c r="M32" s="235">
        <v>19</v>
      </c>
      <c r="N32" s="180">
        <f t="shared" si="0"/>
        <v>6599.8101831985841</v>
      </c>
      <c r="O32" s="180">
        <f t="shared" si="1"/>
        <v>30</v>
      </c>
      <c r="P32" s="395"/>
      <c r="Q32" s="395"/>
      <c r="R32" s="487"/>
      <c r="S32" s="183"/>
      <c r="T32" s="230"/>
      <c r="U32" s="229"/>
      <c r="V32" s="231"/>
      <c r="W32" s="231"/>
      <c r="X32" s="231"/>
      <c r="Y32" s="231"/>
      <c r="Z32" s="231"/>
      <c r="AA32" s="231"/>
      <c r="AB32" s="231"/>
      <c r="AC32" s="345"/>
      <c r="AD32" s="132"/>
      <c r="AE32" s="132"/>
      <c r="AF32" s="132"/>
      <c r="AG32" s="232"/>
      <c r="AH32" s="132"/>
      <c r="AI32" s="132"/>
      <c r="AJ32" s="249"/>
      <c r="AK32" s="132"/>
      <c r="AL32" s="249"/>
      <c r="AM32" s="132"/>
      <c r="AN32" s="132"/>
      <c r="AO32" s="132"/>
      <c r="AP32" s="132"/>
      <c r="AQ32" s="132"/>
      <c r="AR32" s="132"/>
      <c r="AS32" s="132"/>
      <c r="AT32" s="132"/>
      <c r="AU32" s="132"/>
      <c r="AV32" s="231"/>
      <c r="AW32" s="231"/>
      <c r="AX32" s="231"/>
      <c r="AY32" s="231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231"/>
      <c r="CB32" s="233"/>
      <c r="CC32" s="233"/>
      <c r="CD32" s="231"/>
      <c r="CE32" s="231"/>
      <c r="CF32" s="233"/>
      <c r="CG32" s="233"/>
      <c r="CH32" s="231"/>
      <c r="CI32" s="231"/>
      <c r="CJ32" s="233"/>
      <c r="CK32" s="233"/>
      <c r="CL32" s="231"/>
      <c r="CM32" s="231"/>
      <c r="CN32" s="231"/>
      <c r="CO32" s="233"/>
      <c r="CP32" s="233"/>
      <c r="CQ32" s="144"/>
      <c r="CR32" s="231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</row>
    <row r="33" spans="1:115" s="234" customFormat="1" ht="18" hidden="1" outlineLevel="1" x14ac:dyDescent="0.3">
      <c r="A33" s="227"/>
      <c r="B33" s="131">
        <v>20</v>
      </c>
      <c r="C33" s="228"/>
      <c r="D33" s="452">
        <f t="shared" si="3"/>
        <v>64000</v>
      </c>
      <c r="E33" s="465"/>
      <c r="F33" s="310"/>
      <c r="G33" s="430"/>
      <c r="H33" s="413"/>
      <c r="I33" s="39"/>
      <c r="J33" s="39"/>
      <c r="K33" s="39"/>
      <c r="L33" s="132" t="s">
        <v>92</v>
      </c>
      <c r="M33" s="235">
        <v>20</v>
      </c>
      <c r="N33" s="180">
        <f t="shared" si="0"/>
        <v>6606.0747066781623</v>
      </c>
      <c r="O33" s="180">
        <f t="shared" si="1"/>
        <v>30</v>
      </c>
      <c r="P33" s="395"/>
      <c r="Q33" s="395"/>
      <c r="R33" s="487"/>
      <c r="S33" s="183"/>
      <c r="T33" s="230"/>
      <c r="U33" s="229"/>
      <c r="V33" s="231"/>
      <c r="W33" s="231"/>
      <c r="X33" s="231"/>
      <c r="Y33" s="231"/>
      <c r="Z33" s="231"/>
      <c r="AA33" s="231"/>
      <c r="AB33" s="231"/>
      <c r="AC33" s="345"/>
      <c r="AD33" s="132"/>
      <c r="AE33" s="132"/>
      <c r="AF33" s="132"/>
      <c r="AG33" s="232"/>
      <c r="AH33" s="132"/>
      <c r="AI33" s="132"/>
      <c r="AJ33" s="249"/>
      <c r="AK33" s="132"/>
      <c r="AL33" s="249"/>
      <c r="AM33" s="132"/>
      <c r="AN33" s="132"/>
      <c r="AO33" s="132"/>
      <c r="AP33" s="132"/>
      <c r="AQ33" s="132"/>
      <c r="AR33" s="132"/>
      <c r="AS33" s="132"/>
      <c r="AT33" s="132"/>
      <c r="AU33" s="132"/>
      <c r="AV33" s="231"/>
      <c r="AW33" s="231"/>
      <c r="AX33" s="231"/>
      <c r="AY33" s="231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231"/>
      <c r="CB33" s="233"/>
      <c r="CC33" s="233"/>
      <c r="CD33" s="231"/>
      <c r="CE33" s="231"/>
      <c r="CF33" s="233"/>
      <c r="CG33" s="233"/>
      <c r="CH33" s="231"/>
      <c r="CI33" s="231"/>
      <c r="CJ33" s="233"/>
      <c r="CK33" s="233"/>
      <c r="CL33" s="231"/>
      <c r="CM33" s="231"/>
      <c r="CN33" s="231"/>
      <c r="CO33" s="233"/>
      <c r="CP33" s="233"/>
      <c r="CQ33" s="144"/>
      <c r="CR33" s="231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</row>
    <row r="34" spans="1:115" s="234" customFormat="1" ht="18" hidden="1" outlineLevel="1" x14ac:dyDescent="0.3">
      <c r="A34" s="227"/>
      <c r="B34" s="131">
        <v>21</v>
      </c>
      <c r="C34" s="228"/>
      <c r="D34" s="452">
        <f t="shared" si="3"/>
        <v>66000</v>
      </c>
      <c r="E34" s="465"/>
      <c r="F34" s="310"/>
      <c r="G34" s="430"/>
      <c r="H34" s="413"/>
      <c r="I34" s="39"/>
      <c r="J34" s="39"/>
      <c r="K34" s="39"/>
      <c r="L34" s="132" t="s">
        <v>93</v>
      </c>
      <c r="M34" s="235">
        <v>21</v>
      </c>
      <c r="N34" s="180">
        <f t="shared" si="0"/>
        <v>13219.846420630041</v>
      </c>
      <c r="O34" s="180">
        <f t="shared" si="1"/>
        <v>60</v>
      </c>
      <c r="P34" s="395"/>
      <c r="Q34" s="395"/>
      <c r="R34" s="487"/>
      <c r="S34" s="183"/>
      <c r="T34" s="230"/>
      <c r="U34" s="229"/>
      <c r="V34" s="231"/>
      <c r="W34" s="231"/>
      <c r="X34" s="231"/>
      <c r="Y34" s="231"/>
      <c r="Z34" s="231"/>
      <c r="AA34" s="231"/>
      <c r="AB34" s="231"/>
      <c r="AC34" s="345"/>
      <c r="AD34" s="132"/>
      <c r="AE34" s="132"/>
      <c r="AF34" s="132"/>
      <c r="AG34" s="232"/>
      <c r="AH34" s="132"/>
      <c r="AI34" s="132"/>
      <c r="AJ34" s="249"/>
      <c r="AK34" s="132"/>
      <c r="AL34" s="249"/>
      <c r="AM34" s="132"/>
      <c r="AN34" s="132"/>
      <c r="AO34" s="132"/>
      <c r="AP34" s="132"/>
      <c r="AQ34" s="132"/>
      <c r="AR34" s="132"/>
      <c r="AS34" s="132"/>
      <c r="AT34" s="132"/>
      <c r="AU34" s="132"/>
      <c r="AV34" s="231"/>
      <c r="AW34" s="231"/>
      <c r="AX34" s="231"/>
      <c r="AY34" s="231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231"/>
      <c r="CB34" s="233"/>
      <c r="CC34" s="233"/>
      <c r="CD34" s="231"/>
      <c r="CE34" s="231"/>
      <c r="CF34" s="233"/>
      <c r="CG34" s="233"/>
      <c r="CH34" s="231"/>
      <c r="CI34" s="231"/>
      <c r="CJ34" s="233"/>
      <c r="CK34" s="233"/>
      <c r="CL34" s="231"/>
      <c r="CM34" s="231"/>
      <c r="CN34" s="231"/>
      <c r="CO34" s="233"/>
      <c r="CP34" s="233"/>
      <c r="CQ34" s="144"/>
      <c r="CR34" s="231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</row>
    <row r="35" spans="1:115" s="234" customFormat="1" ht="18" hidden="1" outlineLevel="1" x14ac:dyDescent="0.3">
      <c r="A35" s="227"/>
      <c r="B35" s="131">
        <v>22</v>
      </c>
      <c r="C35" s="228"/>
      <c r="D35" s="452">
        <f t="shared" si="3"/>
        <v>68000</v>
      </c>
      <c r="E35" s="465"/>
      <c r="F35" s="310"/>
      <c r="G35" s="430"/>
      <c r="H35" s="413"/>
      <c r="I35" s="39"/>
      <c r="J35" s="229"/>
      <c r="K35" s="229"/>
      <c r="L35" s="229"/>
      <c r="M35" s="229"/>
      <c r="N35" s="229"/>
      <c r="O35" s="229"/>
      <c r="P35" s="396"/>
      <c r="Q35" s="396"/>
      <c r="R35" s="488"/>
      <c r="S35" s="183"/>
      <c r="T35" s="230"/>
      <c r="U35" s="229"/>
      <c r="V35" s="231"/>
      <c r="W35" s="231"/>
      <c r="X35" s="231"/>
      <c r="Y35" s="231"/>
      <c r="Z35" s="231"/>
      <c r="AA35" s="231"/>
      <c r="AB35" s="231"/>
      <c r="AC35" s="345"/>
      <c r="AD35" s="132"/>
      <c r="AE35" s="132"/>
      <c r="AF35" s="132"/>
      <c r="AG35" s="232"/>
      <c r="AH35" s="132"/>
      <c r="AI35" s="132"/>
      <c r="AJ35" s="249"/>
      <c r="AK35" s="132"/>
      <c r="AL35" s="249"/>
      <c r="AM35" s="132"/>
      <c r="AN35" s="132"/>
      <c r="AO35" s="132"/>
      <c r="AP35" s="132"/>
      <c r="AQ35" s="132"/>
      <c r="AR35" s="132"/>
      <c r="AS35" s="132"/>
      <c r="AT35" s="132"/>
      <c r="AU35" s="97"/>
      <c r="AV35" s="132"/>
      <c r="AW35" s="231"/>
      <c r="AX35" s="231"/>
      <c r="AY35" s="96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231"/>
      <c r="CB35" s="233"/>
      <c r="CC35" s="233"/>
      <c r="CD35" s="231"/>
      <c r="CE35" s="231"/>
      <c r="CF35" s="233"/>
      <c r="CG35" s="233"/>
      <c r="CH35" s="231"/>
      <c r="CI35" s="231"/>
      <c r="CJ35" s="233"/>
      <c r="CK35" s="233"/>
      <c r="CL35" s="231"/>
      <c r="CM35" s="231"/>
      <c r="CN35" s="231"/>
      <c r="CO35" s="233"/>
      <c r="CP35" s="233"/>
      <c r="CQ35" s="144"/>
      <c r="CR35" s="231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</row>
    <row r="36" spans="1:115" s="93" customFormat="1" ht="40.5" collapsed="1" x14ac:dyDescent="0.25">
      <c r="A36" s="186"/>
      <c r="B36" s="179"/>
      <c r="C36" s="358" t="s">
        <v>309</v>
      </c>
      <c r="D36" s="453" t="s">
        <v>225</v>
      </c>
      <c r="E36" s="478" t="s">
        <v>273</v>
      </c>
      <c r="F36" s="378">
        <v>605</v>
      </c>
      <c r="G36" s="431"/>
      <c r="H36" s="414"/>
      <c r="I36" s="221" t="s">
        <v>211</v>
      </c>
      <c r="J36" s="221" t="s">
        <v>211</v>
      </c>
      <c r="K36" s="221" t="s">
        <v>211</v>
      </c>
      <c r="L36" s="178" t="s">
        <v>1</v>
      </c>
      <c r="M36" s="178" t="s">
        <v>1</v>
      </c>
      <c r="N36" s="178" t="s">
        <v>1</v>
      </c>
      <c r="O36" s="178" t="s">
        <v>1</v>
      </c>
      <c r="P36" s="397">
        <v>90</v>
      </c>
      <c r="Q36" s="510">
        <v>90</v>
      </c>
      <c r="R36" s="489" t="s">
        <v>294</v>
      </c>
      <c r="S36" s="183"/>
      <c r="T36" s="167" t="s">
        <v>1</v>
      </c>
      <c r="U36" s="70"/>
      <c r="V36" s="70"/>
      <c r="W36" s="70"/>
      <c r="X36" s="70"/>
      <c r="Y36" s="70"/>
      <c r="Z36" s="88"/>
      <c r="AA36" s="88"/>
      <c r="AB36" s="88"/>
      <c r="AC36" s="346"/>
      <c r="AD36" s="66"/>
      <c r="AE36" s="66"/>
      <c r="AF36" s="66"/>
      <c r="AG36" s="66"/>
      <c r="AH36" s="66"/>
      <c r="AI36" s="66"/>
      <c r="AJ36" s="248"/>
      <c r="AK36" s="66"/>
      <c r="AL36" s="248"/>
      <c r="AM36" s="66"/>
      <c r="AN36" s="66"/>
      <c r="AO36" s="66"/>
      <c r="AP36" s="66"/>
      <c r="AQ36" s="66"/>
      <c r="AR36" s="66"/>
      <c r="AS36" s="66"/>
      <c r="AT36" s="66"/>
      <c r="AU36" s="97"/>
      <c r="AV36" s="66"/>
      <c r="AW36" s="88"/>
      <c r="AX36" s="88"/>
      <c r="AY36" s="98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92"/>
      <c r="CR36" s="88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  <c r="DE36" s="186"/>
      <c r="DF36" s="186"/>
      <c r="DG36" s="186"/>
      <c r="DH36" s="186"/>
      <c r="DI36" s="186"/>
      <c r="DJ36" s="186"/>
      <c r="DK36" s="186"/>
    </row>
    <row r="37" spans="1:115" s="93" customFormat="1" ht="27.75" collapsed="1" x14ac:dyDescent="0.25">
      <c r="A37" s="186"/>
      <c r="B37" s="311" t="str">
        <f>IF(B36="x","x","")</f>
        <v/>
      </c>
      <c r="C37" s="358" t="s">
        <v>330</v>
      </c>
      <c r="D37" s="454" t="s">
        <v>329</v>
      </c>
      <c r="E37" s="469" t="s">
        <v>2</v>
      </c>
      <c r="F37" s="383">
        <v>84</v>
      </c>
      <c r="G37" s="519" t="s">
        <v>307</v>
      </c>
      <c r="H37" s="414"/>
      <c r="I37" s="221" t="s">
        <v>211</v>
      </c>
      <c r="J37" s="221" t="s">
        <v>211</v>
      </c>
      <c r="K37" s="221" t="s">
        <v>211</v>
      </c>
      <c r="L37" s="178" t="s">
        <v>1</v>
      </c>
      <c r="M37" s="178" t="s">
        <v>1</v>
      </c>
      <c r="N37" s="178" t="s">
        <v>1</v>
      </c>
      <c r="O37" s="178" t="s">
        <v>1</v>
      </c>
      <c r="P37" s="397" t="s">
        <v>214</v>
      </c>
      <c r="Q37" s="509">
        <f>F37*$X$38</f>
        <v>19.09090909090909</v>
      </c>
      <c r="R37" s="489" t="s">
        <v>292</v>
      </c>
      <c r="S37" s="183"/>
      <c r="T37" s="167" t="s">
        <v>1</v>
      </c>
      <c r="U37" s="70"/>
      <c r="V37" s="70" t="s">
        <v>291</v>
      </c>
      <c r="W37" s="70"/>
      <c r="X37" s="70"/>
      <c r="Y37" s="70"/>
      <c r="Z37" s="88"/>
      <c r="AA37" s="88"/>
      <c r="AB37" s="88"/>
      <c r="AC37" s="346"/>
      <c r="AD37" s="66"/>
      <c r="AE37" s="66"/>
      <c r="AF37" s="66"/>
      <c r="AG37" s="66"/>
      <c r="AH37" s="66"/>
      <c r="AI37" s="66"/>
      <c r="AJ37" s="248"/>
      <c r="AK37" s="66"/>
      <c r="AL37" s="248"/>
      <c r="AM37" s="66"/>
      <c r="AN37" s="66"/>
      <c r="AO37" s="66"/>
      <c r="AP37" s="66"/>
      <c r="AQ37" s="66"/>
      <c r="AR37" s="66"/>
      <c r="AS37" s="66"/>
      <c r="AT37" s="66"/>
      <c r="AU37" s="97"/>
      <c r="AV37" s="66"/>
      <c r="AW37" s="88"/>
      <c r="AX37" s="88"/>
      <c r="AY37" s="98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92"/>
      <c r="CR37" s="88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</row>
    <row r="38" spans="1:115" s="93" customFormat="1" ht="160.5" collapsed="1" x14ac:dyDescent="0.25">
      <c r="A38" s="186"/>
      <c r="B38" s="179"/>
      <c r="C38" s="358" t="s">
        <v>308</v>
      </c>
      <c r="D38" s="453" t="s">
        <v>295</v>
      </c>
      <c r="E38" s="480" t="s">
        <v>275</v>
      </c>
      <c r="F38" s="378">
        <v>220</v>
      </c>
      <c r="G38" s="431"/>
      <c r="H38" s="414">
        <v>8</v>
      </c>
      <c r="I38" s="221" t="s">
        <v>211</v>
      </c>
      <c r="J38" s="221" t="s">
        <v>211</v>
      </c>
      <c r="K38" s="221" t="s">
        <v>211</v>
      </c>
      <c r="L38" s="178" t="s">
        <v>1</v>
      </c>
      <c r="M38" s="178" t="s">
        <v>1</v>
      </c>
      <c r="N38" s="178" t="s">
        <v>1</v>
      </c>
      <c r="O38" s="178" t="s">
        <v>1</v>
      </c>
      <c r="P38" s="397">
        <v>65</v>
      </c>
      <c r="Q38" s="510">
        <v>65</v>
      </c>
      <c r="R38" s="489" t="s">
        <v>294</v>
      </c>
      <c r="S38" s="183"/>
      <c r="T38" s="167" t="s">
        <v>1</v>
      </c>
      <c r="U38" s="70"/>
      <c r="V38" s="508">
        <v>50</v>
      </c>
      <c r="W38" s="70">
        <v>220</v>
      </c>
      <c r="X38" s="348">
        <f>V38/W38</f>
        <v>0.22727272727272727</v>
      </c>
      <c r="Y38" s="70"/>
      <c r="Z38" s="88"/>
      <c r="AA38" s="88"/>
      <c r="AB38" s="88"/>
      <c r="AC38" s="346"/>
      <c r="AD38" s="66"/>
      <c r="AE38" s="66"/>
      <c r="AF38" s="66"/>
      <c r="AG38" s="66"/>
      <c r="AH38" s="66"/>
      <c r="AI38" s="66"/>
      <c r="AJ38" s="248"/>
      <c r="AK38" s="66"/>
      <c r="AL38" s="248"/>
      <c r="AM38" s="66"/>
      <c r="AN38" s="66"/>
      <c r="AO38" s="66"/>
      <c r="AP38" s="66"/>
      <c r="AQ38" s="66"/>
      <c r="AR38" s="66"/>
      <c r="AS38" s="66"/>
      <c r="AT38" s="66"/>
      <c r="AU38" s="97"/>
      <c r="AV38" s="66"/>
      <c r="AW38" s="88"/>
      <c r="AX38" s="88"/>
      <c r="AY38" s="98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92"/>
      <c r="CR38" s="88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</row>
    <row r="39" spans="1:115" s="93" customFormat="1" ht="27.75" collapsed="1" x14ac:dyDescent="0.25">
      <c r="A39" s="186"/>
      <c r="B39" s="311" t="str">
        <f>IF(B38="x","x","")</f>
        <v/>
      </c>
      <c r="C39" s="358" t="s">
        <v>340</v>
      </c>
      <c r="D39" s="454" t="s">
        <v>342</v>
      </c>
      <c r="E39" s="469" t="s">
        <v>2</v>
      </c>
      <c r="F39" s="383">
        <v>37</v>
      </c>
      <c r="G39" s="431"/>
      <c r="H39" s="414"/>
      <c r="I39" s="221" t="s">
        <v>211</v>
      </c>
      <c r="J39" s="221" t="s">
        <v>211</v>
      </c>
      <c r="K39" s="221" t="s">
        <v>211</v>
      </c>
      <c r="L39" s="178" t="s">
        <v>1</v>
      </c>
      <c r="M39" s="178" t="s">
        <v>1</v>
      </c>
      <c r="N39" s="178" t="s">
        <v>1</v>
      </c>
      <c r="O39" s="178" t="s">
        <v>1</v>
      </c>
      <c r="P39" s="397" t="s">
        <v>214</v>
      </c>
      <c r="Q39" s="509">
        <f>F39*$X$38</f>
        <v>8.4090909090909083</v>
      </c>
      <c r="R39" s="489" t="s">
        <v>293</v>
      </c>
      <c r="S39" s="183"/>
      <c r="T39" s="167" t="s">
        <v>1</v>
      </c>
      <c r="U39" s="70"/>
      <c r="V39" s="70"/>
      <c r="W39" s="70"/>
      <c r="X39" s="70"/>
      <c r="Y39" s="70"/>
      <c r="Z39" s="88"/>
      <c r="AA39" s="88"/>
      <c r="AB39" s="88"/>
      <c r="AC39" s="346"/>
      <c r="AD39" s="66"/>
      <c r="AE39" s="66"/>
      <c r="AF39" s="66"/>
      <c r="AG39" s="66"/>
      <c r="AH39" s="66"/>
      <c r="AI39" s="66"/>
      <c r="AJ39" s="248"/>
      <c r="AK39" s="66"/>
      <c r="AL39" s="248"/>
      <c r="AM39" s="66"/>
      <c r="AN39" s="66"/>
      <c r="AO39" s="66"/>
      <c r="AP39" s="66"/>
      <c r="AQ39" s="66"/>
      <c r="AR39" s="66"/>
      <c r="AS39" s="66"/>
      <c r="AT39" s="66"/>
      <c r="AU39" s="97"/>
      <c r="AV39" s="66"/>
      <c r="AW39" s="88"/>
      <c r="AX39" s="88"/>
      <c r="AY39" s="98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92"/>
      <c r="CR39" s="88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</row>
    <row r="40" spans="1:115" ht="27.75" x14ac:dyDescent="0.25">
      <c r="B40" s="179"/>
      <c r="C40" s="358" t="s">
        <v>326</v>
      </c>
      <c r="D40" s="454" t="s">
        <v>215</v>
      </c>
      <c r="E40" s="480" t="s">
        <v>273</v>
      </c>
      <c r="F40" s="379">
        <v>55</v>
      </c>
      <c r="G40" s="431">
        <v>1</v>
      </c>
      <c r="H40" s="414"/>
      <c r="I40" s="221" t="s">
        <v>211</v>
      </c>
      <c r="J40" s="178" t="s">
        <v>1</v>
      </c>
      <c r="K40" s="221" t="s">
        <v>211</v>
      </c>
      <c r="L40" s="221" t="s">
        <v>211</v>
      </c>
      <c r="M40" s="178" t="s">
        <v>1</v>
      </c>
      <c r="N40" s="178" t="s">
        <v>1</v>
      </c>
      <c r="O40" s="178" t="s">
        <v>1</v>
      </c>
      <c r="P40" s="397">
        <v>25</v>
      </c>
      <c r="Q40" s="509">
        <v>25</v>
      </c>
      <c r="R40" s="489" t="s">
        <v>294</v>
      </c>
      <c r="S40" s="183"/>
      <c r="T40" s="167" t="s">
        <v>1</v>
      </c>
      <c r="U40" s="70"/>
      <c r="V40" s="70"/>
      <c r="W40" s="70"/>
      <c r="X40" s="70"/>
      <c r="Y40" s="70"/>
      <c r="AD40" s="66"/>
      <c r="AE40" s="66"/>
      <c r="AF40" s="66"/>
      <c r="AG40" s="66"/>
      <c r="AI40" s="66"/>
      <c r="AJ40" s="248"/>
      <c r="AK40" s="66"/>
      <c r="AL40" s="248"/>
      <c r="AM40" s="66"/>
      <c r="AN40" s="66"/>
      <c r="AO40" s="66"/>
      <c r="AP40" s="66"/>
      <c r="AQ40" s="66"/>
      <c r="AR40" s="66"/>
      <c r="AS40" s="66"/>
      <c r="AT40" s="66"/>
      <c r="AU40" s="97"/>
      <c r="AW40" s="88"/>
      <c r="CB40" s="43"/>
      <c r="CC40" s="43"/>
      <c r="CF40" s="43"/>
      <c r="CG40" s="43"/>
      <c r="CJ40" s="43"/>
      <c r="CK40" s="43"/>
      <c r="CO40" s="43"/>
      <c r="CP40" s="43"/>
    </row>
    <row r="41" spans="1:115" ht="27.75" x14ac:dyDescent="0.25">
      <c r="B41" s="179"/>
      <c r="C41" s="358" t="s">
        <v>327</v>
      </c>
      <c r="D41" s="454" t="s">
        <v>215</v>
      </c>
      <c r="E41" s="480" t="s">
        <v>274</v>
      </c>
      <c r="F41" s="379">
        <v>55</v>
      </c>
      <c r="G41" s="431">
        <v>1</v>
      </c>
      <c r="H41" s="414"/>
      <c r="I41" s="221" t="s">
        <v>211</v>
      </c>
      <c r="J41" s="178" t="s">
        <v>1</v>
      </c>
      <c r="K41" s="221" t="s">
        <v>211</v>
      </c>
      <c r="L41" s="221" t="s">
        <v>211</v>
      </c>
      <c r="M41" s="178" t="s">
        <v>1</v>
      </c>
      <c r="N41" s="178" t="s">
        <v>1</v>
      </c>
      <c r="O41" s="178" t="s">
        <v>1</v>
      </c>
      <c r="P41" s="397">
        <v>25</v>
      </c>
      <c r="Q41" s="509">
        <v>25</v>
      </c>
      <c r="R41" s="489" t="s">
        <v>294</v>
      </c>
      <c r="S41" s="183"/>
      <c r="T41" s="167" t="s">
        <v>1</v>
      </c>
      <c r="U41" s="70"/>
      <c r="V41" s="70"/>
      <c r="W41" s="70"/>
      <c r="X41" s="70"/>
      <c r="Y41" s="70"/>
      <c r="AD41" s="66"/>
      <c r="AE41" s="66"/>
      <c r="AF41" s="66"/>
      <c r="AG41" s="66"/>
      <c r="AI41" s="66"/>
      <c r="AJ41" s="248"/>
      <c r="AK41" s="66"/>
      <c r="AL41" s="248"/>
      <c r="AM41" s="66"/>
      <c r="AN41" s="66"/>
      <c r="AO41" s="66"/>
      <c r="AP41" s="66"/>
      <c r="AQ41" s="66"/>
      <c r="AR41" s="66"/>
      <c r="AS41" s="66"/>
      <c r="AT41" s="66"/>
      <c r="AU41" s="97"/>
      <c r="AW41" s="88"/>
      <c r="CB41" s="43"/>
      <c r="CC41" s="43"/>
      <c r="CF41" s="43"/>
      <c r="CG41" s="43"/>
      <c r="CJ41" s="43"/>
      <c r="CK41" s="43"/>
      <c r="CO41" s="43"/>
      <c r="CP41" s="43"/>
    </row>
    <row r="42" spans="1:115" s="93" customFormat="1" ht="18" x14ac:dyDescent="0.25">
      <c r="A42" s="186"/>
      <c r="B42" s="179"/>
      <c r="C42" s="315" t="s">
        <v>343</v>
      </c>
      <c r="D42" s="454" t="s">
        <v>344</v>
      </c>
      <c r="E42" s="469" t="s">
        <v>2</v>
      </c>
      <c r="F42" s="380"/>
      <c r="G42" s="432"/>
      <c r="H42" s="415"/>
      <c r="I42" s="178" t="s">
        <v>1</v>
      </c>
      <c r="J42" s="178" t="s">
        <v>1</v>
      </c>
      <c r="K42" s="178" t="s">
        <v>1</v>
      </c>
      <c r="L42" s="178" t="s">
        <v>1</v>
      </c>
      <c r="M42" s="178" t="s">
        <v>1</v>
      </c>
      <c r="N42" s="178" t="s">
        <v>1</v>
      </c>
      <c r="O42" s="178" t="s">
        <v>1</v>
      </c>
      <c r="P42" s="397" t="s">
        <v>214</v>
      </c>
      <c r="Q42" s="509" t="s">
        <v>214</v>
      </c>
      <c r="R42" s="489" t="s">
        <v>243</v>
      </c>
      <c r="S42" s="183"/>
      <c r="T42" s="167" t="s">
        <v>1</v>
      </c>
      <c r="U42" s="70"/>
      <c r="V42" s="70"/>
      <c r="W42" s="70"/>
      <c r="X42" s="70"/>
      <c r="Y42" s="70"/>
      <c r="Z42" s="90"/>
      <c r="AA42" s="88"/>
      <c r="AB42" s="88"/>
      <c r="AC42" s="348"/>
      <c r="AD42" s="66"/>
      <c r="AE42" s="94"/>
      <c r="AF42" s="66"/>
      <c r="AG42" s="66"/>
      <c r="AH42" s="66"/>
      <c r="AI42" s="66"/>
      <c r="AJ42" s="248"/>
      <c r="AK42" s="66"/>
      <c r="AL42" s="248"/>
      <c r="AM42" s="66"/>
      <c r="AN42" s="66"/>
      <c r="AO42" s="66"/>
      <c r="AP42" s="66"/>
      <c r="AQ42" s="66"/>
      <c r="AR42" s="66"/>
      <c r="AS42" s="66"/>
      <c r="AT42" s="66"/>
      <c r="AU42" s="97"/>
      <c r="AV42" s="66"/>
      <c r="AW42" s="88"/>
      <c r="AX42" s="88"/>
      <c r="AY42" s="98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92"/>
      <c r="CR42" s="88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</row>
    <row r="43" spans="1:115" s="93" customFormat="1" ht="27.75" x14ac:dyDescent="0.25">
      <c r="A43" s="186"/>
      <c r="B43" s="531"/>
      <c r="C43" s="622" t="s">
        <v>345</v>
      </c>
      <c r="D43" s="532" t="s">
        <v>341</v>
      </c>
      <c r="E43" s="533" t="s">
        <v>2</v>
      </c>
      <c r="F43" s="534"/>
      <c r="G43" s="535"/>
      <c r="H43" s="536">
        <v>1</v>
      </c>
      <c r="I43" s="537" t="s">
        <v>1</v>
      </c>
      <c r="J43" s="537" t="s">
        <v>1</v>
      </c>
      <c r="K43" s="537" t="s">
        <v>1</v>
      </c>
      <c r="L43" s="537" t="s">
        <v>1</v>
      </c>
      <c r="M43" s="537" t="s">
        <v>1</v>
      </c>
      <c r="N43" s="537" t="s">
        <v>1</v>
      </c>
      <c r="O43" s="537" t="s">
        <v>1</v>
      </c>
      <c r="P43" s="538" t="s">
        <v>214</v>
      </c>
      <c r="Q43" s="539" t="s">
        <v>214</v>
      </c>
      <c r="R43" s="540" t="s">
        <v>243</v>
      </c>
      <c r="S43" s="183"/>
      <c r="T43" s="167" t="s">
        <v>1</v>
      </c>
      <c r="U43" s="70"/>
      <c r="V43" s="70"/>
      <c r="W43" s="70"/>
      <c r="X43" s="70"/>
      <c r="Y43" s="70"/>
      <c r="Z43" s="90"/>
      <c r="AA43" s="88"/>
      <c r="AB43" s="88"/>
      <c r="AC43" s="348"/>
      <c r="AD43" s="66"/>
      <c r="AE43" s="94"/>
      <c r="AF43" s="66"/>
      <c r="AG43" s="66"/>
      <c r="AH43" s="66"/>
      <c r="AI43" s="66"/>
      <c r="AJ43" s="248"/>
      <c r="AK43" s="66"/>
      <c r="AL43" s="248"/>
      <c r="AM43" s="66"/>
      <c r="AN43" s="66"/>
      <c r="AO43" s="66"/>
      <c r="AP43" s="66"/>
      <c r="AQ43" s="66"/>
      <c r="AR43" s="66"/>
      <c r="AS43" s="66"/>
      <c r="AT43" s="66"/>
      <c r="AU43" s="97"/>
      <c r="AV43" s="66"/>
      <c r="AW43" s="88"/>
      <c r="AX43" s="88"/>
      <c r="AY43" s="98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92"/>
      <c r="CR43" s="88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</row>
    <row r="44" spans="1:115" s="86" customFormat="1" ht="117" x14ac:dyDescent="0.25">
      <c r="A44" s="185"/>
      <c r="B44" s="236"/>
      <c r="C44" s="359" t="s">
        <v>296</v>
      </c>
      <c r="D44" s="455" t="s">
        <v>218</v>
      </c>
      <c r="E44" s="479" t="s">
        <v>271</v>
      </c>
      <c r="F44" s="381">
        <v>275</v>
      </c>
      <c r="G44" s="433">
        <v>4</v>
      </c>
      <c r="H44" s="416">
        <v>3</v>
      </c>
      <c r="I44" s="238" t="s">
        <v>211</v>
      </c>
      <c r="J44" s="238" t="s">
        <v>211</v>
      </c>
      <c r="K44" s="529" t="s">
        <v>1</v>
      </c>
      <c r="L44" s="238" t="s">
        <v>211</v>
      </c>
      <c r="M44" s="238" t="s">
        <v>211</v>
      </c>
      <c r="N44" s="529" t="s">
        <v>1</v>
      </c>
      <c r="O44" s="529" t="s">
        <v>1</v>
      </c>
      <c r="P44" s="398">
        <v>50</v>
      </c>
      <c r="Q44" s="399">
        <v>50</v>
      </c>
      <c r="R44" s="490" t="s">
        <v>302</v>
      </c>
      <c r="S44" s="183"/>
      <c r="T44" s="167" t="s">
        <v>1</v>
      </c>
      <c r="U44" s="70"/>
      <c r="V44" s="70"/>
      <c r="W44" s="70"/>
      <c r="X44" s="70"/>
      <c r="Y44" s="70"/>
      <c r="Z44" s="91"/>
      <c r="AA44" s="70"/>
      <c r="AB44" s="70"/>
      <c r="AC44" s="349"/>
      <c r="AD44" s="97"/>
      <c r="AE44" s="80"/>
      <c r="AF44" s="66"/>
      <c r="AG44" s="66"/>
      <c r="AH44" s="66"/>
      <c r="AI44" s="66"/>
      <c r="AJ44" s="248"/>
      <c r="AK44" s="66"/>
      <c r="AL44" s="248"/>
      <c r="AM44" s="66"/>
      <c r="AN44" s="66"/>
      <c r="AO44" s="66"/>
      <c r="AP44" s="66"/>
      <c r="AQ44" s="66"/>
      <c r="AR44" s="66"/>
      <c r="AS44" s="66"/>
      <c r="AT44" s="66"/>
      <c r="AU44" s="97"/>
      <c r="AV44" s="66"/>
      <c r="AW44" s="70"/>
      <c r="AX44" s="70"/>
      <c r="AY44" s="9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80"/>
      <c r="CR44" s="70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</row>
    <row r="45" spans="1:115" s="86" customFormat="1" ht="64.5" x14ac:dyDescent="0.25">
      <c r="A45" s="185"/>
      <c r="B45" s="236"/>
      <c r="C45" s="359" t="s">
        <v>267</v>
      </c>
      <c r="D45" s="455" t="s">
        <v>219</v>
      </c>
      <c r="E45" s="481" t="s">
        <v>279</v>
      </c>
      <c r="F45" s="381">
        <v>120</v>
      </c>
      <c r="G45" s="433">
        <v>1</v>
      </c>
      <c r="H45" s="416">
        <v>3</v>
      </c>
      <c r="I45" s="238" t="s">
        <v>211</v>
      </c>
      <c r="J45" s="238" t="s">
        <v>211</v>
      </c>
      <c r="K45" s="529" t="s">
        <v>1</v>
      </c>
      <c r="L45" s="238" t="s">
        <v>211</v>
      </c>
      <c r="M45" s="238" t="s">
        <v>211</v>
      </c>
      <c r="N45" s="529" t="s">
        <v>1</v>
      </c>
      <c r="O45" s="529" t="s">
        <v>1</v>
      </c>
      <c r="P45" s="398">
        <v>35</v>
      </c>
      <c r="Q45" s="399">
        <v>35</v>
      </c>
      <c r="R45" s="490" t="s">
        <v>303</v>
      </c>
      <c r="S45" s="183"/>
      <c r="T45" s="167" t="s">
        <v>1</v>
      </c>
      <c r="U45" s="70"/>
      <c r="V45" s="70"/>
      <c r="W45" s="70"/>
      <c r="X45" s="70"/>
      <c r="Y45" s="70"/>
      <c r="Z45" s="91"/>
      <c r="AA45" s="70"/>
      <c r="AB45" s="70"/>
      <c r="AC45" s="349"/>
      <c r="AD45" s="97"/>
      <c r="AE45" s="80"/>
      <c r="AF45" s="66"/>
      <c r="AG45" s="66"/>
      <c r="AH45" s="66"/>
      <c r="AI45" s="66"/>
      <c r="AJ45" s="248"/>
      <c r="AK45" s="66"/>
      <c r="AL45" s="248"/>
      <c r="AM45" s="66"/>
      <c r="AN45" s="66"/>
      <c r="AO45" s="66"/>
      <c r="AP45" s="66"/>
      <c r="AQ45" s="66"/>
      <c r="AR45" s="66"/>
      <c r="AS45" s="66"/>
      <c r="AT45" s="66"/>
      <c r="AU45" s="97"/>
      <c r="AV45" s="66"/>
      <c r="AW45" s="70"/>
      <c r="AX45" s="70"/>
      <c r="AY45" s="9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80"/>
      <c r="CR45" s="70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</row>
    <row r="46" spans="1:115" s="86" customFormat="1" ht="51.75" x14ac:dyDescent="0.25">
      <c r="A46" s="185"/>
      <c r="B46" s="236"/>
      <c r="C46" s="359" t="s">
        <v>268</v>
      </c>
      <c r="D46" s="455" t="s">
        <v>257</v>
      </c>
      <c r="E46" s="481" t="s">
        <v>279</v>
      </c>
      <c r="F46" s="381">
        <v>120</v>
      </c>
      <c r="G46" s="433">
        <v>1</v>
      </c>
      <c r="H46" s="416">
        <v>2</v>
      </c>
      <c r="I46" s="238" t="s">
        <v>211</v>
      </c>
      <c r="J46" s="238" t="s">
        <v>211</v>
      </c>
      <c r="K46" s="529" t="s">
        <v>1</v>
      </c>
      <c r="L46" s="238" t="s">
        <v>211</v>
      </c>
      <c r="M46" s="238" t="s">
        <v>211</v>
      </c>
      <c r="N46" s="529" t="s">
        <v>1</v>
      </c>
      <c r="O46" s="529" t="s">
        <v>1</v>
      </c>
      <c r="P46" s="398">
        <v>35</v>
      </c>
      <c r="Q46" s="399">
        <v>35</v>
      </c>
      <c r="R46" s="490" t="s">
        <v>303</v>
      </c>
      <c r="S46" s="183"/>
      <c r="T46" s="167" t="s">
        <v>1</v>
      </c>
      <c r="U46" s="70"/>
      <c r="V46" s="70"/>
      <c r="W46" s="70"/>
      <c r="X46" s="70"/>
      <c r="Y46" s="70"/>
      <c r="Z46" s="91"/>
      <c r="AA46" s="70"/>
      <c r="AB46" s="70"/>
      <c r="AC46" s="349"/>
      <c r="AD46" s="97"/>
      <c r="AE46" s="80"/>
      <c r="AF46" s="66"/>
      <c r="AG46" s="66"/>
      <c r="AH46" s="66"/>
      <c r="AI46" s="66"/>
      <c r="AJ46" s="248"/>
      <c r="AK46" s="66"/>
      <c r="AL46" s="248"/>
      <c r="AM46" s="66"/>
      <c r="AN46" s="66"/>
      <c r="AO46" s="66"/>
      <c r="AP46" s="66"/>
      <c r="AQ46" s="66"/>
      <c r="AR46" s="66"/>
      <c r="AS46" s="66"/>
      <c r="AT46" s="66"/>
      <c r="AU46" s="97"/>
      <c r="AV46" s="66"/>
      <c r="AW46" s="70"/>
      <c r="AX46" s="70"/>
      <c r="AY46" s="9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80"/>
      <c r="CR46" s="70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</row>
    <row r="47" spans="1:115" s="86" customFormat="1" ht="27.75" x14ac:dyDescent="0.25">
      <c r="A47" s="185"/>
      <c r="B47" s="236"/>
      <c r="C47" s="359" t="s">
        <v>263</v>
      </c>
      <c r="D47" s="455" t="s">
        <v>220</v>
      </c>
      <c r="E47" s="481" t="s">
        <v>279</v>
      </c>
      <c r="F47" s="381">
        <v>35</v>
      </c>
      <c r="G47" s="433">
        <v>0</v>
      </c>
      <c r="H47" s="416">
        <v>1</v>
      </c>
      <c r="I47" s="238" t="s">
        <v>211</v>
      </c>
      <c r="J47" s="238" t="s">
        <v>211</v>
      </c>
      <c r="K47" s="529" t="s">
        <v>1</v>
      </c>
      <c r="L47" s="238" t="s">
        <v>211</v>
      </c>
      <c r="M47" s="238" t="s">
        <v>211</v>
      </c>
      <c r="N47" s="529" t="s">
        <v>1</v>
      </c>
      <c r="O47" s="529" t="s">
        <v>1</v>
      </c>
      <c r="P47" s="398">
        <v>20</v>
      </c>
      <c r="Q47" s="399">
        <v>20</v>
      </c>
      <c r="R47" s="490" t="s">
        <v>269</v>
      </c>
      <c r="S47" s="183"/>
      <c r="T47" s="167" t="s">
        <v>1</v>
      </c>
      <c r="U47" s="70"/>
      <c r="V47" s="70"/>
      <c r="W47" s="70"/>
      <c r="X47" s="70"/>
      <c r="Y47" s="70"/>
      <c r="Z47" s="91"/>
      <c r="AA47" s="70"/>
      <c r="AB47" s="70"/>
      <c r="AC47" s="349"/>
      <c r="AD47" s="97"/>
      <c r="AE47" s="80"/>
      <c r="AF47" s="66"/>
      <c r="AG47" s="66"/>
      <c r="AH47" s="66"/>
      <c r="AI47" s="66"/>
      <c r="AJ47" s="248"/>
      <c r="AK47" s="66"/>
      <c r="AL47" s="248"/>
      <c r="AM47" s="66"/>
      <c r="AN47" s="66"/>
      <c r="AO47" s="66"/>
      <c r="AP47" s="66"/>
      <c r="AQ47" s="66"/>
      <c r="AR47" s="66"/>
      <c r="AS47" s="66"/>
      <c r="AT47" s="66"/>
      <c r="AU47" s="97"/>
      <c r="AV47" s="66"/>
      <c r="AW47" s="70"/>
      <c r="AX47" s="70"/>
      <c r="AY47" s="9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80"/>
      <c r="CR47" s="70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</row>
    <row r="48" spans="1:115" s="86" customFormat="1" ht="39.75" x14ac:dyDescent="0.25">
      <c r="A48" s="185"/>
      <c r="B48" s="236"/>
      <c r="C48" s="359" t="s">
        <v>264</v>
      </c>
      <c r="D48" s="455" t="s">
        <v>262</v>
      </c>
      <c r="E48" s="481" t="s">
        <v>278</v>
      </c>
      <c r="F48" s="381">
        <v>144</v>
      </c>
      <c r="G48" s="433">
        <v>0</v>
      </c>
      <c r="H48" s="416">
        <v>1</v>
      </c>
      <c r="I48" s="238" t="s">
        <v>211</v>
      </c>
      <c r="J48" s="238" t="s">
        <v>211</v>
      </c>
      <c r="K48" s="238" t="s">
        <v>211</v>
      </c>
      <c r="L48" s="238" t="s">
        <v>211</v>
      </c>
      <c r="M48" s="238" t="s">
        <v>211</v>
      </c>
      <c r="N48" s="529" t="s">
        <v>1</v>
      </c>
      <c r="O48" s="529" t="s">
        <v>1</v>
      </c>
      <c r="P48" s="398">
        <v>35</v>
      </c>
      <c r="Q48" s="399">
        <v>35</v>
      </c>
      <c r="R48" s="490" t="s">
        <v>304</v>
      </c>
      <c r="S48" s="183"/>
      <c r="T48" s="167" t="s">
        <v>1</v>
      </c>
      <c r="U48" s="70"/>
      <c r="V48" s="70"/>
      <c r="W48" s="70"/>
      <c r="X48" s="70"/>
      <c r="Y48" s="70"/>
      <c r="Z48" s="91"/>
      <c r="AA48" s="70"/>
      <c r="AB48" s="70"/>
      <c r="AC48" s="349"/>
      <c r="AD48" s="97"/>
      <c r="AE48" s="80"/>
      <c r="AF48" s="66"/>
      <c r="AG48" s="66"/>
      <c r="AH48" s="66"/>
      <c r="AI48" s="66"/>
      <c r="AJ48" s="248"/>
      <c r="AK48" s="66"/>
      <c r="AL48" s="248"/>
      <c r="AM48" s="66"/>
      <c r="AN48" s="66"/>
      <c r="AO48" s="66"/>
      <c r="AP48" s="66"/>
      <c r="AQ48" s="66"/>
      <c r="AR48" s="66"/>
      <c r="AS48" s="66"/>
      <c r="AT48" s="66"/>
      <c r="AU48" s="97"/>
      <c r="AV48" s="66"/>
      <c r="AW48" s="70"/>
      <c r="AX48" s="70"/>
      <c r="AY48" s="9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80"/>
      <c r="CR48" s="70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</row>
    <row r="49" spans="1:115" s="86" customFormat="1" ht="40.5" x14ac:dyDescent="0.25">
      <c r="A49" s="185"/>
      <c r="B49" s="236"/>
      <c r="C49" s="359" t="s">
        <v>234</v>
      </c>
      <c r="D49" s="455" t="s">
        <v>233</v>
      </c>
      <c r="E49" s="470" t="s">
        <v>2</v>
      </c>
      <c r="F49" s="381">
        <f>SUM(F50:F51)</f>
        <v>440</v>
      </c>
      <c r="G49" s="433">
        <f t="shared" ref="G49:H49" si="4">SUM(G50:G51)</f>
        <v>4</v>
      </c>
      <c r="H49" s="416">
        <f t="shared" si="4"/>
        <v>1</v>
      </c>
      <c r="I49" s="238" t="s">
        <v>211</v>
      </c>
      <c r="J49" s="238" t="s">
        <v>211</v>
      </c>
      <c r="K49" s="238" t="s">
        <v>211</v>
      </c>
      <c r="L49" s="238" t="s">
        <v>211</v>
      </c>
      <c r="M49" s="238" t="s">
        <v>211</v>
      </c>
      <c r="N49" s="238" t="s">
        <v>211</v>
      </c>
      <c r="O49" s="238" t="s">
        <v>239</v>
      </c>
      <c r="P49" s="398">
        <v>60</v>
      </c>
      <c r="Q49" s="399">
        <v>70</v>
      </c>
      <c r="R49" s="490" t="s">
        <v>281</v>
      </c>
      <c r="S49" s="183"/>
      <c r="T49" s="167" t="s">
        <v>1</v>
      </c>
      <c r="U49" s="70"/>
      <c r="V49" s="70"/>
      <c r="W49" s="70"/>
      <c r="X49" s="70"/>
      <c r="Y49" s="70"/>
      <c r="Z49" s="91"/>
      <c r="AA49" s="70"/>
      <c r="AB49" s="70"/>
      <c r="AC49" s="349"/>
      <c r="AD49" s="97"/>
      <c r="AE49" s="80"/>
      <c r="AF49" s="66"/>
      <c r="AG49" s="66"/>
      <c r="AH49" s="66"/>
      <c r="AI49" s="66"/>
      <c r="AJ49" s="248"/>
      <c r="AK49" s="66"/>
      <c r="AL49" s="248"/>
      <c r="AM49" s="66"/>
      <c r="AN49" s="66"/>
      <c r="AO49" s="66"/>
      <c r="AP49" s="66"/>
      <c r="AQ49" s="66"/>
      <c r="AR49" s="66"/>
      <c r="AS49" s="66"/>
      <c r="AT49" s="66"/>
      <c r="AU49" s="97"/>
      <c r="AV49" s="66"/>
      <c r="AW49" s="70"/>
      <c r="AX49" s="70"/>
      <c r="AY49" s="9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80"/>
      <c r="CR49" s="70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</row>
    <row r="50" spans="1:115" s="86" customFormat="1" ht="82.5" x14ac:dyDescent="0.25">
      <c r="A50" s="185"/>
      <c r="B50" s="317"/>
      <c r="C50" s="406" t="s">
        <v>331</v>
      </c>
      <c r="D50" s="456" t="s">
        <v>221</v>
      </c>
      <c r="E50" s="481" t="s">
        <v>279</v>
      </c>
      <c r="F50" s="382">
        <v>385</v>
      </c>
      <c r="G50" s="434">
        <v>4</v>
      </c>
      <c r="H50" s="417">
        <v>1</v>
      </c>
      <c r="I50" s="318" t="s">
        <v>211</v>
      </c>
      <c r="J50" s="318" t="s">
        <v>211</v>
      </c>
      <c r="K50" s="318" t="s">
        <v>211</v>
      </c>
      <c r="L50" s="318" t="s">
        <v>211</v>
      </c>
      <c r="M50" s="318" t="s">
        <v>211</v>
      </c>
      <c r="N50" s="318" t="s">
        <v>211</v>
      </c>
      <c r="O50" s="530" t="s">
        <v>1</v>
      </c>
      <c r="P50" s="400">
        <v>50</v>
      </c>
      <c r="Q50" s="401">
        <v>50</v>
      </c>
      <c r="R50" s="491" t="s">
        <v>269</v>
      </c>
      <c r="S50" s="183"/>
      <c r="T50" s="167" t="s">
        <v>1</v>
      </c>
      <c r="U50" s="70"/>
      <c r="V50" s="70"/>
      <c r="W50" s="70"/>
      <c r="X50" s="70"/>
      <c r="Y50" s="70"/>
      <c r="Z50" s="91"/>
      <c r="AA50" s="70"/>
      <c r="AB50" s="70"/>
      <c r="AC50" s="349"/>
      <c r="AD50" s="97"/>
      <c r="AE50" s="80"/>
      <c r="AF50" s="66"/>
      <c r="AG50" s="66"/>
      <c r="AH50" s="66"/>
      <c r="AI50" s="66"/>
      <c r="AJ50" s="248"/>
      <c r="AK50" s="66"/>
      <c r="AL50" s="248"/>
      <c r="AM50" s="66"/>
      <c r="AN50" s="66"/>
      <c r="AO50" s="66"/>
      <c r="AP50" s="66"/>
      <c r="AQ50" s="66"/>
      <c r="AR50" s="66"/>
      <c r="AS50" s="66"/>
      <c r="AT50" s="66"/>
      <c r="AU50" s="97"/>
      <c r="AV50" s="66"/>
      <c r="AW50" s="70"/>
      <c r="AX50" s="70"/>
      <c r="AY50" s="9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80"/>
      <c r="CR50" s="70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</row>
    <row r="51" spans="1:115" s="86" customFormat="1" ht="30" x14ac:dyDescent="0.25">
      <c r="A51" s="185"/>
      <c r="B51" s="317"/>
      <c r="C51" s="406" t="s">
        <v>310</v>
      </c>
      <c r="D51" s="456" t="s">
        <v>224</v>
      </c>
      <c r="E51" s="481" t="s">
        <v>277</v>
      </c>
      <c r="F51" s="382">
        <v>55</v>
      </c>
      <c r="G51" s="434"/>
      <c r="H51" s="417"/>
      <c r="I51" s="318" t="s">
        <v>211</v>
      </c>
      <c r="J51" s="318" t="s">
        <v>211</v>
      </c>
      <c r="K51" s="318" t="s">
        <v>211</v>
      </c>
      <c r="L51" s="318" t="s">
        <v>211</v>
      </c>
      <c r="M51" s="318" t="s">
        <v>211</v>
      </c>
      <c r="N51" s="318" t="s">
        <v>211</v>
      </c>
      <c r="O51" s="530" t="s">
        <v>1</v>
      </c>
      <c r="P51" s="400">
        <v>20</v>
      </c>
      <c r="Q51" s="401">
        <v>20</v>
      </c>
      <c r="R51" s="491" t="s">
        <v>269</v>
      </c>
      <c r="S51" s="183"/>
      <c r="T51" s="167" t="s">
        <v>1</v>
      </c>
      <c r="U51" s="70"/>
      <c r="V51" s="70"/>
      <c r="W51" s="70"/>
      <c r="X51" s="70"/>
      <c r="Y51" s="70"/>
      <c r="Z51" s="91"/>
      <c r="AA51" s="70"/>
      <c r="AB51" s="70"/>
      <c r="AC51" s="349"/>
      <c r="AD51" s="97"/>
      <c r="AE51" s="80"/>
      <c r="AF51" s="66"/>
      <c r="AG51" s="66"/>
      <c r="AH51" s="66"/>
      <c r="AI51" s="66"/>
      <c r="AJ51" s="248"/>
      <c r="AK51" s="66"/>
      <c r="AL51" s="248"/>
      <c r="AM51" s="66"/>
      <c r="AN51" s="66"/>
      <c r="AO51" s="66"/>
      <c r="AP51" s="66"/>
      <c r="AQ51" s="66"/>
      <c r="AR51" s="66"/>
      <c r="AS51" s="66"/>
      <c r="AT51" s="66"/>
      <c r="AU51" s="97"/>
      <c r="AV51" s="66"/>
      <c r="AW51" s="70"/>
      <c r="AX51" s="70"/>
      <c r="AY51" s="9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80"/>
      <c r="CR51" s="70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</row>
    <row r="52" spans="1:115" s="86" customFormat="1" ht="27" x14ac:dyDescent="0.25">
      <c r="A52" s="185"/>
      <c r="B52" s="236"/>
      <c r="C52" s="237" t="s">
        <v>212</v>
      </c>
      <c r="D52" s="455" t="s">
        <v>258</v>
      </c>
      <c r="E52" s="481" t="s">
        <v>277</v>
      </c>
      <c r="F52" s="381">
        <v>70</v>
      </c>
      <c r="G52" s="433"/>
      <c r="H52" s="416"/>
      <c r="I52" s="238" t="s">
        <v>211</v>
      </c>
      <c r="J52" s="238" t="s">
        <v>211</v>
      </c>
      <c r="K52" s="238" t="s">
        <v>211</v>
      </c>
      <c r="L52" s="238" t="s">
        <v>211</v>
      </c>
      <c r="M52" s="238" t="s">
        <v>211</v>
      </c>
      <c r="N52" s="238" t="s">
        <v>211</v>
      </c>
      <c r="O52" s="529" t="s">
        <v>1</v>
      </c>
      <c r="P52" s="398">
        <v>35</v>
      </c>
      <c r="Q52" s="399">
        <v>35</v>
      </c>
      <c r="R52" s="490" t="s">
        <v>269</v>
      </c>
      <c r="S52" s="183"/>
      <c r="T52" s="167" t="s">
        <v>1</v>
      </c>
      <c r="U52" s="70"/>
      <c r="V52" s="70"/>
      <c r="W52" s="70"/>
      <c r="X52" s="70"/>
      <c r="Y52" s="70"/>
      <c r="Z52" s="91"/>
      <c r="AA52" s="70"/>
      <c r="AB52" s="70"/>
      <c r="AC52" s="349"/>
      <c r="AD52" s="97"/>
      <c r="AE52" s="80"/>
      <c r="AF52" s="66"/>
      <c r="AG52" s="66"/>
      <c r="AH52" s="66"/>
      <c r="AI52" s="66"/>
      <c r="AJ52" s="248"/>
      <c r="AK52" s="66"/>
      <c r="AL52" s="248"/>
      <c r="AM52" s="66"/>
      <c r="AN52" s="66"/>
      <c r="AO52" s="66"/>
      <c r="AP52" s="66"/>
      <c r="AQ52" s="66"/>
      <c r="AR52" s="66"/>
      <c r="AS52" s="66"/>
      <c r="AT52" s="66"/>
      <c r="AU52" s="97"/>
      <c r="AV52" s="66"/>
      <c r="AW52" s="70"/>
      <c r="AX52" s="70"/>
      <c r="AY52" s="9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80"/>
      <c r="CR52" s="70"/>
      <c r="CS52" s="185"/>
      <c r="CT52" s="185"/>
      <c r="CU52" s="185"/>
      <c r="CV52" s="185"/>
      <c r="CW52" s="185"/>
      <c r="CX52" s="185"/>
      <c r="CY52" s="185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</row>
    <row r="53" spans="1:115" s="86" customFormat="1" ht="102.75" x14ac:dyDescent="0.25">
      <c r="A53" s="185"/>
      <c r="B53" s="236"/>
      <c r="C53" s="359" t="s">
        <v>265</v>
      </c>
      <c r="D53" s="455" t="s">
        <v>259</v>
      </c>
      <c r="E53" s="481" t="s">
        <v>280</v>
      </c>
      <c r="F53" s="381">
        <v>120</v>
      </c>
      <c r="G53" s="433">
        <v>1</v>
      </c>
      <c r="H53" s="416">
        <v>6</v>
      </c>
      <c r="I53" s="238" t="s">
        <v>211</v>
      </c>
      <c r="J53" s="238" t="s">
        <v>211</v>
      </c>
      <c r="K53" s="238" t="s">
        <v>211</v>
      </c>
      <c r="L53" s="238" t="s">
        <v>211</v>
      </c>
      <c r="M53" s="238" t="s">
        <v>211</v>
      </c>
      <c r="N53" s="238" t="s">
        <v>211</v>
      </c>
      <c r="O53" s="529" t="s">
        <v>1</v>
      </c>
      <c r="P53" s="398">
        <v>35</v>
      </c>
      <c r="Q53" s="399">
        <v>35</v>
      </c>
      <c r="R53" s="490" t="s">
        <v>269</v>
      </c>
      <c r="S53" s="183"/>
      <c r="T53" s="167" t="s">
        <v>1</v>
      </c>
      <c r="U53" s="70"/>
      <c r="V53" s="70"/>
      <c r="W53" s="70"/>
      <c r="X53" s="70"/>
      <c r="Y53" s="70"/>
      <c r="Z53" s="91"/>
      <c r="AA53" s="70"/>
      <c r="AB53" s="70"/>
      <c r="AC53" s="349"/>
      <c r="AD53" s="97"/>
      <c r="AE53" s="80"/>
      <c r="AF53" s="66"/>
      <c r="AG53" s="66"/>
      <c r="AH53" s="66"/>
      <c r="AI53" s="66"/>
      <c r="AJ53" s="248"/>
      <c r="AK53" s="66"/>
      <c r="AL53" s="248"/>
      <c r="AM53" s="66"/>
      <c r="AN53" s="66"/>
      <c r="AO53" s="66"/>
      <c r="AP53" s="66"/>
      <c r="AQ53" s="66"/>
      <c r="AR53" s="66"/>
      <c r="AS53" s="66"/>
      <c r="AT53" s="66"/>
      <c r="AU53" s="97"/>
      <c r="AV53" s="66"/>
      <c r="AW53" s="70"/>
      <c r="AX53" s="70"/>
      <c r="AY53" s="9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80"/>
      <c r="CR53" s="70"/>
      <c r="CS53" s="185"/>
      <c r="CT53" s="185"/>
      <c r="CU53" s="185"/>
      <c r="CV53" s="185"/>
      <c r="CW53" s="185"/>
      <c r="CX53" s="185"/>
      <c r="CY53" s="185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</row>
    <row r="54" spans="1:115" s="86" customFormat="1" ht="27" x14ac:dyDescent="0.25">
      <c r="A54" s="185"/>
      <c r="B54" s="236"/>
      <c r="C54" s="237" t="s">
        <v>237</v>
      </c>
      <c r="D54" s="455" t="s">
        <v>238</v>
      </c>
      <c r="E54" s="470" t="s">
        <v>2</v>
      </c>
      <c r="F54" s="381">
        <f>SUM(F55:F56)</f>
        <v>310</v>
      </c>
      <c r="G54" s="433"/>
      <c r="H54" s="416">
        <f t="shared" ref="H54" si="5">SUM(H55:H56)</f>
        <v>2</v>
      </c>
      <c r="I54" s="238" t="s">
        <v>211</v>
      </c>
      <c r="J54" s="238" t="s">
        <v>211</v>
      </c>
      <c r="K54" s="238" t="s">
        <v>211</v>
      </c>
      <c r="L54" s="238" t="s">
        <v>211</v>
      </c>
      <c r="M54" s="238" t="s">
        <v>211</v>
      </c>
      <c r="N54" s="238" t="s">
        <v>211</v>
      </c>
      <c r="O54" s="238" t="s">
        <v>239</v>
      </c>
      <c r="P54" s="398">
        <v>80</v>
      </c>
      <c r="Q54" s="399">
        <v>90</v>
      </c>
      <c r="R54" s="490" t="s">
        <v>281</v>
      </c>
      <c r="S54" s="183"/>
      <c r="T54" s="167" t="s">
        <v>1</v>
      </c>
      <c r="U54" s="70"/>
      <c r="V54" s="70"/>
      <c r="W54" s="70"/>
      <c r="X54" s="70"/>
      <c r="Y54" s="70"/>
      <c r="Z54" s="91"/>
      <c r="AA54" s="70"/>
      <c r="AB54" s="70"/>
      <c r="AC54" s="349"/>
      <c r="AD54" s="97"/>
      <c r="AE54" s="80"/>
      <c r="AF54" s="66"/>
      <c r="AG54" s="66"/>
      <c r="AH54" s="66"/>
      <c r="AI54" s="66"/>
      <c r="AJ54" s="248"/>
      <c r="AK54" s="66"/>
      <c r="AL54" s="248"/>
      <c r="AM54" s="66"/>
      <c r="AN54" s="66"/>
      <c r="AO54" s="66"/>
      <c r="AP54" s="66"/>
      <c r="AQ54" s="66"/>
      <c r="AR54" s="66"/>
      <c r="AS54" s="66"/>
      <c r="AT54" s="66"/>
      <c r="AU54" s="97"/>
      <c r="AV54" s="66"/>
      <c r="AW54" s="70"/>
      <c r="AX54" s="70"/>
      <c r="AY54" s="9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80"/>
      <c r="CR54" s="70"/>
      <c r="CS54" s="185"/>
      <c r="CT54" s="185"/>
      <c r="CU54" s="185"/>
      <c r="CV54" s="185"/>
      <c r="CW54" s="185"/>
      <c r="CX54" s="185"/>
      <c r="CY54" s="185"/>
      <c r="CZ54" s="185"/>
      <c r="DA54" s="185"/>
      <c r="DB54" s="185"/>
      <c r="DC54" s="185"/>
      <c r="DD54" s="185"/>
      <c r="DE54" s="185"/>
      <c r="DF54" s="185"/>
      <c r="DG54" s="185"/>
      <c r="DH54" s="185"/>
      <c r="DI54" s="185"/>
      <c r="DJ54" s="185"/>
      <c r="DK54" s="185"/>
    </row>
    <row r="55" spans="1:115" s="325" customFormat="1" ht="28.5" x14ac:dyDescent="0.25">
      <c r="A55" s="319"/>
      <c r="B55" s="317"/>
      <c r="C55" s="406" t="s">
        <v>311</v>
      </c>
      <c r="D55" s="456" t="s">
        <v>222</v>
      </c>
      <c r="E55" s="481" t="s">
        <v>279</v>
      </c>
      <c r="F55" s="382">
        <v>170</v>
      </c>
      <c r="G55" s="434"/>
      <c r="H55" s="417">
        <v>1</v>
      </c>
      <c r="I55" s="318" t="s">
        <v>211</v>
      </c>
      <c r="J55" s="318" t="s">
        <v>211</v>
      </c>
      <c r="K55" s="318" t="s">
        <v>211</v>
      </c>
      <c r="L55" s="318" t="s">
        <v>211</v>
      </c>
      <c r="M55" s="318" t="s">
        <v>211</v>
      </c>
      <c r="N55" s="318" t="s">
        <v>211</v>
      </c>
      <c r="O55" s="530" t="s">
        <v>1</v>
      </c>
      <c r="P55" s="400">
        <v>45</v>
      </c>
      <c r="Q55" s="401">
        <v>45</v>
      </c>
      <c r="R55" s="491" t="s">
        <v>269</v>
      </c>
      <c r="S55" s="183"/>
      <c r="T55" s="169" t="s">
        <v>1</v>
      </c>
      <c r="U55" s="77"/>
      <c r="V55" s="77"/>
      <c r="W55" s="77"/>
      <c r="X55" s="77"/>
      <c r="Y55" s="77"/>
      <c r="Z55" s="320"/>
      <c r="AA55" s="77"/>
      <c r="AB55" s="77"/>
      <c r="AC55" s="350"/>
      <c r="AD55" s="322"/>
      <c r="AE55" s="323"/>
      <c r="AF55" s="85"/>
      <c r="AG55" s="85"/>
      <c r="AH55" s="85"/>
      <c r="AI55" s="85"/>
      <c r="AJ55" s="324"/>
      <c r="AK55" s="85"/>
      <c r="AL55" s="324"/>
      <c r="AM55" s="85"/>
      <c r="AN55" s="85"/>
      <c r="AO55" s="85"/>
      <c r="AP55" s="85"/>
      <c r="AQ55" s="85"/>
      <c r="AR55" s="85"/>
      <c r="AS55" s="85"/>
      <c r="AT55" s="85"/>
      <c r="AU55" s="322"/>
      <c r="AV55" s="85"/>
      <c r="AW55" s="77"/>
      <c r="AX55" s="77"/>
      <c r="AY55" s="321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323"/>
      <c r="CR55" s="77"/>
      <c r="CS55" s="319"/>
      <c r="CT55" s="319"/>
      <c r="CU55" s="319"/>
      <c r="CV55" s="319"/>
      <c r="CW55" s="319"/>
      <c r="CX55" s="319"/>
      <c r="CY55" s="319"/>
      <c r="CZ55" s="319"/>
      <c r="DA55" s="319"/>
      <c r="DB55" s="319"/>
      <c r="DC55" s="319"/>
      <c r="DD55" s="319"/>
      <c r="DE55" s="319"/>
      <c r="DF55" s="319"/>
      <c r="DG55" s="319"/>
      <c r="DH55" s="319"/>
      <c r="DI55" s="319"/>
      <c r="DJ55" s="319"/>
      <c r="DK55" s="319"/>
    </row>
    <row r="56" spans="1:115" s="325" customFormat="1" ht="28.5" x14ac:dyDescent="0.25">
      <c r="A56" s="319"/>
      <c r="B56" s="317"/>
      <c r="C56" s="406" t="s">
        <v>312</v>
      </c>
      <c r="D56" s="456" t="s">
        <v>222</v>
      </c>
      <c r="E56" s="481" t="s">
        <v>276</v>
      </c>
      <c r="F56" s="382">
        <v>140</v>
      </c>
      <c r="G56" s="434"/>
      <c r="H56" s="417">
        <v>1</v>
      </c>
      <c r="I56" s="318" t="s">
        <v>211</v>
      </c>
      <c r="J56" s="318" t="s">
        <v>211</v>
      </c>
      <c r="K56" s="318" t="s">
        <v>211</v>
      </c>
      <c r="L56" s="318" t="s">
        <v>211</v>
      </c>
      <c r="M56" s="318" t="s">
        <v>211</v>
      </c>
      <c r="N56" s="318" t="s">
        <v>211</v>
      </c>
      <c r="O56" s="530" t="s">
        <v>1</v>
      </c>
      <c r="P56" s="400">
        <v>45</v>
      </c>
      <c r="Q56" s="401">
        <v>45</v>
      </c>
      <c r="R56" s="491" t="s">
        <v>269</v>
      </c>
      <c r="S56" s="183"/>
      <c r="T56" s="169" t="s">
        <v>1</v>
      </c>
      <c r="U56" s="77"/>
      <c r="V56" s="77"/>
      <c r="W56" s="77"/>
      <c r="X56" s="77"/>
      <c r="Y56" s="77"/>
      <c r="Z56" s="320"/>
      <c r="AA56" s="77"/>
      <c r="AB56" s="77"/>
      <c r="AC56" s="350"/>
      <c r="AD56" s="322"/>
      <c r="AE56" s="323"/>
      <c r="AF56" s="85"/>
      <c r="AG56" s="85"/>
      <c r="AH56" s="85"/>
      <c r="AI56" s="85"/>
      <c r="AJ56" s="324"/>
      <c r="AK56" s="85"/>
      <c r="AL56" s="324"/>
      <c r="AM56" s="85"/>
      <c r="AN56" s="85"/>
      <c r="AO56" s="85"/>
      <c r="AP56" s="85"/>
      <c r="AQ56" s="85"/>
      <c r="AR56" s="85"/>
      <c r="AS56" s="85"/>
      <c r="AT56" s="85"/>
      <c r="AU56" s="322"/>
      <c r="AV56" s="85"/>
      <c r="AW56" s="77"/>
      <c r="AX56" s="77"/>
      <c r="AY56" s="321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323"/>
      <c r="CR56" s="77"/>
      <c r="CS56" s="319"/>
      <c r="CT56" s="319"/>
      <c r="CU56" s="319"/>
      <c r="CV56" s="319"/>
      <c r="CW56" s="319"/>
      <c r="CX56" s="319"/>
      <c r="CY56" s="319"/>
      <c r="CZ56" s="319"/>
      <c r="DA56" s="319"/>
      <c r="DB56" s="319"/>
      <c r="DC56" s="319"/>
      <c r="DD56" s="319"/>
      <c r="DE56" s="319"/>
      <c r="DF56" s="319"/>
      <c r="DG56" s="319"/>
      <c r="DH56" s="319"/>
      <c r="DI56" s="319"/>
      <c r="DJ56" s="319"/>
      <c r="DK56" s="319"/>
    </row>
    <row r="57" spans="1:115" s="86" customFormat="1" ht="40.5" x14ac:dyDescent="0.25">
      <c r="A57" s="185"/>
      <c r="B57" s="236"/>
      <c r="C57" s="237" t="s">
        <v>235</v>
      </c>
      <c r="D57" s="455" t="s">
        <v>236</v>
      </c>
      <c r="E57" s="470" t="s">
        <v>2</v>
      </c>
      <c r="F57" s="381">
        <f>SUM(F58:F61)</f>
        <v>220</v>
      </c>
      <c r="G57" s="433">
        <f t="shared" ref="G57:H57" si="6">SUM(G58:G61)</f>
        <v>4</v>
      </c>
      <c r="H57" s="416">
        <f t="shared" si="6"/>
        <v>4</v>
      </c>
      <c r="I57" s="238" t="s">
        <v>211</v>
      </c>
      <c r="J57" s="238" t="s">
        <v>211</v>
      </c>
      <c r="K57" s="238" t="s">
        <v>211</v>
      </c>
      <c r="L57" s="238" t="s">
        <v>211</v>
      </c>
      <c r="M57" s="238" t="s">
        <v>211</v>
      </c>
      <c r="N57" s="238" t="s">
        <v>211</v>
      </c>
      <c r="O57" s="238" t="s">
        <v>239</v>
      </c>
      <c r="P57" s="398">
        <v>100</v>
      </c>
      <c r="Q57" s="399">
        <v>125</v>
      </c>
      <c r="R57" s="490" t="s">
        <v>281</v>
      </c>
      <c r="S57" s="183"/>
      <c r="T57" s="167" t="s">
        <v>1</v>
      </c>
      <c r="U57" s="70"/>
      <c r="V57" s="70"/>
      <c r="W57" s="70"/>
      <c r="X57" s="70"/>
      <c r="Y57" s="70"/>
      <c r="Z57" s="91"/>
      <c r="AA57" s="70"/>
      <c r="AB57" s="70"/>
      <c r="AC57" s="349"/>
      <c r="AD57" s="97"/>
      <c r="AE57" s="80"/>
      <c r="AF57" s="66"/>
      <c r="AG57" s="66"/>
      <c r="AH57" s="66"/>
      <c r="AI57" s="66"/>
      <c r="AJ57" s="248"/>
      <c r="AK57" s="66"/>
      <c r="AL57" s="248"/>
      <c r="AM57" s="66"/>
      <c r="AN57" s="66"/>
      <c r="AO57" s="66"/>
      <c r="AP57" s="66"/>
      <c r="AQ57" s="66"/>
      <c r="AR57" s="66"/>
      <c r="AS57" s="66"/>
      <c r="AT57" s="66"/>
      <c r="AU57" s="97"/>
      <c r="AV57" s="66"/>
      <c r="AW57" s="70"/>
      <c r="AX57" s="70"/>
      <c r="AY57" s="9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80"/>
      <c r="CR57" s="70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5"/>
      <c r="DE57" s="185"/>
      <c r="DF57" s="185"/>
      <c r="DG57" s="185"/>
      <c r="DH57" s="185"/>
      <c r="DI57" s="185"/>
      <c r="DJ57" s="185"/>
      <c r="DK57" s="185"/>
    </row>
    <row r="58" spans="1:115" s="325" customFormat="1" ht="42" x14ac:dyDescent="0.25">
      <c r="A58" s="319"/>
      <c r="B58" s="317"/>
      <c r="C58" s="406" t="s">
        <v>313</v>
      </c>
      <c r="D58" s="456" t="s">
        <v>223</v>
      </c>
      <c r="E58" s="481" t="s">
        <v>277</v>
      </c>
      <c r="F58" s="382">
        <v>55</v>
      </c>
      <c r="G58" s="434">
        <v>1</v>
      </c>
      <c r="H58" s="417">
        <v>1</v>
      </c>
      <c r="I58" s="318" t="s">
        <v>211</v>
      </c>
      <c r="J58" s="318" t="s">
        <v>211</v>
      </c>
      <c r="K58" s="318" t="s">
        <v>211</v>
      </c>
      <c r="L58" s="318" t="s">
        <v>211</v>
      </c>
      <c r="M58" s="318" t="s">
        <v>211</v>
      </c>
      <c r="N58" s="318" t="s">
        <v>211</v>
      </c>
      <c r="O58" s="530" t="s">
        <v>1</v>
      </c>
      <c r="P58" s="400">
        <v>25</v>
      </c>
      <c r="Q58" s="401">
        <v>25</v>
      </c>
      <c r="R58" s="491" t="s">
        <v>269</v>
      </c>
      <c r="S58" s="183"/>
      <c r="T58" s="169" t="s">
        <v>1</v>
      </c>
      <c r="U58" s="77"/>
      <c r="V58" s="77"/>
      <c r="W58" s="77"/>
      <c r="X58" s="77"/>
      <c r="Y58" s="77"/>
      <c r="Z58" s="320"/>
      <c r="AA58" s="77"/>
      <c r="AB58" s="77"/>
      <c r="AC58" s="350"/>
      <c r="AD58" s="322"/>
      <c r="AE58" s="323"/>
      <c r="AF58" s="85"/>
      <c r="AG58" s="85"/>
      <c r="AH58" s="85"/>
      <c r="AI58" s="85"/>
      <c r="AJ58" s="324"/>
      <c r="AK58" s="85"/>
      <c r="AL58" s="324"/>
      <c r="AM58" s="85"/>
      <c r="AN58" s="85"/>
      <c r="AO58" s="85"/>
      <c r="AP58" s="85"/>
      <c r="AQ58" s="85"/>
      <c r="AR58" s="85"/>
      <c r="AS58" s="85"/>
      <c r="AT58" s="85"/>
      <c r="AU58" s="322"/>
      <c r="AV58" s="85"/>
      <c r="AW58" s="77"/>
      <c r="AX58" s="77"/>
      <c r="AY58" s="321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323"/>
      <c r="CR58" s="77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</row>
    <row r="59" spans="1:115" s="325" customFormat="1" ht="42" x14ac:dyDescent="0.25">
      <c r="A59" s="319"/>
      <c r="B59" s="317"/>
      <c r="C59" s="406" t="s">
        <v>314</v>
      </c>
      <c r="D59" s="456" t="s">
        <v>223</v>
      </c>
      <c r="E59" s="481" t="s">
        <v>278</v>
      </c>
      <c r="F59" s="382">
        <v>55</v>
      </c>
      <c r="G59" s="434">
        <v>1</v>
      </c>
      <c r="H59" s="417">
        <v>1</v>
      </c>
      <c r="I59" s="318" t="s">
        <v>211</v>
      </c>
      <c r="J59" s="318" t="s">
        <v>211</v>
      </c>
      <c r="K59" s="318" t="s">
        <v>211</v>
      </c>
      <c r="L59" s="318" t="s">
        <v>211</v>
      </c>
      <c r="M59" s="318" t="s">
        <v>211</v>
      </c>
      <c r="N59" s="318" t="s">
        <v>211</v>
      </c>
      <c r="O59" s="530" t="s">
        <v>1</v>
      </c>
      <c r="P59" s="400">
        <v>25</v>
      </c>
      <c r="Q59" s="401">
        <v>25</v>
      </c>
      <c r="R59" s="491" t="s">
        <v>269</v>
      </c>
      <c r="S59" s="183"/>
      <c r="T59" s="169" t="s">
        <v>1</v>
      </c>
      <c r="U59" s="77"/>
      <c r="V59" s="77"/>
      <c r="W59" s="77"/>
      <c r="X59" s="77"/>
      <c r="Y59" s="77"/>
      <c r="Z59" s="320"/>
      <c r="AA59" s="77"/>
      <c r="AB59" s="77"/>
      <c r="AC59" s="350"/>
      <c r="AD59" s="322"/>
      <c r="AE59" s="323"/>
      <c r="AF59" s="85"/>
      <c r="AG59" s="85"/>
      <c r="AH59" s="85"/>
      <c r="AI59" s="85"/>
      <c r="AJ59" s="324"/>
      <c r="AK59" s="85"/>
      <c r="AL59" s="324"/>
      <c r="AM59" s="85"/>
      <c r="AN59" s="85"/>
      <c r="AO59" s="85"/>
      <c r="AP59" s="85"/>
      <c r="AQ59" s="85"/>
      <c r="AR59" s="85"/>
      <c r="AS59" s="85"/>
      <c r="AT59" s="85"/>
      <c r="AU59" s="322"/>
      <c r="AV59" s="85"/>
      <c r="AW59" s="77"/>
      <c r="AX59" s="77"/>
      <c r="AY59" s="321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323"/>
      <c r="CR59" s="77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</row>
    <row r="60" spans="1:115" s="325" customFormat="1" ht="42" x14ac:dyDescent="0.25">
      <c r="A60" s="319"/>
      <c r="B60" s="317"/>
      <c r="C60" s="406" t="s">
        <v>315</v>
      </c>
      <c r="D60" s="456" t="s">
        <v>223</v>
      </c>
      <c r="E60" s="481" t="s">
        <v>279</v>
      </c>
      <c r="F60" s="382">
        <v>55</v>
      </c>
      <c r="G60" s="434">
        <v>1</v>
      </c>
      <c r="H60" s="417">
        <v>1</v>
      </c>
      <c r="I60" s="318" t="s">
        <v>211</v>
      </c>
      <c r="J60" s="318" t="s">
        <v>211</v>
      </c>
      <c r="K60" s="318" t="s">
        <v>211</v>
      </c>
      <c r="L60" s="318" t="s">
        <v>211</v>
      </c>
      <c r="M60" s="318" t="s">
        <v>211</v>
      </c>
      <c r="N60" s="318" t="s">
        <v>211</v>
      </c>
      <c r="O60" s="530" t="s">
        <v>1</v>
      </c>
      <c r="P60" s="400">
        <v>25</v>
      </c>
      <c r="Q60" s="401">
        <v>25</v>
      </c>
      <c r="R60" s="491" t="s">
        <v>269</v>
      </c>
      <c r="S60" s="183"/>
      <c r="T60" s="169" t="s">
        <v>1</v>
      </c>
      <c r="U60" s="77"/>
      <c r="V60" s="77"/>
      <c r="W60" s="77"/>
      <c r="X60" s="77"/>
      <c r="Y60" s="77"/>
      <c r="Z60" s="320"/>
      <c r="AA60" s="77"/>
      <c r="AB60" s="77"/>
      <c r="AC60" s="350"/>
      <c r="AD60" s="322"/>
      <c r="AE60" s="323"/>
      <c r="AF60" s="85"/>
      <c r="AG60" s="85"/>
      <c r="AH60" s="85"/>
      <c r="AI60" s="85"/>
      <c r="AJ60" s="324"/>
      <c r="AK60" s="85"/>
      <c r="AL60" s="324"/>
      <c r="AM60" s="85"/>
      <c r="AN60" s="85"/>
      <c r="AO60" s="85"/>
      <c r="AP60" s="85"/>
      <c r="AQ60" s="85"/>
      <c r="AR60" s="85"/>
      <c r="AS60" s="85"/>
      <c r="AT60" s="85"/>
      <c r="AU60" s="322"/>
      <c r="AV60" s="85"/>
      <c r="AW60" s="77"/>
      <c r="AX60" s="77"/>
      <c r="AY60" s="321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323"/>
      <c r="CR60" s="77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</row>
    <row r="61" spans="1:115" s="325" customFormat="1" ht="42" x14ac:dyDescent="0.25">
      <c r="A61" s="319"/>
      <c r="B61" s="317"/>
      <c r="C61" s="406" t="s">
        <v>316</v>
      </c>
      <c r="D61" s="456" t="s">
        <v>223</v>
      </c>
      <c r="E61" s="481" t="s">
        <v>278</v>
      </c>
      <c r="F61" s="382">
        <v>55</v>
      </c>
      <c r="G61" s="434">
        <v>1</v>
      </c>
      <c r="H61" s="417">
        <v>1</v>
      </c>
      <c r="I61" s="318" t="s">
        <v>211</v>
      </c>
      <c r="J61" s="318" t="s">
        <v>211</v>
      </c>
      <c r="K61" s="318" t="s">
        <v>211</v>
      </c>
      <c r="L61" s="318" t="s">
        <v>211</v>
      </c>
      <c r="M61" s="318" t="s">
        <v>211</v>
      </c>
      <c r="N61" s="318" t="s">
        <v>211</v>
      </c>
      <c r="O61" s="530" t="s">
        <v>1</v>
      </c>
      <c r="P61" s="400">
        <v>25</v>
      </c>
      <c r="Q61" s="401">
        <v>25</v>
      </c>
      <c r="R61" s="491" t="s">
        <v>269</v>
      </c>
      <c r="S61" s="183"/>
      <c r="T61" s="169" t="s">
        <v>1</v>
      </c>
      <c r="U61" s="77"/>
      <c r="V61" s="77"/>
      <c r="W61" s="77"/>
      <c r="X61" s="77"/>
      <c r="Y61" s="77"/>
      <c r="Z61" s="320"/>
      <c r="AA61" s="77"/>
      <c r="AB61" s="77"/>
      <c r="AC61" s="350"/>
      <c r="AD61" s="322"/>
      <c r="AE61" s="323"/>
      <c r="AF61" s="85"/>
      <c r="AG61" s="85"/>
      <c r="AH61" s="85"/>
      <c r="AI61" s="85"/>
      <c r="AJ61" s="324"/>
      <c r="AK61" s="85"/>
      <c r="AL61" s="324"/>
      <c r="AM61" s="85"/>
      <c r="AN61" s="85"/>
      <c r="AO61" s="85"/>
      <c r="AP61" s="85"/>
      <c r="AQ61" s="85"/>
      <c r="AR61" s="85"/>
      <c r="AS61" s="85"/>
      <c r="AT61" s="85"/>
      <c r="AU61" s="322"/>
      <c r="AV61" s="85"/>
      <c r="AW61" s="77"/>
      <c r="AX61" s="77"/>
      <c r="AY61" s="321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323"/>
      <c r="CR61" s="77"/>
      <c r="CS61" s="319"/>
      <c r="CT61" s="319"/>
      <c r="CU61" s="319"/>
      <c r="CV61" s="319"/>
      <c r="CW61" s="319"/>
      <c r="CX61" s="319"/>
      <c r="CY61" s="319"/>
      <c r="CZ61" s="319"/>
      <c r="DA61" s="319"/>
      <c r="DB61" s="319"/>
      <c r="DC61" s="319"/>
      <c r="DD61" s="319"/>
      <c r="DE61" s="319"/>
      <c r="DF61" s="319"/>
      <c r="DG61" s="319"/>
      <c r="DH61" s="319"/>
      <c r="DI61" s="319"/>
      <c r="DJ61" s="319"/>
      <c r="DK61" s="319"/>
    </row>
    <row r="62" spans="1:115" s="325" customFormat="1" ht="30" x14ac:dyDescent="0.25">
      <c r="A62" s="319"/>
      <c r="B62" s="317"/>
      <c r="C62" s="405" t="s">
        <v>317</v>
      </c>
      <c r="D62" s="456" t="s">
        <v>301</v>
      </c>
      <c r="E62" s="471"/>
      <c r="F62" s="382"/>
      <c r="G62" s="434"/>
      <c r="H62" s="417"/>
      <c r="I62" s="318" t="s">
        <v>211</v>
      </c>
      <c r="J62" s="318" t="s">
        <v>211</v>
      </c>
      <c r="K62" s="318" t="s">
        <v>211</v>
      </c>
      <c r="L62" s="318" t="s">
        <v>211</v>
      </c>
      <c r="M62" s="318" t="s">
        <v>211</v>
      </c>
      <c r="N62" s="318" t="s">
        <v>211</v>
      </c>
      <c r="O62" s="530" t="s">
        <v>1</v>
      </c>
      <c r="P62" s="400">
        <v>25</v>
      </c>
      <c r="Q62" s="401">
        <v>25</v>
      </c>
      <c r="R62" s="491" t="s">
        <v>269</v>
      </c>
      <c r="S62" s="183"/>
      <c r="T62" s="169" t="s">
        <v>1</v>
      </c>
      <c r="U62" s="77"/>
      <c r="V62" s="77"/>
      <c r="W62" s="77"/>
      <c r="X62" s="77"/>
      <c r="Y62" s="77"/>
      <c r="Z62" s="320"/>
      <c r="AA62" s="77"/>
      <c r="AB62" s="77"/>
      <c r="AC62" s="350"/>
      <c r="AD62" s="322"/>
      <c r="AE62" s="323"/>
      <c r="AF62" s="85"/>
      <c r="AG62" s="85"/>
      <c r="AH62" s="85"/>
      <c r="AI62" s="85"/>
      <c r="AJ62" s="324"/>
      <c r="AK62" s="85"/>
      <c r="AL62" s="324"/>
      <c r="AM62" s="85"/>
      <c r="AN62" s="85"/>
      <c r="AO62" s="85"/>
      <c r="AP62" s="85"/>
      <c r="AQ62" s="85"/>
      <c r="AR62" s="85"/>
      <c r="AS62" s="85"/>
      <c r="AT62" s="85"/>
      <c r="AU62" s="322"/>
      <c r="AV62" s="85"/>
      <c r="AW62" s="77"/>
      <c r="AX62" s="77"/>
      <c r="AY62" s="321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323"/>
      <c r="CR62" s="77"/>
      <c r="CS62" s="319"/>
      <c r="CT62" s="319"/>
      <c r="CU62" s="319"/>
      <c r="CV62" s="319"/>
      <c r="CW62" s="319"/>
      <c r="CX62" s="319"/>
      <c r="CY62" s="319"/>
      <c r="CZ62" s="319"/>
      <c r="DA62" s="319"/>
      <c r="DB62" s="319"/>
      <c r="DC62" s="319"/>
      <c r="DD62" s="319"/>
      <c r="DE62" s="319"/>
      <c r="DF62" s="319"/>
      <c r="DG62" s="319"/>
      <c r="DH62" s="319"/>
      <c r="DI62" s="319"/>
      <c r="DJ62" s="319"/>
      <c r="DK62" s="319"/>
    </row>
    <row r="63" spans="1:115" s="86" customFormat="1" ht="27.75" thickBot="1" x14ac:dyDescent="0.3">
      <c r="A63" s="185"/>
      <c r="B63" s="313"/>
      <c r="C63" s="359" t="s">
        <v>266</v>
      </c>
      <c r="D63" s="455" t="s">
        <v>260</v>
      </c>
      <c r="E63" s="481" t="s">
        <v>279</v>
      </c>
      <c r="F63" s="381">
        <v>55</v>
      </c>
      <c r="G63" s="433"/>
      <c r="H63" s="416">
        <v>1</v>
      </c>
      <c r="I63" s="238" t="s">
        <v>211</v>
      </c>
      <c r="J63" s="238" t="s">
        <v>211</v>
      </c>
      <c r="K63" s="238" t="s">
        <v>211</v>
      </c>
      <c r="L63" s="238" t="s">
        <v>211</v>
      </c>
      <c r="M63" s="238" t="s">
        <v>211</v>
      </c>
      <c r="N63" s="238" t="s">
        <v>211</v>
      </c>
      <c r="O63" s="529" t="s">
        <v>1</v>
      </c>
      <c r="P63" s="402">
        <v>15</v>
      </c>
      <c r="Q63" s="403">
        <v>15</v>
      </c>
      <c r="R63" s="492" t="s">
        <v>269</v>
      </c>
      <c r="S63" s="183"/>
      <c r="T63" s="167" t="s">
        <v>1</v>
      </c>
      <c r="U63" s="70"/>
      <c r="V63" s="70"/>
      <c r="W63" s="70"/>
      <c r="X63" s="70"/>
      <c r="Y63" s="70"/>
      <c r="Z63" s="91"/>
      <c r="AA63" s="70"/>
      <c r="AB63" s="70"/>
      <c r="AC63" s="349"/>
      <c r="AD63" s="97"/>
      <c r="AE63" s="80"/>
      <c r="AF63" s="66"/>
      <c r="AG63" s="66"/>
      <c r="AH63" s="66"/>
      <c r="AI63" s="66"/>
      <c r="AJ63" s="248"/>
      <c r="AK63" s="66"/>
      <c r="AL63" s="248"/>
      <c r="AM63" s="66"/>
      <c r="AN63" s="66"/>
      <c r="AO63" s="66"/>
      <c r="AP63" s="66"/>
      <c r="AQ63" s="66"/>
      <c r="AR63" s="66"/>
      <c r="AS63" s="66"/>
      <c r="AT63" s="66"/>
      <c r="AU63" s="97"/>
      <c r="AV63" s="66"/>
      <c r="AW63" s="70"/>
      <c r="AX63" s="70"/>
      <c r="AY63" s="9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80"/>
      <c r="CR63" s="70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</row>
    <row r="64" spans="1:115" s="1" customFormat="1" thickBot="1" x14ac:dyDescent="0.35">
      <c r="A64" s="187"/>
      <c r="B64" s="314"/>
      <c r="C64" s="225" t="s">
        <v>322</v>
      </c>
      <c r="D64" s="457"/>
      <c r="E64" s="472"/>
      <c r="F64" s="226"/>
      <c r="G64" s="435"/>
      <c r="H64" s="418"/>
      <c r="I64" s="384">
        <f t="shared" ref="I64" si="7">SUMIF(I$36:I$63,"µ",$Q$36:$Q$63)</f>
        <v>0</v>
      </c>
      <c r="J64" s="384">
        <f t="shared" ref="J64:O64" si="8">SUMIF(J$36:J$63,"µ",$Q$36:$Q$63)</f>
        <v>50</v>
      </c>
      <c r="K64" s="384">
        <f t="shared" si="8"/>
        <v>140</v>
      </c>
      <c r="L64" s="384">
        <f t="shared" si="8"/>
        <v>182.5</v>
      </c>
      <c r="M64" s="384">
        <f t="shared" si="8"/>
        <v>232.5</v>
      </c>
      <c r="N64" s="384">
        <f t="shared" si="8"/>
        <v>407.5</v>
      </c>
      <c r="O64" s="385">
        <f t="shared" si="8"/>
        <v>777.5</v>
      </c>
      <c r="P64" s="187"/>
      <c r="Q64" s="187"/>
      <c r="R64" s="493"/>
      <c r="S64" s="183"/>
      <c r="T64" s="170" t="s">
        <v>1</v>
      </c>
      <c r="U64" s="38"/>
      <c r="V64" s="70"/>
      <c r="W64" s="70"/>
      <c r="X64" s="70"/>
      <c r="Y64" s="70"/>
      <c r="Z64" s="38"/>
      <c r="AA64" s="38"/>
      <c r="AB64" s="38"/>
      <c r="AC64" s="351"/>
      <c r="AD64" s="38"/>
      <c r="AE64" s="38"/>
      <c r="AF64" s="38"/>
      <c r="AG64" s="38"/>
      <c r="AH64" s="38"/>
      <c r="AI64" s="38"/>
      <c r="AJ64" s="250"/>
      <c r="AK64" s="38"/>
      <c r="AL64" s="250"/>
      <c r="AM64" s="38"/>
      <c r="AN64" s="38"/>
      <c r="AO64" s="38"/>
      <c r="AP64" s="38"/>
      <c r="AQ64" s="38"/>
      <c r="AR64" s="38"/>
      <c r="AS64" s="38"/>
      <c r="AT64" s="38"/>
      <c r="AU64" s="57"/>
      <c r="AV64" s="38"/>
      <c r="AW64" s="38"/>
      <c r="AX64" s="38"/>
      <c r="AY64" s="57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9"/>
      <c r="CI64" s="39"/>
      <c r="CJ64" s="37"/>
      <c r="CK64" s="100"/>
      <c r="CL64" s="38"/>
      <c r="CM64" s="39"/>
      <c r="CN64" s="39"/>
      <c r="CO64" s="38"/>
      <c r="CP64" s="38"/>
      <c r="CQ64" s="40"/>
      <c r="CR64" s="38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</row>
    <row r="65" spans="1:115" s="1" customFormat="1" ht="6.75" customHeight="1" thickBot="1" x14ac:dyDescent="0.35">
      <c r="A65" s="187"/>
      <c r="B65" s="198"/>
      <c r="C65" s="199"/>
      <c r="D65" s="458"/>
      <c r="E65" s="473"/>
      <c r="F65" s="199"/>
      <c r="G65" s="436"/>
      <c r="H65" s="419"/>
      <c r="I65" s="386"/>
      <c r="J65" s="386"/>
      <c r="K65" s="386"/>
      <c r="L65" s="386"/>
      <c r="M65" s="386"/>
      <c r="N65" s="386"/>
      <c r="O65" s="386"/>
      <c r="P65" s="295"/>
      <c r="Q65" s="296"/>
      <c r="R65" s="493"/>
      <c r="S65" s="183"/>
      <c r="T65" s="171"/>
      <c r="U65" s="38"/>
      <c r="V65" s="38"/>
      <c r="W65" s="38"/>
      <c r="X65" s="38"/>
      <c r="Y65" s="38"/>
      <c r="Z65" s="38"/>
      <c r="AA65" s="38"/>
      <c r="AB65" s="38"/>
      <c r="AC65" s="351"/>
      <c r="AD65" s="99"/>
      <c r="AE65" s="38"/>
      <c r="AF65" s="99"/>
      <c r="AG65" s="99"/>
      <c r="AH65" s="38"/>
      <c r="AI65" s="38"/>
      <c r="AJ65" s="250"/>
      <c r="AK65" s="38"/>
      <c r="AL65" s="250"/>
      <c r="AM65" s="38"/>
      <c r="AN65" s="38"/>
      <c r="AO65" s="38"/>
      <c r="AP65" s="38"/>
      <c r="AQ65" s="38"/>
      <c r="AR65" s="38"/>
      <c r="AS65" s="57"/>
      <c r="AT65" s="38"/>
      <c r="AU65" s="57"/>
      <c r="AV65" s="99"/>
      <c r="AW65" s="101"/>
      <c r="AX65" s="38"/>
      <c r="AY65" s="57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9"/>
      <c r="CI65" s="39"/>
      <c r="CJ65" s="37"/>
      <c r="CK65" s="100"/>
      <c r="CL65" s="38"/>
      <c r="CM65" s="39"/>
      <c r="CN65" s="39"/>
      <c r="CO65" s="38"/>
      <c r="CP65" s="38"/>
      <c r="CQ65" s="40"/>
      <c r="CR65" s="38"/>
      <c r="CS65" s="187"/>
      <c r="CT65" s="187"/>
      <c r="CU65" s="187"/>
      <c r="CV65" s="187"/>
      <c r="CW65" s="187"/>
      <c r="CX65" s="187"/>
      <c r="CY65" s="187"/>
      <c r="CZ65" s="187"/>
      <c r="DA65" s="187"/>
      <c r="DB65" s="187"/>
      <c r="DC65" s="187"/>
      <c r="DD65" s="187"/>
      <c r="DE65" s="187"/>
      <c r="DF65" s="187"/>
      <c r="DG65" s="187"/>
      <c r="DH65" s="187"/>
      <c r="DI65" s="187"/>
      <c r="DJ65" s="187"/>
      <c r="DK65" s="187"/>
    </row>
    <row r="66" spans="1:115" s="1" customFormat="1" ht="30.75" customHeight="1" thickBot="1" x14ac:dyDescent="0.35">
      <c r="A66" s="187"/>
      <c r="B66" s="366" t="s">
        <v>324</v>
      </c>
      <c r="C66" s="601" t="s">
        <v>286</v>
      </c>
      <c r="D66" s="602"/>
      <c r="E66" s="474"/>
      <c r="F66" s="404">
        <f>SUMIF($B$36:$B$63,"x",F$36:F$63)</f>
        <v>0</v>
      </c>
      <c r="G66" s="437">
        <f t="shared" ref="G66:H66" si="9">SUMIF($B$36:$B$63,"x",G$36:G$63)</f>
        <v>0</v>
      </c>
      <c r="H66" s="420">
        <f t="shared" si="9"/>
        <v>0</v>
      </c>
      <c r="I66" s="376">
        <f t="shared" ref="I66" si="10">I12+SUMIFS($P$36:$P$63,$B$36:$B$63,"x",I$36:I$63,"Add on")</f>
        <v>1</v>
      </c>
      <c r="J66" s="376">
        <f t="shared" ref="J66:O66" si="11">J12+SUMIFS($P$36:$P$63,$B$36:$B$63,"x",J$36:J$63,"Add on")</f>
        <v>45</v>
      </c>
      <c r="K66" s="376">
        <f t="shared" si="11"/>
        <v>120</v>
      </c>
      <c r="L66" s="376">
        <f t="shared" si="11"/>
        <v>145</v>
      </c>
      <c r="M66" s="376">
        <f t="shared" si="11"/>
        <v>180</v>
      </c>
      <c r="N66" s="376">
        <f t="shared" si="11"/>
        <v>299</v>
      </c>
      <c r="O66" s="376">
        <f t="shared" si="11"/>
        <v>599</v>
      </c>
      <c r="P66" s="563" t="s">
        <v>181</v>
      </c>
      <c r="Q66" s="563"/>
      <c r="R66" s="563"/>
      <c r="S66" s="183"/>
      <c r="T66" s="170" t="s">
        <v>1</v>
      </c>
      <c r="U66" s="38"/>
      <c r="V66" s="70"/>
      <c r="W66" s="70"/>
      <c r="X66" s="70"/>
      <c r="Y66" s="70"/>
      <c r="Z66" s="38"/>
      <c r="AA66" s="38"/>
      <c r="AB66" s="38"/>
      <c r="AC66" s="351"/>
      <c r="AD66" s="38"/>
      <c r="AE66" s="38"/>
      <c r="AF66" s="38"/>
      <c r="AG66" s="38"/>
      <c r="AH66" s="38"/>
      <c r="AI66" s="38"/>
      <c r="AJ66" s="250"/>
      <c r="AK66" s="38"/>
      <c r="AL66" s="250"/>
      <c r="AM66" s="38"/>
      <c r="AN66" s="38"/>
      <c r="AO66" s="38"/>
      <c r="AP66" s="38"/>
      <c r="AQ66" s="38"/>
      <c r="AR66" s="38"/>
      <c r="AS66" s="38"/>
      <c r="AT66" s="38"/>
      <c r="AU66" s="57"/>
      <c r="AV66" s="38"/>
      <c r="AW66" s="38"/>
      <c r="AX66" s="38"/>
      <c r="AY66" s="57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9"/>
      <c r="CI66" s="39"/>
      <c r="CJ66" s="37"/>
      <c r="CK66" s="100"/>
      <c r="CL66" s="38"/>
      <c r="CM66" s="39"/>
      <c r="CN66" s="39"/>
      <c r="CO66" s="38"/>
      <c r="CP66" s="38"/>
      <c r="CQ66" s="40"/>
      <c r="CR66" s="38"/>
      <c r="CS66" s="187"/>
      <c r="CT66" s="187"/>
      <c r="CU66" s="187"/>
      <c r="CV66" s="187"/>
      <c r="CW66" s="187"/>
      <c r="CX66" s="187"/>
      <c r="CY66" s="187"/>
      <c r="CZ66" s="187"/>
      <c r="DA66" s="187"/>
      <c r="DB66" s="187"/>
      <c r="DC66" s="187"/>
      <c r="DD66" s="187"/>
      <c r="DE66" s="187"/>
      <c r="DF66" s="187"/>
      <c r="DG66" s="187"/>
      <c r="DH66" s="187"/>
      <c r="DI66" s="187"/>
      <c r="DJ66" s="187"/>
      <c r="DK66" s="187"/>
    </row>
    <row r="67" spans="1:115" s="1" customFormat="1" ht="18" x14ac:dyDescent="0.3">
      <c r="A67" s="187"/>
      <c r="B67" s="198"/>
      <c r="C67" s="578" t="s">
        <v>285</v>
      </c>
      <c r="D67" s="564" t="s">
        <v>185</v>
      </c>
      <c r="E67" s="565"/>
      <c r="F67" s="565"/>
      <c r="G67" s="565"/>
      <c r="H67" s="566"/>
      <c r="I67" s="387">
        <f>$I$66-J$66</f>
        <v>-44</v>
      </c>
      <c r="J67" s="388" t="s">
        <v>2</v>
      </c>
      <c r="K67" s="387">
        <f>$J$66-K$66</f>
        <v>-75</v>
      </c>
      <c r="L67" s="387">
        <f t="shared" ref="L67:O67" si="12">$J$66-L$66</f>
        <v>-100</v>
      </c>
      <c r="M67" s="387">
        <f t="shared" si="12"/>
        <v>-135</v>
      </c>
      <c r="N67" s="387">
        <f t="shared" si="12"/>
        <v>-254</v>
      </c>
      <c r="O67" s="389">
        <f t="shared" si="12"/>
        <v>-554</v>
      </c>
      <c r="P67" s="563"/>
      <c r="Q67" s="563"/>
      <c r="R67" s="563"/>
      <c r="S67" s="183"/>
      <c r="T67" s="167" t="s">
        <v>1</v>
      </c>
      <c r="U67" s="38"/>
      <c r="V67" s="70"/>
      <c r="W67" s="70"/>
      <c r="X67" s="70"/>
      <c r="Y67" s="70"/>
      <c r="Z67" s="38"/>
      <c r="AA67" s="38"/>
      <c r="AB67" s="38"/>
      <c r="AC67" s="351"/>
      <c r="AD67" s="99"/>
      <c r="AE67" s="38"/>
      <c r="AF67" s="99"/>
      <c r="AG67" s="99"/>
      <c r="AH67" s="38"/>
      <c r="AI67" s="38"/>
      <c r="AJ67" s="250"/>
      <c r="AK67" s="38"/>
      <c r="AL67" s="250"/>
      <c r="AM67" s="38"/>
      <c r="AN67" s="38"/>
      <c r="AO67" s="38"/>
      <c r="AP67" s="38"/>
      <c r="AQ67" s="38"/>
      <c r="AR67" s="38"/>
      <c r="AS67" s="57"/>
      <c r="AT67" s="38"/>
      <c r="AU67" s="57"/>
      <c r="AV67" s="99"/>
      <c r="AW67" s="101"/>
      <c r="AX67" s="38"/>
      <c r="AY67" s="57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9"/>
      <c r="CI67" s="39"/>
      <c r="CJ67" s="37"/>
      <c r="CK67" s="100"/>
      <c r="CL67" s="38"/>
      <c r="CM67" s="39"/>
      <c r="CN67" s="39"/>
      <c r="CO67" s="38"/>
      <c r="CP67" s="38"/>
      <c r="CQ67" s="40"/>
      <c r="CR67" s="38"/>
      <c r="CS67" s="187"/>
      <c r="CT67" s="187"/>
      <c r="CU67" s="187"/>
      <c r="CV67" s="187"/>
      <c r="CW67" s="187"/>
      <c r="CX67" s="187"/>
      <c r="CY67" s="187"/>
      <c r="CZ67" s="187"/>
      <c r="DA67" s="187"/>
      <c r="DB67" s="187"/>
      <c r="DC67" s="187"/>
      <c r="DD67" s="187"/>
      <c r="DE67" s="187"/>
      <c r="DF67" s="187"/>
      <c r="DG67" s="187"/>
      <c r="DH67" s="187"/>
      <c r="DI67" s="187"/>
      <c r="DJ67" s="187"/>
      <c r="DK67" s="187"/>
    </row>
    <row r="68" spans="1:115" s="1" customFormat="1" ht="18" x14ac:dyDescent="0.3">
      <c r="A68" s="187"/>
      <c r="B68" s="198"/>
      <c r="C68" s="579"/>
      <c r="D68" s="581" t="s">
        <v>186</v>
      </c>
      <c r="E68" s="582"/>
      <c r="F68" s="582"/>
      <c r="G68" s="582"/>
      <c r="H68" s="583"/>
      <c r="I68" s="387">
        <f>$I$66-K$66</f>
        <v>-119</v>
      </c>
      <c r="J68" s="387">
        <f>$K$66-J$66</f>
        <v>75</v>
      </c>
      <c r="K68" s="388" t="s">
        <v>2</v>
      </c>
      <c r="L68" s="387">
        <f t="shared" ref="L68:O68" si="13">$K$66-L$66</f>
        <v>-25</v>
      </c>
      <c r="M68" s="387">
        <f t="shared" si="13"/>
        <v>-60</v>
      </c>
      <c r="N68" s="387">
        <f t="shared" si="13"/>
        <v>-179</v>
      </c>
      <c r="O68" s="389">
        <f t="shared" si="13"/>
        <v>-479</v>
      </c>
      <c r="P68" s="563"/>
      <c r="Q68" s="563"/>
      <c r="R68" s="563"/>
      <c r="S68" s="183"/>
      <c r="T68" s="167" t="s">
        <v>1</v>
      </c>
      <c r="U68" s="38"/>
      <c r="V68" s="70"/>
      <c r="W68" s="70"/>
      <c r="X68" s="70"/>
      <c r="Y68" s="70"/>
      <c r="Z68" s="38"/>
      <c r="AA68" s="38"/>
      <c r="AB68" s="38"/>
      <c r="AC68" s="351"/>
      <c r="AD68" s="99"/>
      <c r="AE68" s="38"/>
      <c r="AF68" s="99"/>
      <c r="AG68" s="99"/>
      <c r="AH68" s="38"/>
      <c r="AI68" s="38"/>
      <c r="AJ68" s="250"/>
      <c r="AK68" s="38"/>
      <c r="AL68" s="250"/>
      <c r="AM68" s="38"/>
      <c r="AN68" s="38"/>
      <c r="AO68" s="38"/>
      <c r="AP68" s="38"/>
      <c r="AQ68" s="38"/>
      <c r="AR68" s="38"/>
      <c r="AS68" s="57"/>
      <c r="AT68" s="38"/>
      <c r="AU68" s="57"/>
      <c r="AV68" s="99"/>
      <c r="AW68" s="101"/>
      <c r="AX68" s="38"/>
      <c r="AY68" s="57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9"/>
      <c r="CI68" s="39"/>
      <c r="CJ68" s="37"/>
      <c r="CK68" s="100"/>
      <c r="CL68" s="38"/>
      <c r="CM68" s="39"/>
      <c r="CN68" s="39"/>
      <c r="CO68" s="38"/>
      <c r="CP68" s="38"/>
      <c r="CQ68" s="40"/>
      <c r="CR68" s="38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</row>
    <row r="69" spans="1:115" s="1" customFormat="1" ht="18" x14ac:dyDescent="0.3">
      <c r="A69" s="187"/>
      <c r="B69" s="198"/>
      <c r="C69" s="579"/>
      <c r="D69" s="581" t="s">
        <v>187</v>
      </c>
      <c r="E69" s="582"/>
      <c r="F69" s="582"/>
      <c r="G69" s="582"/>
      <c r="H69" s="583"/>
      <c r="I69" s="387">
        <f>$I$66-L$66</f>
        <v>-144</v>
      </c>
      <c r="J69" s="387">
        <f>$L$66-J$66</f>
        <v>100</v>
      </c>
      <c r="K69" s="387">
        <f>$L$66-K$66</f>
        <v>25</v>
      </c>
      <c r="L69" s="388" t="s">
        <v>2</v>
      </c>
      <c r="M69" s="387">
        <f t="shared" ref="M69:O69" si="14">$L$66-M$66</f>
        <v>-35</v>
      </c>
      <c r="N69" s="387">
        <f t="shared" si="14"/>
        <v>-154</v>
      </c>
      <c r="O69" s="389">
        <f t="shared" si="14"/>
        <v>-454</v>
      </c>
      <c r="P69" s="563"/>
      <c r="Q69" s="563"/>
      <c r="R69" s="563"/>
      <c r="S69" s="183"/>
      <c r="T69" s="167" t="s">
        <v>1</v>
      </c>
      <c r="U69" s="38"/>
      <c r="V69" s="70"/>
      <c r="W69" s="70"/>
      <c r="X69" s="70"/>
      <c r="Y69" s="70"/>
      <c r="Z69" s="38"/>
      <c r="AA69" s="38"/>
      <c r="AB69" s="38"/>
      <c r="AC69" s="351"/>
      <c r="AD69" s="99"/>
      <c r="AE69" s="38"/>
      <c r="AF69" s="99"/>
      <c r="AG69" s="99"/>
      <c r="AH69" s="38"/>
      <c r="AI69" s="38"/>
      <c r="AJ69" s="250"/>
      <c r="AK69" s="38"/>
      <c r="AL69" s="250"/>
      <c r="AM69" s="38"/>
      <c r="AN69" s="38"/>
      <c r="AO69" s="38"/>
      <c r="AP69" s="38"/>
      <c r="AQ69" s="38"/>
      <c r="AR69" s="38"/>
      <c r="AS69" s="57"/>
      <c r="AT69" s="38"/>
      <c r="AU69" s="57"/>
      <c r="AV69" s="99"/>
      <c r="AW69" s="101"/>
      <c r="AX69" s="38"/>
      <c r="AY69" s="57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9"/>
      <c r="CI69" s="39"/>
      <c r="CJ69" s="37"/>
      <c r="CK69" s="100"/>
      <c r="CL69" s="38"/>
      <c r="CM69" s="39"/>
      <c r="CN69" s="39"/>
      <c r="CO69" s="38"/>
      <c r="CP69" s="38"/>
      <c r="CQ69" s="40"/>
      <c r="CR69" s="38"/>
      <c r="CS69" s="187"/>
      <c r="CT69" s="187"/>
      <c r="CU69" s="187"/>
      <c r="CV69" s="187"/>
      <c r="CW69" s="187"/>
      <c r="CX69" s="187"/>
      <c r="CY69" s="187"/>
      <c r="CZ69" s="187"/>
      <c r="DA69" s="187"/>
      <c r="DB69" s="187"/>
      <c r="DC69" s="187"/>
      <c r="DD69" s="187"/>
      <c r="DE69" s="187"/>
      <c r="DF69" s="187"/>
      <c r="DG69" s="187"/>
      <c r="DH69" s="187"/>
      <c r="DI69" s="187"/>
      <c r="DJ69" s="187"/>
      <c r="DK69" s="187"/>
    </row>
    <row r="70" spans="1:115" s="1" customFormat="1" ht="18" x14ac:dyDescent="0.3">
      <c r="A70" s="187"/>
      <c r="B70" s="198"/>
      <c r="C70" s="579"/>
      <c r="D70" s="581" t="s">
        <v>188</v>
      </c>
      <c r="E70" s="582"/>
      <c r="F70" s="582"/>
      <c r="G70" s="582"/>
      <c r="H70" s="583"/>
      <c r="I70" s="387">
        <f>$I$66-M$66</f>
        <v>-179</v>
      </c>
      <c r="J70" s="387">
        <f>$M$66-J$66</f>
        <v>135</v>
      </c>
      <c r="K70" s="387">
        <f t="shared" ref="K70:L70" si="15">$M$66-K$66</f>
        <v>60</v>
      </c>
      <c r="L70" s="387">
        <f t="shared" si="15"/>
        <v>35</v>
      </c>
      <c r="M70" s="388" t="s">
        <v>2</v>
      </c>
      <c r="N70" s="387">
        <f t="shared" ref="N70:O70" si="16">$M$66-N$66</f>
        <v>-119</v>
      </c>
      <c r="O70" s="389">
        <f t="shared" si="16"/>
        <v>-419</v>
      </c>
      <c r="P70" s="563"/>
      <c r="Q70" s="563"/>
      <c r="R70" s="563"/>
      <c r="S70" s="183"/>
      <c r="T70" s="167" t="s">
        <v>1</v>
      </c>
      <c r="U70" s="38"/>
      <c r="V70" s="70"/>
      <c r="W70" s="70"/>
      <c r="X70" s="70"/>
      <c r="Y70" s="70"/>
      <c r="Z70" s="38"/>
      <c r="AA70" s="38"/>
      <c r="AB70" s="38"/>
      <c r="AC70" s="351"/>
      <c r="AD70" s="99"/>
      <c r="AE70" s="38"/>
      <c r="AF70" s="99"/>
      <c r="AG70" s="99"/>
      <c r="AH70" s="38"/>
      <c r="AI70" s="38"/>
      <c r="AJ70" s="250"/>
      <c r="AK70" s="38"/>
      <c r="AL70" s="250"/>
      <c r="AM70" s="38"/>
      <c r="AN70" s="38"/>
      <c r="AO70" s="38"/>
      <c r="AP70" s="38"/>
      <c r="AQ70" s="38"/>
      <c r="AR70" s="38"/>
      <c r="AS70" s="57"/>
      <c r="AT70" s="38"/>
      <c r="AU70" s="57"/>
      <c r="AV70" s="99"/>
      <c r="AW70" s="101"/>
      <c r="AX70" s="38"/>
      <c r="AY70" s="57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9"/>
      <c r="CI70" s="39"/>
      <c r="CJ70" s="37"/>
      <c r="CK70" s="100"/>
      <c r="CL70" s="38"/>
      <c r="CM70" s="39"/>
      <c r="CN70" s="39"/>
      <c r="CO70" s="38"/>
      <c r="CP70" s="38"/>
      <c r="CQ70" s="40"/>
      <c r="CR70" s="38"/>
      <c r="CS70" s="187"/>
      <c r="CT70" s="187"/>
      <c r="CU70" s="187"/>
      <c r="CV70" s="187"/>
      <c r="CW70" s="187"/>
      <c r="CX70" s="187"/>
      <c r="CY70" s="187"/>
      <c r="CZ70" s="187"/>
      <c r="DA70" s="187"/>
      <c r="DB70" s="187"/>
      <c r="DC70" s="187"/>
      <c r="DD70" s="187"/>
      <c r="DE70" s="187"/>
      <c r="DF70" s="187"/>
      <c r="DG70" s="187"/>
      <c r="DH70" s="187"/>
      <c r="DI70" s="187"/>
      <c r="DJ70" s="187"/>
      <c r="DK70" s="187"/>
    </row>
    <row r="71" spans="1:115" s="1" customFormat="1" ht="18" x14ac:dyDescent="0.3">
      <c r="A71" s="187"/>
      <c r="B71" s="198"/>
      <c r="C71" s="579"/>
      <c r="D71" s="581" t="s">
        <v>189</v>
      </c>
      <c r="E71" s="582"/>
      <c r="F71" s="582"/>
      <c r="G71" s="582"/>
      <c r="H71" s="583"/>
      <c r="I71" s="387">
        <f>$I$66-N$66</f>
        <v>-298</v>
      </c>
      <c r="J71" s="387">
        <f>$N$66-J$66</f>
        <v>254</v>
      </c>
      <c r="K71" s="387">
        <f t="shared" ref="K71:M71" si="17">$N$66-K$66</f>
        <v>179</v>
      </c>
      <c r="L71" s="387">
        <f t="shared" si="17"/>
        <v>154</v>
      </c>
      <c r="M71" s="387">
        <f t="shared" si="17"/>
        <v>119</v>
      </c>
      <c r="N71" s="388" t="s">
        <v>2</v>
      </c>
      <c r="O71" s="389">
        <f>$N$66-O$66</f>
        <v>-300</v>
      </c>
      <c r="P71" s="563"/>
      <c r="Q71" s="563"/>
      <c r="R71" s="563"/>
      <c r="S71" s="183"/>
      <c r="T71" s="167" t="s">
        <v>1</v>
      </c>
      <c r="U71" s="38"/>
      <c r="V71" s="38"/>
      <c r="W71" s="38"/>
      <c r="X71" s="38"/>
      <c r="Y71" s="38"/>
      <c r="Z71" s="38"/>
      <c r="AA71" s="38"/>
      <c r="AB71" s="38"/>
      <c r="AC71" s="351"/>
      <c r="AD71" s="99"/>
      <c r="AE71" s="38"/>
      <c r="AF71" s="99"/>
      <c r="AG71" s="99"/>
      <c r="AH71" s="38"/>
      <c r="AI71" s="38"/>
      <c r="AJ71" s="250"/>
      <c r="AK71" s="38"/>
      <c r="AL71" s="250"/>
      <c r="AM71" s="38"/>
      <c r="AN71" s="38"/>
      <c r="AO71" s="38"/>
      <c r="AP71" s="38"/>
      <c r="AQ71" s="38"/>
      <c r="AR71" s="38"/>
      <c r="AS71" s="57"/>
      <c r="AT71" s="38"/>
      <c r="AU71" s="57"/>
      <c r="AV71" s="99"/>
      <c r="AW71" s="101"/>
      <c r="AX71" s="38"/>
      <c r="AY71" s="57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9"/>
      <c r="CI71" s="39"/>
      <c r="CJ71" s="37"/>
      <c r="CK71" s="100"/>
      <c r="CL71" s="38"/>
      <c r="CM71" s="39"/>
      <c r="CN71" s="39"/>
      <c r="CO71" s="38"/>
      <c r="CP71" s="38"/>
      <c r="CQ71" s="40"/>
      <c r="CR71" s="38"/>
      <c r="CS71" s="187"/>
      <c r="CT71" s="187"/>
      <c r="CU71" s="187"/>
      <c r="CV71" s="187"/>
      <c r="CW71" s="187"/>
      <c r="CX71" s="187"/>
      <c r="CY71" s="187"/>
      <c r="CZ71" s="187"/>
      <c r="DA71" s="187"/>
      <c r="DB71" s="187"/>
      <c r="DC71" s="187"/>
      <c r="DD71" s="187"/>
      <c r="DE71" s="187"/>
      <c r="DF71" s="187"/>
      <c r="DG71" s="187"/>
      <c r="DH71" s="187"/>
      <c r="DI71" s="187"/>
      <c r="DJ71" s="187"/>
      <c r="DK71" s="187"/>
    </row>
    <row r="72" spans="1:115" s="1" customFormat="1" thickBot="1" x14ac:dyDescent="0.35">
      <c r="A72" s="187"/>
      <c r="B72" s="198"/>
      <c r="C72" s="580"/>
      <c r="D72" s="603" t="s">
        <v>190</v>
      </c>
      <c r="E72" s="604"/>
      <c r="F72" s="604"/>
      <c r="G72" s="604"/>
      <c r="H72" s="605"/>
      <c r="I72" s="390">
        <f>$I$66-O$66</f>
        <v>-598</v>
      </c>
      <c r="J72" s="390">
        <f>$O$66-J$66</f>
        <v>554</v>
      </c>
      <c r="K72" s="390">
        <f t="shared" ref="K72:N72" si="18">$O$66-K$66</f>
        <v>479</v>
      </c>
      <c r="L72" s="390">
        <f t="shared" si="18"/>
        <v>454</v>
      </c>
      <c r="M72" s="390">
        <f t="shared" si="18"/>
        <v>419</v>
      </c>
      <c r="N72" s="390">
        <f t="shared" si="18"/>
        <v>300</v>
      </c>
      <c r="O72" s="391" t="s">
        <v>2</v>
      </c>
      <c r="P72" s="563"/>
      <c r="Q72" s="563"/>
      <c r="R72" s="563"/>
      <c r="S72" s="183"/>
      <c r="T72" s="167" t="s">
        <v>1</v>
      </c>
      <c r="U72" s="38"/>
      <c r="V72" s="38"/>
      <c r="W72" s="38"/>
      <c r="X72" s="38"/>
      <c r="Y72" s="38"/>
      <c r="Z72" s="38"/>
      <c r="AA72" s="38"/>
      <c r="AB72" s="38"/>
      <c r="AC72" s="351"/>
      <c r="AD72" s="99"/>
      <c r="AE72" s="38"/>
      <c r="AF72" s="99"/>
      <c r="AG72" s="99"/>
      <c r="AH72" s="38"/>
      <c r="AI72" s="38"/>
      <c r="AJ72" s="250"/>
      <c r="AK72" s="38"/>
      <c r="AL72" s="250"/>
      <c r="AM72" s="38"/>
      <c r="AN72" s="38"/>
      <c r="AO72" s="38"/>
      <c r="AP72" s="38"/>
      <c r="AQ72" s="38"/>
      <c r="AR72" s="38"/>
      <c r="AS72" s="57"/>
      <c r="AT72" s="38"/>
      <c r="AU72" s="57"/>
      <c r="AV72" s="99"/>
      <c r="AW72" s="101"/>
      <c r="AX72" s="38"/>
      <c r="AY72" s="57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9"/>
      <c r="CI72" s="39"/>
      <c r="CJ72" s="37"/>
      <c r="CK72" s="100"/>
      <c r="CL72" s="38"/>
      <c r="CM72" s="39"/>
      <c r="CN72" s="39"/>
      <c r="CO72" s="38"/>
      <c r="CP72" s="38"/>
      <c r="CQ72" s="40"/>
      <c r="CR72" s="38"/>
      <c r="CS72" s="187"/>
      <c r="CT72" s="187"/>
      <c r="CU72" s="187"/>
      <c r="CV72" s="187"/>
      <c r="CW72" s="187"/>
      <c r="CX72" s="187"/>
      <c r="CY72" s="187"/>
      <c r="CZ72" s="187"/>
      <c r="DA72" s="187"/>
      <c r="DB72" s="187"/>
      <c r="DC72" s="187"/>
      <c r="DD72" s="187"/>
      <c r="DE72" s="187"/>
      <c r="DF72" s="187"/>
      <c r="DG72" s="187"/>
      <c r="DH72" s="187"/>
      <c r="DI72" s="187"/>
      <c r="DJ72" s="187"/>
      <c r="DK72" s="187"/>
    </row>
    <row r="73" spans="1:115" s="1" customFormat="1" thickBot="1" x14ac:dyDescent="0.35">
      <c r="A73" s="187"/>
      <c r="B73" s="198"/>
      <c r="C73" s="199"/>
      <c r="D73" s="458"/>
      <c r="E73" s="473"/>
      <c r="F73" s="199"/>
      <c r="G73" s="436"/>
      <c r="H73" s="419"/>
      <c r="I73" s="200"/>
      <c r="J73" s="200"/>
      <c r="K73" s="200"/>
      <c r="L73" s="200"/>
      <c r="M73" s="200"/>
      <c r="N73" s="200"/>
      <c r="O73" s="200"/>
      <c r="P73" s="295"/>
      <c r="Q73" s="296"/>
      <c r="R73" s="493"/>
      <c r="S73" s="183"/>
      <c r="T73" s="171"/>
      <c r="U73" s="38"/>
      <c r="V73" s="38"/>
      <c r="W73" s="38"/>
      <c r="X73" s="38"/>
      <c r="Y73" s="38"/>
      <c r="Z73" s="38"/>
      <c r="AA73" s="38"/>
      <c r="AB73" s="38"/>
      <c r="AC73" s="351"/>
      <c r="AD73" s="99"/>
      <c r="AE73" s="38"/>
      <c r="AF73" s="99"/>
      <c r="AG73" s="99"/>
      <c r="AH73" s="38"/>
      <c r="AI73" s="38"/>
      <c r="AJ73" s="250"/>
      <c r="AK73" s="38"/>
      <c r="AL73" s="250"/>
      <c r="AM73" s="38"/>
      <c r="AN73" s="38"/>
      <c r="AO73" s="38"/>
      <c r="AP73" s="38"/>
      <c r="AQ73" s="38"/>
      <c r="AR73" s="38"/>
      <c r="AS73" s="57"/>
      <c r="AT73" s="38"/>
      <c r="AU73" s="57"/>
      <c r="AV73" s="99"/>
      <c r="AW73" s="101"/>
      <c r="AX73" s="38"/>
      <c r="AY73" s="57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9"/>
      <c r="CI73" s="39"/>
      <c r="CJ73" s="37"/>
      <c r="CK73" s="100"/>
      <c r="CL73" s="38"/>
      <c r="CM73" s="39"/>
      <c r="CN73" s="39"/>
      <c r="CO73" s="38"/>
      <c r="CP73" s="38"/>
      <c r="CQ73" s="40"/>
      <c r="CR73" s="38"/>
      <c r="CS73" s="187"/>
      <c r="CT73" s="187"/>
      <c r="CU73" s="187"/>
      <c r="CV73" s="187"/>
      <c r="CW73" s="187"/>
      <c r="CX73" s="187"/>
      <c r="CY73" s="187"/>
      <c r="CZ73" s="187"/>
      <c r="DA73" s="187"/>
      <c r="DB73" s="187"/>
      <c r="DC73" s="187"/>
      <c r="DD73" s="187"/>
      <c r="DE73" s="187"/>
      <c r="DF73" s="187"/>
      <c r="DG73" s="187"/>
      <c r="DH73" s="187"/>
      <c r="DI73" s="187"/>
      <c r="DJ73" s="187"/>
      <c r="DK73" s="187"/>
    </row>
    <row r="74" spans="1:115" s="1" customFormat="1" ht="18" customHeight="1" x14ac:dyDescent="0.3">
      <c r="A74" s="187"/>
      <c r="B74" s="584" t="s">
        <v>297</v>
      </c>
      <c r="C74" s="592" t="s">
        <v>287</v>
      </c>
      <c r="D74" s="593"/>
      <c r="E74" s="593"/>
      <c r="F74" s="593"/>
      <c r="G74" s="593"/>
      <c r="H74" s="594"/>
      <c r="I74" s="587">
        <f>SUMIF($B$36:$B$64,"x",$Q$36:$Q$64)</f>
        <v>0</v>
      </c>
      <c r="J74" s="588"/>
      <c r="K74" s="588"/>
      <c r="L74" s="588"/>
      <c r="M74" s="588"/>
      <c r="N74" s="588"/>
      <c r="O74" s="589"/>
      <c r="P74" s="621" t="s">
        <v>319</v>
      </c>
      <c r="Q74" s="563"/>
      <c r="R74" s="563"/>
      <c r="S74" s="183"/>
      <c r="T74" s="167" t="s">
        <v>1</v>
      </c>
      <c r="U74" s="38"/>
      <c r="V74" s="38"/>
      <c r="W74" s="38"/>
      <c r="X74" s="38"/>
      <c r="Y74" s="38"/>
      <c r="Z74" s="38"/>
      <c r="AA74" s="38"/>
      <c r="AB74" s="38"/>
      <c r="AC74" s="351"/>
      <c r="AD74" s="99"/>
      <c r="AE74" s="38"/>
      <c r="AF74" s="99"/>
      <c r="AG74" s="99"/>
      <c r="AH74" s="38"/>
      <c r="AI74" s="38"/>
      <c r="AJ74" s="250"/>
      <c r="AK74" s="38"/>
      <c r="AL74" s="250"/>
      <c r="AM74" s="38"/>
      <c r="AN74" s="38"/>
      <c r="AO74" s="38"/>
      <c r="AP74" s="38"/>
      <c r="AQ74" s="38"/>
      <c r="AR74" s="38"/>
      <c r="AS74" s="57"/>
      <c r="AT74" s="38"/>
      <c r="AU74" s="57"/>
      <c r="AV74" s="99"/>
      <c r="AW74" s="101"/>
      <c r="AX74" s="38"/>
      <c r="AY74" s="57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9"/>
      <c r="CI74" s="39"/>
      <c r="CJ74" s="37"/>
      <c r="CK74" s="100"/>
      <c r="CL74" s="38"/>
      <c r="CM74" s="39"/>
      <c r="CN74" s="39"/>
      <c r="CO74" s="38"/>
      <c r="CP74" s="38"/>
      <c r="CQ74" s="40"/>
      <c r="CR74" s="38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</row>
    <row r="75" spans="1:115" s="1" customFormat="1" ht="18" x14ac:dyDescent="0.3">
      <c r="A75" s="187"/>
      <c r="B75" s="585"/>
      <c r="C75" s="598" t="s">
        <v>290</v>
      </c>
      <c r="D75" s="599"/>
      <c r="E75" s="599"/>
      <c r="F75" s="599"/>
      <c r="G75" s="599"/>
      <c r="H75" s="600"/>
      <c r="I75" s="371">
        <f t="shared" ref="I75" si="19">$I$74-(I12+SUMIFS($P$36:$P$63,$B$36:$B$63,"x",I$36:I$63,"Add on"))</f>
        <v>-1</v>
      </c>
      <c r="J75" s="372">
        <f t="shared" ref="J75:O75" si="20">$I$74-(J12+SUMIFS($P$36:$P$63,$B$36:$B$63,"x",J$36:J$63,"Add on"))</f>
        <v>-45</v>
      </c>
      <c r="K75" s="371">
        <f t="shared" si="20"/>
        <v>-120</v>
      </c>
      <c r="L75" s="371">
        <f t="shared" si="20"/>
        <v>-145</v>
      </c>
      <c r="M75" s="371">
        <f t="shared" si="20"/>
        <v>-180</v>
      </c>
      <c r="N75" s="371">
        <f t="shared" si="20"/>
        <v>-299</v>
      </c>
      <c r="O75" s="373">
        <f t="shared" si="20"/>
        <v>-599</v>
      </c>
      <c r="P75" s="621"/>
      <c r="Q75" s="563"/>
      <c r="R75" s="563"/>
      <c r="S75" s="183"/>
      <c r="T75" s="167" t="s">
        <v>1</v>
      </c>
      <c r="U75" s="38"/>
      <c r="V75" s="38"/>
      <c r="W75" s="38"/>
      <c r="X75" s="38"/>
      <c r="Y75" s="38"/>
      <c r="Z75" s="38"/>
      <c r="AA75" s="38"/>
      <c r="AB75" s="38"/>
      <c r="AC75" s="351"/>
      <c r="AD75" s="99"/>
      <c r="AE75" s="38"/>
      <c r="AF75" s="99"/>
      <c r="AG75" s="99"/>
      <c r="AH75" s="38"/>
      <c r="AI75" s="38"/>
      <c r="AJ75" s="250"/>
      <c r="AK75" s="38"/>
      <c r="AL75" s="250"/>
      <c r="AM75" s="38"/>
      <c r="AN75" s="38"/>
      <c r="AO75" s="38"/>
      <c r="AP75" s="38"/>
      <c r="AQ75" s="38"/>
      <c r="AR75" s="38"/>
      <c r="AS75" s="57"/>
      <c r="AT75" s="38"/>
      <c r="AU75" s="57"/>
      <c r="AV75" s="99"/>
      <c r="AW75" s="101"/>
      <c r="AX75" s="38"/>
      <c r="AY75" s="57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9"/>
      <c r="CI75" s="39"/>
      <c r="CJ75" s="100"/>
      <c r="CK75" s="100"/>
      <c r="CL75" s="38"/>
      <c r="CM75" s="39"/>
      <c r="CN75" s="39"/>
      <c r="CO75" s="38"/>
      <c r="CP75" s="38"/>
      <c r="CQ75" s="40"/>
      <c r="CR75" s="38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</row>
    <row r="76" spans="1:115" s="1" customFormat="1" thickBot="1" x14ac:dyDescent="0.35">
      <c r="A76" s="187"/>
      <c r="B76" s="586"/>
      <c r="C76" s="595" t="s">
        <v>154</v>
      </c>
      <c r="D76" s="596"/>
      <c r="E76" s="596"/>
      <c r="F76" s="596"/>
      <c r="G76" s="596"/>
      <c r="H76" s="597"/>
      <c r="I76" s="223">
        <f t="shared" ref="I76" si="21">IFERROR(I75/$I$74,)</f>
        <v>0</v>
      </c>
      <c r="J76" s="260">
        <f t="shared" ref="J76:O76" si="22">IFERROR(J75/$I$74,)</f>
        <v>0</v>
      </c>
      <c r="K76" s="223">
        <f t="shared" si="22"/>
        <v>0</v>
      </c>
      <c r="L76" s="223">
        <f t="shared" si="22"/>
        <v>0</v>
      </c>
      <c r="M76" s="223">
        <f t="shared" si="22"/>
        <v>0</v>
      </c>
      <c r="N76" s="223">
        <f t="shared" si="22"/>
        <v>0</v>
      </c>
      <c r="O76" s="224">
        <f t="shared" si="22"/>
        <v>0</v>
      </c>
      <c r="P76" s="621"/>
      <c r="Q76" s="563"/>
      <c r="R76" s="563"/>
      <c r="S76" s="183"/>
      <c r="T76" s="222"/>
      <c r="U76" s="38"/>
      <c r="V76" s="38"/>
      <c r="W76" s="38"/>
      <c r="X76" s="38"/>
      <c r="Y76" s="38"/>
      <c r="Z76" s="38"/>
      <c r="AA76" s="38"/>
      <c r="AB76" s="38"/>
      <c r="AC76" s="351"/>
      <c r="AD76" s="99"/>
      <c r="AE76" s="38"/>
      <c r="AF76" s="99"/>
      <c r="AG76" s="99"/>
      <c r="AH76" s="38"/>
      <c r="AI76" s="38"/>
      <c r="AJ76" s="250"/>
      <c r="AK76" s="38"/>
      <c r="AL76" s="250"/>
      <c r="AM76" s="38"/>
      <c r="AN76" s="38"/>
      <c r="AO76" s="38"/>
      <c r="AP76" s="38"/>
      <c r="AQ76" s="38"/>
      <c r="AR76" s="38"/>
      <c r="AS76" s="57"/>
      <c r="AT76" s="38"/>
      <c r="AU76" s="57"/>
      <c r="AV76" s="99"/>
      <c r="AW76" s="101"/>
      <c r="AX76" s="38"/>
      <c r="AY76" s="57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9"/>
      <c r="CI76" s="39"/>
      <c r="CJ76" s="100"/>
      <c r="CK76" s="100"/>
      <c r="CL76" s="38"/>
      <c r="CM76" s="39"/>
      <c r="CN76" s="39"/>
      <c r="CO76" s="38"/>
      <c r="CP76" s="38"/>
      <c r="CQ76" s="40"/>
      <c r="CR76" s="38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</row>
    <row r="77" spans="1:115" s="2" customFormat="1" ht="19.5" thickBot="1" x14ac:dyDescent="0.35">
      <c r="A77" s="183"/>
      <c r="B77" s="202"/>
      <c r="C77" s="183"/>
      <c r="D77" s="449"/>
      <c r="E77" s="468"/>
      <c r="F77" s="183"/>
      <c r="G77" s="429"/>
      <c r="H77" s="412"/>
      <c r="I77" s="196"/>
      <c r="J77" s="196"/>
      <c r="K77" s="196"/>
      <c r="L77" s="196"/>
      <c r="M77" s="196"/>
      <c r="N77" s="196"/>
      <c r="O77" s="196"/>
      <c r="P77" s="507"/>
      <c r="Q77" s="507"/>
      <c r="R77" s="507"/>
      <c r="S77" s="183"/>
      <c r="T77" s="172"/>
      <c r="U77" s="43"/>
      <c r="V77" s="43"/>
      <c r="W77" s="43"/>
      <c r="X77" s="43"/>
      <c r="Y77" s="43"/>
      <c r="Z77" s="43"/>
      <c r="AA77" s="43"/>
      <c r="AB77" s="43"/>
      <c r="AC77" s="347"/>
      <c r="AD77" s="99"/>
      <c r="AE77" s="43"/>
      <c r="AF77" s="99"/>
      <c r="AG77" s="99"/>
      <c r="AH77" s="43"/>
      <c r="AI77" s="43"/>
      <c r="AJ77" s="219"/>
      <c r="AK77" s="43"/>
      <c r="AL77" s="219"/>
      <c r="AM77" s="43"/>
      <c r="AN77" s="43"/>
      <c r="AO77" s="43"/>
      <c r="AP77" s="43"/>
      <c r="AQ77" s="43"/>
      <c r="AR77" s="43"/>
      <c r="AS77" s="59"/>
      <c r="AT77" s="43"/>
      <c r="AU77" s="59"/>
      <c r="AV77" s="99"/>
      <c r="AW77" s="101"/>
      <c r="AX77" s="43"/>
      <c r="AY77" s="59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4"/>
      <c r="CC77" s="44"/>
      <c r="CD77" s="43"/>
      <c r="CE77" s="43"/>
      <c r="CF77" s="44"/>
      <c r="CG77" s="44"/>
      <c r="CH77" s="43"/>
      <c r="CI77" s="43"/>
      <c r="CJ77" s="37"/>
      <c r="CK77" s="100"/>
      <c r="CL77" s="43"/>
      <c r="CM77" s="43"/>
      <c r="CN77" s="43"/>
      <c r="CO77" s="44"/>
      <c r="CP77" s="44"/>
      <c r="CQ77" s="45"/>
      <c r="CR77" s="4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</row>
    <row r="78" spans="1:115" s="1" customFormat="1" ht="18" customHeight="1" x14ac:dyDescent="0.3">
      <c r="A78" s="187"/>
      <c r="B78" s="584" t="s">
        <v>226</v>
      </c>
      <c r="C78" s="592" t="s">
        <v>323</v>
      </c>
      <c r="D78" s="593"/>
      <c r="E78" s="593"/>
      <c r="F78" s="593"/>
      <c r="G78" s="593"/>
      <c r="H78" s="594"/>
      <c r="I78" s="527">
        <f t="shared" ref="I78" si="23">SUMIFS($Q$36:$Q$63,$B$36:$B$63,"",I$36:I$63,"µ")</f>
        <v>0</v>
      </c>
      <c r="J78" s="527">
        <f>SUMIFS($Q$36:$Q$63,$B$36:$B$63,"",J$36:J$63,"µ")</f>
        <v>50</v>
      </c>
      <c r="K78" s="527">
        <f>SUMIFS($Q$36:$Q$63,$B$36:$B$63,"",K$36:K$63,"µ")</f>
        <v>140</v>
      </c>
      <c r="L78" s="527">
        <f>SUMIFS($Q$36:$Q$63,$B$36:$B$63,"",L$36:L$63,"µ")</f>
        <v>182.5</v>
      </c>
      <c r="M78" s="527">
        <f>SUMIFS($Q$36:$Q$63,$B$36:$B$63,"",M$36:M$63,"µ")</f>
        <v>232.5</v>
      </c>
      <c r="N78" s="527">
        <f>SUMIFS($Q$36:$Q$63,$B$36:$B$63,"",N$36:N$63,"µ")</f>
        <v>407.5</v>
      </c>
      <c r="O78" s="528">
        <f>SUMIFS($Q$36:$Q$63,$B$36:$B$63,"",O$36:O$63,"µ")-IF(B49="x",SUM(Q50:Q51))-IF(B54="x",SUM(Q55:Q56))-IF(B57="x",SUM(Q58:Q62))</f>
        <v>777.5</v>
      </c>
      <c r="P78" s="621" t="s">
        <v>319</v>
      </c>
      <c r="Q78" s="563"/>
      <c r="R78" s="563"/>
      <c r="S78" s="183"/>
      <c r="T78" s="167" t="s">
        <v>1</v>
      </c>
      <c r="U78" s="38"/>
      <c r="V78" s="38"/>
      <c r="W78" s="38"/>
      <c r="X78" s="38"/>
      <c r="Y78" s="38"/>
      <c r="Z78" s="38"/>
      <c r="AA78" s="38"/>
      <c r="AB78" s="38"/>
      <c r="AC78" s="351"/>
      <c r="AD78" s="99"/>
      <c r="AE78" s="41"/>
      <c r="AF78" s="99"/>
      <c r="AG78" s="99"/>
      <c r="AH78" s="41"/>
      <c r="AI78" s="38"/>
      <c r="AJ78" s="250"/>
      <c r="AK78" s="38"/>
      <c r="AL78" s="250"/>
      <c r="AM78" s="38"/>
      <c r="AN78" s="38"/>
      <c r="AO78" s="38"/>
      <c r="AP78" s="38"/>
      <c r="AQ78" s="38"/>
      <c r="AR78" s="41"/>
      <c r="AS78" s="58"/>
      <c r="AT78" s="41"/>
      <c r="AU78" s="58"/>
      <c r="AV78" s="99"/>
      <c r="AW78" s="101"/>
      <c r="AX78" s="41"/>
      <c r="AY78" s="58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38"/>
      <c r="CA78" s="38"/>
      <c r="CB78" s="38"/>
      <c r="CC78" s="38"/>
      <c r="CD78" s="38"/>
      <c r="CE78" s="38"/>
      <c r="CF78" s="38"/>
      <c r="CG78" s="38"/>
      <c r="CH78" s="39"/>
      <c r="CI78" s="39"/>
      <c r="CJ78" s="37"/>
      <c r="CK78" s="100"/>
      <c r="CL78" s="38"/>
      <c r="CM78" s="39"/>
      <c r="CN78" s="39"/>
      <c r="CO78" s="38"/>
      <c r="CP78" s="38"/>
      <c r="CQ78" s="40"/>
      <c r="CR78" s="38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</row>
    <row r="79" spans="1:115" s="1" customFormat="1" thickBot="1" x14ac:dyDescent="0.35">
      <c r="A79" s="187"/>
      <c r="B79" s="586"/>
      <c r="C79" s="595" t="s">
        <v>289</v>
      </c>
      <c r="D79" s="596"/>
      <c r="E79" s="596"/>
      <c r="F79" s="596"/>
      <c r="G79" s="596"/>
      <c r="H79" s="597"/>
      <c r="I79" s="374">
        <f t="shared" ref="I79" si="24">$I$74+I78</f>
        <v>0</v>
      </c>
      <c r="J79" s="374">
        <f t="shared" ref="J79:O79" si="25">$I$74+J78</f>
        <v>50</v>
      </c>
      <c r="K79" s="374">
        <f t="shared" si="25"/>
        <v>140</v>
      </c>
      <c r="L79" s="374">
        <f t="shared" si="25"/>
        <v>182.5</v>
      </c>
      <c r="M79" s="374">
        <f t="shared" si="25"/>
        <v>232.5</v>
      </c>
      <c r="N79" s="374">
        <f t="shared" si="25"/>
        <v>407.5</v>
      </c>
      <c r="O79" s="375">
        <f t="shared" si="25"/>
        <v>777.5</v>
      </c>
      <c r="P79" s="621"/>
      <c r="Q79" s="563"/>
      <c r="R79" s="563"/>
      <c r="S79" s="183"/>
      <c r="T79" s="167" t="s">
        <v>1</v>
      </c>
      <c r="U79" s="38"/>
      <c r="V79" s="38"/>
      <c r="W79" s="38"/>
      <c r="X79" s="38"/>
      <c r="Y79" s="38"/>
      <c r="Z79" s="38"/>
      <c r="AA79" s="38"/>
      <c r="AB79" s="38"/>
      <c r="AC79" s="351" t="s">
        <v>79</v>
      </c>
      <c r="AD79" s="99"/>
      <c r="AE79" s="38"/>
      <c r="AF79" s="99"/>
      <c r="AG79" s="99"/>
      <c r="AH79" s="38"/>
      <c r="AI79" s="38"/>
      <c r="AJ79" s="250"/>
      <c r="AK79" s="38"/>
      <c r="AL79" s="250"/>
      <c r="AM79" s="38"/>
      <c r="AN79" s="38"/>
      <c r="AO79" s="38"/>
      <c r="AP79" s="38"/>
      <c r="AQ79" s="38"/>
      <c r="AR79" s="38"/>
      <c r="AS79" s="57"/>
      <c r="AT79" s="38"/>
      <c r="AU79" s="57"/>
      <c r="AV79" s="99"/>
      <c r="AW79" s="101"/>
      <c r="AX79" s="38"/>
      <c r="AY79" s="57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9"/>
      <c r="CI79" s="39"/>
      <c r="CJ79" s="37"/>
      <c r="CK79" s="100"/>
      <c r="CL79" s="38"/>
      <c r="CM79" s="39"/>
      <c r="CN79" s="39"/>
      <c r="CO79" s="38"/>
      <c r="CP79" s="38"/>
      <c r="CQ79" s="40"/>
      <c r="CR79" s="38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</row>
    <row r="80" spans="1:115" s="1" customFormat="1" ht="18" x14ac:dyDescent="0.3">
      <c r="A80" s="187"/>
      <c r="B80" s="584" t="s">
        <v>298</v>
      </c>
      <c r="C80" s="592" t="s">
        <v>288</v>
      </c>
      <c r="D80" s="593"/>
      <c r="E80" s="593"/>
      <c r="F80" s="593"/>
      <c r="G80" s="593"/>
      <c r="H80" s="594"/>
      <c r="I80" s="371">
        <f t="shared" ref="I80" si="26">I79-(I12+SUMIFS($P$36:$P$63,$B$36:$B$63,"x",I$36:I$63,"Add on"))</f>
        <v>-1</v>
      </c>
      <c r="J80" s="371">
        <f t="shared" ref="J80:O80" si="27">J79-(J12+SUMIFS($P$36:$P$63,$B$36:$B$63,"x",J$36:J$63,"Add on"))</f>
        <v>5</v>
      </c>
      <c r="K80" s="371">
        <f t="shared" si="27"/>
        <v>20</v>
      </c>
      <c r="L80" s="371">
        <f t="shared" si="27"/>
        <v>37.5</v>
      </c>
      <c r="M80" s="371">
        <f t="shared" si="27"/>
        <v>52.5</v>
      </c>
      <c r="N80" s="371">
        <f t="shared" si="27"/>
        <v>108.5</v>
      </c>
      <c r="O80" s="373">
        <f t="shared" si="27"/>
        <v>178.5</v>
      </c>
      <c r="P80" s="621"/>
      <c r="Q80" s="563"/>
      <c r="R80" s="563"/>
      <c r="S80" s="183"/>
      <c r="T80" s="167" t="s">
        <v>1</v>
      </c>
      <c r="U80" s="38"/>
      <c r="V80" s="38"/>
      <c r="W80" s="38"/>
      <c r="X80" s="38"/>
      <c r="Y80" s="38"/>
      <c r="Z80" s="38"/>
      <c r="AA80" s="38"/>
      <c r="AB80" s="38"/>
      <c r="AC80" s="351">
        <f>AC101+AE102*AI101</f>
        <v>33625.871134020621</v>
      </c>
      <c r="AD80" s="38"/>
      <c r="AE80" s="38"/>
      <c r="AF80" s="38"/>
      <c r="AG80" s="38"/>
      <c r="AH80" s="38"/>
      <c r="AI80" s="38"/>
      <c r="AJ80" s="250"/>
      <c r="AK80" s="38"/>
      <c r="AL80" s="250"/>
      <c r="AM80" s="38"/>
      <c r="AN80" s="38"/>
      <c r="AO80" s="38"/>
      <c r="AP80" s="38"/>
      <c r="AQ80" s="38"/>
      <c r="AR80" s="42"/>
      <c r="AS80" s="57"/>
      <c r="AT80" s="38"/>
      <c r="AU80" s="57"/>
      <c r="AV80" s="38"/>
      <c r="AW80" s="57"/>
      <c r="AX80" s="38"/>
      <c r="AY80" s="57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9"/>
      <c r="CI80" s="39"/>
      <c r="CJ80" s="37"/>
      <c r="CK80" s="100"/>
      <c r="CL80" s="38"/>
      <c r="CM80" s="39"/>
      <c r="CN80" s="39"/>
      <c r="CO80" s="38"/>
      <c r="CP80" s="38"/>
      <c r="CQ80" s="40"/>
      <c r="CR80" s="38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</row>
    <row r="81" spans="1:115" s="1" customFormat="1" thickBot="1" x14ac:dyDescent="0.35">
      <c r="A81" s="187"/>
      <c r="B81" s="586"/>
      <c r="C81" s="595" t="s">
        <v>154</v>
      </c>
      <c r="D81" s="596"/>
      <c r="E81" s="596"/>
      <c r="F81" s="596"/>
      <c r="G81" s="596"/>
      <c r="H81" s="597"/>
      <c r="I81" s="223">
        <f>IFERROR(I80/I79,)</f>
        <v>0</v>
      </c>
      <c r="J81" s="223">
        <f t="shared" ref="J81:O81" si="28">IFERROR(J80/J79,)</f>
        <v>0.1</v>
      </c>
      <c r="K81" s="223">
        <f t="shared" si="28"/>
        <v>0.14285714285714285</v>
      </c>
      <c r="L81" s="223">
        <f t="shared" si="28"/>
        <v>0.20547945205479451</v>
      </c>
      <c r="M81" s="223">
        <f t="shared" si="28"/>
        <v>0.22580645161290322</v>
      </c>
      <c r="N81" s="223">
        <f t="shared" si="28"/>
        <v>0.26625766871165646</v>
      </c>
      <c r="O81" s="224">
        <f t="shared" si="28"/>
        <v>0.22958199356913184</v>
      </c>
      <c r="P81" s="621"/>
      <c r="Q81" s="563"/>
      <c r="R81" s="563"/>
      <c r="S81" s="183"/>
      <c r="T81" s="222"/>
      <c r="U81" s="38"/>
      <c r="V81" s="38"/>
      <c r="W81" s="38"/>
      <c r="X81" s="38"/>
      <c r="Y81" s="38"/>
      <c r="Z81" s="38"/>
      <c r="AA81" s="38"/>
      <c r="AB81" s="38"/>
      <c r="AC81" s="351"/>
      <c r="AD81" s="99"/>
      <c r="AE81" s="38"/>
      <c r="AF81" s="99"/>
      <c r="AG81" s="99"/>
      <c r="AH81" s="38"/>
      <c r="AI81" s="38"/>
      <c r="AJ81" s="250"/>
      <c r="AK81" s="38"/>
      <c r="AL81" s="250"/>
      <c r="AM81" s="38"/>
      <c r="AN81" s="38"/>
      <c r="AO81" s="38"/>
      <c r="AP81" s="38"/>
      <c r="AQ81" s="38"/>
      <c r="AR81" s="38"/>
      <c r="AS81" s="57"/>
      <c r="AT81" s="38"/>
      <c r="AU81" s="57"/>
      <c r="AV81" s="99"/>
      <c r="AW81" s="101"/>
      <c r="AX81" s="38"/>
      <c r="AY81" s="57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9"/>
      <c r="CI81" s="39"/>
      <c r="CJ81" s="100"/>
      <c r="CK81" s="100"/>
      <c r="CL81" s="38"/>
      <c r="CM81" s="39"/>
      <c r="CN81" s="39"/>
      <c r="CO81" s="38"/>
      <c r="CP81" s="38"/>
      <c r="CQ81" s="40"/>
      <c r="CR81" s="38"/>
      <c r="CS81" s="187"/>
      <c r="CT81" s="187"/>
      <c r="CU81" s="187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</row>
    <row r="82" spans="1:115" s="2" customFormat="1" ht="19.5" thickBot="1" x14ac:dyDescent="0.35">
      <c r="A82" s="183"/>
      <c r="B82" s="202"/>
      <c r="C82" s="183"/>
      <c r="D82" s="449"/>
      <c r="E82" s="468"/>
      <c r="F82" s="183"/>
      <c r="G82" s="429"/>
      <c r="H82" s="412"/>
      <c r="I82" s="196"/>
      <c r="J82" s="196"/>
      <c r="K82" s="196"/>
      <c r="L82" s="196"/>
      <c r="M82" s="196"/>
      <c r="N82" s="196"/>
      <c r="O82" s="196"/>
      <c r="P82" s="290"/>
      <c r="Q82" s="291"/>
      <c r="R82" s="449"/>
      <c r="S82" s="183"/>
      <c r="T82" s="172"/>
      <c r="U82" s="43"/>
      <c r="V82" s="43"/>
      <c r="W82" s="43"/>
      <c r="X82" s="43"/>
      <c r="Y82" s="43"/>
      <c r="Z82" s="43"/>
      <c r="AA82" s="43"/>
      <c r="AB82" s="43"/>
      <c r="AC82" s="347"/>
      <c r="AD82" s="43"/>
      <c r="AE82" s="43"/>
      <c r="AF82" s="43"/>
      <c r="AG82" s="44"/>
      <c r="AH82" s="43"/>
      <c r="AI82" s="43"/>
      <c r="AJ82" s="219"/>
      <c r="AK82" s="43"/>
      <c r="AL82" s="219"/>
      <c r="AM82" s="43"/>
      <c r="AN82" s="43"/>
      <c r="AO82" s="43"/>
      <c r="AP82" s="43"/>
      <c r="AQ82" s="43"/>
      <c r="AR82" s="43"/>
      <c r="AS82" s="59"/>
      <c r="AT82" s="43"/>
      <c r="AU82" s="59"/>
      <c r="AV82" s="43"/>
      <c r="AW82" s="59"/>
      <c r="AX82" s="43"/>
      <c r="AY82" s="59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4"/>
      <c r="CC82" s="44"/>
      <c r="CD82" s="43"/>
      <c r="CE82" s="43"/>
      <c r="CF82" s="44"/>
      <c r="CG82" s="44"/>
      <c r="CH82" s="43"/>
      <c r="CI82" s="43"/>
      <c r="CJ82" s="44"/>
      <c r="CK82" s="44"/>
      <c r="CL82" s="43"/>
      <c r="CM82" s="43"/>
      <c r="CN82" s="43"/>
      <c r="CO82" s="44"/>
      <c r="CP82" s="44"/>
      <c r="CQ82" s="45"/>
      <c r="CR82" s="4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</row>
    <row r="83" spans="1:115" s="86" customFormat="1" ht="75" x14ac:dyDescent="0.25">
      <c r="A83" s="185"/>
      <c r="B83" s="282" t="s">
        <v>300</v>
      </c>
      <c r="C83" s="463" t="s">
        <v>305</v>
      </c>
      <c r="D83" s="547" t="s">
        <v>182</v>
      </c>
      <c r="E83" s="548"/>
      <c r="F83" s="548"/>
      <c r="G83" s="548"/>
      <c r="H83" s="549"/>
      <c r="I83" s="367" t="str">
        <f>I11</f>
        <v>"1 $ pledge"</v>
      </c>
      <c r="J83" s="368" t="str">
        <f t="shared" ref="J83:O83" si="29">J11</f>
        <v>New Heroes</v>
      </c>
      <c r="K83" s="368" t="str">
        <f t="shared" si="29"/>
        <v>New to Aventuria</v>
      </c>
      <c r="L83" s="368" t="str">
        <f t="shared" si="29"/>
        <v>New Stories &amp; Legends</v>
      </c>
      <c r="M83" s="368" t="str">
        <f t="shared" si="29"/>
        <v>New Stories, Legends &amp; Heroes</v>
      </c>
      <c r="N83" s="369" t="str">
        <f t="shared" si="29"/>
        <v>Expanded New to Aventuria</v>
      </c>
      <c r="O83" s="370" t="str">
        <f t="shared" si="29"/>
        <v>All-Venturia</v>
      </c>
      <c r="P83" s="292" t="s">
        <v>191</v>
      </c>
      <c r="Q83" s="293" t="s">
        <v>192</v>
      </c>
      <c r="R83" s="449"/>
      <c r="S83" s="183"/>
      <c r="T83" s="168" t="s">
        <v>4</v>
      </c>
      <c r="U83" s="89"/>
      <c r="V83" s="89"/>
      <c r="W83" s="89"/>
      <c r="X83" s="89"/>
      <c r="Y83" s="89"/>
      <c r="Z83" s="89"/>
      <c r="AA83" s="89"/>
      <c r="AB83" s="89"/>
      <c r="AC83" s="344"/>
      <c r="AD83" s="89"/>
      <c r="AE83" s="89"/>
      <c r="AF83" s="89"/>
      <c r="AG83" s="89"/>
      <c r="AH83" s="89"/>
      <c r="AI83" s="89"/>
      <c r="AJ83" s="247"/>
      <c r="AK83" s="97"/>
      <c r="AL83" s="247"/>
      <c r="AM83" s="97"/>
      <c r="AN83" s="97"/>
      <c r="AO83" s="97"/>
      <c r="AP83" s="97"/>
      <c r="AQ83" s="97"/>
      <c r="AR83" s="89"/>
      <c r="AS83" s="89"/>
      <c r="AT83" s="89"/>
      <c r="AU83" s="97"/>
      <c r="AV83" s="66"/>
      <c r="AW83" s="70"/>
      <c r="AX83" s="70"/>
      <c r="AY83" s="9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70"/>
      <c r="CB83" s="77"/>
      <c r="CC83" s="77"/>
      <c r="CD83" s="70"/>
      <c r="CE83" s="70"/>
      <c r="CF83" s="77"/>
      <c r="CG83" s="77"/>
      <c r="CH83" s="70"/>
      <c r="CI83" s="70"/>
      <c r="CJ83" s="77"/>
      <c r="CK83" s="77"/>
      <c r="CL83" s="70"/>
      <c r="CM83" s="70"/>
      <c r="CN83" s="70"/>
      <c r="CO83" s="77"/>
      <c r="CP83" s="77"/>
      <c r="CQ83" s="80"/>
      <c r="CR83" s="70"/>
      <c r="CS83" s="185"/>
      <c r="CT83" s="185"/>
      <c r="CU83" s="185"/>
      <c r="CV83" s="185"/>
      <c r="CW83" s="185"/>
      <c r="CX83" s="185"/>
      <c r="CY83" s="185"/>
      <c r="CZ83" s="185"/>
      <c r="DA83" s="185"/>
      <c r="DB83" s="185"/>
      <c r="DC83" s="185"/>
      <c r="DD83" s="185"/>
      <c r="DE83" s="185"/>
      <c r="DF83" s="185"/>
      <c r="DG83" s="185"/>
      <c r="DH83" s="185"/>
      <c r="DI83" s="185"/>
      <c r="DJ83" s="185"/>
      <c r="DK83" s="185"/>
    </row>
    <row r="84" spans="1:115" ht="18" x14ac:dyDescent="0.25">
      <c r="B84" s="179">
        <v>0</v>
      </c>
      <c r="C84" s="511" t="s">
        <v>241</v>
      </c>
      <c r="D84" s="553" t="s">
        <v>216</v>
      </c>
      <c r="E84" s="554"/>
      <c r="F84" s="554"/>
      <c r="G84" s="554"/>
      <c r="H84" s="555"/>
      <c r="I84" s="512" t="s">
        <v>211</v>
      </c>
      <c r="J84" s="512" t="s">
        <v>211</v>
      </c>
      <c r="K84" s="512" t="s">
        <v>211</v>
      </c>
      <c r="L84" s="512" t="s">
        <v>211</v>
      </c>
      <c r="M84" s="512" t="s">
        <v>211</v>
      </c>
      <c r="N84" s="512" t="s">
        <v>211</v>
      </c>
      <c r="O84" s="512" t="s">
        <v>211</v>
      </c>
      <c r="P84" s="515">
        <v>6</v>
      </c>
      <c r="Q84" s="516">
        <v>6</v>
      </c>
      <c r="R84" s="449"/>
      <c r="S84" s="183"/>
      <c r="T84" s="167" t="s">
        <v>1</v>
      </c>
      <c r="U84" s="70"/>
      <c r="V84" s="70"/>
      <c r="W84" s="70"/>
      <c r="X84" s="70"/>
      <c r="Y84" s="70"/>
      <c r="AD84" s="66"/>
      <c r="AE84" s="66"/>
      <c r="AF84" s="66"/>
      <c r="AG84" s="66"/>
      <c r="AI84" s="66"/>
      <c r="AJ84" s="248"/>
      <c r="AK84" s="66"/>
      <c r="AL84" s="248"/>
      <c r="AM84" s="66"/>
      <c r="AN84" s="66"/>
      <c r="AO84" s="66"/>
      <c r="AP84" s="66"/>
      <c r="AQ84" s="66"/>
      <c r="AR84" s="66"/>
      <c r="AS84" s="66"/>
      <c r="AT84" s="66"/>
      <c r="AU84" s="97"/>
      <c r="AW84" s="88"/>
      <c r="CB84" s="43"/>
      <c r="CC84" s="43"/>
      <c r="CF84" s="43"/>
      <c r="CG84" s="43"/>
      <c r="CJ84" s="43"/>
      <c r="CK84" s="43"/>
      <c r="CO84" s="43"/>
      <c r="CP84" s="43"/>
    </row>
    <row r="85" spans="1:115" s="93" customFormat="1" thickBot="1" x14ac:dyDescent="0.3">
      <c r="A85" s="186"/>
      <c r="B85" s="524">
        <v>0</v>
      </c>
      <c r="C85" s="525" t="s">
        <v>242</v>
      </c>
      <c r="D85" s="556" t="s">
        <v>217</v>
      </c>
      <c r="E85" s="557"/>
      <c r="F85" s="557"/>
      <c r="G85" s="557"/>
      <c r="H85" s="558"/>
      <c r="I85" s="526" t="s">
        <v>211</v>
      </c>
      <c r="J85" s="526" t="s">
        <v>211</v>
      </c>
      <c r="K85" s="526" t="s">
        <v>211</v>
      </c>
      <c r="L85" s="526" t="s">
        <v>211</v>
      </c>
      <c r="M85" s="526" t="s">
        <v>211</v>
      </c>
      <c r="N85" s="526" t="s">
        <v>211</v>
      </c>
      <c r="O85" s="526" t="s">
        <v>211</v>
      </c>
      <c r="P85" s="517">
        <v>6</v>
      </c>
      <c r="Q85" s="518">
        <v>6</v>
      </c>
      <c r="R85" s="449"/>
      <c r="S85" s="183"/>
      <c r="T85" s="167" t="s">
        <v>1</v>
      </c>
      <c r="U85" s="70"/>
      <c r="V85" s="70"/>
      <c r="W85" s="70"/>
      <c r="X85" s="70"/>
      <c r="Y85" s="70"/>
      <c r="Z85" s="90"/>
      <c r="AA85" s="88"/>
      <c r="AB85" s="88"/>
      <c r="AC85" s="348"/>
      <c r="AD85" s="66"/>
      <c r="AE85" s="94"/>
      <c r="AF85" s="66"/>
      <c r="AG85" s="66"/>
      <c r="AH85" s="66"/>
      <c r="AI85" s="66"/>
      <c r="AJ85" s="248"/>
      <c r="AK85" s="66"/>
      <c r="AL85" s="248"/>
      <c r="AM85" s="66"/>
      <c r="AN85" s="66"/>
      <c r="AO85" s="66"/>
      <c r="AP85" s="66"/>
      <c r="AQ85" s="66"/>
      <c r="AR85" s="66"/>
      <c r="AS85" s="66"/>
      <c r="AT85" s="66"/>
      <c r="AU85" s="97"/>
      <c r="AV85" s="66"/>
      <c r="AW85" s="88"/>
      <c r="AX85" s="88"/>
      <c r="AY85" s="98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92"/>
      <c r="CR85" s="88"/>
      <c r="CS85" s="186"/>
      <c r="CT85" s="186"/>
      <c r="CU85" s="186"/>
      <c r="CV85" s="186"/>
      <c r="CW85" s="186"/>
      <c r="CX85" s="186"/>
      <c r="CY85" s="186"/>
      <c r="CZ85" s="186"/>
      <c r="DA85" s="186"/>
      <c r="DB85" s="186"/>
      <c r="DC85" s="186"/>
      <c r="DD85" s="186"/>
      <c r="DE85" s="186"/>
      <c r="DF85" s="186"/>
      <c r="DG85" s="186"/>
      <c r="DH85" s="186"/>
      <c r="DI85" s="186"/>
      <c r="DJ85" s="186"/>
      <c r="DK85" s="186"/>
    </row>
    <row r="86" spans="1:115" s="93" customFormat="1" ht="18" customHeight="1" x14ac:dyDescent="0.25">
      <c r="A86" s="186"/>
      <c r="B86" s="520" t="s">
        <v>3</v>
      </c>
      <c r="C86" s="521" t="s">
        <v>245</v>
      </c>
      <c r="D86" s="541" t="s">
        <v>320</v>
      </c>
      <c r="E86" s="542"/>
      <c r="F86" s="542"/>
      <c r="G86" s="542"/>
      <c r="H86" s="543"/>
      <c r="I86" s="522">
        <v>35</v>
      </c>
      <c r="J86" s="522">
        <v>18</v>
      </c>
      <c r="K86" s="522">
        <v>24</v>
      </c>
      <c r="L86" s="522">
        <v>24</v>
      </c>
      <c r="M86" s="522">
        <v>24</v>
      </c>
      <c r="N86" s="522">
        <v>27</v>
      </c>
      <c r="O86" s="523">
        <v>35</v>
      </c>
      <c r="P86" s="621" t="s">
        <v>181</v>
      </c>
      <c r="Q86" s="563"/>
      <c r="R86" s="563"/>
      <c r="S86" s="183"/>
      <c r="T86" s="167" t="s">
        <v>1</v>
      </c>
      <c r="U86" s="70"/>
      <c r="V86" s="70"/>
      <c r="W86" s="70"/>
      <c r="X86" s="70"/>
      <c r="Y86" s="70"/>
      <c r="Z86" s="90"/>
      <c r="AA86" s="88"/>
      <c r="AB86" s="88"/>
      <c r="AC86" s="348"/>
      <c r="AD86" s="66"/>
      <c r="AE86" s="94"/>
      <c r="AF86" s="66"/>
      <c r="AG86" s="66"/>
      <c r="AH86" s="66"/>
      <c r="AI86" s="66"/>
      <c r="AJ86" s="248"/>
      <c r="AK86" s="66"/>
      <c r="AL86" s="248"/>
      <c r="AM86" s="66"/>
      <c r="AN86" s="66"/>
      <c r="AO86" s="66"/>
      <c r="AP86" s="66"/>
      <c r="AQ86" s="66"/>
      <c r="AR86" s="66"/>
      <c r="AS86" s="66"/>
      <c r="AT86" s="66"/>
      <c r="AU86" s="97"/>
      <c r="AV86" s="66"/>
      <c r="AW86" s="88"/>
      <c r="AX86" s="88"/>
      <c r="AY86" s="98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92"/>
      <c r="CR86" s="88"/>
      <c r="CS86" s="186"/>
      <c r="CT86" s="186"/>
      <c r="CU86" s="186"/>
      <c r="CV86" s="186"/>
      <c r="CW86" s="186"/>
      <c r="CX86" s="186"/>
      <c r="CY86" s="186"/>
      <c r="CZ86" s="186"/>
      <c r="DA86" s="186"/>
      <c r="DB86" s="186"/>
      <c r="DC86" s="186"/>
      <c r="DD86" s="186"/>
      <c r="DE86" s="186"/>
      <c r="DF86" s="186"/>
      <c r="DG86" s="186"/>
      <c r="DH86" s="186"/>
      <c r="DI86" s="186"/>
      <c r="DJ86" s="186"/>
      <c r="DK86" s="186"/>
    </row>
    <row r="87" spans="1:115" s="93" customFormat="1" ht="18" x14ac:dyDescent="0.25">
      <c r="A87" s="186"/>
      <c r="B87" s="179"/>
      <c r="C87" s="511" t="s">
        <v>246</v>
      </c>
      <c r="D87" s="541"/>
      <c r="E87" s="542"/>
      <c r="F87" s="542"/>
      <c r="G87" s="542"/>
      <c r="H87" s="543"/>
      <c r="I87" s="513">
        <v>70</v>
      </c>
      <c r="J87" s="513">
        <v>35</v>
      </c>
      <c r="K87" s="513">
        <v>45</v>
      </c>
      <c r="L87" s="513">
        <v>45</v>
      </c>
      <c r="M87" s="513">
        <v>45</v>
      </c>
      <c r="N87" s="513">
        <v>50</v>
      </c>
      <c r="O87" s="514">
        <v>70</v>
      </c>
      <c r="P87" s="621"/>
      <c r="Q87" s="563"/>
      <c r="R87" s="563"/>
      <c r="S87" s="183"/>
      <c r="T87" s="167" t="s">
        <v>1</v>
      </c>
      <c r="U87" s="70"/>
      <c r="V87" s="70"/>
      <c r="W87" s="70"/>
      <c r="X87" s="70"/>
      <c r="Y87" s="70"/>
      <c r="Z87" s="90"/>
      <c r="AA87" s="88"/>
      <c r="AB87" s="88"/>
      <c r="AC87" s="348"/>
      <c r="AD87" s="66"/>
      <c r="AE87" s="94"/>
      <c r="AF87" s="66"/>
      <c r="AG87" s="66"/>
      <c r="AH87" s="66"/>
      <c r="AI87" s="66"/>
      <c r="AJ87" s="248"/>
      <c r="AK87" s="66"/>
      <c r="AL87" s="248"/>
      <c r="AM87" s="66"/>
      <c r="AN87" s="66"/>
      <c r="AO87" s="66"/>
      <c r="AP87" s="66"/>
      <c r="AQ87" s="66"/>
      <c r="AR87" s="66"/>
      <c r="AS87" s="66"/>
      <c r="AT87" s="66"/>
      <c r="AU87" s="97"/>
      <c r="AV87" s="66"/>
      <c r="AW87" s="88"/>
      <c r="AX87" s="88"/>
      <c r="AY87" s="98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92"/>
      <c r="CR87" s="88"/>
      <c r="CS87" s="186"/>
      <c r="CT87" s="186"/>
      <c r="CU87" s="186"/>
      <c r="CV87" s="186"/>
      <c r="CW87" s="186"/>
      <c r="CX87" s="186"/>
      <c r="CY87" s="186"/>
      <c r="CZ87" s="186"/>
      <c r="DA87" s="186"/>
      <c r="DB87" s="186"/>
      <c r="DC87" s="186"/>
      <c r="DD87" s="186"/>
      <c r="DE87" s="186"/>
      <c r="DF87" s="186"/>
      <c r="DG87" s="186"/>
      <c r="DH87" s="186"/>
      <c r="DI87" s="186"/>
      <c r="DJ87" s="186"/>
      <c r="DK87" s="186"/>
    </row>
    <row r="88" spans="1:115" s="93" customFormat="1" ht="18" x14ac:dyDescent="0.25">
      <c r="A88" s="186"/>
      <c r="B88" s="179"/>
      <c r="C88" s="511" t="s">
        <v>248</v>
      </c>
      <c r="D88" s="541"/>
      <c r="E88" s="542"/>
      <c r="F88" s="542"/>
      <c r="G88" s="542"/>
      <c r="H88" s="543"/>
      <c r="I88" s="513">
        <v>50</v>
      </c>
      <c r="J88" s="513">
        <v>25</v>
      </c>
      <c r="K88" s="513">
        <v>30</v>
      </c>
      <c r="L88" s="513">
        <v>30</v>
      </c>
      <c r="M88" s="513">
        <v>30</v>
      </c>
      <c r="N88" s="513">
        <v>40</v>
      </c>
      <c r="O88" s="514">
        <v>50</v>
      </c>
      <c r="P88" s="621"/>
      <c r="Q88" s="563"/>
      <c r="R88" s="563"/>
      <c r="S88" s="183"/>
      <c r="T88" s="167" t="s">
        <v>1</v>
      </c>
      <c r="U88" s="70"/>
      <c r="V88" s="70"/>
      <c r="W88" s="70"/>
      <c r="X88" s="70"/>
      <c r="Y88" s="70"/>
      <c r="Z88" s="90"/>
      <c r="AA88" s="88"/>
      <c r="AB88" s="88"/>
      <c r="AC88" s="348"/>
      <c r="AD88" s="66"/>
      <c r="AE88" s="94"/>
      <c r="AF88" s="66"/>
      <c r="AG88" s="66"/>
      <c r="AH88" s="66"/>
      <c r="AI88" s="66"/>
      <c r="AJ88" s="248"/>
      <c r="AK88" s="66"/>
      <c r="AL88" s="248"/>
      <c r="AM88" s="66"/>
      <c r="AN88" s="66"/>
      <c r="AO88" s="66"/>
      <c r="AP88" s="66"/>
      <c r="AQ88" s="66"/>
      <c r="AR88" s="66"/>
      <c r="AS88" s="66"/>
      <c r="AT88" s="66"/>
      <c r="AU88" s="97"/>
      <c r="AV88" s="66"/>
      <c r="AW88" s="88"/>
      <c r="AX88" s="88"/>
      <c r="AY88" s="98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92"/>
      <c r="CR88" s="88"/>
      <c r="CS88" s="186"/>
      <c r="CT88" s="186"/>
      <c r="CU88" s="186"/>
      <c r="CV88" s="186"/>
      <c r="CW88" s="186"/>
      <c r="CX88" s="186"/>
      <c r="CY88" s="186"/>
      <c r="CZ88" s="186"/>
      <c r="DA88" s="186"/>
      <c r="DB88" s="186"/>
      <c r="DC88" s="186"/>
      <c r="DD88" s="186"/>
      <c r="DE88" s="186"/>
      <c r="DF88" s="186"/>
      <c r="DG88" s="186"/>
      <c r="DH88" s="186"/>
      <c r="DI88" s="186"/>
      <c r="DJ88" s="186"/>
      <c r="DK88" s="186"/>
    </row>
    <row r="89" spans="1:115" s="93" customFormat="1" ht="18" x14ac:dyDescent="0.25">
      <c r="A89" s="186"/>
      <c r="B89" s="179"/>
      <c r="C89" s="511" t="s">
        <v>249</v>
      </c>
      <c r="D89" s="541"/>
      <c r="E89" s="542"/>
      <c r="F89" s="542"/>
      <c r="G89" s="542"/>
      <c r="H89" s="543"/>
      <c r="I89" s="513">
        <v>39</v>
      </c>
      <c r="J89" s="513">
        <v>20</v>
      </c>
      <c r="K89" s="513">
        <v>24</v>
      </c>
      <c r="L89" s="513">
        <v>24</v>
      </c>
      <c r="M89" s="513">
        <v>24</v>
      </c>
      <c r="N89" s="513">
        <v>27</v>
      </c>
      <c r="O89" s="514">
        <v>39</v>
      </c>
      <c r="P89" s="621"/>
      <c r="Q89" s="563"/>
      <c r="R89" s="563"/>
      <c r="S89" s="183"/>
      <c r="T89" s="167" t="s">
        <v>1</v>
      </c>
      <c r="U89" s="70"/>
      <c r="V89" s="70"/>
      <c r="W89" s="70"/>
      <c r="X89" s="70"/>
      <c r="Y89" s="70"/>
      <c r="Z89" s="90"/>
      <c r="AA89" s="88"/>
      <c r="AB89" s="88"/>
      <c r="AC89" s="348"/>
      <c r="AD89" s="66"/>
      <c r="AE89" s="94"/>
      <c r="AF89" s="66"/>
      <c r="AG89" s="66"/>
      <c r="AH89" s="66"/>
      <c r="AI89" s="66"/>
      <c r="AJ89" s="248"/>
      <c r="AK89" s="66"/>
      <c r="AL89" s="248"/>
      <c r="AM89" s="66"/>
      <c r="AN89" s="66"/>
      <c r="AO89" s="66"/>
      <c r="AP89" s="66"/>
      <c r="AQ89" s="66"/>
      <c r="AR89" s="66"/>
      <c r="AS89" s="66"/>
      <c r="AT89" s="66"/>
      <c r="AU89" s="97"/>
      <c r="AV89" s="66"/>
      <c r="AW89" s="88"/>
      <c r="AX89" s="88"/>
      <c r="AY89" s="98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92"/>
      <c r="CR89" s="88"/>
      <c r="CS89" s="186"/>
      <c r="CT89" s="186"/>
      <c r="CU89" s="186"/>
      <c r="CV89" s="186"/>
      <c r="CW89" s="186"/>
      <c r="CX89" s="186"/>
      <c r="CY89" s="186"/>
      <c r="CZ89" s="186"/>
      <c r="DA89" s="186"/>
      <c r="DB89" s="186"/>
      <c r="DC89" s="186"/>
      <c r="DD89" s="186"/>
      <c r="DE89" s="186"/>
      <c r="DF89" s="186"/>
      <c r="DG89" s="186"/>
      <c r="DH89" s="186"/>
      <c r="DI89" s="186"/>
      <c r="DJ89" s="186"/>
      <c r="DK89" s="186"/>
    </row>
    <row r="90" spans="1:115" s="93" customFormat="1" ht="18" x14ac:dyDescent="0.25">
      <c r="A90" s="186"/>
      <c r="B90" s="179"/>
      <c r="C90" s="511" t="s">
        <v>247</v>
      </c>
      <c r="D90" s="541"/>
      <c r="E90" s="542"/>
      <c r="F90" s="542"/>
      <c r="G90" s="542"/>
      <c r="H90" s="543"/>
      <c r="I90" s="513">
        <v>35</v>
      </c>
      <c r="J90" s="513">
        <v>18</v>
      </c>
      <c r="K90" s="513">
        <v>24</v>
      </c>
      <c r="L90" s="513">
        <v>24</v>
      </c>
      <c r="M90" s="513">
        <v>24</v>
      </c>
      <c r="N90" s="513">
        <v>27</v>
      </c>
      <c r="O90" s="514">
        <v>35</v>
      </c>
      <c r="P90" s="621"/>
      <c r="Q90" s="563"/>
      <c r="R90" s="563"/>
      <c r="S90" s="183"/>
      <c r="T90" s="167" t="s">
        <v>1</v>
      </c>
      <c r="U90" s="70"/>
      <c r="V90" s="70"/>
      <c r="W90" s="70"/>
      <c r="X90" s="70"/>
      <c r="Y90" s="70"/>
      <c r="Z90" s="90"/>
      <c r="AA90" s="88"/>
      <c r="AB90" s="88"/>
      <c r="AC90" s="348"/>
      <c r="AD90" s="66"/>
      <c r="AE90" s="94"/>
      <c r="AF90" s="66"/>
      <c r="AG90" s="66"/>
      <c r="AH90" s="66"/>
      <c r="AI90" s="66"/>
      <c r="AJ90" s="248"/>
      <c r="AK90" s="66"/>
      <c r="AL90" s="248"/>
      <c r="AM90" s="66"/>
      <c r="AN90" s="66"/>
      <c r="AO90" s="66"/>
      <c r="AP90" s="66"/>
      <c r="AQ90" s="66"/>
      <c r="AR90" s="66"/>
      <c r="AS90" s="66"/>
      <c r="AT90" s="66"/>
      <c r="AU90" s="97"/>
      <c r="AV90" s="66"/>
      <c r="AW90" s="88"/>
      <c r="AX90" s="88"/>
      <c r="AY90" s="98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92"/>
      <c r="CR90" s="88"/>
      <c r="CS90" s="186"/>
      <c r="CT90" s="186"/>
      <c r="CU90" s="186"/>
      <c r="CV90" s="186"/>
      <c r="CW90" s="186"/>
      <c r="CX90" s="186"/>
      <c r="CY90" s="186"/>
      <c r="CZ90" s="186"/>
      <c r="DA90" s="186"/>
      <c r="DB90" s="186"/>
      <c r="DC90" s="186"/>
      <c r="DD90" s="186"/>
      <c r="DE90" s="186"/>
      <c r="DF90" s="186"/>
      <c r="DG90" s="186"/>
      <c r="DH90" s="186"/>
      <c r="DI90" s="186"/>
      <c r="DJ90" s="186"/>
      <c r="DK90" s="186"/>
    </row>
    <row r="91" spans="1:115" s="93" customFormat="1" ht="18" x14ac:dyDescent="0.25">
      <c r="A91" s="186"/>
      <c r="B91" s="179"/>
      <c r="C91" s="511" t="s">
        <v>250</v>
      </c>
      <c r="D91" s="541"/>
      <c r="E91" s="542"/>
      <c r="F91" s="542"/>
      <c r="G91" s="542"/>
      <c r="H91" s="543"/>
      <c r="I91" s="513">
        <v>50</v>
      </c>
      <c r="J91" s="513">
        <v>30</v>
      </c>
      <c r="K91" s="513">
        <v>35</v>
      </c>
      <c r="L91" s="513">
        <v>35</v>
      </c>
      <c r="M91" s="513">
        <v>35</v>
      </c>
      <c r="N91" s="513">
        <v>40</v>
      </c>
      <c r="O91" s="514">
        <v>50</v>
      </c>
      <c r="P91" s="621"/>
      <c r="Q91" s="563"/>
      <c r="R91" s="563"/>
      <c r="S91" s="183"/>
      <c r="T91" s="167" t="s">
        <v>1</v>
      </c>
      <c r="U91" s="70"/>
      <c r="V91" s="70"/>
      <c r="W91" s="70"/>
      <c r="X91" s="70"/>
      <c r="Y91" s="70"/>
      <c r="Z91" s="90"/>
      <c r="AA91" s="88"/>
      <c r="AB91" s="88"/>
      <c r="AC91" s="348"/>
      <c r="AD91" s="66"/>
      <c r="AE91" s="94"/>
      <c r="AF91" s="66"/>
      <c r="AG91" s="66"/>
      <c r="AH91" s="66"/>
      <c r="AI91" s="66"/>
      <c r="AJ91" s="248"/>
      <c r="AK91" s="66"/>
      <c r="AL91" s="248"/>
      <c r="AM91" s="66"/>
      <c r="AN91" s="66"/>
      <c r="AO91" s="66"/>
      <c r="AP91" s="66"/>
      <c r="AQ91" s="66"/>
      <c r="AR91" s="66"/>
      <c r="AS91" s="66"/>
      <c r="AT91" s="66"/>
      <c r="AU91" s="97"/>
      <c r="AV91" s="66"/>
      <c r="AW91" s="88"/>
      <c r="AX91" s="88"/>
      <c r="AY91" s="98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92"/>
      <c r="CR91" s="88"/>
      <c r="CS91" s="186"/>
      <c r="CT91" s="186"/>
      <c r="CU91" s="186"/>
      <c r="CV91" s="186"/>
      <c r="CW91" s="186"/>
      <c r="CX91" s="186"/>
      <c r="CY91" s="186"/>
      <c r="CZ91" s="186"/>
      <c r="DA91" s="186"/>
      <c r="DB91" s="186"/>
      <c r="DC91" s="186"/>
      <c r="DD91" s="186"/>
      <c r="DE91" s="186"/>
      <c r="DF91" s="186"/>
      <c r="DG91" s="186"/>
      <c r="DH91" s="186"/>
      <c r="DI91" s="186"/>
      <c r="DJ91" s="186"/>
      <c r="DK91" s="186"/>
    </row>
    <row r="92" spans="1:115" s="93" customFormat="1" ht="18" x14ac:dyDescent="0.25">
      <c r="A92" s="186"/>
      <c r="B92" s="179"/>
      <c r="C92" s="511" t="s">
        <v>251</v>
      </c>
      <c r="D92" s="541"/>
      <c r="E92" s="542"/>
      <c r="F92" s="542"/>
      <c r="G92" s="542"/>
      <c r="H92" s="543"/>
      <c r="I92" s="513">
        <v>55</v>
      </c>
      <c r="J92" s="513">
        <v>35</v>
      </c>
      <c r="K92" s="513">
        <v>40</v>
      </c>
      <c r="L92" s="513">
        <v>40</v>
      </c>
      <c r="M92" s="513">
        <v>40</v>
      </c>
      <c r="N92" s="513">
        <v>45</v>
      </c>
      <c r="O92" s="514">
        <v>55</v>
      </c>
      <c r="P92" s="621"/>
      <c r="Q92" s="563"/>
      <c r="R92" s="563"/>
      <c r="S92" s="183"/>
      <c r="T92" s="167" t="s">
        <v>1</v>
      </c>
      <c r="U92" s="70"/>
      <c r="V92" s="70"/>
      <c r="W92" s="70"/>
      <c r="X92" s="70"/>
      <c r="Y92" s="70"/>
      <c r="Z92" s="90"/>
      <c r="AA92" s="88"/>
      <c r="AB92" s="88"/>
      <c r="AC92" s="348"/>
      <c r="AD92" s="66"/>
      <c r="AE92" s="94"/>
      <c r="AF92" s="66"/>
      <c r="AG92" s="66"/>
      <c r="AH92" s="66"/>
      <c r="AI92" s="66"/>
      <c r="AJ92" s="248"/>
      <c r="AK92" s="66"/>
      <c r="AL92" s="248"/>
      <c r="AM92" s="66"/>
      <c r="AN92" s="66"/>
      <c r="AO92" s="66"/>
      <c r="AP92" s="66"/>
      <c r="AQ92" s="66"/>
      <c r="AR92" s="66"/>
      <c r="AS92" s="66"/>
      <c r="AT92" s="66"/>
      <c r="AU92" s="97"/>
      <c r="AV92" s="66"/>
      <c r="AW92" s="88"/>
      <c r="AX92" s="88"/>
      <c r="AY92" s="98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92"/>
      <c r="CR92" s="88"/>
      <c r="CS92" s="186"/>
      <c r="CT92" s="186"/>
      <c r="CU92" s="186"/>
      <c r="CV92" s="186"/>
      <c r="CW92" s="186"/>
      <c r="CX92" s="186"/>
      <c r="CY92" s="186"/>
      <c r="CZ92" s="186"/>
      <c r="DA92" s="186"/>
      <c r="DB92" s="186"/>
      <c r="DC92" s="186"/>
      <c r="DD92" s="186"/>
      <c r="DE92" s="186"/>
      <c r="DF92" s="186"/>
      <c r="DG92" s="186"/>
      <c r="DH92" s="186"/>
      <c r="DI92" s="186"/>
      <c r="DJ92" s="186"/>
      <c r="DK92" s="186"/>
    </row>
    <row r="93" spans="1:115" s="93" customFormat="1" ht="18" x14ac:dyDescent="0.25">
      <c r="A93" s="186"/>
      <c r="B93" s="179"/>
      <c r="C93" s="511" t="s">
        <v>252</v>
      </c>
      <c r="D93" s="541"/>
      <c r="E93" s="542"/>
      <c r="F93" s="542"/>
      <c r="G93" s="542"/>
      <c r="H93" s="543"/>
      <c r="I93" s="513">
        <v>70</v>
      </c>
      <c r="J93" s="513">
        <v>25</v>
      </c>
      <c r="K93" s="513">
        <v>30</v>
      </c>
      <c r="L93" s="513">
        <v>30</v>
      </c>
      <c r="M93" s="513">
        <v>30</v>
      </c>
      <c r="N93" s="513">
        <v>50</v>
      </c>
      <c r="O93" s="514">
        <v>70</v>
      </c>
      <c r="P93" s="621"/>
      <c r="Q93" s="563"/>
      <c r="R93" s="563"/>
      <c r="S93" s="183"/>
      <c r="T93" s="167" t="s">
        <v>1</v>
      </c>
      <c r="U93" s="70"/>
      <c r="V93" s="70"/>
      <c r="W93" s="70"/>
      <c r="X93" s="70"/>
      <c r="Y93" s="70"/>
      <c r="Z93" s="90"/>
      <c r="AA93" s="88"/>
      <c r="AB93" s="88"/>
      <c r="AC93" s="348"/>
      <c r="AD93" s="66"/>
      <c r="AE93" s="94"/>
      <c r="AF93" s="66"/>
      <c r="AG93" s="66"/>
      <c r="AH93" s="66"/>
      <c r="AI93" s="66"/>
      <c r="AJ93" s="248"/>
      <c r="AK93" s="66"/>
      <c r="AL93" s="248"/>
      <c r="AM93" s="66"/>
      <c r="AN93" s="66"/>
      <c r="AO93" s="66"/>
      <c r="AP93" s="66"/>
      <c r="AQ93" s="66"/>
      <c r="AR93" s="66"/>
      <c r="AS93" s="66"/>
      <c r="AT93" s="66"/>
      <c r="AU93" s="97"/>
      <c r="AV93" s="66"/>
      <c r="AW93" s="88"/>
      <c r="AX93" s="88"/>
      <c r="AY93" s="98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92"/>
      <c r="CR93" s="88"/>
      <c r="CS93" s="186"/>
      <c r="CT93" s="186"/>
      <c r="CU93" s="186"/>
      <c r="CV93" s="186"/>
      <c r="CW93" s="186"/>
      <c r="CX93" s="186"/>
      <c r="CY93" s="186"/>
      <c r="CZ93" s="186"/>
      <c r="DA93" s="186"/>
      <c r="DB93" s="186"/>
      <c r="DC93" s="186"/>
      <c r="DD93" s="186"/>
      <c r="DE93" s="186"/>
      <c r="DF93" s="186"/>
      <c r="DG93" s="186"/>
      <c r="DH93" s="186"/>
      <c r="DI93" s="186"/>
      <c r="DJ93" s="186"/>
      <c r="DK93" s="186"/>
    </row>
    <row r="94" spans="1:115" s="93" customFormat="1" thickBot="1" x14ac:dyDescent="0.3">
      <c r="A94" s="186"/>
      <c r="B94" s="179"/>
      <c r="C94" s="511" t="s">
        <v>253</v>
      </c>
      <c r="D94" s="544"/>
      <c r="E94" s="545"/>
      <c r="F94" s="545"/>
      <c r="G94" s="545"/>
      <c r="H94" s="546"/>
      <c r="I94" s="513">
        <v>100</v>
      </c>
      <c r="J94" s="513">
        <v>50</v>
      </c>
      <c r="K94" s="513">
        <v>70</v>
      </c>
      <c r="L94" s="513">
        <v>70</v>
      </c>
      <c r="M94" s="513">
        <v>70</v>
      </c>
      <c r="N94" s="513">
        <v>90</v>
      </c>
      <c r="O94" s="514">
        <v>100</v>
      </c>
      <c r="P94" s="621"/>
      <c r="Q94" s="563"/>
      <c r="R94" s="563"/>
      <c r="S94" s="183"/>
      <c r="T94" s="167" t="s">
        <v>1</v>
      </c>
      <c r="U94" s="70"/>
      <c r="V94" s="70"/>
      <c r="W94" s="70"/>
      <c r="X94" s="70"/>
      <c r="Y94" s="70"/>
      <c r="Z94" s="90"/>
      <c r="AA94" s="88"/>
      <c r="AB94" s="88"/>
      <c r="AC94" s="348"/>
      <c r="AD94" s="66"/>
      <c r="AE94" s="94"/>
      <c r="AF94" s="66"/>
      <c r="AG94" s="66"/>
      <c r="AH94" s="66"/>
      <c r="AI94" s="66"/>
      <c r="AJ94" s="248"/>
      <c r="AK94" s="66"/>
      <c r="AL94" s="248"/>
      <c r="AM94" s="66"/>
      <c r="AN94" s="66"/>
      <c r="AO94" s="66"/>
      <c r="AP94" s="66"/>
      <c r="AQ94" s="66"/>
      <c r="AR94" s="66"/>
      <c r="AS94" s="66"/>
      <c r="AT94" s="66"/>
      <c r="AU94" s="97"/>
      <c r="AV94" s="66"/>
      <c r="AW94" s="88"/>
      <c r="AX94" s="88"/>
      <c r="AY94" s="98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92"/>
      <c r="CR94" s="88"/>
      <c r="CS94" s="186"/>
      <c r="CT94" s="186"/>
      <c r="CU94" s="186"/>
      <c r="CV94" s="186"/>
      <c r="CW94" s="186"/>
      <c r="CX94" s="186"/>
      <c r="CY94" s="186"/>
      <c r="CZ94" s="186"/>
      <c r="DA94" s="186"/>
      <c r="DB94" s="186"/>
      <c r="DC94" s="186"/>
      <c r="DD94" s="186"/>
      <c r="DE94" s="186"/>
      <c r="DF94" s="186"/>
      <c r="DG94" s="186"/>
      <c r="DH94" s="186"/>
      <c r="DI94" s="186"/>
      <c r="DJ94" s="186"/>
      <c r="DK94" s="186"/>
    </row>
    <row r="95" spans="1:115" s="1" customFormat="1" thickBot="1" x14ac:dyDescent="0.35">
      <c r="A95" s="187"/>
      <c r="B95" s="360" t="s">
        <v>324</v>
      </c>
      <c r="C95" s="550" t="s">
        <v>321</v>
      </c>
      <c r="D95" s="551"/>
      <c r="E95" s="551"/>
      <c r="F95" s="551"/>
      <c r="G95" s="551"/>
      <c r="H95" s="552"/>
      <c r="I95" s="376">
        <f t="shared" ref="I95" si="30">I66+SUMPRODUCT($B$84:$B$85,$P$84:$P$85)+SUMIF($B$86:$B$94,"x",I$86:I$94)</f>
        <v>36</v>
      </c>
      <c r="J95" s="376">
        <f t="shared" ref="J95:O95" si="31">J66+SUMPRODUCT($B$84:$B$85,$P$84:$P$85)+SUMIF($B$86:$B$94,"x",J$86:J$94)</f>
        <v>63</v>
      </c>
      <c r="K95" s="376">
        <f t="shared" si="31"/>
        <v>144</v>
      </c>
      <c r="L95" s="376">
        <f t="shared" si="31"/>
        <v>169</v>
      </c>
      <c r="M95" s="376">
        <f t="shared" si="31"/>
        <v>204</v>
      </c>
      <c r="N95" s="376">
        <f t="shared" si="31"/>
        <v>326</v>
      </c>
      <c r="O95" s="377">
        <f t="shared" si="31"/>
        <v>634</v>
      </c>
      <c r="P95" s="621"/>
      <c r="Q95" s="563"/>
      <c r="R95" s="563"/>
      <c r="S95" s="183"/>
      <c r="T95" s="170" t="s">
        <v>1</v>
      </c>
      <c r="U95" s="38"/>
      <c r="V95" s="70"/>
      <c r="W95" s="70"/>
      <c r="X95" s="70"/>
      <c r="Y95" s="70"/>
      <c r="Z95" s="38"/>
      <c r="AA95" s="38"/>
      <c r="AB95" s="38"/>
      <c r="AC95" s="351"/>
      <c r="AD95" s="38"/>
      <c r="AE95" s="38"/>
      <c r="AF95" s="38"/>
      <c r="AG95" s="38"/>
      <c r="AH95" s="38"/>
      <c r="AI95" s="38"/>
      <c r="AJ95" s="250"/>
      <c r="AK95" s="38"/>
      <c r="AL95" s="250"/>
      <c r="AM95" s="38"/>
      <c r="AN95" s="38"/>
      <c r="AO95" s="38"/>
      <c r="AP95" s="38"/>
      <c r="AQ95" s="38"/>
      <c r="AR95" s="38"/>
      <c r="AS95" s="38"/>
      <c r="AT95" s="38"/>
      <c r="AU95" s="57"/>
      <c r="AV95" s="38"/>
      <c r="AW95" s="38"/>
      <c r="AX95" s="38"/>
      <c r="AY95" s="57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9"/>
      <c r="CI95" s="39"/>
      <c r="CJ95" s="37"/>
      <c r="CK95" s="100"/>
      <c r="CL95" s="38"/>
      <c r="CM95" s="39"/>
      <c r="CN95" s="39"/>
      <c r="CO95" s="38"/>
      <c r="CP95" s="38"/>
      <c r="CQ95" s="40"/>
      <c r="CR95" s="38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  <c r="DD95" s="187"/>
      <c r="DE95" s="187"/>
      <c r="DF95" s="187"/>
      <c r="DG95" s="187"/>
      <c r="DH95" s="187"/>
      <c r="DI95" s="187"/>
      <c r="DJ95" s="187"/>
      <c r="DK95" s="187"/>
    </row>
    <row r="96" spans="1:115" s="2" customFormat="1" collapsed="1" x14ac:dyDescent="0.3">
      <c r="A96" s="188"/>
      <c r="B96" s="183"/>
      <c r="C96" s="183"/>
      <c r="D96" s="449"/>
      <c r="E96" s="468"/>
      <c r="F96" s="183"/>
      <c r="G96" s="429"/>
      <c r="H96" s="412"/>
      <c r="I96" s="196"/>
      <c r="J96" s="196"/>
      <c r="K96" s="196"/>
      <c r="L96" s="196"/>
      <c r="M96" s="203"/>
      <c r="N96" s="194"/>
      <c r="O96" s="201"/>
      <c r="P96" s="297"/>
      <c r="Q96" s="297"/>
      <c r="R96" s="449"/>
      <c r="S96" s="183"/>
      <c r="T96" s="173"/>
      <c r="U96" s="43"/>
      <c r="V96" s="43"/>
      <c r="W96" s="43"/>
      <c r="X96" s="43"/>
      <c r="Y96" s="43"/>
      <c r="Z96" s="43"/>
      <c r="AA96" s="43"/>
      <c r="AB96" s="43"/>
      <c r="AC96" s="612" t="s">
        <v>112</v>
      </c>
      <c r="AD96" s="612"/>
      <c r="AE96" s="43"/>
      <c r="AF96" s="43"/>
      <c r="AG96" s="44"/>
      <c r="AH96" s="43"/>
      <c r="AI96" s="43"/>
      <c r="AJ96" s="619" t="s">
        <v>167</v>
      </c>
      <c r="AK96" s="619"/>
      <c r="AL96" s="620" t="s">
        <v>168</v>
      </c>
      <c r="AM96" s="620"/>
      <c r="AN96" s="609" t="s">
        <v>176</v>
      </c>
      <c r="AO96" s="610"/>
      <c r="AP96" s="610"/>
      <c r="AQ96" s="611"/>
      <c r="AR96" s="609" t="s">
        <v>109</v>
      </c>
      <c r="AS96" s="610"/>
      <c r="AT96" s="610"/>
      <c r="AU96" s="611"/>
      <c r="AV96" s="609" t="s">
        <v>110</v>
      </c>
      <c r="AW96" s="610"/>
      <c r="AX96" s="610"/>
      <c r="AY96" s="611"/>
      <c r="AZ96" s="43"/>
      <c r="BA96" s="43"/>
      <c r="BB96" s="606" t="s">
        <v>155</v>
      </c>
      <c r="BC96" s="608"/>
      <c r="BD96" s="608"/>
      <c r="BE96" s="608"/>
      <c r="BF96" s="608"/>
      <c r="BG96" s="608"/>
      <c r="BH96" s="608"/>
      <c r="BI96" s="607"/>
      <c r="BJ96" s="606" t="s">
        <v>153</v>
      </c>
      <c r="BK96" s="608"/>
      <c r="BL96" s="608"/>
      <c r="BM96" s="608"/>
      <c r="BN96" s="608"/>
      <c r="BO96" s="608"/>
      <c r="BP96" s="608"/>
      <c r="BQ96" s="607"/>
      <c r="BR96" s="606" t="s">
        <v>143</v>
      </c>
      <c r="BS96" s="608"/>
      <c r="BT96" s="608"/>
      <c r="BU96" s="608"/>
      <c r="BV96" s="608"/>
      <c r="BW96" s="608"/>
      <c r="BX96" s="608"/>
      <c r="BY96" s="607"/>
      <c r="BZ96" s="606" t="s">
        <v>101</v>
      </c>
      <c r="CA96" s="608"/>
      <c r="CB96" s="608"/>
      <c r="CC96" s="607"/>
      <c r="CD96" s="606" t="s">
        <v>35</v>
      </c>
      <c r="CE96" s="608"/>
      <c r="CF96" s="608"/>
      <c r="CG96" s="607"/>
      <c r="CH96" s="606" t="s">
        <v>37</v>
      </c>
      <c r="CI96" s="608"/>
      <c r="CJ96" s="608"/>
      <c r="CK96" s="607"/>
      <c r="CL96" s="606" t="s">
        <v>36</v>
      </c>
      <c r="CM96" s="608"/>
      <c r="CN96" s="608"/>
      <c r="CO96" s="608"/>
      <c r="CP96" s="607"/>
      <c r="CQ96" s="606" t="s">
        <v>38</v>
      </c>
      <c r="CR96" s="607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183"/>
      <c r="DJ96" s="183"/>
      <c r="DK96" s="183"/>
    </row>
    <row r="97" spans="1:115" s="2" customFormat="1" hidden="1" outlineLevel="1" x14ac:dyDescent="0.3">
      <c r="A97" s="188"/>
      <c r="B97" s="204" t="s">
        <v>228</v>
      </c>
      <c r="C97" s="183"/>
      <c r="D97" s="449"/>
      <c r="E97" s="468"/>
      <c r="F97" s="183"/>
      <c r="G97" s="429"/>
      <c r="H97" s="412"/>
      <c r="I97" s="196"/>
      <c r="J97" s="497" t="s">
        <v>282</v>
      </c>
      <c r="K97" s="498" t="s">
        <v>282</v>
      </c>
      <c r="L97" s="499" t="s">
        <v>282</v>
      </c>
      <c r="M97" s="500"/>
      <c r="N97" s="497" t="s">
        <v>283</v>
      </c>
      <c r="O97" s="497" t="s">
        <v>284</v>
      </c>
      <c r="P97" s="298"/>
      <c r="Q97" s="299"/>
      <c r="R97" s="449"/>
      <c r="S97" s="183"/>
      <c r="T97" s="173"/>
      <c r="U97" s="43"/>
      <c r="V97" s="102" t="s">
        <v>20</v>
      </c>
      <c r="W97" s="102" t="s">
        <v>21</v>
      </c>
      <c r="X97" s="102" t="s">
        <v>6</v>
      </c>
      <c r="Y97" s="102" t="s">
        <v>23</v>
      </c>
      <c r="Z97" s="102" t="s">
        <v>22</v>
      </c>
      <c r="AA97" s="102" t="s">
        <v>24</v>
      </c>
      <c r="AB97" s="102" t="s">
        <v>25</v>
      </c>
      <c r="AC97" s="352" t="s">
        <v>240</v>
      </c>
      <c r="AD97" s="102" t="s">
        <v>28</v>
      </c>
      <c r="AE97" s="102" t="s">
        <v>32</v>
      </c>
      <c r="AF97" s="102" t="s">
        <v>27</v>
      </c>
      <c r="AG97" s="103" t="s">
        <v>29</v>
      </c>
      <c r="AH97" s="102" t="s">
        <v>34</v>
      </c>
      <c r="AI97" s="102" t="s">
        <v>33</v>
      </c>
      <c r="AJ97" s="251" t="s">
        <v>111</v>
      </c>
      <c r="AK97" s="104" t="s">
        <v>28</v>
      </c>
      <c r="AL97" s="253" t="s">
        <v>111</v>
      </c>
      <c r="AM97" s="246" t="s">
        <v>28</v>
      </c>
      <c r="AN97" s="102" t="s">
        <v>111</v>
      </c>
      <c r="AO97" s="104" t="s">
        <v>26</v>
      </c>
      <c r="AP97" s="102" t="s">
        <v>28</v>
      </c>
      <c r="AQ97" s="104" t="s">
        <v>26</v>
      </c>
      <c r="AR97" s="102" t="s">
        <v>111</v>
      </c>
      <c r="AS97" s="104" t="s">
        <v>26</v>
      </c>
      <c r="AT97" s="102" t="s">
        <v>28</v>
      </c>
      <c r="AU97" s="104" t="s">
        <v>26</v>
      </c>
      <c r="AV97" s="102" t="s">
        <v>111</v>
      </c>
      <c r="AW97" s="104" t="s">
        <v>26</v>
      </c>
      <c r="AX97" s="102" t="s">
        <v>28</v>
      </c>
      <c r="AY97" s="104" t="s">
        <v>26</v>
      </c>
      <c r="AZ97" s="102" t="s">
        <v>30</v>
      </c>
      <c r="BA97" s="102" t="s">
        <v>31</v>
      </c>
      <c r="BB97" s="102" t="s">
        <v>8</v>
      </c>
      <c r="BC97" s="102" t="s">
        <v>7</v>
      </c>
      <c r="BD97" s="102"/>
      <c r="BE97" s="102"/>
      <c r="BF97" s="102" t="s">
        <v>8</v>
      </c>
      <c r="BG97" s="102" t="s">
        <v>77</v>
      </c>
      <c r="BH97" s="103" t="s">
        <v>7</v>
      </c>
      <c r="BI97" s="103" t="s">
        <v>78</v>
      </c>
      <c r="BJ97" s="102" t="s">
        <v>8</v>
      </c>
      <c r="BK97" s="102" t="s">
        <v>7</v>
      </c>
      <c r="BL97" s="102"/>
      <c r="BM97" s="102"/>
      <c r="BN97" s="102" t="s">
        <v>8</v>
      </c>
      <c r="BO97" s="102" t="s">
        <v>77</v>
      </c>
      <c r="BP97" s="103" t="s">
        <v>7</v>
      </c>
      <c r="BQ97" s="103" t="s">
        <v>78</v>
      </c>
      <c r="BR97" s="102" t="s">
        <v>8</v>
      </c>
      <c r="BS97" s="102" t="s">
        <v>7</v>
      </c>
      <c r="BT97" s="102"/>
      <c r="BU97" s="102"/>
      <c r="BV97" s="102" t="s">
        <v>8</v>
      </c>
      <c r="BW97" s="102" t="s">
        <v>77</v>
      </c>
      <c r="BX97" s="103" t="s">
        <v>7</v>
      </c>
      <c r="BY97" s="103" t="s">
        <v>78</v>
      </c>
      <c r="BZ97" s="102" t="s">
        <v>8</v>
      </c>
      <c r="CA97" s="102" t="s">
        <v>77</v>
      </c>
      <c r="CB97" s="103" t="s">
        <v>7</v>
      </c>
      <c r="CC97" s="103" t="s">
        <v>78</v>
      </c>
      <c r="CD97" s="102" t="s">
        <v>8</v>
      </c>
      <c r="CE97" s="102" t="s">
        <v>77</v>
      </c>
      <c r="CF97" s="103" t="s">
        <v>7</v>
      </c>
      <c r="CG97" s="103" t="s">
        <v>78</v>
      </c>
      <c r="CH97" s="102" t="s">
        <v>8</v>
      </c>
      <c r="CI97" s="102" t="s">
        <v>77</v>
      </c>
      <c r="CJ97" s="103" t="s">
        <v>7</v>
      </c>
      <c r="CK97" s="103" t="s">
        <v>78</v>
      </c>
      <c r="CL97" s="102" t="s">
        <v>102</v>
      </c>
      <c r="CM97" s="102" t="s">
        <v>8</v>
      </c>
      <c r="CN97" s="102" t="s">
        <v>77</v>
      </c>
      <c r="CO97" s="103" t="s">
        <v>7</v>
      </c>
      <c r="CP97" s="103" t="s">
        <v>78</v>
      </c>
      <c r="CQ97" s="105" t="s">
        <v>8</v>
      </c>
      <c r="CR97" s="102" t="s">
        <v>39</v>
      </c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</row>
    <row r="98" spans="1:115" s="106" customFormat="1" hidden="1" outlineLevel="1" x14ac:dyDescent="0.3">
      <c r="A98" s="189"/>
      <c r="B98" s="194"/>
      <c r="C98" s="194"/>
      <c r="D98" s="459" t="s">
        <v>229</v>
      </c>
      <c r="E98" s="475"/>
      <c r="F98" s="265"/>
      <c r="G98" s="438"/>
      <c r="H98" s="421"/>
      <c r="I98" s="194" t="s">
        <v>230</v>
      </c>
      <c r="J98" s="497" t="s">
        <v>82</v>
      </c>
      <c r="K98" s="498" t="s">
        <v>80</v>
      </c>
      <c r="L98" s="499" t="s">
        <v>81</v>
      </c>
      <c r="M98" s="500"/>
      <c r="N98" s="497" t="s">
        <v>82</v>
      </c>
      <c r="O98" s="497" t="s">
        <v>82</v>
      </c>
      <c r="P98" s="298"/>
      <c r="Q98" s="299"/>
      <c r="R98" s="449"/>
      <c r="S98" s="183"/>
      <c r="T98" s="174"/>
      <c r="U98" s="107"/>
      <c r="V98" s="108">
        <v>0</v>
      </c>
      <c r="W98" s="109">
        <f>WEEKDAY(X98)</f>
        <v>4</v>
      </c>
      <c r="X98" s="110">
        <v>44979</v>
      </c>
      <c r="Y98" s="111">
        <v>0.75</v>
      </c>
      <c r="Z98" s="112">
        <f t="shared" ref="Z98:Z120" si="32">X98+Y98</f>
        <v>44979.75</v>
      </c>
      <c r="AA98" s="113"/>
      <c r="AB98" s="113"/>
      <c r="AC98" s="353">
        <v>0</v>
      </c>
      <c r="AD98" s="67">
        <v>0</v>
      </c>
      <c r="AE98" s="115"/>
      <c r="AF98" s="116"/>
      <c r="AG98" s="117"/>
      <c r="AH98" s="118"/>
      <c r="AI98" s="117"/>
      <c r="AJ98" s="252">
        <f>AC98</f>
        <v>0</v>
      </c>
      <c r="AK98" s="244">
        <f>AD98</f>
        <v>0</v>
      </c>
      <c r="AL98" s="252">
        <f>AC98</f>
        <v>0</v>
      </c>
      <c r="AM98" s="244">
        <f>AD98</f>
        <v>0</v>
      </c>
      <c r="AN98" s="116">
        <f>AS98</f>
        <v>0</v>
      </c>
      <c r="AO98" s="119"/>
      <c r="AP98" s="91"/>
      <c r="AQ98" s="96"/>
      <c r="AR98" s="116">
        <f>AW98</f>
        <v>0</v>
      </c>
      <c r="AS98" s="119"/>
      <c r="AT98" s="91"/>
      <c r="AU98" s="96"/>
      <c r="AV98" s="116"/>
      <c r="AW98" s="119"/>
      <c r="AX98" s="91"/>
      <c r="AY98" s="96"/>
      <c r="AZ98" s="116"/>
      <c r="BA98" s="116"/>
      <c r="BB98" s="114">
        <v>0</v>
      </c>
      <c r="BC98" s="67">
        <v>0</v>
      </c>
      <c r="BD98" s="129"/>
      <c r="BE98" s="129"/>
      <c r="BF98" s="116"/>
      <c r="BG98" s="116"/>
      <c r="BH98" s="116"/>
      <c r="BI98" s="116"/>
      <c r="BJ98" s="114">
        <v>0</v>
      </c>
      <c r="BK98" s="67">
        <v>0</v>
      </c>
      <c r="BL98" s="129"/>
      <c r="BM98" s="129"/>
      <c r="BN98" s="116"/>
      <c r="BO98" s="116"/>
      <c r="BP98" s="116"/>
      <c r="BQ98" s="116"/>
      <c r="BR98" s="114">
        <v>0</v>
      </c>
      <c r="BS98" s="67">
        <v>0</v>
      </c>
      <c r="BT98" s="129"/>
      <c r="BU98" s="129"/>
      <c r="BV98" s="116"/>
      <c r="BW98" s="116"/>
      <c r="BX98" s="116"/>
      <c r="BY98" s="116"/>
      <c r="BZ98" s="120">
        <v>0</v>
      </c>
      <c r="CA98" s="120">
        <v>0</v>
      </c>
      <c r="CB98" s="121">
        <v>0</v>
      </c>
      <c r="CC98" s="121"/>
      <c r="CD98" s="120">
        <v>0</v>
      </c>
      <c r="CE98" s="120">
        <v>0</v>
      </c>
      <c r="CF98" s="121">
        <v>0</v>
      </c>
      <c r="CG98" s="121"/>
      <c r="CH98" s="120">
        <f>AZ98/$AC$120</f>
        <v>0</v>
      </c>
      <c r="CI98" s="120">
        <f>CH98</f>
        <v>0</v>
      </c>
      <c r="CJ98" s="121">
        <f>BZ98/$AD$128</f>
        <v>0</v>
      </c>
      <c r="CK98" s="121"/>
      <c r="CL98" s="122">
        <f>Vergleich!C3</f>
        <v>0</v>
      </c>
      <c r="CM98" s="79"/>
      <c r="CN98" s="120">
        <f>CM98</f>
        <v>0</v>
      </c>
      <c r="CO98" s="123"/>
      <c r="CP98" s="121"/>
      <c r="CQ98" s="122"/>
      <c r="CR98" s="120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</row>
    <row r="99" spans="1:115" s="124" customFormat="1" hidden="1" outlineLevel="1" x14ac:dyDescent="0.3">
      <c r="A99" s="190"/>
      <c r="B99" s="195"/>
      <c r="C99" s="195"/>
      <c r="D99" s="460">
        <v>0</v>
      </c>
      <c r="E99" s="476"/>
      <c r="F99" s="266"/>
      <c r="G99" s="438"/>
      <c r="H99" s="421"/>
      <c r="I99" s="211">
        <f>Z98</f>
        <v>44979.75</v>
      </c>
      <c r="J99" s="304">
        <f>AC98</f>
        <v>0</v>
      </c>
      <c r="K99" s="305">
        <f>AR98</f>
        <v>0</v>
      </c>
      <c r="L99" s="305">
        <f>AV98</f>
        <v>0</v>
      </c>
      <c r="M99" s="305"/>
      <c r="N99" s="501">
        <f>AJ98</f>
        <v>0</v>
      </c>
      <c r="O99" s="501">
        <f>AL98</f>
        <v>0</v>
      </c>
      <c r="P99" s="300"/>
      <c r="Q99" s="300"/>
      <c r="R99" s="449"/>
      <c r="S99" s="183"/>
      <c r="T99" s="175"/>
      <c r="U99" s="87"/>
      <c r="V99" s="108">
        <v>0</v>
      </c>
      <c r="W99" s="109">
        <f>WEEKDAY(X99)</f>
        <v>4</v>
      </c>
      <c r="X99" s="110">
        <f>X98</f>
        <v>44979</v>
      </c>
      <c r="Y99" s="111">
        <v>0.99998842592592585</v>
      </c>
      <c r="Z99" s="112">
        <f t="shared" si="32"/>
        <v>44979.999988425923</v>
      </c>
      <c r="AA99" s="113">
        <f t="shared" ref="AA99:AA120" si="33">Z99-$Z$98</f>
        <v>0.24998842592322035</v>
      </c>
      <c r="AB99" s="113"/>
      <c r="AC99" s="354"/>
      <c r="AD99" s="126"/>
      <c r="AE99" s="127"/>
      <c r="AF99" s="116"/>
      <c r="AG99" s="117" t="e">
        <f t="shared" ref="AG99:AG120" si="34">AC99/AD99</f>
        <v>#DIV/0!</v>
      </c>
      <c r="AH99" s="118"/>
      <c r="AI99" s="117"/>
      <c r="AJ99" s="252">
        <f t="shared" ref="AJ99:AJ101" si="35">AC99</f>
        <v>0</v>
      </c>
      <c r="AK99" s="244">
        <f t="shared" ref="AK99:AK101" si="36">AD99</f>
        <v>0</v>
      </c>
      <c r="AL99" s="252">
        <f t="shared" ref="AL99:AL101" si="37">AC99</f>
        <v>0</v>
      </c>
      <c r="AM99" s="244">
        <f t="shared" ref="AM99:AM101" si="38">AD99</f>
        <v>0</v>
      </c>
      <c r="AN99" s="116">
        <f>AC99</f>
        <v>0</v>
      </c>
      <c r="AO99" s="119">
        <f>AC99-AN99</f>
        <v>0</v>
      </c>
      <c r="AP99" s="128">
        <f>AD99</f>
        <v>0</v>
      </c>
      <c r="AQ99" s="272"/>
      <c r="AR99" s="116">
        <f>AC99</f>
        <v>0</v>
      </c>
      <c r="AS99" s="119">
        <f t="shared" ref="AS99:AS119" si="39">AC99-AR99</f>
        <v>0</v>
      </c>
      <c r="AT99" s="128">
        <f>AD99</f>
        <v>0</v>
      </c>
      <c r="AU99" s="272"/>
      <c r="AV99" s="116">
        <f>AR99</f>
        <v>0</v>
      </c>
      <c r="AW99" s="119">
        <f t="shared" ref="AW99:AW119" si="40">AC99-AV99</f>
        <v>0</v>
      </c>
      <c r="AX99" s="129">
        <f>AT99</f>
        <v>0</v>
      </c>
      <c r="AY99" s="272"/>
      <c r="AZ99" s="116">
        <f>AF99/AA99</f>
        <v>0</v>
      </c>
      <c r="BA99" s="116">
        <f t="shared" ref="BA99:BA120" si="41">AC99/AA99</f>
        <v>0</v>
      </c>
      <c r="BB99" s="125">
        <f>AC99</f>
        <v>0</v>
      </c>
      <c r="BC99" s="126">
        <f>AD99</f>
        <v>0</v>
      </c>
      <c r="BD99" s="216">
        <f>AE99</f>
        <v>0</v>
      </c>
      <c r="BE99" s="216">
        <f>AF99</f>
        <v>0</v>
      </c>
      <c r="BF99" s="116"/>
      <c r="BG99" s="116"/>
      <c r="BH99" s="116"/>
      <c r="BI99" s="116"/>
      <c r="BJ99" s="125">
        <v>70783</v>
      </c>
      <c r="BK99" s="126">
        <v>291</v>
      </c>
      <c r="BL99" s="216"/>
      <c r="BM99" s="216"/>
      <c r="BN99" s="116"/>
      <c r="BO99" s="116"/>
      <c r="BP99" s="116"/>
      <c r="BQ99" s="116"/>
      <c r="BR99" s="125">
        <v>75090</v>
      </c>
      <c r="BS99" s="126">
        <v>510</v>
      </c>
      <c r="BT99" s="216"/>
      <c r="BU99" s="216"/>
      <c r="BV99" s="116"/>
      <c r="BW99" s="116"/>
      <c r="BX99" s="116"/>
      <c r="BY99" s="116"/>
      <c r="BZ99" s="120">
        <v>0</v>
      </c>
      <c r="CA99" s="120">
        <v>0</v>
      </c>
      <c r="CB99" s="121">
        <v>0</v>
      </c>
      <c r="CC99" s="121">
        <v>0</v>
      </c>
      <c r="CD99" s="120">
        <v>0.24557122124840888</v>
      </c>
      <c r="CE99" s="120">
        <v>0.24557122124840888</v>
      </c>
      <c r="CF99" s="121">
        <v>0.24159021406727829</v>
      </c>
      <c r="CG99" s="121">
        <v>0.24159021406727829</v>
      </c>
      <c r="CH99" s="120">
        <v>0.20305967479960829</v>
      </c>
      <c r="CI99" s="120">
        <f>CI98+CH99</f>
        <v>0.20305967479960829</v>
      </c>
      <c r="CJ99" s="121">
        <v>0.18386243386243387</v>
      </c>
      <c r="CK99" s="121">
        <f>CJ99</f>
        <v>0.18386243386243387</v>
      </c>
      <c r="CL99" s="122"/>
      <c r="CM99" s="120">
        <v>0.20659234902558346</v>
      </c>
      <c r="CN99" s="120">
        <f>CN98+CM99</f>
        <v>0.20659234902558346</v>
      </c>
      <c r="CO99" s="121">
        <v>0.1729106628242075</v>
      </c>
      <c r="CP99" s="121"/>
      <c r="CQ99" s="122"/>
      <c r="CR99" s="120"/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195"/>
      <c r="DF99" s="195"/>
      <c r="DG99" s="195"/>
      <c r="DH99" s="195"/>
      <c r="DI99" s="195"/>
      <c r="DJ99" s="195"/>
      <c r="DK99" s="195"/>
    </row>
    <row r="100" spans="1:115" s="124" customFormat="1" hidden="1" outlineLevel="1" x14ac:dyDescent="0.3">
      <c r="A100" s="190"/>
      <c r="B100" s="195"/>
      <c r="C100" s="195"/>
      <c r="D100" s="460">
        <v>1</v>
      </c>
      <c r="E100" s="476"/>
      <c r="F100" s="266"/>
      <c r="G100" s="438"/>
      <c r="H100" s="421"/>
      <c r="I100" s="211">
        <f t="shared" ref="I100:I120" si="42">Z100</f>
        <v>44980.75</v>
      </c>
      <c r="J100" s="304">
        <f t="shared" ref="J100:J120" si="43">AC100</f>
        <v>32500</v>
      </c>
      <c r="K100" s="304">
        <f t="shared" ref="K100:K119" si="44">AR100</f>
        <v>32500</v>
      </c>
      <c r="L100" s="304">
        <f t="shared" ref="L100:L120" si="45">AV100</f>
        <v>32500</v>
      </c>
      <c r="M100" s="305"/>
      <c r="N100" s="501">
        <f t="shared" ref="N100:N120" si="46">AJ100</f>
        <v>32500</v>
      </c>
      <c r="O100" s="501">
        <f t="shared" ref="O100:O120" si="47">AL100</f>
        <v>32500</v>
      </c>
      <c r="P100" s="300"/>
      <c r="Q100" s="300"/>
      <c r="R100" s="449"/>
      <c r="S100" s="183"/>
      <c r="T100" s="175"/>
      <c r="U100" s="87"/>
      <c r="V100" s="130">
        <v>1</v>
      </c>
      <c r="W100" s="109" t="s">
        <v>5</v>
      </c>
      <c r="X100" s="110">
        <f>X98+1</f>
        <v>44980</v>
      </c>
      <c r="Y100" s="111">
        <v>0.75</v>
      </c>
      <c r="Z100" s="112">
        <f t="shared" si="32"/>
        <v>44980.75</v>
      </c>
      <c r="AA100" s="113">
        <f t="shared" si="33"/>
        <v>1</v>
      </c>
      <c r="AB100" s="113">
        <f>AA100-AA98</f>
        <v>1</v>
      </c>
      <c r="AC100" s="354">
        <v>32500</v>
      </c>
      <c r="AD100" s="126">
        <v>170</v>
      </c>
      <c r="AE100" s="127">
        <f>AD100-AD98</f>
        <v>170</v>
      </c>
      <c r="AF100" s="116">
        <f>AC100-AC98</f>
        <v>32500</v>
      </c>
      <c r="AG100" s="117">
        <f t="shared" si="34"/>
        <v>191.1764705882353</v>
      </c>
      <c r="AH100" s="118">
        <f>(AF100-AC98)/(AE100-AD98)</f>
        <v>191.1764705882353</v>
      </c>
      <c r="AI100" s="118">
        <f>SUM(AF99:AF100)/SUM(AE99:AE100)</f>
        <v>191.1764705882353</v>
      </c>
      <c r="AJ100" s="114">
        <f t="shared" si="35"/>
        <v>32500</v>
      </c>
      <c r="AK100" s="245">
        <f t="shared" si="36"/>
        <v>170</v>
      </c>
      <c r="AL100" s="114">
        <f t="shared" si="37"/>
        <v>32500</v>
      </c>
      <c r="AM100" s="245">
        <f t="shared" si="38"/>
        <v>170</v>
      </c>
      <c r="AN100" s="116">
        <f t="shared" ref="AN100:AN102" si="48">AC100</f>
        <v>32500</v>
      </c>
      <c r="AO100" s="119">
        <f t="shared" ref="AO100:AO120" si="49">AC100-AN100</f>
        <v>0</v>
      </c>
      <c r="AP100" s="128">
        <f t="shared" ref="AP100:AP102" si="50">AD100</f>
        <v>170</v>
      </c>
      <c r="AQ100" s="272">
        <f>AD100-AP100</f>
        <v>0</v>
      </c>
      <c r="AR100" s="116">
        <f t="shared" ref="AR100:AR102" si="51">AC100</f>
        <v>32500</v>
      </c>
      <c r="AS100" s="119">
        <f t="shared" si="39"/>
        <v>0</v>
      </c>
      <c r="AT100" s="128">
        <f t="shared" ref="AT100:AT102" si="52">AD100</f>
        <v>170</v>
      </c>
      <c r="AU100" s="96">
        <f t="shared" ref="AU100:AU115" si="53">AD100-AT100</f>
        <v>0</v>
      </c>
      <c r="AV100" s="116">
        <f t="shared" ref="AV100:AV102" si="54">AR100</f>
        <v>32500</v>
      </c>
      <c r="AW100" s="119">
        <f t="shared" si="40"/>
        <v>0</v>
      </c>
      <c r="AX100" s="129">
        <f t="shared" ref="AX100:AX102" si="55">AT100</f>
        <v>170</v>
      </c>
      <c r="AY100" s="96">
        <f t="shared" ref="AY100:AY120" si="56">AD100-AX100</f>
        <v>0</v>
      </c>
      <c r="AZ100" s="116">
        <f t="shared" ref="AZ100:AZ120" si="57">AF100/AB100</f>
        <v>32500</v>
      </c>
      <c r="BA100" s="116">
        <f t="shared" si="41"/>
        <v>32500</v>
      </c>
      <c r="BB100" s="125">
        <f t="shared" ref="BB100:BB120" si="58">AC100</f>
        <v>32500</v>
      </c>
      <c r="BC100" s="126">
        <f t="shared" ref="BC100:BC120" si="59">AD100</f>
        <v>170</v>
      </c>
      <c r="BD100" s="216">
        <f t="shared" ref="BD100:BD120" si="60">AE100</f>
        <v>170</v>
      </c>
      <c r="BE100" s="216">
        <f t="shared" ref="BE100:BE120" si="61">AF100</f>
        <v>32500</v>
      </c>
      <c r="BF100" s="120">
        <f>BE100/$BB$120</f>
        <v>0.28448113461262331</v>
      </c>
      <c r="BG100" s="120">
        <f>BB100/$BB$120</f>
        <v>0.28448113461262331</v>
      </c>
      <c r="BH100" s="121">
        <f>BD100/$BC$120</f>
        <v>0.30965391621129323</v>
      </c>
      <c r="BI100" s="121">
        <f>BH100</f>
        <v>0.30965391621129323</v>
      </c>
      <c r="BJ100" s="125">
        <v>82966</v>
      </c>
      <c r="BK100" s="126">
        <v>341</v>
      </c>
      <c r="BL100" s="216">
        <f>BK100-BK98</f>
        <v>341</v>
      </c>
      <c r="BM100" s="216">
        <f>BJ100-BJ98</f>
        <v>82966</v>
      </c>
      <c r="BN100" s="120">
        <f>BM100/$BJ$120</f>
        <v>0.21315089046234162</v>
      </c>
      <c r="BO100" s="120">
        <f>BJ100/$BJ$120</f>
        <v>0.21315089046234162</v>
      </c>
      <c r="BP100" s="121">
        <f>BL100/$BK$120</f>
        <v>0.20591787439613526</v>
      </c>
      <c r="BQ100" s="121">
        <f>BP100</f>
        <v>0.20591787439613526</v>
      </c>
      <c r="BR100" s="125">
        <v>89735</v>
      </c>
      <c r="BS100" s="126">
        <v>625</v>
      </c>
      <c r="BT100" s="216">
        <f>BS100-BS98</f>
        <v>625</v>
      </c>
      <c r="BU100" s="216">
        <f>BR100-BR98</f>
        <v>89735</v>
      </c>
      <c r="BV100" s="120">
        <f>BU100/$BR$120</f>
        <v>0.37516514206398316</v>
      </c>
      <c r="BW100" s="120">
        <f>BR100/$BR$120</f>
        <v>0.37516514206398316</v>
      </c>
      <c r="BX100" s="121">
        <f>BT100/$BS$120</f>
        <v>0.37560096153846156</v>
      </c>
      <c r="BY100" s="121">
        <f>BX100</f>
        <v>0.37560096153846156</v>
      </c>
      <c r="BZ100" s="120">
        <v>0.217908689903446</v>
      </c>
      <c r="CA100" s="120">
        <v>0.21790868990344553</v>
      </c>
      <c r="CB100" s="121">
        <v>0.23279352226720648</v>
      </c>
      <c r="CC100" s="121">
        <v>0.23279352226720648</v>
      </c>
      <c r="CD100" s="120">
        <v>4.9561783997210986E-2</v>
      </c>
      <c r="CE100" s="120">
        <v>0.29513300524561986</v>
      </c>
      <c r="CF100" s="121">
        <v>5.657492354740061E-2</v>
      </c>
      <c r="CG100" s="121">
        <v>0.29816513761467889</v>
      </c>
      <c r="CH100" s="120">
        <v>5.1641540743868043E-2</v>
      </c>
      <c r="CI100" s="120">
        <f t="shared" ref="CI100:CI120" si="62">CI99+CH100</f>
        <v>0.25470121554347636</v>
      </c>
      <c r="CJ100" s="121">
        <v>5.2910052910052907E-2</v>
      </c>
      <c r="CK100" s="121">
        <f>SUM(CJ$98:CJ100)</f>
        <v>0.23677248677248677</v>
      </c>
      <c r="CL100" s="122">
        <f>Vergleich!C4</f>
        <v>14771</v>
      </c>
      <c r="CM100" s="120">
        <v>3.0331221429144267E-2</v>
      </c>
      <c r="CN100" s="120">
        <f t="shared" ref="CN100:CN120" si="63">CN99+CM100</f>
        <v>0.23692357045472773</v>
      </c>
      <c r="CO100" s="121">
        <v>3.7463976945244948E-2</v>
      </c>
      <c r="CP100" s="121">
        <f>SUM(CO$98:CO100)</f>
        <v>0.21037463976945245</v>
      </c>
      <c r="CQ100" s="122"/>
      <c r="CR100" s="120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</row>
    <row r="101" spans="1:115" s="124" customFormat="1" hidden="1" outlineLevel="1" x14ac:dyDescent="0.3">
      <c r="A101" s="190"/>
      <c r="B101" s="195"/>
      <c r="C101" s="195"/>
      <c r="D101" s="460">
        <v>2</v>
      </c>
      <c r="E101" s="476"/>
      <c r="F101" s="266"/>
      <c r="G101" s="266"/>
      <c r="H101" s="266"/>
      <c r="I101" s="211">
        <f t="shared" si="42"/>
        <v>44981.75</v>
      </c>
      <c r="J101" s="304">
        <f t="shared" si="43"/>
        <v>32781</v>
      </c>
      <c r="K101" s="304">
        <f t="shared" si="44"/>
        <v>32781</v>
      </c>
      <c r="L101" s="304">
        <f t="shared" si="45"/>
        <v>32781</v>
      </c>
      <c r="M101" s="305"/>
      <c r="N101" s="501">
        <f t="shared" si="46"/>
        <v>32781</v>
      </c>
      <c r="O101" s="501">
        <f t="shared" si="47"/>
        <v>32781</v>
      </c>
      <c r="P101" s="300"/>
      <c r="Q101" s="300"/>
      <c r="R101" s="494"/>
      <c r="S101" s="183"/>
      <c r="T101" s="441"/>
      <c r="U101" s="87"/>
      <c r="V101" s="130">
        <v>2</v>
      </c>
      <c r="W101" s="109">
        <f t="shared" ref="W101:W120" si="64">WEEKDAY(X101)</f>
        <v>6</v>
      </c>
      <c r="X101" s="110">
        <f t="shared" ref="X101:X120" si="65">X100+1</f>
        <v>44981</v>
      </c>
      <c r="Y101" s="111">
        <v>0.75</v>
      </c>
      <c r="Z101" s="112">
        <f t="shared" si="32"/>
        <v>44981.75</v>
      </c>
      <c r="AA101" s="113">
        <f t="shared" si="33"/>
        <v>2</v>
      </c>
      <c r="AB101" s="113">
        <f t="shared" ref="AB101:AB120" si="66">AA101-AA100</f>
        <v>1</v>
      </c>
      <c r="AC101" s="354">
        <v>32781</v>
      </c>
      <c r="AD101" s="126">
        <v>194</v>
      </c>
      <c r="AE101" s="127">
        <f t="shared" ref="AE101:AE102" si="67">AD101-AD100</f>
        <v>24</v>
      </c>
      <c r="AF101" s="116">
        <f t="shared" ref="AF101:AF120" si="68">AC101-AC100</f>
        <v>281</v>
      </c>
      <c r="AG101" s="117">
        <f t="shared" si="34"/>
        <v>168.9742268041237</v>
      </c>
      <c r="AH101" s="118">
        <f t="shared" ref="AH101:AH120" si="69">AF101/AE101</f>
        <v>11.708333333333334</v>
      </c>
      <c r="AI101" s="118">
        <f>SUM(AF99:AF101)/SUM(AE99:AE101)</f>
        <v>168.9742268041237</v>
      </c>
      <c r="AJ101" s="114">
        <f t="shared" si="35"/>
        <v>32781</v>
      </c>
      <c r="AK101" s="245">
        <f t="shared" si="36"/>
        <v>194</v>
      </c>
      <c r="AL101" s="114">
        <f t="shared" si="37"/>
        <v>32781</v>
      </c>
      <c r="AM101" s="245">
        <f t="shared" si="38"/>
        <v>194</v>
      </c>
      <c r="AN101" s="116">
        <f t="shared" si="48"/>
        <v>32781</v>
      </c>
      <c r="AO101" s="116">
        <f t="shared" si="49"/>
        <v>0</v>
      </c>
      <c r="AP101" s="128">
        <f t="shared" si="50"/>
        <v>194</v>
      </c>
      <c r="AQ101" s="129">
        <f t="shared" ref="AQ101:AQ120" si="70">AD101-AP101</f>
        <v>0</v>
      </c>
      <c r="AR101" s="116">
        <f t="shared" si="51"/>
        <v>32781</v>
      </c>
      <c r="AS101" s="116">
        <f t="shared" si="39"/>
        <v>0</v>
      </c>
      <c r="AT101" s="128">
        <f t="shared" si="52"/>
        <v>194</v>
      </c>
      <c r="AU101" s="91">
        <f t="shared" si="53"/>
        <v>0</v>
      </c>
      <c r="AV101" s="116">
        <f t="shared" si="54"/>
        <v>32781</v>
      </c>
      <c r="AW101" s="116">
        <f t="shared" si="40"/>
        <v>0</v>
      </c>
      <c r="AX101" s="129">
        <f t="shared" si="55"/>
        <v>194</v>
      </c>
      <c r="AY101" s="91">
        <f t="shared" si="56"/>
        <v>0</v>
      </c>
      <c r="AZ101" s="116">
        <f t="shared" si="57"/>
        <v>281</v>
      </c>
      <c r="BA101" s="116">
        <f t="shared" si="41"/>
        <v>16390.5</v>
      </c>
      <c r="BB101" s="125">
        <f t="shared" si="58"/>
        <v>32781</v>
      </c>
      <c r="BC101" s="126">
        <f t="shared" si="59"/>
        <v>194</v>
      </c>
      <c r="BD101" s="216">
        <f t="shared" si="60"/>
        <v>24</v>
      </c>
      <c r="BE101" s="216">
        <f t="shared" si="61"/>
        <v>281</v>
      </c>
      <c r="BF101" s="120">
        <f t="shared" ref="BF101:BF120" si="71">BE101/$BB$120</f>
        <v>2.459667656189143E-3</v>
      </c>
      <c r="BG101" s="120">
        <f t="shared" ref="BG101:BG120" si="72">BB101/$BB$120</f>
        <v>0.28694080226881247</v>
      </c>
      <c r="BH101" s="121">
        <f t="shared" ref="BH101:BH120" si="73">BD101/$BC$120</f>
        <v>4.3715846994535519E-2</v>
      </c>
      <c r="BI101" s="121">
        <f>BI100+BH101</f>
        <v>0.35336976320582875</v>
      </c>
      <c r="BJ101" s="125">
        <v>96328</v>
      </c>
      <c r="BK101" s="126">
        <v>404</v>
      </c>
      <c r="BL101" s="216">
        <f>BK101-BK100</f>
        <v>63</v>
      </c>
      <c r="BM101" s="216">
        <f>BJ101-BJ100</f>
        <v>13362</v>
      </c>
      <c r="BN101" s="120">
        <f t="shared" ref="BN101:BN120" si="74">BM101/$BJ$120</f>
        <v>3.4328787676371146E-2</v>
      </c>
      <c r="BO101" s="120">
        <f t="shared" ref="BO101:BO120" si="75">BJ101/$BJ$120</f>
        <v>0.24747967813871277</v>
      </c>
      <c r="BP101" s="121">
        <f t="shared" ref="BP101:BP120" si="76">BL101/$BK$120</f>
        <v>3.8043478260869568E-2</v>
      </c>
      <c r="BQ101" s="121">
        <f>BQ100+BP101</f>
        <v>0.24396135265700483</v>
      </c>
      <c r="BR101" s="125">
        <v>114003</v>
      </c>
      <c r="BS101" s="126">
        <v>789</v>
      </c>
      <c r="BT101" s="216">
        <f>BS101-BS100</f>
        <v>164</v>
      </c>
      <c r="BU101" s="216">
        <f>BR101-BR100</f>
        <v>24268</v>
      </c>
      <c r="BV101" s="120">
        <f t="shared" ref="BV101:BV120" si="77">BU101/$BR$120</f>
        <v>0.10145993946184591</v>
      </c>
      <c r="BW101" s="120">
        <f t="shared" ref="BW101:BW120" si="78">BR101/$BR$120</f>
        <v>0.47662508152582905</v>
      </c>
      <c r="BX101" s="121">
        <f t="shared" ref="BX101:BX120" si="79">BT101/$BS$120</f>
        <v>9.8557692307692304E-2</v>
      </c>
      <c r="BY101" s="121">
        <f>BY100+BX101</f>
        <v>0.47415865384615385</v>
      </c>
      <c r="BZ101" s="120">
        <v>5.4666059266008156E-2</v>
      </c>
      <c r="CA101" s="120">
        <v>0.27257474916945368</v>
      </c>
      <c r="CB101" s="121">
        <v>6.0728744939271252E-2</v>
      </c>
      <c r="CC101" s="121">
        <v>0.29352226720647773</v>
      </c>
      <c r="CD101" s="120">
        <v>5.0729278990765438E-2</v>
      </c>
      <c r="CE101" s="120">
        <v>0.34586228423638532</v>
      </c>
      <c r="CF101" s="121">
        <v>5.8103975535168197E-2</v>
      </c>
      <c r="CG101" s="121">
        <v>0.35626911314984711</v>
      </c>
      <c r="CH101" s="120">
        <v>3.5680569481825485E-2</v>
      </c>
      <c r="CI101" s="120">
        <f t="shared" si="62"/>
        <v>0.29038178502530182</v>
      </c>
      <c r="CJ101" s="121">
        <v>3.5714285714285712E-2</v>
      </c>
      <c r="CK101" s="121">
        <f>SUM(CJ$98:CJ101)</f>
        <v>0.2724867724867725</v>
      </c>
      <c r="CL101" s="122">
        <f>Vergleich!C5</f>
        <v>16764</v>
      </c>
      <c r="CM101" s="120">
        <v>3.1967278851551872E-2</v>
      </c>
      <c r="CN101" s="120">
        <f t="shared" si="63"/>
        <v>0.2688908493062796</v>
      </c>
      <c r="CO101" s="121">
        <v>2.5936599423631135E-2</v>
      </c>
      <c r="CP101" s="121">
        <f>SUM(CO$98:CO101)</f>
        <v>0.23631123919308358</v>
      </c>
      <c r="CQ101" s="122">
        <v>65000</v>
      </c>
      <c r="CR101" s="120" t="e">
        <f>#REF!/$CQ$122</f>
        <v>#REF!</v>
      </c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</row>
    <row r="102" spans="1:115" s="145" customFormat="1" hidden="1" outlineLevel="1" x14ac:dyDescent="0.3">
      <c r="A102" s="191"/>
      <c r="B102" s="192"/>
      <c r="C102" s="192"/>
      <c r="D102" s="459">
        <v>3</v>
      </c>
      <c r="E102" s="475"/>
      <c r="F102" s="265"/>
      <c r="G102" s="438"/>
      <c r="H102" s="421"/>
      <c r="I102" s="212">
        <f t="shared" si="42"/>
        <v>44982.75</v>
      </c>
      <c r="J102" s="502">
        <f t="shared" si="43"/>
        <v>38191</v>
      </c>
      <c r="K102" s="502">
        <f t="shared" si="44"/>
        <v>38191</v>
      </c>
      <c r="L102" s="502">
        <f t="shared" si="45"/>
        <v>38191</v>
      </c>
      <c r="M102" s="336"/>
      <c r="N102" s="503">
        <f t="shared" si="46"/>
        <v>38191</v>
      </c>
      <c r="O102" s="503">
        <f t="shared" si="47"/>
        <v>38191</v>
      </c>
      <c r="P102" s="326"/>
      <c r="Q102" s="326"/>
      <c r="R102" s="495"/>
      <c r="S102" s="183"/>
      <c r="T102" s="176"/>
      <c r="U102" s="131"/>
      <c r="V102" s="132">
        <v>3</v>
      </c>
      <c r="W102" s="327">
        <f t="shared" si="64"/>
        <v>7</v>
      </c>
      <c r="X102" s="134">
        <f t="shared" si="65"/>
        <v>44982</v>
      </c>
      <c r="Y102" s="135">
        <v>0.75</v>
      </c>
      <c r="Z102" s="136">
        <f t="shared" si="32"/>
        <v>44982.75</v>
      </c>
      <c r="AA102" s="137">
        <f t="shared" si="33"/>
        <v>3</v>
      </c>
      <c r="AB102" s="137">
        <f t="shared" si="66"/>
        <v>1</v>
      </c>
      <c r="AC102" s="355">
        <v>38191</v>
      </c>
      <c r="AD102" s="157">
        <v>199</v>
      </c>
      <c r="AE102" s="329">
        <f t="shared" si="67"/>
        <v>5</v>
      </c>
      <c r="AF102" s="140">
        <f t="shared" si="68"/>
        <v>5410</v>
      </c>
      <c r="AG102" s="138">
        <f t="shared" si="34"/>
        <v>191.9145728643216</v>
      </c>
      <c r="AH102" s="139">
        <f t="shared" si="69"/>
        <v>1082</v>
      </c>
      <c r="AI102" s="139">
        <f>SUM(AF99:AF102)/SUM(AE99:AE102)</f>
        <v>191.9145728643216</v>
      </c>
      <c r="AJ102" s="217">
        <f t="shared" ref="AJ102" si="80">AC102</f>
        <v>38191</v>
      </c>
      <c r="AK102" s="330">
        <f t="shared" ref="AK102" si="81">AD102</f>
        <v>199</v>
      </c>
      <c r="AL102" s="217">
        <f t="shared" ref="AL102" si="82">AC102</f>
        <v>38191</v>
      </c>
      <c r="AM102" s="330">
        <f t="shared" ref="AM102" si="83">AD102</f>
        <v>199</v>
      </c>
      <c r="AN102" s="140">
        <f t="shared" si="48"/>
        <v>38191</v>
      </c>
      <c r="AO102" s="140">
        <f t="shared" si="49"/>
        <v>0</v>
      </c>
      <c r="AP102" s="331">
        <f t="shared" si="50"/>
        <v>199</v>
      </c>
      <c r="AQ102" s="141">
        <f t="shared" si="70"/>
        <v>0</v>
      </c>
      <c r="AR102" s="140">
        <f t="shared" si="51"/>
        <v>38191</v>
      </c>
      <c r="AS102" s="140">
        <f t="shared" si="39"/>
        <v>0</v>
      </c>
      <c r="AT102" s="331">
        <f t="shared" si="52"/>
        <v>199</v>
      </c>
      <c r="AU102" s="231">
        <f t="shared" ref="AU102" si="84">AD102-AT102</f>
        <v>0</v>
      </c>
      <c r="AV102" s="140">
        <f t="shared" si="54"/>
        <v>38191</v>
      </c>
      <c r="AW102" s="140">
        <f t="shared" si="40"/>
        <v>0</v>
      </c>
      <c r="AX102" s="141">
        <f t="shared" si="55"/>
        <v>199</v>
      </c>
      <c r="AY102" s="231">
        <f t="shared" ref="AY102:AY115" si="85">AD102-AX102</f>
        <v>0</v>
      </c>
      <c r="AZ102" s="140">
        <f t="shared" si="57"/>
        <v>5410</v>
      </c>
      <c r="BA102" s="140">
        <f t="shared" si="41"/>
        <v>12730.333333333334</v>
      </c>
      <c r="BB102" s="328">
        <f t="shared" si="58"/>
        <v>38191</v>
      </c>
      <c r="BC102" s="157">
        <f t="shared" si="59"/>
        <v>199</v>
      </c>
      <c r="BD102" s="158">
        <f t="shared" si="60"/>
        <v>5</v>
      </c>
      <c r="BE102" s="158">
        <f t="shared" si="61"/>
        <v>5410</v>
      </c>
      <c r="BF102" s="142">
        <f t="shared" si="71"/>
        <v>4.7355167330901296E-2</v>
      </c>
      <c r="BG102" s="142">
        <f t="shared" si="72"/>
        <v>0.33429596959971375</v>
      </c>
      <c r="BH102" s="143">
        <f t="shared" si="73"/>
        <v>9.1074681238615673E-3</v>
      </c>
      <c r="BI102" s="143">
        <f t="shared" ref="BI102:BI120" si="86">BI101+BH102</f>
        <v>0.36247723132969034</v>
      </c>
      <c r="BJ102" s="328">
        <v>115147</v>
      </c>
      <c r="BK102" s="157">
        <v>480</v>
      </c>
      <c r="BL102" s="158">
        <f t="shared" ref="BL102:BL120" si="87">BK102-BK101</f>
        <v>76</v>
      </c>
      <c r="BM102" s="158">
        <f t="shared" ref="BM102:BM120" si="88">BJ102-BJ101</f>
        <v>18819</v>
      </c>
      <c r="BN102" s="142">
        <f t="shared" si="74"/>
        <v>4.8348559742675393E-2</v>
      </c>
      <c r="BO102" s="142">
        <f t="shared" si="75"/>
        <v>0.29582823788138818</v>
      </c>
      <c r="BP102" s="143">
        <f t="shared" si="76"/>
        <v>4.5893719806763288E-2</v>
      </c>
      <c r="BQ102" s="143">
        <f t="shared" ref="BQ102:BQ120" si="89">BQ101+BP102</f>
        <v>0.28985507246376813</v>
      </c>
      <c r="BR102" s="328">
        <v>122519</v>
      </c>
      <c r="BS102" s="157">
        <v>852</v>
      </c>
      <c r="BT102" s="158">
        <f t="shared" ref="BT102:BT120" si="90">BS102-BS101</f>
        <v>63</v>
      </c>
      <c r="BU102" s="158">
        <f t="shared" ref="BU102:BU120" si="91">BR102-BR101</f>
        <v>8516</v>
      </c>
      <c r="BV102" s="142">
        <f t="shared" si="77"/>
        <v>3.5603792832416339E-2</v>
      </c>
      <c r="BW102" s="142">
        <f t="shared" si="78"/>
        <v>0.51222887435824538</v>
      </c>
      <c r="BX102" s="143">
        <f t="shared" si="79"/>
        <v>3.786057692307692E-2</v>
      </c>
      <c r="BY102" s="143">
        <f t="shared" ref="BY102:BY120" si="92">BY101+BX102</f>
        <v>0.51201923076923073</v>
      </c>
      <c r="BZ102" s="142">
        <v>3.4877390251219428E-2</v>
      </c>
      <c r="CA102" s="142">
        <v>0.30745213942067312</v>
      </c>
      <c r="CB102" s="143">
        <v>3.4412955465587043E-2</v>
      </c>
      <c r="CC102" s="143">
        <v>0.32793522267206476</v>
      </c>
      <c r="CD102" s="142">
        <v>2.1193277174662115E-2</v>
      </c>
      <c r="CE102" s="142">
        <v>0.36705556141104745</v>
      </c>
      <c r="CF102" s="143">
        <v>2.2935779816513763E-2</v>
      </c>
      <c r="CG102" s="143">
        <v>0.37920489296636084</v>
      </c>
      <c r="CH102" s="142">
        <v>2.5677109903190436E-2</v>
      </c>
      <c r="CI102" s="142">
        <f t="shared" si="62"/>
        <v>0.31605889492849226</v>
      </c>
      <c r="CJ102" s="143">
        <v>2.3809523809523808E-2</v>
      </c>
      <c r="CK102" s="143">
        <f>SUM(CJ$98:CJ102)</f>
        <v>0.29629629629629628</v>
      </c>
      <c r="CL102" s="144">
        <f>Vergleich!C6</f>
        <v>17674</v>
      </c>
      <c r="CM102" s="142">
        <v>3.3956211404282621E-2</v>
      </c>
      <c r="CN102" s="142">
        <f t="shared" si="63"/>
        <v>0.30284706071056222</v>
      </c>
      <c r="CO102" s="143">
        <v>3.746397694524492E-2</v>
      </c>
      <c r="CP102" s="143">
        <f>SUM(CO$98:CO102)</f>
        <v>0.2737752161383285</v>
      </c>
      <c r="CQ102" s="144"/>
      <c r="CR102" s="14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</row>
    <row r="103" spans="1:115" s="145" customFormat="1" hidden="1" outlineLevel="1" x14ac:dyDescent="0.3">
      <c r="A103" s="191"/>
      <c r="B103" s="192"/>
      <c r="C103" s="192"/>
      <c r="D103" s="459">
        <v>4</v>
      </c>
      <c r="E103" s="475"/>
      <c r="F103" s="265"/>
      <c r="G103" s="438"/>
      <c r="H103" s="421"/>
      <c r="I103" s="212">
        <f t="shared" si="42"/>
        <v>44983.75</v>
      </c>
      <c r="J103" s="502">
        <f t="shared" si="43"/>
        <v>40877.804020100506</v>
      </c>
      <c r="K103" s="502">
        <f t="shared" si="44"/>
        <v>39780.628994058221</v>
      </c>
      <c r="L103" s="502">
        <f t="shared" si="45"/>
        <v>43172.012930527082</v>
      </c>
      <c r="M103" s="336"/>
      <c r="N103" s="503">
        <f t="shared" si="46"/>
        <v>39780.628994058221</v>
      </c>
      <c r="O103" s="503">
        <f t="shared" si="47"/>
        <v>43172.012930527082</v>
      </c>
      <c r="P103" s="326"/>
      <c r="Q103" s="326"/>
      <c r="R103" s="495"/>
      <c r="S103" s="183"/>
      <c r="T103" s="176"/>
      <c r="U103" s="131"/>
      <c r="V103" s="132">
        <v>4</v>
      </c>
      <c r="W103" s="133">
        <f t="shared" si="64"/>
        <v>1</v>
      </c>
      <c r="X103" s="134">
        <f t="shared" si="65"/>
        <v>44983</v>
      </c>
      <c r="Y103" s="135">
        <v>0.75</v>
      </c>
      <c r="Z103" s="136">
        <f t="shared" si="32"/>
        <v>44983.75</v>
      </c>
      <c r="AA103" s="137">
        <f t="shared" si="33"/>
        <v>4</v>
      </c>
      <c r="AB103" s="137">
        <f t="shared" si="66"/>
        <v>1</v>
      </c>
      <c r="AC103" s="364">
        <f t="shared" ref="AC103" si="93">AC102+AE103*AI102</f>
        <v>40877.804020100506</v>
      </c>
      <c r="AD103" s="362">
        <f t="shared" ref="AD103" si="94">AD102+AE103</f>
        <v>213</v>
      </c>
      <c r="AE103" s="365">
        <f t="shared" ref="AE103" si="95">AP103-AP102</f>
        <v>14</v>
      </c>
      <c r="AF103" s="140">
        <f t="shared" ref="AF103" si="96">AC103-AC102</f>
        <v>2686.804020100506</v>
      </c>
      <c r="AG103" s="138">
        <f t="shared" ref="AG103" si="97">AC103/AD103</f>
        <v>191.91457286432163</v>
      </c>
      <c r="AH103" s="139">
        <f t="shared" ref="AH103" si="98">AF103/AE103</f>
        <v>191.91457286432185</v>
      </c>
      <c r="AI103" s="139">
        <f t="shared" ref="AI103" si="99">SUM(AF99:AF103)/SUM(AE99:AE103)</f>
        <v>191.91457286432163</v>
      </c>
      <c r="AJ103" s="254">
        <f t="shared" ref="AJ103:AJ119" si="100">AJ102+AR103-AR102</f>
        <v>39780.628994058221</v>
      </c>
      <c r="AK103" s="255">
        <f t="shared" ref="AK103:AK119" si="101">AK102+AT103-AT102</f>
        <v>207</v>
      </c>
      <c r="AL103" s="254">
        <f t="shared" ref="AL103:AL119" si="102">AL102+AV103-AV102</f>
        <v>43172.012930527082</v>
      </c>
      <c r="AM103" s="255">
        <f t="shared" ref="AM103:AM119" si="103">AM102+AX103-AX102</f>
        <v>229</v>
      </c>
      <c r="AN103" s="140">
        <f t="shared" ref="AN103:AN120" si="104">AN102+(AN$130-$AR$102)*CD126</f>
        <v>40433.675207533888</v>
      </c>
      <c r="AO103" s="140">
        <f t="shared" si="49"/>
        <v>444.12881256661785</v>
      </c>
      <c r="AP103" s="141">
        <f t="shared" ref="AP103:AP120" si="105">ROUND(AP102+(AP$130-$AT$102)*CF126,)</f>
        <v>213</v>
      </c>
      <c r="AQ103" s="141">
        <f t="shared" si="70"/>
        <v>0</v>
      </c>
      <c r="AR103" s="140">
        <f t="shared" ref="AR103:AR120" si="106">AR102+(AR$130-$AR$102)*CH126</f>
        <v>39780.628994058221</v>
      </c>
      <c r="AS103" s="140">
        <f t="shared" si="39"/>
        <v>1097.175026042285</v>
      </c>
      <c r="AT103" s="141">
        <f t="shared" ref="AT103:AT120" si="107">ROUND(AT102+(AT$130-$AT$102)*CJ126,)</f>
        <v>207</v>
      </c>
      <c r="AU103" s="231">
        <f t="shared" si="53"/>
        <v>6</v>
      </c>
      <c r="AV103" s="140">
        <f t="shared" ref="AV103:AV120" si="108">AV102+(AV$130-$AV$102)*BV126</f>
        <v>43172.012930527082</v>
      </c>
      <c r="AW103" s="140">
        <f t="shared" si="40"/>
        <v>-2294.208910426576</v>
      </c>
      <c r="AX103" s="141">
        <f t="shared" ref="AX103:AX120" si="109">ROUND(AX102+(AX$130-$AX$102)*BX126,)</f>
        <v>229</v>
      </c>
      <c r="AY103" s="231">
        <f t="shared" si="85"/>
        <v>-16</v>
      </c>
      <c r="AZ103" s="140">
        <f t="shared" ref="AZ103:AZ115" si="110">AF103/AB103</f>
        <v>2686.804020100506</v>
      </c>
      <c r="BA103" s="140">
        <f t="shared" ref="BA103:BA115" si="111">AC103/AA103</f>
        <v>10219.451005025127</v>
      </c>
      <c r="BB103" s="217">
        <f t="shared" si="58"/>
        <v>40877.804020100506</v>
      </c>
      <c r="BC103" s="82">
        <f t="shared" si="59"/>
        <v>213</v>
      </c>
      <c r="BD103" s="158">
        <f t="shared" si="60"/>
        <v>14</v>
      </c>
      <c r="BE103" s="158">
        <f t="shared" si="61"/>
        <v>2686.804020100506</v>
      </c>
      <c r="BF103" s="142">
        <f t="shared" si="71"/>
        <v>2.3518309419075369E-2</v>
      </c>
      <c r="BG103" s="142">
        <f t="shared" si="72"/>
        <v>0.35781427901878909</v>
      </c>
      <c r="BH103" s="143">
        <f t="shared" si="73"/>
        <v>2.5500910746812388E-2</v>
      </c>
      <c r="BI103" s="143">
        <f t="shared" si="86"/>
        <v>0.38797814207650272</v>
      </c>
      <c r="BJ103" s="217">
        <v>123834</v>
      </c>
      <c r="BK103" s="82">
        <v>520</v>
      </c>
      <c r="BL103" s="158">
        <f t="shared" si="87"/>
        <v>40</v>
      </c>
      <c r="BM103" s="158">
        <f t="shared" si="88"/>
        <v>8687</v>
      </c>
      <c r="BN103" s="142">
        <f t="shared" si="74"/>
        <v>2.231807951987997E-2</v>
      </c>
      <c r="BO103" s="142">
        <f t="shared" si="75"/>
        <v>0.31814631740126814</v>
      </c>
      <c r="BP103" s="143">
        <f t="shared" si="76"/>
        <v>2.4154589371980676E-2</v>
      </c>
      <c r="BQ103" s="143">
        <f t="shared" si="89"/>
        <v>0.3140096618357488</v>
      </c>
      <c r="BR103" s="217">
        <v>127604</v>
      </c>
      <c r="BS103" s="82">
        <v>891</v>
      </c>
      <c r="BT103" s="158">
        <f t="shared" si="90"/>
        <v>39</v>
      </c>
      <c r="BU103" s="158">
        <f t="shared" si="91"/>
        <v>5085</v>
      </c>
      <c r="BV103" s="142">
        <f t="shared" si="77"/>
        <v>2.125942773048815E-2</v>
      </c>
      <c r="BW103" s="142">
        <f t="shared" si="78"/>
        <v>0.53348830208873355</v>
      </c>
      <c r="BX103" s="143">
        <f t="shared" si="79"/>
        <v>2.34375E-2</v>
      </c>
      <c r="BY103" s="143">
        <f t="shared" si="92"/>
        <v>0.53545673076923073</v>
      </c>
      <c r="BZ103" s="142">
        <v>2.9477450250552772E-2</v>
      </c>
      <c r="CA103" s="142">
        <v>0.33692958967122588</v>
      </c>
      <c r="CB103" s="143">
        <v>3.2388663967611336E-2</v>
      </c>
      <c r="CC103" s="143">
        <v>0.36032388663967607</v>
      </c>
      <c r="CD103" s="142">
        <v>2.176080946319553E-2</v>
      </c>
      <c r="CE103" s="142">
        <v>0.38881637087424298</v>
      </c>
      <c r="CF103" s="143">
        <v>2.4464831804281346E-2</v>
      </c>
      <c r="CG103" s="143">
        <v>0.40366972477064217</v>
      </c>
      <c r="CH103" s="142">
        <v>3.5545704551984567E-2</v>
      </c>
      <c r="CI103" s="142">
        <f t="shared" si="62"/>
        <v>0.35160459948047684</v>
      </c>
      <c r="CJ103" s="143">
        <v>3.0423280423280422E-2</v>
      </c>
      <c r="CK103" s="143">
        <f>SUM(CJ$98:CJ103)</f>
        <v>0.32671957671957669</v>
      </c>
      <c r="CL103" s="144">
        <f>Vergleich!C7</f>
        <v>18881</v>
      </c>
      <c r="CM103" s="142">
        <v>2.7524260165209702E-2</v>
      </c>
      <c r="CN103" s="142">
        <f t="shared" si="63"/>
        <v>0.33037132087577192</v>
      </c>
      <c r="CO103" s="143">
        <v>2.8818443804034588E-2</v>
      </c>
      <c r="CP103" s="143">
        <f>SUM(CO$98:CO103)</f>
        <v>0.30259365994236309</v>
      </c>
      <c r="CQ103" s="144"/>
      <c r="CR103" s="33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</row>
    <row r="104" spans="1:115" s="145" customFormat="1" hidden="1" outlineLevel="1" x14ac:dyDescent="0.3">
      <c r="A104" s="191"/>
      <c r="B104" s="192"/>
      <c r="C104" s="192"/>
      <c r="D104" s="459">
        <v>5</v>
      </c>
      <c r="E104" s="475"/>
      <c r="F104" s="265"/>
      <c r="G104" s="438"/>
      <c r="H104" s="421"/>
      <c r="I104" s="212">
        <f t="shared" si="42"/>
        <v>44984.75</v>
      </c>
      <c r="J104" s="502">
        <f t="shared" si="43"/>
        <v>43564.608040201012</v>
      </c>
      <c r="K104" s="502">
        <f t="shared" si="44"/>
        <v>40607.173136135345</v>
      </c>
      <c r="L104" s="502">
        <f t="shared" si="45"/>
        <v>46766.962282549575</v>
      </c>
      <c r="M104" s="336"/>
      <c r="N104" s="503">
        <f t="shared" si="46"/>
        <v>40607.173136135345</v>
      </c>
      <c r="O104" s="503">
        <f t="shared" si="47"/>
        <v>46766.962282549575</v>
      </c>
      <c r="P104" s="326"/>
      <c r="Q104" s="326"/>
      <c r="R104" s="495"/>
      <c r="S104" s="183"/>
      <c r="T104" s="176"/>
      <c r="U104" s="131"/>
      <c r="V104" s="132">
        <v>5</v>
      </c>
      <c r="W104" s="133">
        <f t="shared" si="64"/>
        <v>2</v>
      </c>
      <c r="X104" s="134">
        <f t="shared" si="65"/>
        <v>44984</v>
      </c>
      <c r="Y104" s="135">
        <v>0.75</v>
      </c>
      <c r="Z104" s="136">
        <f t="shared" si="32"/>
        <v>44984.75</v>
      </c>
      <c r="AA104" s="137">
        <f t="shared" si="33"/>
        <v>5</v>
      </c>
      <c r="AB104" s="137">
        <f t="shared" si="66"/>
        <v>1</v>
      </c>
      <c r="AC104" s="364">
        <f t="shared" ref="AC104:AC119" si="112">AC103+AE104*AI103</f>
        <v>43564.608040201012</v>
      </c>
      <c r="AD104" s="362">
        <f t="shared" ref="AD104:AD119" si="113">AD103+AE104</f>
        <v>227</v>
      </c>
      <c r="AE104" s="365">
        <f t="shared" ref="AE104:AE119" si="114">AP104-AP103</f>
        <v>14</v>
      </c>
      <c r="AF104" s="140">
        <f t="shared" ref="AF104" si="115">AC104-AC103</f>
        <v>2686.804020100506</v>
      </c>
      <c r="AG104" s="138">
        <f t="shared" ref="AG104" si="116">AC104/AD104</f>
        <v>191.91457286432163</v>
      </c>
      <c r="AH104" s="139">
        <f t="shared" ref="AH104" si="117">AF104/AE104</f>
        <v>191.91457286432185</v>
      </c>
      <c r="AI104" s="139">
        <f t="shared" ref="AI104" si="118">SUM(AF100:AF104)/SUM(AE100:AE104)</f>
        <v>191.91457286432163</v>
      </c>
      <c r="AJ104" s="254">
        <f t="shared" si="100"/>
        <v>40607.173136135345</v>
      </c>
      <c r="AK104" s="255">
        <f t="shared" si="101"/>
        <v>213</v>
      </c>
      <c r="AL104" s="254">
        <f t="shared" si="102"/>
        <v>46766.962282549575</v>
      </c>
      <c r="AM104" s="255">
        <f t="shared" si="103"/>
        <v>250</v>
      </c>
      <c r="AN104" s="140">
        <f t="shared" si="104"/>
        <v>42778.290197228409</v>
      </c>
      <c r="AO104" s="140">
        <f t="shared" si="49"/>
        <v>786.3178429726031</v>
      </c>
      <c r="AP104" s="141">
        <f t="shared" si="105"/>
        <v>227</v>
      </c>
      <c r="AQ104" s="141">
        <f t="shared" si="70"/>
        <v>0</v>
      </c>
      <c r="AR104" s="140">
        <f t="shared" si="106"/>
        <v>40607.173136135345</v>
      </c>
      <c r="AS104" s="140">
        <f t="shared" si="39"/>
        <v>2957.4349040656671</v>
      </c>
      <c r="AT104" s="141">
        <f t="shared" si="107"/>
        <v>213</v>
      </c>
      <c r="AU104" s="231">
        <f t="shared" si="53"/>
        <v>14</v>
      </c>
      <c r="AV104" s="140">
        <f t="shared" si="108"/>
        <v>46766.962282549575</v>
      </c>
      <c r="AW104" s="140">
        <f t="shared" si="40"/>
        <v>-3202.3542423485633</v>
      </c>
      <c r="AX104" s="141">
        <f t="shared" si="109"/>
        <v>250</v>
      </c>
      <c r="AY104" s="231">
        <f t="shared" si="85"/>
        <v>-23</v>
      </c>
      <c r="AZ104" s="140">
        <f t="shared" si="110"/>
        <v>2686.804020100506</v>
      </c>
      <c r="BA104" s="140">
        <f t="shared" si="111"/>
        <v>8712.921608040202</v>
      </c>
      <c r="BB104" s="217">
        <f t="shared" si="58"/>
        <v>43564.608040201012</v>
      </c>
      <c r="BC104" s="82">
        <f t="shared" si="59"/>
        <v>227</v>
      </c>
      <c r="BD104" s="141">
        <f t="shared" si="60"/>
        <v>14</v>
      </c>
      <c r="BE104" s="141">
        <f t="shared" si="61"/>
        <v>2686.804020100506</v>
      </c>
      <c r="BF104" s="142">
        <f t="shared" si="71"/>
        <v>2.3518309419075369E-2</v>
      </c>
      <c r="BG104" s="142">
        <f t="shared" si="72"/>
        <v>0.38133258843786449</v>
      </c>
      <c r="BH104" s="143">
        <f t="shared" si="73"/>
        <v>2.5500910746812388E-2</v>
      </c>
      <c r="BI104" s="143">
        <f t="shared" si="86"/>
        <v>0.4134790528233151</v>
      </c>
      <c r="BJ104" s="217">
        <v>132002</v>
      </c>
      <c r="BK104" s="82">
        <v>564</v>
      </c>
      <c r="BL104" s="141">
        <f t="shared" si="87"/>
        <v>44</v>
      </c>
      <c r="BM104" s="141">
        <f t="shared" si="88"/>
        <v>8168</v>
      </c>
      <c r="BN104" s="142">
        <f t="shared" si="74"/>
        <v>2.098469822935186E-2</v>
      </c>
      <c r="BO104" s="142">
        <f t="shared" si="75"/>
        <v>0.33913101563061998</v>
      </c>
      <c r="BP104" s="143">
        <f t="shared" si="76"/>
        <v>2.6570048309178744E-2</v>
      </c>
      <c r="BQ104" s="143">
        <f t="shared" si="89"/>
        <v>0.34057971014492755</v>
      </c>
      <c r="BR104" s="217">
        <v>131274</v>
      </c>
      <c r="BS104" s="82">
        <v>918</v>
      </c>
      <c r="BT104" s="141">
        <f t="shared" si="90"/>
        <v>27</v>
      </c>
      <c r="BU104" s="141">
        <f t="shared" si="91"/>
        <v>3670</v>
      </c>
      <c r="BV104" s="142">
        <f t="shared" si="77"/>
        <v>1.5343579109319865E-2</v>
      </c>
      <c r="BW104" s="142">
        <f t="shared" si="78"/>
        <v>0.54883188119805337</v>
      </c>
      <c r="BX104" s="143">
        <f t="shared" si="79"/>
        <v>1.622596153846154E-2</v>
      </c>
      <c r="BY104" s="143">
        <f t="shared" si="92"/>
        <v>0.55168269230769229</v>
      </c>
      <c r="BZ104" s="142">
        <v>2.5521938645126165E-2</v>
      </c>
      <c r="CA104" s="142">
        <v>0.36245152831635202</v>
      </c>
      <c r="CB104" s="143">
        <v>2.6315789473684209E-2</v>
      </c>
      <c r="CC104" s="143">
        <v>0.38663967611336025</v>
      </c>
      <c r="CD104" s="142">
        <v>2.2749937166068056E-2</v>
      </c>
      <c r="CE104" s="142">
        <v>0.41156630804031102</v>
      </c>
      <c r="CF104" s="143">
        <v>2.4464831804281346E-2</v>
      </c>
      <c r="CG104" s="143">
        <v>0.4281345565749235</v>
      </c>
      <c r="CH104" s="142">
        <v>1.8482359080807548E-2</v>
      </c>
      <c r="CI104" s="142">
        <f t="shared" si="62"/>
        <v>0.37008695856128437</v>
      </c>
      <c r="CJ104" s="143">
        <v>2.2486772486772486E-2</v>
      </c>
      <c r="CK104" s="143">
        <f>SUM(CJ$98:CJ104)</f>
        <v>0.34920634920634919</v>
      </c>
      <c r="CL104" s="144">
        <f>Vergleich!C8</f>
        <v>21886</v>
      </c>
      <c r="CM104" s="142">
        <v>2.0675274681209388E-2</v>
      </c>
      <c r="CN104" s="142">
        <f t="shared" si="63"/>
        <v>0.35104659555698131</v>
      </c>
      <c r="CO104" s="143">
        <v>1.7291066282420775E-2</v>
      </c>
      <c r="CP104" s="143">
        <f>SUM(CO$98:CO104)</f>
        <v>0.31988472622478387</v>
      </c>
      <c r="CQ104" s="144"/>
      <c r="CR104" s="33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</row>
    <row r="105" spans="1:115" s="145" customFormat="1" hidden="1" outlineLevel="1" x14ac:dyDescent="0.3">
      <c r="A105" s="191"/>
      <c r="B105" s="192"/>
      <c r="C105" s="192"/>
      <c r="D105" s="459">
        <v>6</v>
      </c>
      <c r="E105" s="475"/>
      <c r="F105" s="265"/>
      <c r="G105" s="438"/>
      <c r="H105" s="421"/>
      <c r="I105" s="212">
        <f t="shared" si="42"/>
        <v>44985.75</v>
      </c>
      <c r="J105" s="502">
        <f t="shared" si="43"/>
        <v>45867.582914572871</v>
      </c>
      <c r="K105" s="502">
        <f t="shared" si="44"/>
        <v>41140.283618636233</v>
      </c>
      <c r="L105" s="502">
        <f t="shared" si="45"/>
        <v>50997.639735243079</v>
      </c>
      <c r="M105" s="336"/>
      <c r="N105" s="503">
        <f t="shared" si="46"/>
        <v>41140.28361863624</v>
      </c>
      <c r="O105" s="503">
        <f t="shared" si="47"/>
        <v>50997.639735243079</v>
      </c>
      <c r="P105" s="326"/>
      <c r="Q105" s="326"/>
      <c r="R105" s="495"/>
      <c r="S105" s="183"/>
      <c r="T105" s="176"/>
      <c r="U105" s="131"/>
      <c r="V105" s="132">
        <v>6</v>
      </c>
      <c r="W105" s="133">
        <f t="shared" si="64"/>
        <v>3</v>
      </c>
      <c r="X105" s="134">
        <f t="shared" si="65"/>
        <v>44985</v>
      </c>
      <c r="Y105" s="135">
        <v>0.75</v>
      </c>
      <c r="Z105" s="136">
        <f t="shared" si="32"/>
        <v>44985.75</v>
      </c>
      <c r="AA105" s="137">
        <f t="shared" si="33"/>
        <v>6</v>
      </c>
      <c r="AB105" s="137">
        <f t="shared" si="66"/>
        <v>1</v>
      </c>
      <c r="AC105" s="364">
        <f t="shared" si="112"/>
        <v>45867.582914572871</v>
      </c>
      <c r="AD105" s="362">
        <f t="shared" si="113"/>
        <v>239</v>
      </c>
      <c r="AE105" s="365">
        <f t="shared" si="114"/>
        <v>12</v>
      </c>
      <c r="AF105" s="140">
        <f t="shared" ref="AF105" si="119">AC105-AC104</f>
        <v>2302.9748743718592</v>
      </c>
      <c r="AG105" s="138">
        <f t="shared" ref="AG105" si="120">AC105/AD105</f>
        <v>191.91457286432163</v>
      </c>
      <c r="AH105" s="139">
        <f t="shared" ref="AH105" si="121">AF105/AE105</f>
        <v>191.9145728643216</v>
      </c>
      <c r="AI105" s="139">
        <f t="shared" ref="AI105" si="122">SUM(AF101:AF105)/SUM(AE101:AE105)</f>
        <v>193.7330857184474</v>
      </c>
      <c r="AJ105" s="254">
        <f t="shared" si="100"/>
        <v>41140.28361863624</v>
      </c>
      <c r="AK105" s="255">
        <f t="shared" si="101"/>
        <v>217</v>
      </c>
      <c r="AL105" s="254">
        <f t="shared" si="102"/>
        <v>50997.639735243079</v>
      </c>
      <c r="AM105" s="255">
        <f t="shared" si="103"/>
        <v>277</v>
      </c>
      <c r="AN105" s="140">
        <f t="shared" si="104"/>
        <v>45340.153903002967</v>
      </c>
      <c r="AO105" s="140">
        <f t="shared" si="49"/>
        <v>527.42901156990411</v>
      </c>
      <c r="AP105" s="141">
        <f t="shared" si="105"/>
        <v>239</v>
      </c>
      <c r="AQ105" s="141">
        <f t="shared" si="70"/>
        <v>0</v>
      </c>
      <c r="AR105" s="140">
        <f t="shared" si="106"/>
        <v>41140.283618636233</v>
      </c>
      <c r="AS105" s="140">
        <f t="shared" si="39"/>
        <v>4727.2992959366384</v>
      </c>
      <c r="AT105" s="141">
        <f t="shared" si="107"/>
        <v>217</v>
      </c>
      <c r="AU105" s="231">
        <f t="shared" si="53"/>
        <v>22</v>
      </c>
      <c r="AV105" s="140">
        <f t="shared" si="108"/>
        <v>50997.639735243079</v>
      </c>
      <c r="AW105" s="140">
        <f t="shared" si="40"/>
        <v>-5130.0568206702083</v>
      </c>
      <c r="AX105" s="141">
        <f t="shared" si="109"/>
        <v>277</v>
      </c>
      <c r="AY105" s="231">
        <f t="shared" si="85"/>
        <v>-38</v>
      </c>
      <c r="AZ105" s="140">
        <f t="shared" si="110"/>
        <v>2302.9748743718592</v>
      </c>
      <c r="BA105" s="140">
        <f t="shared" si="111"/>
        <v>7644.5971524288116</v>
      </c>
      <c r="BB105" s="217">
        <f t="shared" si="58"/>
        <v>45867.582914572871</v>
      </c>
      <c r="BC105" s="82">
        <f t="shared" si="59"/>
        <v>239</v>
      </c>
      <c r="BD105" s="141">
        <f t="shared" si="60"/>
        <v>12</v>
      </c>
      <c r="BE105" s="141">
        <f t="shared" si="61"/>
        <v>2302.9748743718592</v>
      </c>
      <c r="BF105" s="142">
        <f t="shared" si="71"/>
        <v>2.0158550930636003E-2</v>
      </c>
      <c r="BG105" s="142">
        <f t="shared" si="72"/>
        <v>0.4014911393685005</v>
      </c>
      <c r="BH105" s="143">
        <f t="shared" si="73"/>
        <v>2.185792349726776E-2</v>
      </c>
      <c r="BI105" s="143">
        <f t="shared" si="86"/>
        <v>0.43533697632058288</v>
      </c>
      <c r="BJ105" s="217">
        <v>150957</v>
      </c>
      <c r="BK105" s="82">
        <v>652</v>
      </c>
      <c r="BL105" s="141">
        <f t="shared" si="87"/>
        <v>88</v>
      </c>
      <c r="BM105" s="141">
        <f t="shared" si="88"/>
        <v>18955</v>
      </c>
      <c r="BN105" s="142">
        <f t="shared" si="74"/>
        <v>4.8697962161773321E-2</v>
      </c>
      <c r="BO105" s="142">
        <f t="shared" si="75"/>
        <v>0.38782897779239328</v>
      </c>
      <c r="BP105" s="143">
        <f t="shared" si="76"/>
        <v>5.3140096618357488E-2</v>
      </c>
      <c r="BQ105" s="143">
        <f t="shared" si="89"/>
        <v>0.39371980676328505</v>
      </c>
      <c r="BR105" s="217">
        <v>135593</v>
      </c>
      <c r="BS105" s="82">
        <v>953</v>
      </c>
      <c r="BT105" s="141">
        <f t="shared" si="90"/>
        <v>35</v>
      </c>
      <c r="BU105" s="141">
        <f t="shared" si="91"/>
        <v>4319</v>
      </c>
      <c r="BV105" s="142">
        <f t="shared" si="77"/>
        <v>1.8056925932739099E-2</v>
      </c>
      <c r="BW105" s="142">
        <f t="shared" si="78"/>
        <v>0.56688880713079248</v>
      </c>
      <c r="BX105" s="143">
        <f t="shared" si="79"/>
        <v>2.1033653846153848E-2</v>
      </c>
      <c r="BY105" s="143">
        <f t="shared" si="92"/>
        <v>0.57271634615384615</v>
      </c>
      <c r="BZ105" s="142">
        <v>5.3999400006666594E-2</v>
      </c>
      <c r="CA105" s="142">
        <v>0.41645092832301861</v>
      </c>
      <c r="CB105" s="143">
        <v>5.8704453441295545E-2</v>
      </c>
      <c r="CC105" s="143">
        <v>0.4453441295546558</v>
      </c>
      <c r="CD105" s="142">
        <v>2.4857914237763599E-2</v>
      </c>
      <c r="CE105" s="142">
        <v>0.43642422227807465</v>
      </c>
      <c r="CF105" s="143">
        <v>2.1406727828746176E-2</v>
      </c>
      <c r="CG105" s="143">
        <v>0.44954128440366969</v>
      </c>
      <c r="CH105" s="142">
        <v>1.1920887059416798E-2</v>
      </c>
      <c r="CI105" s="142">
        <f t="shared" si="62"/>
        <v>0.38200784562070117</v>
      </c>
      <c r="CJ105" s="143">
        <v>1.3227513227513227E-2</v>
      </c>
      <c r="CK105" s="143">
        <f>SUM(CJ$98:CJ105)</f>
        <v>0.36243386243386244</v>
      </c>
      <c r="CL105" s="144">
        <f>Vergleich!C9</f>
        <v>22571</v>
      </c>
      <c r="CM105" s="142">
        <v>1.0987248375972425E-2</v>
      </c>
      <c r="CN105" s="142">
        <f t="shared" si="63"/>
        <v>0.36203384393295374</v>
      </c>
      <c r="CO105" s="143">
        <v>1.1527377521613813E-2</v>
      </c>
      <c r="CP105" s="143">
        <f>SUM(CO$98:CO105)</f>
        <v>0.33141210374639768</v>
      </c>
      <c r="CQ105" s="144"/>
      <c r="CR105" s="33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</row>
    <row r="106" spans="1:115" s="145" customFormat="1" hidden="1" outlineLevel="1" x14ac:dyDescent="0.3">
      <c r="A106" s="191"/>
      <c r="B106" s="192"/>
      <c r="C106" s="192"/>
      <c r="D106" s="459">
        <v>7</v>
      </c>
      <c r="E106" s="475"/>
      <c r="F106" s="265"/>
      <c r="G106" s="438"/>
      <c r="H106" s="421"/>
      <c r="I106" s="212">
        <f t="shared" si="42"/>
        <v>44986.75</v>
      </c>
      <c r="J106" s="502">
        <f t="shared" si="43"/>
        <v>48192.379943194239</v>
      </c>
      <c r="K106" s="502">
        <f t="shared" si="44"/>
        <v>42313.75602846971</v>
      </c>
      <c r="L106" s="502">
        <f t="shared" si="45"/>
        <v>62462.295652428715</v>
      </c>
      <c r="M106" s="336"/>
      <c r="N106" s="503">
        <f t="shared" si="46"/>
        <v>42313.756028469717</v>
      </c>
      <c r="O106" s="503">
        <f t="shared" si="47"/>
        <v>62462.295652428715</v>
      </c>
      <c r="P106" s="326"/>
      <c r="Q106" s="326"/>
      <c r="R106" s="495"/>
      <c r="S106" s="183"/>
      <c r="T106" s="176"/>
      <c r="U106" s="131"/>
      <c r="V106" s="132">
        <v>7</v>
      </c>
      <c r="W106" s="133">
        <f t="shared" si="64"/>
        <v>4</v>
      </c>
      <c r="X106" s="134">
        <f t="shared" si="65"/>
        <v>44986</v>
      </c>
      <c r="Y106" s="135">
        <v>0.75</v>
      </c>
      <c r="Z106" s="136">
        <f t="shared" si="32"/>
        <v>44986.75</v>
      </c>
      <c r="AA106" s="137">
        <f t="shared" si="33"/>
        <v>7</v>
      </c>
      <c r="AB106" s="137">
        <f t="shared" si="66"/>
        <v>1</v>
      </c>
      <c r="AC106" s="364">
        <f t="shared" si="112"/>
        <v>48192.379943194239</v>
      </c>
      <c r="AD106" s="362">
        <f t="shared" si="113"/>
        <v>251</v>
      </c>
      <c r="AE106" s="365">
        <f t="shared" si="114"/>
        <v>12</v>
      </c>
      <c r="AF106" s="140">
        <f t="shared" ref="AF106" si="123">AC106-AC105</f>
        <v>2324.7970286213676</v>
      </c>
      <c r="AG106" s="138">
        <f t="shared" ref="AG106" si="124">AC106/AD106</f>
        <v>192.00151371790534</v>
      </c>
      <c r="AH106" s="139">
        <f t="shared" ref="AH106" si="125">AF106/AE106</f>
        <v>193.73308571844731</v>
      </c>
      <c r="AI106" s="139">
        <f t="shared" ref="AI106" si="126">SUM(AF102:AF106)/SUM(AE102:AE106)</f>
        <v>270.37508672270593</v>
      </c>
      <c r="AJ106" s="254">
        <f t="shared" si="100"/>
        <v>42313.756028469717</v>
      </c>
      <c r="AK106" s="255">
        <f t="shared" si="101"/>
        <v>225</v>
      </c>
      <c r="AL106" s="254">
        <f t="shared" si="102"/>
        <v>62462.295652428715</v>
      </c>
      <c r="AM106" s="255">
        <f t="shared" si="103"/>
        <v>347</v>
      </c>
      <c r="AN106" s="140">
        <f t="shared" si="104"/>
        <v>47138.304814557712</v>
      </c>
      <c r="AO106" s="140">
        <f t="shared" si="49"/>
        <v>1054.0751286365266</v>
      </c>
      <c r="AP106" s="141">
        <f t="shared" si="105"/>
        <v>251</v>
      </c>
      <c r="AQ106" s="141">
        <f t="shared" si="70"/>
        <v>0</v>
      </c>
      <c r="AR106" s="140">
        <f t="shared" si="106"/>
        <v>42313.75602846971</v>
      </c>
      <c r="AS106" s="140">
        <f t="shared" si="39"/>
        <v>5878.6239147245287</v>
      </c>
      <c r="AT106" s="141">
        <f t="shared" si="107"/>
        <v>225</v>
      </c>
      <c r="AU106" s="231">
        <f t="shared" si="53"/>
        <v>26</v>
      </c>
      <c r="AV106" s="140">
        <f t="shared" si="108"/>
        <v>62462.295652428715</v>
      </c>
      <c r="AW106" s="140">
        <f t="shared" si="40"/>
        <v>-14269.915709234476</v>
      </c>
      <c r="AX106" s="141">
        <f t="shared" si="109"/>
        <v>347</v>
      </c>
      <c r="AY106" s="231">
        <f t="shared" si="85"/>
        <v>-96</v>
      </c>
      <c r="AZ106" s="140">
        <f t="shared" si="110"/>
        <v>2324.7970286213676</v>
      </c>
      <c r="BA106" s="140">
        <f t="shared" si="111"/>
        <v>6884.6257061706056</v>
      </c>
      <c r="BB106" s="217">
        <f t="shared" si="58"/>
        <v>48192.379943194239</v>
      </c>
      <c r="BC106" s="82">
        <f t="shared" si="59"/>
        <v>251</v>
      </c>
      <c r="BD106" s="141">
        <f t="shared" si="60"/>
        <v>12</v>
      </c>
      <c r="BE106" s="141">
        <f t="shared" si="61"/>
        <v>2324.7970286213676</v>
      </c>
      <c r="BF106" s="142">
        <f t="shared" si="71"/>
        <v>2.0349566044500368E-2</v>
      </c>
      <c r="BG106" s="142">
        <f t="shared" si="72"/>
        <v>0.42184070541300084</v>
      </c>
      <c r="BH106" s="143">
        <f t="shared" si="73"/>
        <v>2.185792349726776E-2</v>
      </c>
      <c r="BI106" s="143">
        <f t="shared" si="86"/>
        <v>0.45719489981785066</v>
      </c>
      <c r="BJ106" s="217">
        <v>164491</v>
      </c>
      <c r="BK106" s="82">
        <v>709</v>
      </c>
      <c r="BL106" s="141">
        <f t="shared" si="87"/>
        <v>57</v>
      </c>
      <c r="BM106" s="141">
        <f t="shared" si="88"/>
        <v>13534</v>
      </c>
      <c r="BN106" s="142">
        <f t="shared" si="74"/>
        <v>3.4770678971112641E-2</v>
      </c>
      <c r="BO106" s="142">
        <f t="shared" si="75"/>
        <v>0.42259965676350597</v>
      </c>
      <c r="BP106" s="143">
        <f t="shared" si="76"/>
        <v>3.4420289855072464E-2</v>
      </c>
      <c r="BQ106" s="143">
        <f t="shared" si="89"/>
        <v>0.4281400966183575</v>
      </c>
      <c r="BR106" s="217">
        <v>147297</v>
      </c>
      <c r="BS106" s="82">
        <v>1044</v>
      </c>
      <c r="BT106" s="141">
        <f t="shared" si="90"/>
        <v>91</v>
      </c>
      <c r="BU106" s="141">
        <f t="shared" si="91"/>
        <v>11704</v>
      </c>
      <c r="BV106" s="142">
        <f t="shared" si="77"/>
        <v>4.893222067996722E-2</v>
      </c>
      <c r="BW106" s="142">
        <f t="shared" si="78"/>
        <v>0.61582102781075976</v>
      </c>
      <c r="BX106" s="143">
        <f t="shared" si="79"/>
        <v>5.46875E-2</v>
      </c>
      <c r="BY106" s="143">
        <f t="shared" si="92"/>
        <v>0.62740384615384615</v>
      </c>
      <c r="BZ106" s="142">
        <v>3.0466328151909423E-2</v>
      </c>
      <c r="CA106" s="142">
        <v>0.44691725647492803</v>
      </c>
      <c r="CB106" s="143">
        <v>3.2388663967611336E-2</v>
      </c>
      <c r="CC106" s="143">
        <v>0.47773279352226716</v>
      </c>
      <c r="CD106" s="142">
        <v>1.7447564070341575E-2</v>
      </c>
      <c r="CE106" s="142">
        <v>0.45387178634841624</v>
      </c>
      <c r="CF106" s="143">
        <v>2.1406727828746176E-2</v>
      </c>
      <c r="CG106" s="143">
        <v>0.47094801223241589</v>
      </c>
      <c r="CH106" s="142">
        <v>2.6240024392961223E-2</v>
      </c>
      <c r="CI106" s="142">
        <f t="shared" si="62"/>
        <v>0.40824787001366242</v>
      </c>
      <c r="CJ106" s="143">
        <v>2.7777777777777776E-2</v>
      </c>
      <c r="CK106" s="143">
        <f>SUM(CJ$98:CJ106)</f>
        <v>0.39021164021164023</v>
      </c>
      <c r="CL106" s="144">
        <f>Vergleich!C10</f>
        <v>24180</v>
      </c>
      <c r="CM106" s="142">
        <v>2.5808003849546846E-2</v>
      </c>
      <c r="CN106" s="142">
        <f t="shared" si="63"/>
        <v>0.38784184778250058</v>
      </c>
      <c r="CO106" s="143">
        <v>2.5936599423631135E-2</v>
      </c>
      <c r="CP106" s="143">
        <f>SUM(CO$98:CO106)</f>
        <v>0.35734870317002881</v>
      </c>
      <c r="CQ106" s="144"/>
      <c r="CR106" s="33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</row>
    <row r="107" spans="1:115" s="145" customFormat="1" hidden="1" outlineLevel="1" x14ac:dyDescent="0.3">
      <c r="A107" s="191"/>
      <c r="B107" s="192"/>
      <c r="C107" s="192"/>
      <c r="D107" s="459">
        <v>8</v>
      </c>
      <c r="E107" s="475"/>
      <c r="F107" s="265"/>
      <c r="G107" s="438"/>
      <c r="H107" s="421"/>
      <c r="I107" s="212">
        <f t="shared" si="42"/>
        <v>44987.75</v>
      </c>
      <c r="J107" s="502">
        <f t="shared" si="43"/>
        <v>52248.006244034827</v>
      </c>
      <c r="K107" s="502">
        <f t="shared" si="44"/>
        <v>43142.3979983186</v>
      </c>
      <c r="L107" s="502">
        <f t="shared" si="45"/>
        <v>69179.071594341047</v>
      </c>
      <c r="M107" s="336"/>
      <c r="N107" s="503">
        <f t="shared" si="46"/>
        <v>43142.3979983186</v>
      </c>
      <c r="O107" s="503">
        <f t="shared" si="47"/>
        <v>69179.071594341061</v>
      </c>
      <c r="P107" s="326"/>
      <c r="Q107" s="326"/>
      <c r="R107" s="495"/>
      <c r="S107" s="183"/>
      <c r="T107" s="176"/>
      <c r="U107" s="131"/>
      <c r="V107" s="132">
        <v>8</v>
      </c>
      <c r="W107" s="133">
        <f t="shared" si="64"/>
        <v>5</v>
      </c>
      <c r="X107" s="134">
        <f t="shared" si="65"/>
        <v>44987</v>
      </c>
      <c r="Y107" s="135">
        <v>0.75</v>
      </c>
      <c r="Z107" s="136">
        <f t="shared" si="32"/>
        <v>44987.75</v>
      </c>
      <c r="AA107" s="137">
        <f t="shared" si="33"/>
        <v>8</v>
      </c>
      <c r="AB107" s="137">
        <f t="shared" si="66"/>
        <v>1</v>
      </c>
      <c r="AC107" s="364">
        <f t="shared" si="112"/>
        <v>52248.006244034827</v>
      </c>
      <c r="AD107" s="362">
        <f t="shared" si="113"/>
        <v>266</v>
      </c>
      <c r="AE107" s="365">
        <f t="shared" si="114"/>
        <v>15</v>
      </c>
      <c r="AF107" s="140">
        <f t="shared" ref="AF107" si="127">AC107-AC106</f>
        <v>4055.6263008405876</v>
      </c>
      <c r="AG107" s="138">
        <f t="shared" ref="AG107" si="128">AC107/AD107</f>
        <v>196.42107610539409</v>
      </c>
      <c r="AH107" s="139">
        <f t="shared" ref="AH107" si="129">AF107/AE107</f>
        <v>270.37508672270582</v>
      </c>
      <c r="AI107" s="139">
        <f t="shared" ref="AI107" si="130">SUM(AF103:AF107)/SUM(AE103:AE107)</f>
        <v>209.80606334380337</v>
      </c>
      <c r="AJ107" s="254">
        <f t="shared" si="100"/>
        <v>43142.3979983186</v>
      </c>
      <c r="AK107" s="255">
        <f t="shared" si="101"/>
        <v>230</v>
      </c>
      <c r="AL107" s="254">
        <f t="shared" si="102"/>
        <v>69179.071594341061</v>
      </c>
      <c r="AM107" s="255">
        <f t="shared" si="103"/>
        <v>378</v>
      </c>
      <c r="AN107" s="140">
        <f t="shared" si="104"/>
        <v>49489.604380131619</v>
      </c>
      <c r="AO107" s="140">
        <f t="shared" si="49"/>
        <v>2758.4018639032074</v>
      </c>
      <c r="AP107" s="141">
        <f t="shared" si="105"/>
        <v>266</v>
      </c>
      <c r="AQ107" s="141">
        <f t="shared" si="70"/>
        <v>0</v>
      </c>
      <c r="AR107" s="140">
        <f t="shared" si="106"/>
        <v>43142.3979983186</v>
      </c>
      <c r="AS107" s="140">
        <f t="shared" si="39"/>
        <v>9105.6082457162265</v>
      </c>
      <c r="AT107" s="141">
        <f t="shared" si="107"/>
        <v>230</v>
      </c>
      <c r="AU107" s="231">
        <f t="shared" si="53"/>
        <v>36</v>
      </c>
      <c r="AV107" s="140">
        <f t="shared" si="108"/>
        <v>69179.071594341047</v>
      </c>
      <c r="AW107" s="140">
        <f t="shared" si="40"/>
        <v>-16931.06535030622</v>
      </c>
      <c r="AX107" s="141">
        <f t="shared" si="109"/>
        <v>378</v>
      </c>
      <c r="AY107" s="231">
        <f t="shared" si="85"/>
        <v>-112</v>
      </c>
      <c r="AZ107" s="140">
        <f t="shared" si="110"/>
        <v>4055.6263008405876</v>
      </c>
      <c r="BA107" s="140">
        <f t="shared" si="111"/>
        <v>6531.0007805043533</v>
      </c>
      <c r="BB107" s="217">
        <f t="shared" si="58"/>
        <v>52248.006244034827</v>
      </c>
      <c r="BC107" s="82">
        <f t="shared" si="59"/>
        <v>266</v>
      </c>
      <c r="BD107" s="141">
        <f t="shared" si="60"/>
        <v>15</v>
      </c>
      <c r="BE107" s="141">
        <f t="shared" si="61"/>
        <v>4055.6263008405876</v>
      </c>
      <c r="BF107" s="142">
        <f t="shared" si="71"/>
        <v>3.5499974511628514E-2</v>
      </c>
      <c r="BG107" s="142">
        <f t="shared" si="72"/>
        <v>0.4573406799246294</v>
      </c>
      <c r="BH107" s="143">
        <f t="shared" si="73"/>
        <v>2.7322404371584699E-2</v>
      </c>
      <c r="BI107" s="143">
        <f t="shared" si="86"/>
        <v>0.48451730418943534</v>
      </c>
      <c r="BJ107" s="217">
        <v>182858</v>
      </c>
      <c r="BK107" s="82">
        <v>792</v>
      </c>
      <c r="BL107" s="141">
        <f t="shared" si="87"/>
        <v>83</v>
      </c>
      <c r="BM107" s="141">
        <f t="shared" si="88"/>
        <v>18367</v>
      </c>
      <c r="BN107" s="142">
        <f t="shared" si="74"/>
        <v>4.7187310526261704E-2</v>
      </c>
      <c r="BO107" s="142">
        <f t="shared" si="75"/>
        <v>0.46978696728976765</v>
      </c>
      <c r="BP107" s="143">
        <f t="shared" si="76"/>
        <v>5.0120772946859904E-2</v>
      </c>
      <c r="BQ107" s="143">
        <f t="shared" si="89"/>
        <v>0.47826086956521741</v>
      </c>
      <c r="BR107" s="217">
        <v>154154</v>
      </c>
      <c r="BS107" s="82">
        <v>1084</v>
      </c>
      <c r="BT107" s="141">
        <f t="shared" si="90"/>
        <v>40</v>
      </c>
      <c r="BU107" s="141">
        <f t="shared" si="91"/>
        <v>6857</v>
      </c>
      <c r="BV107" s="142">
        <f t="shared" si="77"/>
        <v>2.8667826145124337E-2</v>
      </c>
      <c r="BW107" s="142">
        <f t="shared" si="78"/>
        <v>0.64448885395588407</v>
      </c>
      <c r="BX107" s="143">
        <f t="shared" si="79"/>
        <v>2.403846153846154E-2</v>
      </c>
      <c r="BY107" s="143">
        <f t="shared" si="92"/>
        <v>0.65144230769230771</v>
      </c>
      <c r="BZ107" s="142">
        <v>3.9366229264119285E-2</v>
      </c>
      <c r="CA107" s="142">
        <v>0.48628348573904734</v>
      </c>
      <c r="CB107" s="143">
        <v>3.4412955465587043E-2</v>
      </c>
      <c r="CC107" s="143">
        <v>0.51214574898785425</v>
      </c>
      <c r="CD107" s="142">
        <v>2.2814797999043304E-2</v>
      </c>
      <c r="CE107" s="142">
        <v>0.47668658434745953</v>
      </c>
      <c r="CF107" s="143">
        <v>2.5993883792048929E-2</v>
      </c>
      <c r="CG107" s="143">
        <v>0.49694189602446481</v>
      </c>
      <c r="CH107" s="142">
        <v>1.852926862162178E-2</v>
      </c>
      <c r="CI107" s="142">
        <f t="shared" si="62"/>
        <v>0.42677713863528421</v>
      </c>
      <c r="CJ107" s="143">
        <v>1.7195767195767195E-2</v>
      </c>
      <c r="CK107" s="143">
        <f>SUM(CJ$98:CJ107)</f>
        <v>0.40740740740740744</v>
      </c>
      <c r="CL107" s="144">
        <f>Vergleich!C11</f>
        <v>26679</v>
      </c>
      <c r="CM107" s="142">
        <v>4.0083406848985481E-2</v>
      </c>
      <c r="CN107" s="142">
        <f t="shared" si="63"/>
        <v>0.42792525463148606</v>
      </c>
      <c r="CO107" s="143">
        <v>3.4582132564841495E-2</v>
      </c>
      <c r="CP107" s="143">
        <f>SUM(CO$98:CO107)</f>
        <v>0.39193083573487031</v>
      </c>
      <c r="CQ107" s="144"/>
      <c r="CR107" s="33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</row>
    <row r="108" spans="1:115" s="145" customFormat="1" hidden="1" outlineLevel="1" x14ac:dyDescent="0.3">
      <c r="A108" s="191"/>
      <c r="B108" s="192"/>
      <c r="C108" s="192"/>
      <c r="D108" s="459">
        <v>9</v>
      </c>
      <c r="E108" s="475"/>
      <c r="F108" s="265"/>
      <c r="G108" s="438"/>
      <c r="H108" s="421"/>
      <c r="I108" s="212">
        <f t="shared" si="42"/>
        <v>44988.75</v>
      </c>
      <c r="J108" s="502">
        <f t="shared" si="43"/>
        <v>56653.933574254697</v>
      </c>
      <c r="K108" s="502">
        <f t="shared" si="44"/>
        <v>44142.537388509634</v>
      </c>
      <c r="L108" s="502">
        <f t="shared" si="45"/>
        <v>73575.293036269373</v>
      </c>
      <c r="M108" s="336"/>
      <c r="N108" s="503">
        <f t="shared" si="46"/>
        <v>44142.537388509634</v>
      </c>
      <c r="O108" s="503">
        <f t="shared" si="47"/>
        <v>73575.293036269402</v>
      </c>
      <c r="P108" s="326"/>
      <c r="Q108" s="326"/>
      <c r="R108" s="495"/>
      <c r="S108" s="183"/>
      <c r="T108" s="176"/>
      <c r="U108" s="131"/>
      <c r="V108" s="132">
        <v>9</v>
      </c>
      <c r="W108" s="133">
        <f t="shared" si="64"/>
        <v>6</v>
      </c>
      <c r="X108" s="134">
        <f t="shared" si="65"/>
        <v>44988</v>
      </c>
      <c r="Y108" s="135">
        <v>0.75</v>
      </c>
      <c r="Z108" s="136">
        <f t="shared" si="32"/>
        <v>44988.75</v>
      </c>
      <c r="AA108" s="137">
        <f t="shared" si="33"/>
        <v>9</v>
      </c>
      <c r="AB108" s="137">
        <f t="shared" si="66"/>
        <v>1</v>
      </c>
      <c r="AC108" s="364">
        <f t="shared" si="112"/>
        <v>56653.933574254697</v>
      </c>
      <c r="AD108" s="362">
        <f t="shared" si="113"/>
        <v>287</v>
      </c>
      <c r="AE108" s="365">
        <f t="shared" si="114"/>
        <v>21</v>
      </c>
      <c r="AF108" s="140">
        <f t="shared" ref="AF108" si="131">AC108-AC107</f>
        <v>4405.9273302198708</v>
      </c>
      <c r="AG108" s="138">
        <f t="shared" ref="AG108" si="132">AC108/AD108</f>
        <v>197.40046541552158</v>
      </c>
      <c r="AH108" s="139">
        <f t="shared" ref="AH108" si="133">AF108/AE108</f>
        <v>209.80606334380337</v>
      </c>
      <c r="AI108" s="139">
        <f t="shared" ref="AI108" si="134">SUM(AF104:AF108)/SUM(AE104:AE108)</f>
        <v>213.19093992100258</v>
      </c>
      <c r="AJ108" s="254">
        <f t="shared" si="100"/>
        <v>44142.537388509634</v>
      </c>
      <c r="AK108" s="255">
        <f t="shared" si="101"/>
        <v>238</v>
      </c>
      <c r="AL108" s="254">
        <f t="shared" si="102"/>
        <v>73575.293036269402</v>
      </c>
      <c r="AM108" s="255">
        <f t="shared" si="103"/>
        <v>400</v>
      </c>
      <c r="AN108" s="140">
        <f t="shared" si="104"/>
        <v>53253.856172210668</v>
      </c>
      <c r="AO108" s="140">
        <f t="shared" si="49"/>
        <v>3400.0774020440294</v>
      </c>
      <c r="AP108" s="141">
        <f t="shared" si="105"/>
        <v>287</v>
      </c>
      <c r="AQ108" s="141">
        <f t="shared" si="70"/>
        <v>0</v>
      </c>
      <c r="AR108" s="140">
        <f t="shared" si="106"/>
        <v>44142.537388509634</v>
      </c>
      <c r="AS108" s="140">
        <f t="shared" si="39"/>
        <v>12511.396185745063</v>
      </c>
      <c r="AT108" s="141">
        <f t="shared" si="107"/>
        <v>238</v>
      </c>
      <c r="AU108" s="231">
        <f t="shared" si="53"/>
        <v>49</v>
      </c>
      <c r="AV108" s="140">
        <f t="shared" si="108"/>
        <v>73575.293036269373</v>
      </c>
      <c r="AW108" s="140">
        <f t="shared" si="40"/>
        <v>-16921.359462014676</v>
      </c>
      <c r="AX108" s="141">
        <f t="shared" si="109"/>
        <v>400</v>
      </c>
      <c r="AY108" s="231">
        <f t="shared" si="85"/>
        <v>-113</v>
      </c>
      <c r="AZ108" s="140">
        <f t="shared" si="110"/>
        <v>4405.9273302198708</v>
      </c>
      <c r="BA108" s="140">
        <f t="shared" si="111"/>
        <v>6294.8815082505216</v>
      </c>
      <c r="BB108" s="217">
        <f t="shared" si="58"/>
        <v>56653.933574254697</v>
      </c>
      <c r="BC108" s="82">
        <f t="shared" si="59"/>
        <v>287</v>
      </c>
      <c r="BD108" s="141">
        <f t="shared" si="60"/>
        <v>21</v>
      </c>
      <c r="BE108" s="141">
        <f t="shared" si="61"/>
        <v>4405.9273302198708</v>
      </c>
      <c r="BF108" s="142">
        <f t="shared" si="71"/>
        <v>3.8566252489898929E-2</v>
      </c>
      <c r="BG108" s="142">
        <f t="shared" si="72"/>
        <v>0.49590693241452832</v>
      </c>
      <c r="BH108" s="143">
        <f t="shared" si="73"/>
        <v>3.825136612021858E-2</v>
      </c>
      <c r="BI108" s="143">
        <f t="shared" si="86"/>
        <v>0.5227686703096539</v>
      </c>
      <c r="BJ108" s="217">
        <v>195000</v>
      </c>
      <c r="BK108" s="82">
        <v>851</v>
      </c>
      <c r="BL108" s="141">
        <f t="shared" si="87"/>
        <v>59</v>
      </c>
      <c r="BM108" s="141">
        <f t="shared" si="88"/>
        <v>12142</v>
      </c>
      <c r="BN108" s="142">
        <f t="shared" si="74"/>
        <v>3.1194442446227995E-2</v>
      </c>
      <c r="BO108" s="142">
        <f t="shared" si="75"/>
        <v>0.5009814097359957</v>
      </c>
      <c r="BP108" s="143">
        <f t="shared" si="76"/>
        <v>3.5628019323671496E-2</v>
      </c>
      <c r="BQ108" s="143">
        <f t="shared" si="89"/>
        <v>0.51388888888888895</v>
      </c>
      <c r="BR108" s="217">
        <v>158642</v>
      </c>
      <c r="BS108" s="82">
        <v>1112</v>
      </c>
      <c r="BT108" s="141">
        <f t="shared" si="90"/>
        <v>28</v>
      </c>
      <c r="BU108" s="141">
        <f t="shared" si="91"/>
        <v>4488</v>
      </c>
      <c r="BV108" s="142">
        <f t="shared" si="77"/>
        <v>1.8763483117882167E-2</v>
      </c>
      <c r="BW108" s="142">
        <f t="shared" si="78"/>
        <v>0.6632523370737663</v>
      </c>
      <c r="BX108" s="143">
        <f t="shared" si="79"/>
        <v>1.6826923076923076E-2</v>
      </c>
      <c r="BY108" s="143">
        <f t="shared" si="92"/>
        <v>0.66826923076923084</v>
      </c>
      <c r="BZ108" s="142">
        <v>2.4499727780802436E-2</v>
      </c>
      <c r="CA108" s="142">
        <v>0.51078321351984979</v>
      </c>
      <c r="CB108" s="143">
        <v>2.8340080971659919E-2</v>
      </c>
      <c r="CC108" s="143">
        <v>0.54048582995951422</v>
      </c>
      <c r="CD108" s="142">
        <v>3.6524756569186238E-2</v>
      </c>
      <c r="CE108" s="142">
        <v>0.51321134091664578</v>
      </c>
      <c r="CF108" s="143">
        <v>3.82262996941896E-2</v>
      </c>
      <c r="CG108" s="143">
        <v>0.53516819571865437</v>
      </c>
      <c r="CH108" s="142">
        <v>2.2364123583185274E-2</v>
      </c>
      <c r="CI108" s="142">
        <f t="shared" si="62"/>
        <v>0.44914126221846951</v>
      </c>
      <c r="CJ108" s="143">
        <v>2.7777777777777776E-2</v>
      </c>
      <c r="CK108" s="143">
        <f>SUM(CJ$98:CJ108)</f>
        <v>0.43518518518518523</v>
      </c>
      <c r="CL108" s="144">
        <f>Vergleich!C12</f>
        <v>27868</v>
      </c>
      <c r="CM108" s="142">
        <v>1.9071296816103978E-2</v>
      </c>
      <c r="CN108" s="142">
        <f t="shared" si="63"/>
        <v>0.44699655144759004</v>
      </c>
      <c r="CO108" s="143">
        <v>1.7291066282420775E-2</v>
      </c>
      <c r="CP108" s="143">
        <f>SUM(CO$98:CO108)</f>
        <v>0.40922190201729108</v>
      </c>
      <c r="CQ108" s="144"/>
      <c r="CR108" s="33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</row>
    <row r="109" spans="1:115" s="145" customFormat="1" hidden="1" outlineLevel="1" x14ac:dyDescent="0.3">
      <c r="A109" s="191"/>
      <c r="B109" s="192"/>
      <c r="C109" s="192"/>
      <c r="D109" s="459">
        <v>10</v>
      </c>
      <c r="E109" s="475"/>
      <c r="F109" s="265"/>
      <c r="G109" s="438"/>
      <c r="H109" s="421"/>
      <c r="I109" s="212">
        <f t="shared" si="42"/>
        <v>44989.75</v>
      </c>
      <c r="J109" s="502">
        <f t="shared" si="43"/>
        <v>60064.988612990739</v>
      </c>
      <c r="K109" s="502">
        <f t="shared" si="44"/>
        <v>45382.878058568262</v>
      </c>
      <c r="L109" s="502">
        <f t="shared" si="45"/>
        <v>78034.205693055861</v>
      </c>
      <c r="M109" s="336"/>
      <c r="N109" s="503">
        <f t="shared" si="46"/>
        <v>45382.878058568254</v>
      </c>
      <c r="O109" s="503">
        <f t="shared" si="47"/>
        <v>78034.205693055876</v>
      </c>
      <c r="P109" s="326"/>
      <c r="Q109" s="326"/>
      <c r="R109" s="495"/>
      <c r="S109" s="183"/>
      <c r="T109" s="176"/>
      <c r="U109" s="131"/>
      <c r="V109" s="132">
        <v>10</v>
      </c>
      <c r="W109" s="133">
        <f t="shared" si="64"/>
        <v>7</v>
      </c>
      <c r="X109" s="134">
        <f t="shared" si="65"/>
        <v>44989</v>
      </c>
      <c r="Y109" s="135">
        <v>0.75</v>
      </c>
      <c r="Z109" s="136">
        <f t="shared" si="32"/>
        <v>44989.75</v>
      </c>
      <c r="AA109" s="137">
        <f t="shared" si="33"/>
        <v>10</v>
      </c>
      <c r="AB109" s="137">
        <f t="shared" si="66"/>
        <v>1</v>
      </c>
      <c r="AC109" s="364">
        <f t="shared" si="112"/>
        <v>60064.988612990739</v>
      </c>
      <c r="AD109" s="362">
        <f t="shared" si="113"/>
        <v>303</v>
      </c>
      <c r="AE109" s="365">
        <f t="shared" si="114"/>
        <v>16</v>
      </c>
      <c r="AF109" s="140">
        <f t="shared" ref="AF109" si="135">AC109-AC108</f>
        <v>3411.0550387360418</v>
      </c>
      <c r="AG109" s="138">
        <f t="shared" ref="AG109" si="136">AC109/AD109</f>
        <v>198.23428585145459</v>
      </c>
      <c r="AH109" s="139">
        <f t="shared" ref="AH109" si="137">AF109/AE109</f>
        <v>213.19093992100261</v>
      </c>
      <c r="AI109" s="139">
        <f t="shared" ref="AI109" si="138">SUM(AF105:AF109)/SUM(AE105:AE109)</f>
        <v>217.11027069460167</v>
      </c>
      <c r="AJ109" s="254">
        <f t="shared" si="100"/>
        <v>45382.878058568254</v>
      </c>
      <c r="AK109" s="255">
        <f t="shared" si="101"/>
        <v>246</v>
      </c>
      <c r="AL109" s="254">
        <f t="shared" si="102"/>
        <v>78034.205693055876</v>
      </c>
      <c r="AM109" s="255">
        <f t="shared" si="103"/>
        <v>422</v>
      </c>
      <c r="AN109" s="140">
        <f t="shared" si="104"/>
        <v>56053.022321703414</v>
      </c>
      <c r="AO109" s="140">
        <f t="shared" si="49"/>
        <v>4011.9662912873246</v>
      </c>
      <c r="AP109" s="141">
        <f t="shared" si="105"/>
        <v>303</v>
      </c>
      <c r="AQ109" s="141">
        <f t="shared" si="70"/>
        <v>0</v>
      </c>
      <c r="AR109" s="140">
        <f t="shared" si="106"/>
        <v>45382.878058568262</v>
      </c>
      <c r="AS109" s="140">
        <f t="shared" si="39"/>
        <v>14682.110554422477</v>
      </c>
      <c r="AT109" s="141">
        <f t="shared" si="107"/>
        <v>246</v>
      </c>
      <c r="AU109" s="231">
        <f t="shared" si="53"/>
        <v>57</v>
      </c>
      <c r="AV109" s="140">
        <f t="shared" si="108"/>
        <v>78034.205693055861</v>
      </c>
      <c r="AW109" s="140">
        <f t="shared" si="40"/>
        <v>-17969.217080065122</v>
      </c>
      <c r="AX109" s="141">
        <f t="shared" si="109"/>
        <v>422</v>
      </c>
      <c r="AY109" s="231">
        <f t="shared" si="85"/>
        <v>-119</v>
      </c>
      <c r="AZ109" s="140">
        <f t="shared" si="110"/>
        <v>3411.0550387360418</v>
      </c>
      <c r="BA109" s="140">
        <f t="shared" si="111"/>
        <v>6006.4988612990737</v>
      </c>
      <c r="BB109" s="217">
        <f t="shared" si="58"/>
        <v>60064.988612990739</v>
      </c>
      <c r="BC109" s="82">
        <f t="shared" si="59"/>
        <v>303</v>
      </c>
      <c r="BD109" s="141">
        <f t="shared" si="60"/>
        <v>16</v>
      </c>
      <c r="BE109" s="141">
        <f t="shared" si="61"/>
        <v>3411.0550387360418</v>
      </c>
      <c r="BF109" s="142">
        <f t="shared" si="71"/>
        <v>2.985787100448415E-2</v>
      </c>
      <c r="BG109" s="142">
        <f t="shared" si="72"/>
        <v>0.52576480341901244</v>
      </c>
      <c r="BH109" s="143">
        <f t="shared" si="73"/>
        <v>2.9143897996357013E-2</v>
      </c>
      <c r="BI109" s="143">
        <f t="shared" si="86"/>
        <v>0.55191256830601088</v>
      </c>
      <c r="BJ109" s="217">
        <v>203877</v>
      </c>
      <c r="BK109" s="82">
        <v>893</v>
      </c>
      <c r="BL109" s="141">
        <f t="shared" si="87"/>
        <v>42</v>
      </c>
      <c r="BM109" s="141">
        <f t="shared" si="88"/>
        <v>8877</v>
      </c>
      <c r="BN109" s="142">
        <f t="shared" si="74"/>
        <v>2.2806215252443248E-2</v>
      </c>
      <c r="BO109" s="142">
        <f t="shared" si="75"/>
        <v>0.52378762498843889</v>
      </c>
      <c r="BP109" s="143">
        <f t="shared" si="76"/>
        <v>2.5362318840579712E-2</v>
      </c>
      <c r="BQ109" s="143">
        <f t="shared" si="89"/>
        <v>0.53925120772946866</v>
      </c>
      <c r="BR109" s="217">
        <v>163194</v>
      </c>
      <c r="BS109" s="82">
        <v>1140</v>
      </c>
      <c r="BT109" s="141">
        <f t="shared" si="90"/>
        <v>28</v>
      </c>
      <c r="BU109" s="141">
        <f t="shared" si="91"/>
        <v>4552</v>
      </c>
      <c r="BV109" s="142">
        <f t="shared" si="77"/>
        <v>1.9031055069652324E-2</v>
      </c>
      <c r="BW109" s="142">
        <f t="shared" si="78"/>
        <v>0.6822833921434186</v>
      </c>
      <c r="BX109" s="143">
        <f t="shared" si="79"/>
        <v>1.6826923076923076E-2</v>
      </c>
      <c r="BY109" s="143">
        <f t="shared" si="92"/>
        <v>0.68509615384615397</v>
      </c>
      <c r="BZ109" s="142">
        <v>3.2021866423706406E-2</v>
      </c>
      <c r="CA109" s="142">
        <v>0.5428050799435562</v>
      </c>
      <c r="CB109" s="143">
        <v>3.0364372469635626E-2</v>
      </c>
      <c r="CC109" s="143">
        <v>0.57085020242914986</v>
      </c>
      <c r="CD109" s="142">
        <v>2.7160473808384884E-2</v>
      </c>
      <c r="CE109" s="142">
        <v>0.54037181472503071</v>
      </c>
      <c r="CF109" s="143">
        <v>2.9051987767584098E-2</v>
      </c>
      <c r="CG109" s="143">
        <v>0.56422018348623848</v>
      </c>
      <c r="CH109" s="142">
        <v>2.7735266006414881E-2</v>
      </c>
      <c r="CI109" s="142">
        <f t="shared" si="62"/>
        <v>0.47687652822488441</v>
      </c>
      <c r="CJ109" s="143">
        <v>2.7777777777777776E-2</v>
      </c>
      <c r="CK109" s="143">
        <f>SUM(CJ$98:CJ109)</f>
        <v>0.46296296296296302</v>
      </c>
      <c r="CL109" s="144">
        <f>Vergleich!C13</f>
        <v>31587</v>
      </c>
      <c r="CM109" s="142">
        <v>5.9651936803272132E-2</v>
      </c>
      <c r="CN109" s="142">
        <f t="shared" si="63"/>
        <v>0.50664848825086217</v>
      </c>
      <c r="CO109" s="143">
        <v>5.4755043227665667E-2</v>
      </c>
      <c r="CP109" s="143">
        <f>SUM(CO$98:CO109)</f>
        <v>0.46397694524495675</v>
      </c>
      <c r="CQ109" s="144"/>
      <c r="CR109" s="332"/>
      <c r="CS109" s="192"/>
      <c r="CT109" s="192"/>
      <c r="CU109" s="192"/>
      <c r="CV109" s="192"/>
      <c r="CW109" s="192"/>
      <c r="CX109" s="192"/>
      <c r="CY109" s="192"/>
      <c r="CZ109" s="192"/>
      <c r="DA109" s="192"/>
      <c r="DB109" s="192"/>
      <c r="DC109" s="192"/>
      <c r="DD109" s="192"/>
      <c r="DE109" s="192"/>
      <c r="DF109" s="192"/>
      <c r="DG109" s="192"/>
      <c r="DH109" s="192"/>
      <c r="DI109" s="192"/>
      <c r="DJ109" s="192"/>
      <c r="DK109" s="192"/>
    </row>
    <row r="110" spans="1:115" s="145" customFormat="1" hidden="1" outlineLevel="1" x14ac:dyDescent="0.3">
      <c r="A110" s="191"/>
      <c r="B110" s="192"/>
      <c r="C110" s="192"/>
      <c r="D110" s="459">
        <v>11</v>
      </c>
      <c r="E110" s="475"/>
      <c r="F110" s="265"/>
      <c r="G110" s="438"/>
      <c r="H110" s="421"/>
      <c r="I110" s="212">
        <f t="shared" si="42"/>
        <v>44990.75</v>
      </c>
      <c r="J110" s="502">
        <f t="shared" si="43"/>
        <v>63321.642673409762</v>
      </c>
      <c r="K110" s="502">
        <f t="shared" si="44"/>
        <v>45837.84445657074</v>
      </c>
      <c r="L110" s="502">
        <f t="shared" si="45"/>
        <v>81179.541488517498</v>
      </c>
      <c r="M110" s="336"/>
      <c r="N110" s="503">
        <f t="shared" si="46"/>
        <v>45837.84445657074</v>
      </c>
      <c r="O110" s="503">
        <f t="shared" si="47"/>
        <v>81179.541488517498</v>
      </c>
      <c r="P110" s="326"/>
      <c r="Q110" s="326"/>
      <c r="R110" s="495"/>
      <c r="S110" s="183"/>
      <c r="T110" s="176"/>
      <c r="U110" s="131"/>
      <c r="V110" s="132">
        <v>11</v>
      </c>
      <c r="W110" s="133">
        <f t="shared" si="64"/>
        <v>1</v>
      </c>
      <c r="X110" s="134">
        <f t="shared" si="65"/>
        <v>44990</v>
      </c>
      <c r="Y110" s="135">
        <v>0.75</v>
      </c>
      <c r="Z110" s="136">
        <f t="shared" si="32"/>
        <v>44990.75</v>
      </c>
      <c r="AA110" s="137">
        <f t="shared" si="33"/>
        <v>11</v>
      </c>
      <c r="AB110" s="137">
        <f t="shared" si="66"/>
        <v>1</v>
      </c>
      <c r="AC110" s="364">
        <f t="shared" si="112"/>
        <v>63321.642673409762</v>
      </c>
      <c r="AD110" s="362">
        <f t="shared" si="113"/>
        <v>318</v>
      </c>
      <c r="AE110" s="365">
        <f t="shared" si="114"/>
        <v>15</v>
      </c>
      <c r="AF110" s="140">
        <f t="shared" ref="AF110" si="139">AC110-AC109</f>
        <v>3256.6540604190232</v>
      </c>
      <c r="AG110" s="138">
        <f t="shared" ref="AG110" si="140">AC110/AD110</f>
        <v>199.12466249499926</v>
      </c>
      <c r="AH110" s="139">
        <f t="shared" ref="AH110" si="141">AF110/AE110</f>
        <v>217.11027069460155</v>
      </c>
      <c r="AI110" s="139">
        <f t="shared" ref="AI110" si="142">SUM(AF106:AF110)/SUM(AE106:AE110)</f>
        <v>220.9374653017328</v>
      </c>
      <c r="AJ110" s="254">
        <f t="shared" si="100"/>
        <v>45837.84445657074</v>
      </c>
      <c r="AK110" s="255">
        <f t="shared" si="101"/>
        <v>248</v>
      </c>
      <c r="AL110" s="254">
        <f t="shared" si="102"/>
        <v>81179.541488517498</v>
      </c>
      <c r="AM110" s="255">
        <f t="shared" si="103"/>
        <v>440</v>
      </c>
      <c r="AN110" s="140">
        <f t="shared" si="104"/>
        <v>58574.778572201656</v>
      </c>
      <c r="AO110" s="140">
        <f t="shared" si="49"/>
        <v>4746.8641012081061</v>
      </c>
      <c r="AP110" s="141">
        <f t="shared" si="105"/>
        <v>318</v>
      </c>
      <c r="AQ110" s="141">
        <f t="shared" si="70"/>
        <v>0</v>
      </c>
      <c r="AR110" s="140">
        <f t="shared" si="106"/>
        <v>45837.84445657074</v>
      </c>
      <c r="AS110" s="140">
        <f t="shared" si="39"/>
        <v>17483.798216839023</v>
      </c>
      <c r="AT110" s="141">
        <f t="shared" si="107"/>
        <v>248</v>
      </c>
      <c r="AU110" s="231">
        <f t="shared" si="53"/>
        <v>70</v>
      </c>
      <c r="AV110" s="140">
        <f t="shared" si="108"/>
        <v>81179.541488517498</v>
      </c>
      <c r="AW110" s="140">
        <f t="shared" si="40"/>
        <v>-17857.898815107736</v>
      </c>
      <c r="AX110" s="141">
        <f t="shared" si="109"/>
        <v>440</v>
      </c>
      <c r="AY110" s="231">
        <f t="shared" si="85"/>
        <v>-122</v>
      </c>
      <c r="AZ110" s="140">
        <f t="shared" si="110"/>
        <v>3256.6540604190232</v>
      </c>
      <c r="BA110" s="140">
        <f t="shared" si="111"/>
        <v>5756.5129703099783</v>
      </c>
      <c r="BB110" s="217">
        <f t="shared" si="58"/>
        <v>63321.642673409762</v>
      </c>
      <c r="BC110" s="82">
        <f t="shared" si="59"/>
        <v>318</v>
      </c>
      <c r="BD110" s="141">
        <f t="shared" si="60"/>
        <v>15</v>
      </c>
      <c r="BE110" s="141">
        <f t="shared" si="61"/>
        <v>3256.6540604190232</v>
      </c>
      <c r="BF110" s="142">
        <f t="shared" si="71"/>
        <v>2.8506358219963397E-2</v>
      </c>
      <c r="BG110" s="142">
        <f t="shared" si="72"/>
        <v>0.55427116163897583</v>
      </c>
      <c r="BH110" s="143">
        <f t="shared" si="73"/>
        <v>2.7322404371584699E-2</v>
      </c>
      <c r="BI110" s="143">
        <f t="shared" si="86"/>
        <v>0.57923497267759561</v>
      </c>
      <c r="BJ110" s="217">
        <v>212794</v>
      </c>
      <c r="BK110" s="82">
        <v>935</v>
      </c>
      <c r="BL110" s="141">
        <f t="shared" si="87"/>
        <v>42</v>
      </c>
      <c r="BM110" s="141">
        <f t="shared" si="88"/>
        <v>8917</v>
      </c>
      <c r="BN110" s="142">
        <f t="shared" si="74"/>
        <v>2.290898066982499E-2</v>
      </c>
      <c r="BO110" s="142">
        <f t="shared" si="75"/>
        <v>0.54669660565826383</v>
      </c>
      <c r="BP110" s="143">
        <f t="shared" si="76"/>
        <v>2.5362318840579712E-2</v>
      </c>
      <c r="BQ110" s="143">
        <f t="shared" si="89"/>
        <v>0.56461352657004837</v>
      </c>
      <c r="BR110" s="217">
        <v>166405</v>
      </c>
      <c r="BS110" s="82">
        <v>1163</v>
      </c>
      <c r="BT110" s="141">
        <f t="shared" si="90"/>
        <v>23</v>
      </c>
      <c r="BU110" s="141">
        <f t="shared" si="91"/>
        <v>3211</v>
      </c>
      <c r="BV110" s="142">
        <f t="shared" si="77"/>
        <v>1.342458651771828E-2</v>
      </c>
      <c r="BW110" s="142">
        <f t="shared" si="78"/>
        <v>0.69570797866113687</v>
      </c>
      <c r="BX110" s="143">
        <f t="shared" si="79"/>
        <v>1.3822115384615384E-2</v>
      </c>
      <c r="BY110" s="143">
        <f t="shared" si="92"/>
        <v>0.69891826923076938</v>
      </c>
      <c r="BZ110" s="142">
        <v>1.5899823335296274E-2</v>
      </c>
      <c r="CA110" s="142">
        <v>0.55870490327885247</v>
      </c>
      <c r="CB110" s="143">
        <v>1.8218623481781375E-2</v>
      </c>
      <c r="CC110" s="143">
        <v>0.58906882591093124</v>
      </c>
      <c r="CD110" s="142">
        <v>2.4468749239912112E-2</v>
      </c>
      <c r="CE110" s="142">
        <v>0.56484056396494287</v>
      </c>
      <c r="CF110" s="143">
        <v>2.5993883792048929E-2</v>
      </c>
      <c r="CG110" s="143">
        <v>0.5902140672782874</v>
      </c>
      <c r="CH110" s="142">
        <v>1.0173506664086642E-2</v>
      </c>
      <c r="CI110" s="142">
        <f t="shared" si="62"/>
        <v>0.48705003488897103</v>
      </c>
      <c r="CJ110" s="143">
        <v>7.9365079365079361E-3</v>
      </c>
      <c r="CK110" s="143">
        <f>SUM(CJ$98:CJ110)</f>
        <v>0.47089947089947093</v>
      </c>
      <c r="CL110" s="144">
        <f>Vergleich!C14</f>
        <v>34703</v>
      </c>
      <c r="CM110" s="142">
        <v>4.9979950276686114E-2</v>
      </c>
      <c r="CN110" s="142">
        <f t="shared" si="63"/>
        <v>0.55662843852754829</v>
      </c>
      <c r="CO110" s="143">
        <v>4.8991354466858816E-2</v>
      </c>
      <c r="CP110" s="143">
        <f>SUM(CO$98:CO110)</f>
        <v>0.51296829971181557</v>
      </c>
      <c r="CQ110" s="144"/>
      <c r="CR110" s="14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</row>
    <row r="111" spans="1:115" s="145" customFormat="1" hidden="1" outlineLevel="1" x14ac:dyDescent="0.3">
      <c r="A111" s="191"/>
      <c r="B111" s="192"/>
      <c r="C111" s="192"/>
      <c r="D111" s="459">
        <v>12</v>
      </c>
      <c r="E111" s="475"/>
      <c r="F111" s="265"/>
      <c r="G111" s="438"/>
      <c r="H111" s="421"/>
      <c r="I111" s="212">
        <f t="shared" si="42"/>
        <v>44991.75</v>
      </c>
      <c r="J111" s="502">
        <f t="shared" si="43"/>
        <v>65089.142395823626</v>
      </c>
      <c r="K111" s="502">
        <f t="shared" si="44"/>
        <v>46648.65489035959</v>
      </c>
      <c r="L111" s="502">
        <f t="shared" si="45"/>
        <v>84485.523522053176</v>
      </c>
      <c r="M111" s="336"/>
      <c r="N111" s="503">
        <f t="shared" si="46"/>
        <v>46648.65489035959</v>
      </c>
      <c r="O111" s="503">
        <f t="shared" si="47"/>
        <v>84485.52352205319</v>
      </c>
      <c r="P111" s="326"/>
      <c r="Q111" s="326"/>
      <c r="R111" s="495"/>
      <c r="S111" s="183"/>
      <c r="T111" s="176"/>
      <c r="U111" s="131"/>
      <c r="V111" s="132">
        <v>12</v>
      </c>
      <c r="W111" s="133">
        <f t="shared" si="64"/>
        <v>2</v>
      </c>
      <c r="X111" s="134">
        <f t="shared" si="65"/>
        <v>44991</v>
      </c>
      <c r="Y111" s="135">
        <v>0.75</v>
      </c>
      <c r="Z111" s="136">
        <f t="shared" si="32"/>
        <v>44991.75</v>
      </c>
      <c r="AA111" s="137">
        <f t="shared" si="33"/>
        <v>12</v>
      </c>
      <c r="AB111" s="137">
        <f t="shared" si="66"/>
        <v>1</v>
      </c>
      <c r="AC111" s="364">
        <f t="shared" si="112"/>
        <v>65089.142395823626</v>
      </c>
      <c r="AD111" s="362">
        <f t="shared" si="113"/>
        <v>326</v>
      </c>
      <c r="AE111" s="365">
        <f t="shared" si="114"/>
        <v>8</v>
      </c>
      <c r="AF111" s="140">
        <f t="shared" ref="AF111" si="143">AC111-AC110</f>
        <v>1767.4997224138642</v>
      </c>
      <c r="AG111" s="138">
        <f t="shared" ref="AG111" si="144">AC111/AD111</f>
        <v>199.65994599945898</v>
      </c>
      <c r="AH111" s="139">
        <f t="shared" ref="AH111" si="145">AF111/AE111</f>
        <v>220.93746530173303</v>
      </c>
      <c r="AI111" s="139">
        <f t="shared" ref="AI111" si="146">SUM(AF107:AF111)/SUM(AE107:AE111)</f>
        <v>225.29016603505849</v>
      </c>
      <c r="AJ111" s="254">
        <f t="shared" si="100"/>
        <v>46648.65489035959</v>
      </c>
      <c r="AK111" s="255">
        <f t="shared" si="101"/>
        <v>253</v>
      </c>
      <c r="AL111" s="254">
        <f t="shared" si="102"/>
        <v>84485.52352205319</v>
      </c>
      <c r="AM111" s="255">
        <f t="shared" si="103"/>
        <v>460</v>
      </c>
      <c r="AN111" s="140">
        <f t="shared" si="104"/>
        <v>59926.73404380741</v>
      </c>
      <c r="AO111" s="140">
        <f t="shared" si="49"/>
        <v>5162.4083520162167</v>
      </c>
      <c r="AP111" s="141">
        <f t="shared" si="105"/>
        <v>326</v>
      </c>
      <c r="AQ111" s="141">
        <f t="shared" si="70"/>
        <v>0</v>
      </c>
      <c r="AR111" s="140">
        <f t="shared" si="106"/>
        <v>46648.65489035959</v>
      </c>
      <c r="AS111" s="140">
        <f t="shared" si="39"/>
        <v>18440.487505464036</v>
      </c>
      <c r="AT111" s="141">
        <f t="shared" si="107"/>
        <v>253</v>
      </c>
      <c r="AU111" s="231">
        <f t="shared" si="53"/>
        <v>73</v>
      </c>
      <c r="AV111" s="140">
        <f t="shared" si="108"/>
        <v>84485.523522053176</v>
      </c>
      <c r="AW111" s="140">
        <f t="shared" si="40"/>
        <v>-19396.381126229549</v>
      </c>
      <c r="AX111" s="141">
        <f t="shared" si="109"/>
        <v>460</v>
      </c>
      <c r="AY111" s="231">
        <f t="shared" si="85"/>
        <v>-134</v>
      </c>
      <c r="AZ111" s="140">
        <f t="shared" si="110"/>
        <v>1767.4997224138642</v>
      </c>
      <c r="BA111" s="140">
        <f t="shared" si="111"/>
        <v>5424.0951996519689</v>
      </c>
      <c r="BB111" s="217">
        <f t="shared" si="58"/>
        <v>65089.142395823626</v>
      </c>
      <c r="BC111" s="82">
        <f t="shared" si="59"/>
        <v>326</v>
      </c>
      <c r="BD111" s="141">
        <f t="shared" si="60"/>
        <v>8</v>
      </c>
      <c r="BE111" s="141">
        <f t="shared" si="61"/>
        <v>1767.4997224138642</v>
      </c>
      <c r="BF111" s="142">
        <f t="shared" si="71"/>
        <v>1.5471394660301318E-2</v>
      </c>
      <c r="BG111" s="333">
        <f t="shared" si="72"/>
        <v>0.56974255629927717</v>
      </c>
      <c r="BH111" s="143">
        <f t="shared" si="73"/>
        <v>1.4571948998178506E-2</v>
      </c>
      <c r="BI111" s="143">
        <f t="shared" si="86"/>
        <v>0.59380692167577409</v>
      </c>
      <c r="BJ111" s="217">
        <v>221864</v>
      </c>
      <c r="BK111" s="82">
        <v>976</v>
      </c>
      <c r="BL111" s="141">
        <f t="shared" si="87"/>
        <v>41</v>
      </c>
      <c r="BM111" s="141">
        <f t="shared" si="88"/>
        <v>9070</v>
      </c>
      <c r="BN111" s="142">
        <f t="shared" si="74"/>
        <v>2.3302058391310155E-2</v>
      </c>
      <c r="BO111" s="333">
        <f t="shared" si="75"/>
        <v>0.569998664049574</v>
      </c>
      <c r="BP111" s="143">
        <f t="shared" si="76"/>
        <v>2.4758454106280192E-2</v>
      </c>
      <c r="BQ111" s="143">
        <f t="shared" si="89"/>
        <v>0.58937198067632857</v>
      </c>
      <c r="BR111" s="217">
        <v>169780</v>
      </c>
      <c r="BS111" s="82">
        <v>1189</v>
      </c>
      <c r="BT111" s="141">
        <f t="shared" si="90"/>
        <v>26</v>
      </c>
      <c r="BU111" s="141">
        <f t="shared" si="91"/>
        <v>3375</v>
      </c>
      <c r="BV111" s="142">
        <f t="shared" si="77"/>
        <v>1.4110239644129304E-2</v>
      </c>
      <c r="BW111" s="333">
        <f t="shared" si="78"/>
        <v>0.70981821830526615</v>
      </c>
      <c r="BX111" s="143">
        <f t="shared" si="79"/>
        <v>1.5625E-2</v>
      </c>
      <c r="BY111" s="143">
        <f t="shared" si="92"/>
        <v>0.71454326923076938</v>
      </c>
      <c r="BZ111" s="142">
        <v>4.371062543749514E-2</v>
      </c>
      <c r="CA111" s="333">
        <v>0.60241552871634763</v>
      </c>
      <c r="CB111" s="143">
        <v>4.048582995951417E-2</v>
      </c>
      <c r="CC111" s="143">
        <v>0.62955465587044546</v>
      </c>
      <c r="CD111" s="142">
        <v>1.3118103469243804E-2</v>
      </c>
      <c r="CE111" s="333">
        <v>0.57795866743418667</v>
      </c>
      <c r="CF111" s="143">
        <v>1.3761467889908258E-2</v>
      </c>
      <c r="CG111" s="143">
        <v>0.60397553516819569</v>
      </c>
      <c r="CH111" s="142">
        <v>1.8130537524700806E-2</v>
      </c>
      <c r="CI111" s="333">
        <f t="shared" si="62"/>
        <v>0.50518057241367187</v>
      </c>
      <c r="CJ111" s="143">
        <v>1.984126984126984E-2</v>
      </c>
      <c r="CK111" s="143">
        <f>SUM(CJ$98:CJ111)</f>
        <v>0.49074074074074076</v>
      </c>
      <c r="CL111" s="144">
        <f>Vergleich!C15</f>
        <v>36986</v>
      </c>
      <c r="CM111" s="142">
        <v>3.6618814660357768E-2</v>
      </c>
      <c r="CN111" s="333">
        <f t="shared" si="63"/>
        <v>0.59324725318790605</v>
      </c>
      <c r="CO111" s="143">
        <v>4.3227665706051854E-2</v>
      </c>
      <c r="CP111" s="143">
        <f>SUM(CO$98:CO111)</f>
        <v>0.55619596541786742</v>
      </c>
      <c r="CQ111" s="144">
        <v>125000</v>
      </c>
      <c r="CR111" s="333" t="e">
        <f>#REF!/$CQ$122</f>
        <v>#REF!</v>
      </c>
      <c r="CS111" s="192"/>
      <c r="CT111" s="192"/>
      <c r="CU111" s="192"/>
      <c r="CV111" s="192"/>
      <c r="CW111" s="192"/>
      <c r="CX111" s="192"/>
      <c r="CY111" s="192"/>
      <c r="CZ111" s="192"/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  <c r="DK111" s="192"/>
    </row>
    <row r="112" spans="1:115" s="145" customFormat="1" hidden="1" outlineLevel="1" x14ac:dyDescent="0.3">
      <c r="A112" s="191"/>
      <c r="B112" s="192"/>
      <c r="C112" s="192"/>
      <c r="D112" s="459">
        <v>13</v>
      </c>
      <c r="E112" s="475"/>
      <c r="F112" s="265"/>
      <c r="G112" s="438"/>
      <c r="H112" s="421"/>
      <c r="I112" s="212">
        <f t="shared" si="42"/>
        <v>44992.75</v>
      </c>
      <c r="J112" s="502">
        <f t="shared" si="43"/>
        <v>68017.914554279385</v>
      </c>
      <c r="K112" s="502">
        <f t="shared" si="44"/>
        <v>47411.215285397746</v>
      </c>
      <c r="L112" s="502">
        <f t="shared" si="45"/>
        <v>87087.208938666736</v>
      </c>
      <c r="M112" s="336"/>
      <c r="N112" s="503">
        <f t="shared" si="46"/>
        <v>47411.215285397739</v>
      </c>
      <c r="O112" s="503">
        <f t="shared" si="47"/>
        <v>87087.208938666765</v>
      </c>
      <c r="P112" s="326"/>
      <c r="Q112" s="326"/>
      <c r="R112" s="495"/>
      <c r="S112" s="183"/>
      <c r="T112" s="176"/>
      <c r="U112" s="131"/>
      <c r="V112" s="132">
        <v>13</v>
      </c>
      <c r="W112" s="133">
        <f t="shared" si="64"/>
        <v>3</v>
      </c>
      <c r="X112" s="134">
        <f t="shared" si="65"/>
        <v>44992</v>
      </c>
      <c r="Y112" s="135">
        <v>0.75</v>
      </c>
      <c r="Z112" s="136">
        <f t="shared" si="32"/>
        <v>44992.75</v>
      </c>
      <c r="AA112" s="137">
        <f t="shared" si="33"/>
        <v>13</v>
      </c>
      <c r="AB112" s="137">
        <f t="shared" si="66"/>
        <v>1</v>
      </c>
      <c r="AC112" s="364">
        <f t="shared" si="112"/>
        <v>68017.914554279385</v>
      </c>
      <c r="AD112" s="362">
        <f t="shared" si="113"/>
        <v>339</v>
      </c>
      <c r="AE112" s="365">
        <f t="shared" si="114"/>
        <v>13</v>
      </c>
      <c r="AF112" s="140">
        <f t="shared" ref="AF112" si="147">AC112-AC111</f>
        <v>2928.7721584557585</v>
      </c>
      <c r="AG112" s="138">
        <f t="shared" ref="AG112" si="148">AC112/AD112</f>
        <v>200.64281579433447</v>
      </c>
      <c r="AH112" s="139">
        <f t="shared" ref="AH112" si="149">AF112/AE112</f>
        <v>225.29016603505835</v>
      </c>
      <c r="AI112" s="139">
        <f t="shared" ref="AI112" si="150">SUM(AF108:AF112)/SUM(AE108:AE112)</f>
        <v>216.02614123622683</v>
      </c>
      <c r="AJ112" s="254">
        <f t="shared" si="100"/>
        <v>47411.215285397739</v>
      </c>
      <c r="AK112" s="255">
        <f t="shared" si="101"/>
        <v>258</v>
      </c>
      <c r="AL112" s="254">
        <f t="shared" si="102"/>
        <v>87087.208938666765</v>
      </c>
      <c r="AM112" s="255">
        <f t="shared" si="103"/>
        <v>472</v>
      </c>
      <c r="AN112" s="140">
        <f t="shared" si="104"/>
        <v>62260.486597697927</v>
      </c>
      <c r="AO112" s="140">
        <f t="shared" si="49"/>
        <v>5757.4279565814577</v>
      </c>
      <c r="AP112" s="141">
        <f t="shared" si="105"/>
        <v>339</v>
      </c>
      <c r="AQ112" s="141">
        <f t="shared" si="70"/>
        <v>0</v>
      </c>
      <c r="AR112" s="140">
        <f t="shared" si="106"/>
        <v>47411.215285397746</v>
      </c>
      <c r="AS112" s="140">
        <f t="shared" si="39"/>
        <v>20606.699268881639</v>
      </c>
      <c r="AT112" s="141">
        <f t="shared" si="107"/>
        <v>258</v>
      </c>
      <c r="AU112" s="231">
        <f t="shared" si="53"/>
        <v>81</v>
      </c>
      <c r="AV112" s="140">
        <f t="shared" si="108"/>
        <v>87087.208938666736</v>
      </c>
      <c r="AW112" s="140">
        <f t="shared" si="40"/>
        <v>-19069.294384387351</v>
      </c>
      <c r="AX112" s="141">
        <f t="shared" si="109"/>
        <v>472</v>
      </c>
      <c r="AY112" s="231">
        <f t="shared" si="85"/>
        <v>-133</v>
      </c>
      <c r="AZ112" s="140">
        <f t="shared" si="110"/>
        <v>2928.7721584557585</v>
      </c>
      <c r="BA112" s="140">
        <f t="shared" si="111"/>
        <v>5232.1472734061063</v>
      </c>
      <c r="BB112" s="217">
        <f t="shared" si="58"/>
        <v>68017.914554279385</v>
      </c>
      <c r="BC112" s="82">
        <f t="shared" si="59"/>
        <v>339</v>
      </c>
      <c r="BD112" s="141">
        <f t="shared" si="60"/>
        <v>13</v>
      </c>
      <c r="BE112" s="141">
        <f t="shared" si="61"/>
        <v>2928.7721584557585</v>
      </c>
      <c r="BF112" s="142">
        <f t="shared" si="71"/>
        <v>2.5636320820287876E-2</v>
      </c>
      <c r="BG112" s="142">
        <f t="shared" si="72"/>
        <v>0.59537887711956505</v>
      </c>
      <c r="BH112" s="143">
        <f t="shared" si="73"/>
        <v>2.3679417122040074E-2</v>
      </c>
      <c r="BI112" s="143">
        <f t="shared" si="86"/>
        <v>0.61748633879781412</v>
      </c>
      <c r="BJ112" s="217">
        <v>229701</v>
      </c>
      <c r="BK112" s="82">
        <v>1011</v>
      </c>
      <c r="BL112" s="141">
        <f t="shared" si="87"/>
        <v>35</v>
      </c>
      <c r="BM112" s="141">
        <f t="shared" si="88"/>
        <v>7837</v>
      </c>
      <c r="BN112" s="142">
        <f t="shared" si="74"/>
        <v>2.0134314400517939E-2</v>
      </c>
      <c r="BO112" s="142">
        <f t="shared" si="75"/>
        <v>0.59013297845009194</v>
      </c>
      <c r="BP112" s="143">
        <f t="shared" si="76"/>
        <v>2.1135265700483092E-2</v>
      </c>
      <c r="BQ112" s="143">
        <f t="shared" si="89"/>
        <v>0.61050724637681164</v>
      </c>
      <c r="BR112" s="217">
        <v>172436</v>
      </c>
      <c r="BS112" s="82">
        <v>1205</v>
      </c>
      <c r="BT112" s="141">
        <f t="shared" si="90"/>
        <v>16</v>
      </c>
      <c r="BU112" s="141">
        <f t="shared" si="91"/>
        <v>2656</v>
      </c>
      <c r="BV112" s="142">
        <f t="shared" si="77"/>
        <v>1.1104235998461462E-2</v>
      </c>
      <c r="BW112" s="142">
        <f t="shared" si="78"/>
        <v>0.72092245430372759</v>
      </c>
      <c r="BX112" s="143">
        <f t="shared" si="79"/>
        <v>9.6153846153846159E-3</v>
      </c>
      <c r="BY112" s="143">
        <f t="shared" si="92"/>
        <v>0.72415865384615397</v>
      </c>
      <c r="BZ112" s="142">
        <v>1.518872012533194E-2</v>
      </c>
      <c r="CA112" s="142">
        <v>0.61760424884167953</v>
      </c>
      <c r="CB112" s="143">
        <v>1.6194331983805668E-2</v>
      </c>
      <c r="CC112" s="143">
        <v>0.64574898785425117</v>
      </c>
      <c r="CD112" s="142">
        <v>2.2644538312483278E-2</v>
      </c>
      <c r="CE112" s="142">
        <v>0.60060320574666992</v>
      </c>
      <c r="CF112" s="143">
        <v>2.2935779816513763E-2</v>
      </c>
      <c r="CG112" s="143">
        <v>0.62691131498470942</v>
      </c>
      <c r="CH112" s="142">
        <v>1.7051618085973462E-2</v>
      </c>
      <c r="CI112" s="142">
        <f t="shared" si="62"/>
        <v>0.52223219049964531</v>
      </c>
      <c r="CJ112" s="143">
        <v>1.984126984126984E-2</v>
      </c>
      <c r="CK112" s="143">
        <f>SUM(CJ$98:CJ112)</f>
        <v>0.51058201058201058</v>
      </c>
      <c r="CL112" s="144">
        <f>Vergleich!C16</f>
        <v>37704</v>
      </c>
      <c r="CM112" s="142">
        <v>1.1516561071457154E-2</v>
      </c>
      <c r="CN112" s="142">
        <f t="shared" si="63"/>
        <v>0.60476381425936321</v>
      </c>
      <c r="CO112" s="143">
        <v>1.1527377521613813E-2</v>
      </c>
      <c r="CP112" s="143">
        <f>SUM(CO$98:CO112)</f>
        <v>0.56772334293948123</v>
      </c>
      <c r="CQ112" s="144"/>
      <c r="CR112" s="14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</row>
    <row r="113" spans="1:115" s="145" customFormat="1" hidden="1" outlineLevel="1" x14ac:dyDescent="0.3">
      <c r="A113" s="191"/>
      <c r="B113" s="192"/>
      <c r="C113" s="192"/>
      <c r="D113" s="459">
        <v>14</v>
      </c>
      <c r="E113" s="475"/>
      <c r="F113" s="265"/>
      <c r="G113" s="438"/>
      <c r="H113" s="421"/>
      <c r="I113" s="212">
        <f t="shared" si="42"/>
        <v>44993.75</v>
      </c>
      <c r="J113" s="502">
        <f t="shared" si="43"/>
        <v>69314.071401696739</v>
      </c>
      <c r="K113" s="502">
        <f t="shared" si="44"/>
        <v>48472.453909441567</v>
      </c>
      <c r="L113" s="502">
        <f t="shared" si="45"/>
        <v>91194.463062108232</v>
      </c>
      <c r="M113" s="336"/>
      <c r="N113" s="503">
        <f t="shared" si="46"/>
        <v>48472.453909441567</v>
      </c>
      <c r="O113" s="503">
        <f t="shared" si="47"/>
        <v>91194.463062108262</v>
      </c>
      <c r="P113" s="326"/>
      <c r="Q113" s="326"/>
      <c r="R113" s="495"/>
      <c r="S113" s="183"/>
      <c r="T113" s="176"/>
      <c r="U113" s="131"/>
      <c r="V113" s="132">
        <v>14</v>
      </c>
      <c r="W113" s="133">
        <f t="shared" si="64"/>
        <v>4</v>
      </c>
      <c r="X113" s="134">
        <f t="shared" si="65"/>
        <v>44993</v>
      </c>
      <c r="Y113" s="135">
        <v>0.75</v>
      </c>
      <c r="Z113" s="136">
        <f t="shared" si="32"/>
        <v>44993.75</v>
      </c>
      <c r="AA113" s="137">
        <f t="shared" si="33"/>
        <v>14</v>
      </c>
      <c r="AB113" s="137">
        <f t="shared" si="66"/>
        <v>1</v>
      </c>
      <c r="AC113" s="364">
        <f t="shared" si="112"/>
        <v>69314.071401696739</v>
      </c>
      <c r="AD113" s="362">
        <f t="shared" si="113"/>
        <v>345</v>
      </c>
      <c r="AE113" s="365">
        <f t="shared" si="114"/>
        <v>6</v>
      </c>
      <c r="AF113" s="140">
        <f t="shared" ref="AF113" si="151">AC113-AC112</f>
        <v>1296.1568474173546</v>
      </c>
      <c r="AG113" s="138">
        <f t="shared" ref="AG113" si="152">AC113/AD113</f>
        <v>200.91035188897607</v>
      </c>
      <c r="AH113" s="139">
        <f t="shared" ref="AH113" si="153">AF113/AE113</f>
        <v>216.02614123622575</v>
      </c>
      <c r="AI113" s="139">
        <f t="shared" ref="AI113" si="154">SUM(AF109:AF113)/SUM(AE109:AE113)</f>
        <v>218.27823840417315</v>
      </c>
      <c r="AJ113" s="254">
        <f t="shared" si="100"/>
        <v>48472.453909441567</v>
      </c>
      <c r="AK113" s="255">
        <f t="shared" si="101"/>
        <v>264</v>
      </c>
      <c r="AL113" s="254">
        <f t="shared" si="102"/>
        <v>91194.463062108262</v>
      </c>
      <c r="AM113" s="255">
        <f t="shared" si="103"/>
        <v>493</v>
      </c>
      <c r="AN113" s="140">
        <f t="shared" si="104"/>
        <v>63373.468481615637</v>
      </c>
      <c r="AO113" s="140">
        <f t="shared" si="49"/>
        <v>5940.6029200811026</v>
      </c>
      <c r="AP113" s="141">
        <f t="shared" si="105"/>
        <v>345</v>
      </c>
      <c r="AQ113" s="141">
        <f t="shared" si="70"/>
        <v>0</v>
      </c>
      <c r="AR113" s="140">
        <f t="shared" si="106"/>
        <v>48472.453909441567</v>
      </c>
      <c r="AS113" s="140">
        <f t="shared" si="39"/>
        <v>20841.617492255173</v>
      </c>
      <c r="AT113" s="141">
        <f t="shared" si="107"/>
        <v>264</v>
      </c>
      <c r="AU113" s="231">
        <f t="shared" si="53"/>
        <v>81</v>
      </c>
      <c r="AV113" s="140">
        <f t="shared" si="108"/>
        <v>91194.463062108232</v>
      </c>
      <c r="AW113" s="140">
        <f t="shared" si="40"/>
        <v>-21880.391660411493</v>
      </c>
      <c r="AX113" s="141">
        <f t="shared" si="109"/>
        <v>493</v>
      </c>
      <c r="AY113" s="231">
        <f t="shared" si="85"/>
        <v>-148</v>
      </c>
      <c r="AZ113" s="140">
        <f t="shared" si="110"/>
        <v>1296.1568474173546</v>
      </c>
      <c r="BA113" s="140">
        <f t="shared" si="111"/>
        <v>4951.0051001211959</v>
      </c>
      <c r="BB113" s="217">
        <f t="shared" si="58"/>
        <v>69314.071401696739</v>
      </c>
      <c r="BC113" s="82">
        <f t="shared" si="59"/>
        <v>345</v>
      </c>
      <c r="BD113" s="141">
        <f t="shared" si="60"/>
        <v>6</v>
      </c>
      <c r="BE113" s="141">
        <f t="shared" si="61"/>
        <v>1296.1568474173546</v>
      </c>
      <c r="BF113" s="142">
        <f t="shared" si="71"/>
        <v>1.1345605248898766E-2</v>
      </c>
      <c r="BG113" s="142">
        <f t="shared" si="72"/>
        <v>0.60672448236846377</v>
      </c>
      <c r="BH113" s="143">
        <f t="shared" si="73"/>
        <v>1.092896174863388E-2</v>
      </c>
      <c r="BI113" s="143">
        <f t="shared" si="86"/>
        <v>0.62841530054644801</v>
      </c>
      <c r="BJ113" s="217">
        <v>240791</v>
      </c>
      <c r="BK113" s="82">
        <v>1060</v>
      </c>
      <c r="BL113" s="141">
        <f t="shared" si="87"/>
        <v>49</v>
      </c>
      <c r="BM113" s="141">
        <f t="shared" si="88"/>
        <v>11090</v>
      </c>
      <c r="BN113" s="142">
        <f t="shared" si="74"/>
        <v>2.8491711969088163E-2</v>
      </c>
      <c r="BO113" s="142">
        <f t="shared" si="75"/>
        <v>0.61862469041918011</v>
      </c>
      <c r="BP113" s="143">
        <f t="shared" si="76"/>
        <v>2.9589371980676328E-2</v>
      </c>
      <c r="BQ113" s="143">
        <f t="shared" si="89"/>
        <v>0.64009661835748799</v>
      </c>
      <c r="BR113" s="217">
        <v>176629</v>
      </c>
      <c r="BS113" s="82">
        <v>1232</v>
      </c>
      <c r="BT113" s="141">
        <f t="shared" si="90"/>
        <v>27</v>
      </c>
      <c r="BU113" s="141">
        <f t="shared" si="91"/>
        <v>4193</v>
      </c>
      <c r="BV113" s="142">
        <f t="shared" si="77"/>
        <v>1.7530143652691607E-2</v>
      </c>
      <c r="BW113" s="142">
        <f t="shared" si="78"/>
        <v>0.73845259795641927</v>
      </c>
      <c r="BX113" s="143">
        <f t="shared" si="79"/>
        <v>1.622596153846154E-2</v>
      </c>
      <c r="BY113" s="143">
        <f t="shared" si="92"/>
        <v>0.74038461538461553</v>
      </c>
      <c r="BZ113" s="142">
        <v>2.3033077410250999E-2</v>
      </c>
      <c r="CA113" s="142">
        <v>0.64063732625193048</v>
      </c>
      <c r="CB113" s="143">
        <v>2.2267206477732792E-2</v>
      </c>
      <c r="CC113" s="143">
        <v>0.668016194331984</v>
      </c>
      <c r="CD113" s="142">
        <v>1.0799328690378706E-2</v>
      </c>
      <c r="CE113" s="142">
        <v>0.61140253443704862</v>
      </c>
      <c r="CF113" s="143">
        <v>1.0703363914373088E-2</v>
      </c>
      <c r="CG113" s="143">
        <v>0.63761467889908252</v>
      </c>
      <c r="CH113" s="142">
        <v>2.3730363959399793E-2</v>
      </c>
      <c r="CI113" s="142">
        <f t="shared" si="62"/>
        <v>0.54596255445904507</v>
      </c>
      <c r="CJ113" s="143">
        <v>2.2486772486772486E-2</v>
      </c>
      <c r="CK113" s="143">
        <f>SUM(CJ$98:CJ113)</f>
        <v>0.53306878306878303</v>
      </c>
      <c r="CL113" s="144">
        <f>Vergleich!C17</f>
        <v>38541</v>
      </c>
      <c r="CM113" s="142">
        <v>1.342529473093268E-2</v>
      </c>
      <c r="CN113" s="142">
        <f t="shared" si="63"/>
        <v>0.61818910899029589</v>
      </c>
      <c r="CO113" s="143">
        <v>2.3054755043227737E-2</v>
      </c>
      <c r="CP113" s="143">
        <f>SUM(CO$98:CO113)</f>
        <v>0.59077809798270897</v>
      </c>
      <c r="CQ113" s="144"/>
      <c r="CR113" s="142"/>
      <c r="CS113" s="192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192"/>
      <c r="DF113" s="192"/>
      <c r="DG113" s="192"/>
      <c r="DH113" s="192"/>
      <c r="DI113" s="192"/>
      <c r="DJ113" s="192"/>
      <c r="DK113" s="192"/>
    </row>
    <row r="114" spans="1:115" s="145" customFormat="1" hidden="1" outlineLevel="1" x14ac:dyDescent="0.3">
      <c r="A114" s="191"/>
      <c r="B114" s="192"/>
      <c r="C114" s="192"/>
      <c r="D114" s="459">
        <v>15</v>
      </c>
      <c r="E114" s="475"/>
      <c r="F114" s="265"/>
      <c r="G114" s="438"/>
      <c r="H114" s="421"/>
      <c r="I114" s="212">
        <f t="shared" si="42"/>
        <v>44994.75</v>
      </c>
      <c r="J114" s="502">
        <f t="shared" si="43"/>
        <v>71278.575547334302</v>
      </c>
      <c r="K114" s="502">
        <f t="shared" si="44"/>
        <v>49614.983359641446</v>
      </c>
      <c r="L114" s="502">
        <f t="shared" si="45"/>
        <v>102600.34596536434</v>
      </c>
      <c r="M114" s="336"/>
      <c r="N114" s="503">
        <f t="shared" si="46"/>
        <v>49614.983359641454</v>
      </c>
      <c r="O114" s="503">
        <f t="shared" si="47"/>
        <v>102600.34596536437</v>
      </c>
      <c r="P114" s="326"/>
      <c r="Q114" s="326"/>
      <c r="R114" s="495"/>
      <c r="S114" s="183"/>
      <c r="T114" s="176"/>
      <c r="U114" s="131"/>
      <c r="V114" s="132">
        <v>15</v>
      </c>
      <c r="W114" s="133">
        <f t="shared" si="64"/>
        <v>5</v>
      </c>
      <c r="X114" s="134">
        <f t="shared" si="65"/>
        <v>44994</v>
      </c>
      <c r="Y114" s="135">
        <v>0.75</v>
      </c>
      <c r="Z114" s="136">
        <f t="shared" si="32"/>
        <v>44994.75</v>
      </c>
      <c r="AA114" s="137">
        <f t="shared" si="33"/>
        <v>15</v>
      </c>
      <c r="AB114" s="137">
        <f t="shared" si="66"/>
        <v>1</v>
      </c>
      <c r="AC114" s="364">
        <f t="shared" si="112"/>
        <v>71278.575547334302</v>
      </c>
      <c r="AD114" s="362">
        <f t="shared" si="113"/>
        <v>354</v>
      </c>
      <c r="AE114" s="365">
        <f t="shared" si="114"/>
        <v>9</v>
      </c>
      <c r="AF114" s="140">
        <f t="shared" ref="AF114" si="155">AC114-AC113</f>
        <v>1964.504145637562</v>
      </c>
      <c r="AG114" s="138">
        <f t="shared" ref="AG114" si="156">AC114/AD114</f>
        <v>201.35190832580312</v>
      </c>
      <c r="AH114" s="139">
        <f t="shared" ref="AH114" si="157">AF114/AE114</f>
        <v>218.27823840417355</v>
      </c>
      <c r="AI114" s="139">
        <f t="shared" ref="AI114" si="158">SUM(AF110:AF114)/SUM(AE110:AE114)</f>
        <v>219.87425361457966</v>
      </c>
      <c r="AJ114" s="254">
        <f t="shared" si="100"/>
        <v>49614.983359641454</v>
      </c>
      <c r="AK114" s="255">
        <f t="shared" si="101"/>
        <v>271</v>
      </c>
      <c r="AL114" s="254">
        <f t="shared" si="102"/>
        <v>102600.34596536437</v>
      </c>
      <c r="AM114" s="255">
        <f t="shared" si="103"/>
        <v>556</v>
      </c>
      <c r="AN114" s="140">
        <f t="shared" si="104"/>
        <v>64714.561517417387</v>
      </c>
      <c r="AO114" s="140">
        <f t="shared" si="49"/>
        <v>6564.0140299169143</v>
      </c>
      <c r="AP114" s="141">
        <f t="shared" si="105"/>
        <v>354</v>
      </c>
      <c r="AQ114" s="141">
        <f t="shared" si="70"/>
        <v>0</v>
      </c>
      <c r="AR114" s="140">
        <f t="shared" si="106"/>
        <v>49614.983359641446</v>
      </c>
      <c r="AS114" s="140">
        <f t="shared" si="39"/>
        <v>21663.592187692855</v>
      </c>
      <c r="AT114" s="141">
        <f t="shared" si="107"/>
        <v>271</v>
      </c>
      <c r="AU114" s="231">
        <f t="shared" si="53"/>
        <v>83</v>
      </c>
      <c r="AV114" s="140">
        <f t="shared" si="108"/>
        <v>102600.34596536434</v>
      </c>
      <c r="AW114" s="140">
        <f t="shared" si="40"/>
        <v>-31321.770418030035</v>
      </c>
      <c r="AX114" s="141">
        <f t="shared" si="109"/>
        <v>556</v>
      </c>
      <c r="AY114" s="231">
        <f t="shared" si="85"/>
        <v>-202</v>
      </c>
      <c r="AZ114" s="140">
        <f t="shared" si="110"/>
        <v>1964.504145637562</v>
      </c>
      <c r="BA114" s="140">
        <f t="shared" si="111"/>
        <v>4751.9050364889536</v>
      </c>
      <c r="BB114" s="217">
        <f t="shared" si="58"/>
        <v>71278.575547334302</v>
      </c>
      <c r="BC114" s="82">
        <f t="shared" si="59"/>
        <v>354</v>
      </c>
      <c r="BD114" s="141">
        <f t="shared" si="60"/>
        <v>9</v>
      </c>
      <c r="BE114" s="141">
        <f t="shared" si="61"/>
        <v>1964.504145637562</v>
      </c>
      <c r="BF114" s="142">
        <f t="shared" si="71"/>
        <v>1.7195826716990027E-2</v>
      </c>
      <c r="BG114" s="142">
        <f t="shared" si="72"/>
        <v>0.62392030908545382</v>
      </c>
      <c r="BH114" s="143">
        <f t="shared" si="73"/>
        <v>1.6393442622950821E-2</v>
      </c>
      <c r="BI114" s="143">
        <f t="shared" si="86"/>
        <v>0.64480874316939885</v>
      </c>
      <c r="BJ114" s="217">
        <v>249000</v>
      </c>
      <c r="BK114" s="82">
        <v>1096</v>
      </c>
      <c r="BL114" s="141">
        <f t="shared" si="87"/>
        <v>36</v>
      </c>
      <c r="BM114" s="141">
        <f t="shared" si="88"/>
        <v>8209</v>
      </c>
      <c r="BN114" s="142">
        <f t="shared" si="74"/>
        <v>2.1090032782168144E-2</v>
      </c>
      <c r="BO114" s="142">
        <f t="shared" si="75"/>
        <v>0.63971472320134826</v>
      </c>
      <c r="BP114" s="143">
        <f t="shared" si="76"/>
        <v>2.1739130434782608E-2</v>
      </c>
      <c r="BQ114" s="143">
        <f t="shared" si="89"/>
        <v>0.66183574879227058</v>
      </c>
      <c r="BR114" s="217">
        <v>188273</v>
      </c>
      <c r="BS114" s="82">
        <v>1313</v>
      </c>
      <c r="BT114" s="141">
        <f t="shared" si="90"/>
        <v>81</v>
      </c>
      <c r="BU114" s="141">
        <f t="shared" si="91"/>
        <v>11644</v>
      </c>
      <c r="BV114" s="142">
        <f t="shared" si="77"/>
        <v>4.86813719751827E-2</v>
      </c>
      <c r="BW114" s="142">
        <f t="shared" si="78"/>
        <v>0.7871339699316019</v>
      </c>
      <c r="BX114" s="143">
        <f t="shared" si="79"/>
        <v>4.8677884615384616E-2</v>
      </c>
      <c r="BY114" s="143">
        <f t="shared" si="92"/>
        <v>0.78906250000000011</v>
      </c>
      <c r="BZ114" s="142">
        <v>1.6622037532916301E-2</v>
      </c>
      <c r="CA114" s="142">
        <v>0.65725936378484673</v>
      </c>
      <c r="CB114" s="143">
        <v>1.417004048582996E-2</v>
      </c>
      <c r="CC114" s="143">
        <v>0.68218623481781393</v>
      </c>
      <c r="CD114" s="142">
        <v>1.3012704615659027E-2</v>
      </c>
      <c r="CE114" s="142">
        <v>0.62441523905270768</v>
      </c>
      <c r="CF114" s="143">
        <v>1.5290519877675841E-2</v>
      </c>
      <c r="CG114" s="143">
        <v>0.65290519877675834</v>
      </c>
      <c r="CH114" s="142">
        <v>2.5548108665951298E-2</v>
      </c>
      <c r="CI114" s="142">
        <f t="shared" si="62"/>
        <v>0.57151066312499632</v>
      </c>
      <c r="CJ114" s="143">
        <v>2.5132275132275131E-2</v>
      </c>
      <c r="CK114" s="143">
        <f>SUM(CJ$98:CJ114)</f>
        <v>0.55820105820105814</v>
      </c>
      <c r="CL114" s="144">
        <f>Vergleich!C18</f>
        <v>40401</v>
      </c>
      <c r="CM114" s="142">
        <v>2.9833988290961622E-2</v>
      </c>
      <c r="CN114" s="142">
        <f t="shared" si="63"/>
        <v>0.64802309728125751</v>
      </c>
      <c r="CO114" s="143">
        <v>2.5936599423631135E-2</v>
      </c>
      <c r="CP114" s="143">
        <f>SUM(CO$98:CO114)</f>
        <v>0.61671469740634011</v>
      </c>
      <c r="CQ114" s="144"/>
      <c r="CR114" s="14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</row>
    <row r="115" spans="1:115" s="145" customFormat="1" hidden="1" outlineLevel="1" x14ac:dyDescent="0.3">
      <c r="A115" s="191"/>
      <c r="B115" s="192"/>
      <c r="C115" s="192"/>
      <c r="D115" s="459">
        <v>16</v>
      </c>
      <c r="E115" s="475"/>
      <c r="F115" s="265"/>
      <c r="G115" s="438"/>
      <c r="H115" s="421"/>
      <c r="I115" s="212">
        <f t="shared" si="42"/>
        <v>44995.75</v>
      </c>
      <c r="J115" s="502">
        <f t="shared" si="43"/>
        <v>74576.689351552996</v>
      </c>
      <c r="K115" s="502">
        <f t="shared" si="44"/>
        <v>51184.682989867855</v>
      </c>
      <c r="L115" s="502">
        <f t="shared" si="45"/>
        <v>107489.2811740685</v>
      </c>
      <c r="M115" s="336"/>
      <c r="N115" s="503">
        <f t="shared" si="46"/>
        <v>51184.682989867862</v>
      </c>
      <c r="O115" s="503">
        <f t="shared" si="47"/>
        <v>107489.28117406854</v>
      </c>
      <c r="P115" s="326"/>
      <c r="Q115" s="326"/>
      <c r="R115" s="495"/>
      <c r="S115" s="183"/>
      <c r="T115" s="176"/>
      <c r="U115" s="131"/>
      <c r="V115" s="132">
        <v>16</v>
      </c>
      <c r="W115" s="133">
        <f t="shared" si="64"/>
        <v>6</v>
      </c>
      <c r="X115" s="134">
        <f t="shared" si="65"/>
        <v>44995</v>
      </c>
      <c r="Y115" s="135">
        <v>0.75</v>
      </c>
      <c r="Z115" s="136">
        <f t="shared" si="32"/>
        <v>44995.75</v>
      </c>
      <c r="AA115" s="137">
        <f t="shared" si="33"/>
        <v>16</v>
      </c>
      <c r="AB115" s="137">
        <f t="shared" si="66"/>
        <v>1</v>
      </c>
      <c r="AC115" s="364">
        <f t="shared" si="112"/>
        <v>74576.689351552996</v>
      </c>
      <c r="AD115" s="362">
        <f t="shared" si="113"/>
        <v>369</v>
      </c>
      <c r="AE115" s="365">
        <f t="shared" si="114"/>
        <v>15</v>
      </c>
      <c r="AF115" s="140">
        <f t="shared" ref="AF115" si="159">AC115-AC114</f>
        <v>3298.113804218694</v>
      </c>
      <c r="AG115" s="138">
        <f t="shared" ref="AG115" si="160">AC115/AD115</f>
        <v>202.10484919120054</v>
      </c>
      <c r="AH115" s="139">
        <f t="shared" ref="AH115" si="161">AF115/AE115</f>
        <v>219.8742536145796</v>
      </c>
      <c r="AI115" s="139">
        <f t="shared" ref="AI115" si="162">SUM(AF111:AF115)/SUM(AE111:AE115)</f>
        <v>220.68718976751438</v>
      </c>
      <c r="AJ115" s="254">
        <f t="shared" si="100"/>
        <v>51184.682989867862</v>
      </c>
      <c r="AK115" s="255">
        <f t="shared" si="101"/>
        <v>279</v>
      </c>
      <c r="AL115" s="254">
        <f t="shared" si="102"/>
        <v>107489.28117406854</v>
      </c>
      <c r="AM115" s="255">
        <f t="shared" si="103"/>
        <v>585</v>
      </c>
      <c r="AN115" s="140">
        <f t="shared" si="104"/>
        <v>67248.851347689473</v>
      </c>
      <c r="AO115" s="140">
        <f t="shared" si="49"/>
        <v>7327.8380038635223</v>
      </c>
      <c r="AP115" s="141">
        <f t="shared" si="105"/>
        <v>369</v>
      </c>
      <c r="AQ115" s="141">
        <f t="shared" si="70"/>
        <v>0</v>
      </c>
      <c r="AR115" s="140">
        <f t="shared" si="106"/>
        <v>51184.682989867855</v>
      </c>
      <c r="AS115" s="140">
        <f t="shared" si="39"/>
        <v>23392.00636168514</v>
      </c>
      <c r="AT115" s="141">
        <f t="shared" si="107"/>
        <v>279</v>
      </c>
      <c r="AU115" s="231">
        <f t="shared" si="53"/>
        <v>90</v>
      </c>
      <c r="AV115" s="140">
        <f t="shared" si="108"/>
        <v>107489.2811740685</v>
      </c>
      <c r="AW115" s="140">
        <f t="shared" si="40"/>
        <v>-32912.591822515504</v>
      </c>
      <c r="AX115" s="141">
        <f t="shared" si="109"/>
        <v>585</v>
      </c>
      <c r="AY115" s="231">
        <f t="shared" si="85"/>
        <v>-216</v>
      </c>
      <c r="AZ115" s="140">
        <f t="shared" si="110"/>
        <v>3298.113804218694</v>
      </c>
      <c r="BA115" s="140">
        <f t="shared" si="111"/>
        <v>4661.0430844720622</v>
      </c>
      <c r="BB115" s="217">
        <f t="shared" si="58"/>
        <v>74576.689351552996</v>
      </c>
      <c r="BC115" s="82">
        <f t="shared" si="59"/>
        <v>369</v>
      </c>
      <c r="BD115" s="141">
        <f t="shared" si="60"/>
        <v>15</v>
      </c>
      <c r="BE115" s="141">
        <f t="shared" si="61"/>
        <v>3298.113804218694</v>
      </c>
      <c r="BF115" s="142">
        <f t="shared" si="71"/>
        <v>2.8869266372482754E-2</v>
      </c>
      <c r="BG115" s="142">
        <f t="shared" si="72"/>
        <v>0.65278957545793659</v>
      </c>
      <c r="BH115" s="143">
        <f t="shared" si="73"/>
        <v>2.7322404371584699E-2</v>
      </c>
      <c r="BI115" s="143">
        <f t="shared" si="86"/>
        <v>0.67213114754098358</v>
      </c>
      <c r="BJ115" s="217">
        <v>257666</v>
      </c>
      <c r="BK115" s="82">
        <v>1134</v>
      </c>
      <c r="BL115" s="141">
        <f t="shared" si="87"/>
        <v>38</v>
      </c>
      <c r="BM115" s="141">
        <f t="shared" si="88"/>
        <v>8666</v>
      </c>
      <c r="BN115" s="142">
        <f t="shared" si="74"/>
        <v>2.2264127675754555E-2</v>
      </c>
      <c r="BO115" s="142">
        <f t="shared" si="75"/>
        <v>0.66197885087710284</v>
      </c>
      <c r="BP115" s="143">
        <f t="shared" si="76"/>
        <v>2.2946859903381644E-2</v>
      </c>
      <c r="BQ115" s="143">
        <f t="shared" si="89"/>
        <v>0.68478260869565222</v>
      </c>
      <c r="BR115" s="217">
        <v>193264</v>
      </c>
      <c r="BS115" s="82">
        <v>1350</v>
      </c>
      <c r="BT115" s="141">
        <f t="shared" si="90"/>
        <v>37</v>
      </c>
      <c r="BU115" s="141">
        <f t="shared" si="91"/>
        <v>4991</v>
      </c>
      <c r="BV115" s="142">
        <f t="shared" si="77"/>
        <v>2.0866431426325736E-2</v>
      </c>
      <c r="BW115" s="142">
        <f t="shared" si="78"/>
        <v>0.80800040135792761</v>
      </c>
      <c r="BX115" s="143">
        <f t="shared" si="79"/>
        <v>2.2235576923076924E-2</v>
      </c>
      <c r="BY115" s="143">
        <f t="shared" si="92"/>
        <v>0.81129807692307698</v>
      </c>
      <c r="BZ115" s="142">
        <v>2.9866334818502017E-2</v>
      </c>
      <c r="CA115" s="142">
        <v>0.68712569860334871</v>
      </c>
      <c r="CB115" s="143">
        <v>2.4291497975708502E-2</v>
      </c>
      <c r="CC115" s="143">
        <v>0.70647773279352244</v>
      </c>
      <c r="CD115" s="142">
        <v>2.4590363301740702E-2</v>
      </c>
      <c r="CE115" s="142">
        <v>0.64900560235444837</v>
      </c>
      <c r="CF115" s="143">
        <v>2.5993883792048929E-2</v>
      </c>
      <c r="CG115" s="143">
        <v>0.67889908256880727</v>
      </c>
      <c r="CH115" s="142">
        <v>3.5100063914249358E-2</v>
      </c>
      <c r="CI115" s="142">
        <f t="shared" si="62"/>
        <v>0.60661072703924568</v>
      </c>
      <c r="CJ115" s="143">
        <v>3.0423280423280422E-2</v>
      </c>
      <c r="CK115" s="143">
        <f>SUM(CJ$98:CJ115)</f>
        <v>0.58862433862433861</v>
      </c>
      <c r="CL115" s="144">
        <f>Vergleich!C19</f>
        <v>42277</v>
      </c>
      <c r="CM115" s="142">
        <v>3.0090624749378514E-2</v>
      </c>
      <c r="CN115" s="142">
        <f t="shared" si="63"/>
        <v>0.67811372203063602</v>
      </c>
      <c r="CO115" s="143">
        <v>2.8818443804034533E-2</v>
      </c>
      <c r="CP115" s="143">
        <f>SUM(CO$98:CO115)</f>
        <v>0.64553314121037464</v>
      </c>
      <c r="CQ115" s="144"/>
      <c r="CR115" s="142"/>
      <c r="CS115" s="192"/>
      <c r="CT115" s="192"/>
      <c r="CU115" s="192"/>
      <c r="CV115" s="192"/>
      <c r="CW115" s="192"/>
      <c r="CX115" s="192"/>
      <c r="CY115" s="192"/>
      <c r="CZ115" s="192"/>
      <c r="DA115" s="192"/>
      <c r="DB115" s="192"/>
      <c r="DC115" s="192"/>
      <c r="DD115" s="192"/>
      <c r="DE115" s="192"/>
      <c r="DF115" s="192"/>
      <c r="DG115" s="192"/>
      <c r="DH115" s="192"/>
      <c r="DI115" s="192"/>
      <c r="DJ115" s="192"/>
      <c r="DK115" s="192"/>
    </row>
    <row r="116" spans="1:115" s="145" customFormat="1" hidden="1" outlineLevel="1" x14ac:dyDescent="0.3">
      <c r="A116" s="191"/>
      <c r="B116" s="192"/>
      <c r="C116" s="192"/>
      <c r="D116" s="459">
        <v>17</v>
      </c>
      <c r="E116" s="475"/>
      <c r="F116" s="265"/>
      <c r="G116" s="438"/>
      <c r="H116" s="421"/>
      <c r="I116" s="212">
        <f t="shared" si="42"/>
        <v>44996.75</v>
      </c>
      <c r="J116" s="502">
        <f t="shared" si="43"/>
        <v>82742.115372951026</v>
      </c>
      <c r="K116" s="502">
        <f t="shared" si="44"/>
        <v>52782.965523484621</v>
      </c>
      <c r="L116" s="502">
        <f t="shared" si="45"/>
        <v>112384.09368416561</v>
      </c>
      <c r="M116" s="336"/>
      <c r="N116" s="503">
        <f t="shared" si="46"/>
        <v>52782.965523484629</v>
      </c>
      <c r="O116" s="503">
        <f t="shared" si="47"/>
        <v>112384.09368416564</v>
      </c>
      <c r="P116" s="326"/>
      <c r="Q116" s="326"/>
      <c r="R116" s="495"/>
      <c r="S116" s="183"/>
      <c r="T116" s="176"/>
      <c r="U116" s="131"/>
      <c r="V116" s="132">
        <v>17</v>
      </c>
      <c r="W116" s="133">
        <f t="shared" si="64"/>
        <v>7</v>
      </c>
      <c r="X116" s="134">
        <f t="shared" si="65"/>
        <v>44996</v>
      </c>
      <c r="Y116" s="135">
        <v>0.75</v>
      </c>
      <c r="Z116" s="136">
        <f t="shared" si="32"/>
        <v>44996.75</v>
      </c>
      <c r="AA116" s="137">
        <f t="shared" si="33"/>
        <v>17</v>
      </c>
      <c r="AB116" s="137">
        <f t="shared" si="66"/>
        <v>1</v>
      </c>
      <c r="AC116" s="364">
        <f t="shared" si="112"/>
        <v>82742.115372951026</v>
      </c>
      <c r="AD116" s="362">
        <f t="shared" si="113"/>
        <v>406</v>
      </c>
      <c r="AE116" s="365">
        <f t="shared" si="114"/>
        <v>37</v>
      </c>
      <c r="AF116" s="140">
        <f t="shared" si="68"/>
        <v>8165.4260213980306</v>
      </c>
      <c r="AG116" s="138">
        <f t="shared" si="34"/>
        <v>203.79831372648036</v>
      </c>
      <c r="AH116" s="139">
        <f t="shared" si="69"/>
        <v>220.68718976751433</v>
      </c>
      <c r="AI116" s="139">
        <f t="shared" ref="AI116:AI120" si="163">SUM(AF112:AF116)/SUM(AE112:AE116)</f>
        <v>220.66216221409249</v>
      </c>
      <c r="AJ116" s="254">
        <f t="shared" si="100"/>
        <v>52782.965523484629</v>
      </c>
      <c r="AK116" s="255">
        <f t="shared" si="101"/>
        <v>288</v>
      </c>
      <c r="AL116" s="254">
        <f t="shared" si="102"/>
        <v>112384.09368416564</v>
      </c>
      <c r="AM116" s="255">
        <f t="shared" si="103"/>
        <v>611</v>
      </c>
      <c r="AN116" s="140">
        <f t="shared" si="104"/>
        <v>72917.37169340851</v>
      </c>
      <c r="AO116" s="140">
        <f t="shared" si="49"/>
        <v>9824.7436795425165</v>
      </c>
      <c r="AP116" s="141">
        <f t="shared" si="105"/>
        <v>406</v>
      </c>
      <c r="AQ116" s="141">
        <f t="shared" si="70"/>
        <v>0</v>
      </c>
      <c r="AR116" s="140">
        <f t="shared" si="106"/>
        <v>52782.965523484621</v>
      </c>
      <c r="AS116" s="140">
        <f t="shared" si="39"/>
        <v>29959.149849466405</v>
      </c>
      <c r="AT116" s="141">
        <f t="shared" si="107"/>
        <v>288</v>
      </c>
      <c r="AU116" s="231">
        <f t="shared" ref="AU116:AU120" si="164">AD116-AT116</f>
        <v>118</v>
      </c>
      <c r="AV116" s="140">
        <f t="shared" si="108"/>
        <v>112384.09368416561</v>
      </c>
      <c r="AW116" s="140">
        <f t="shared" si="40"/>
        <v>-29641.978311214581</v>
      </c>
      <c r="AX116" s="141">
        <f t="shared" si="109"/>
        <v>611</v>
      </c>
      <c r="AY116" s="231">
        <f t="shared" si="56"/>
        <v>-205</v>
      </c>
      <c r="AZ116" s="140">
        <f t="shared" si="57"/>
        <v>8165.4260213980306</v>
      </c>
      <c r="BA116" s="140">
        <f t="shared" si="41"/>
        <v>4867.1832572324129</v>
      </c>
      <c r="BB116" s="217">
        <f t="shared" si="58"/>
        <v>82742.115372951026</v>
      </c>
      <c r="BC116" s="82">
        <f t="shared" si="59"/>
        <v>406</v>
      </c>
      <c r="BD116" s="141">
        <f t="shared" si="60"/>
        <v>37</v>
      </c>
      <c r="BE116" s="141">
        <f t="shared" si="61"/>
        <v>8165.4260213980306</v>
      </c>
      <c r="BF116" s="142">
        <f t="shared" si="71"/>
        <v>7.1474143358853853E-2</v>
      </c>
      <c r="BG116" s="142">
        <f t="shared" si="72"/>
        <v>0.72426371881679041</v>
      </c>
      <c r="BH116" s="143">
        <f t="shared" si="73"/>
        <v>6.7395264116575593E-2</v>
      </c>
      <c r="BI116" s="143">
        <f t="shared" si="86"/>
        <v>0.73952641165755917</v>
      </c>
      <c r="BJ116" s="217">
        <v>268894</v>
      </c>
      <c r="BK116" s="82">
        <v>1160</v>
      </c>
      <c r="BL116" s="141">
        <f t="shared" si="87"/>
        <v>26</v>
      </c>
      <c r="BM116" s="141">
        <f t="shared" si="88"/>
        <v>11228</v>
      </c>
      <c r="BN116" s="142">
        <f t="shared" si="74"/>
        <v>2.8846252659055174E-2</v>
      </c>
      <c r="BO116" s="142">
        <f t="shared" si="75"/>
        <v>0.690825103536158</v>
      </c>
      <c r="BP116" s="143">
        <f t="shared" si="76"/>
        <v>1.570048309178744E-2</v>
      </c>
      <c r="BQ116" s="143">
        <f t="shared" si="89"/>
        <v>0.70048309178743962</v>
      </c>
      <c r="BR116" s="217">
        <v>198261</v>
      </c>
      <c r="BS116" s="82">
        <v>1384</v>
      </c>
      <c r="BT116" s="141">
        <f t="shared" si="90"/>
        <v>34</v>
      </c>
      <c r="BU116" s="141">
        <f t="shared" si="91"/>
        <v>4997</v>
      </c>
      <c r="BV116" s="142">
        <f t="shared" si="77"/>
        <v>2.0891516296804188E-2</v>
      </c>
      <c r="BW116" s="142">
        <f t="shared" si="78"/>
        <v>0.8288919176547318</v>
      </c>
      <c r="BX116" s="143">
        <f t="shared" si="79"/>
        <v>2.0432692307692308E-2</v>
      </c>
      <c r="BY116" s="143">
        <f t="shared" si="92"/>
        <v>0.83173076923076927</v>
      </c>
      <c r="BZ116" s="142">
        <v>2.6844146176153598E-2</v>
      </c>
      <c r="CA116" s="142">
        <v>0.71396984477950232</v>
      </c>
      <c r="CB116" s="143">
        <v>2.8340080971659919E-2</v>
      </c>
      <c r="CC116" s="143">
        <v>0.7348178137651824</v>
      </c>
      <c r="CD116" s="142">
        <v>5.5001986363009868E-2</v>
      </c>
      <c r="CE116" s="142">
        <v>0.70400758871745828</v>
      </c>
      <c r="CF116" s="143">
        <v>6.5749235474006115E-2</v>
      </c>
      <c r="CG116" s="143">
        <v>0.7446483180428134</v>
      </c>
      <c r="CH116" s="142">
        <v>3.5739206407843276E-2</v>
      </c>
      <c r="CI116" s="142">
        <f t="shared" si="62"/>
        <v>0.64234993344708891</v>
      </c>
      <c r="CJ116" s="143">
        <v>3.439153439153439E-2</v>
      </c>
      <c r="CK116" s="143">
        <f>SUM(CJ101:CJ116)</f>
        <v>0.38624338624338628</v>
      </c>
      <c r="CL116" s="144">
        <f>Vergleich!C20</f>
        <v>44039</v>
      </c>
      <c r="CM116" s="142">
        <v>2.8262089983158156E-2</v>
      </c>
      <c r="CN116" s="142">
        <f t="shared" si="63"/>
        <v>0.70637581201379418</v>
      </c>
      <c r="CO116" s="143">
        <v>2.5936599423631135E-2</v>
      </c>
      <c r="CP116" s="143">
        <f>SUM(CO101:CO116)</f>
        <v>0.46109510086455335</v>
      </c>
      <c r="CQ116" s="144"/>
      <c r="CR116" s="142"/>
      <c r="CS116" s="192"/>
      <c r="CT116" s="192"/>
      <c r="CU116" s="192"/>
      <c r="CV116" s="192"/>
      <c r="CW116" s="192"/>
      <c r="CX116" s="192"/>
      <c r="CY116" s="192"/>
      <c r="CZ116" s="192"/>
      <c r="DA116" s="192"/>
      <c r="DB116" s="192"/>
      <c r="DC116" s="192"/>
      <c r="DD116" s="192"/>
      <c r="DE116" s="192"/>
      <c r="DF116" s="192"/>
      <c r="DG116" s="192"/>
      <c r="DH116" s="192"/>
      <c r="DI116" s="192"/>
      <c r="DJ116" s="192"/>
      <c r="DK116" s="192"/>
    </row>
    <row r="117" spans="1:115" s="145" customFormat="1" hidden="1" outlineLevel="1" x14ac:dyDescent="0.3">
      <c r="A117" s="191"/>
      <c r="B117" s="192"/>
      <c r="C117" s="192"/>
      <c r="D117" s="459">
        <v>18</v>
      </c>
      <c r="E117" s="475"/>
      <c r="F117" s="265"/>
      <c r="G117" s="438"/>
      <c r="H117" s="421"/>
      <c r="I117" s="212">
        <f t="shared" si="42"/>
        <v>44997.75</v>
      </c>
      <c r="J117" s="502">
        <f t="shared" si="43"/>
        <v>87817.345103875152</v>
      </c>
      <c r="K117" s="502">
        <f t="shared" si="44"/>
        <v>54323.03333643479</v>
      </c>
      <c r="L117" s="502">
        <f t="shared" si="45"/>
        <v>117142.74871199267</v>
      </c>
      <c r="M117" s="336"/>
      <c r="N117" s="503">
        <f t="shared" si="46"/>
        <v>54323.033336434797</v>
      </c>
      <c r="O117" s="503">
        <f t="shared" si="47"/>
        <v>117142.74871199271</v>
      </c>
      <c r="P117" s="326"/>
      <c r="Q117" s="326"/>
      <c r="R117" s="495"/>
      <c r="S117" s="183"/>
      <c r="T117" s="176"/>
      <c r="U117" s="131"/>
      <c r="V117" s="132">
        <v>18</v>
      </c>
      <c r="W117" s="133">
        <f t="shared" si="64"/>
        <v>1</v>
      </c>
      <c r="X117" s="134">
        <f t="shared" si="65"/>
        <v>44997</v>
      </c>
      <c r="Y117" s="135">
        <v>0.75</v>
      </c>
      <c r="Z117" s="136">
        <f t="shared" si="32"/>
        <v>44997.75</v>
      </c>
      <c r="AA117" s="137">
        <f t="shared" si="33"/>
        <v>18</v>
      </c>
      <c r="AB117" s="137">
        <f t="shared" si="66"/>
        <v>1</v>
      </c>
      <c r="AC117" s="364">
        <f t="shared" si="112"/>
        <v>87817.345103875152</v>
      </c>
      <c r="AD117" s="362">
        <f t="shared" si="113"/>
        <v>429</v>
      </c>
      <c r="AE117" s="365">
        <f t="shared" si="114"/>
        <v>23</v>
      </c>
      <c r="AF117" s="140">
        <f t="shared" si="68"/>
        <v>5075.2297309241258</v>
      </c>
      <c r="AG117" s="138">
        <f t="shared" si="34"/>
        <v>204.70243613956913</v>
      </c>
      <c r="AH117" s="139">
        <f t="shared" si="69"/>
        <v>220.66216221409243</v>
      </c>
      <c r="AI117" s="139">
        <f t="shared" si="163"/>
        <v>219.99367277328631</v>
      </c>
      <c r="AJ117" s="254">
        <f t="shared" si="100"/>
        <v>54323.033336434797</v>
      </c>
      <c r="AK117" s="255">
        <f t="shared" si="101"/>
        <v>299</v>
      </c>
      <c r="AL117" s="254">
        <f t="shared" si="102"/>
        <v>117142.74871199271</v>
      </c>
      <c r="AM117" s="255">
        <f t="shared" si="103"/>
        <v>638</v>
      </c>
      <c r="AN117" s="140">
        <f t="shared" si="104"/>
        <v>77213.047267898728</v>
      </c>
      <c r="AO117" s="140">
        <f t="shared" si="49"/>
        <v>10604.297835976424</v>
      </c>
      <c r="AP117" s="141">
        <f t="shared" si="105"/>
        <v>429</v>
      </c>
      <c r="AQ117" s="141">
        <f t="shared" si="70"/>
        <v>0</v>
      </c>
      <c r="AR117" s="140">
        <f t="shared" si="106"/>
        <v>54323.03333643479</v>
      </c>
      <c r="AS117" s="140">
        <f t="shared" si="39"/>
        <v>33494.311767440362</v>
      </c>
      <c r="AT117" s="141">
        <f t="shared" si="107"/>
        <v>299</v>
      </c>
      <c r="AU117" s="231">
        <f t="shared" si="164"/>
        <v>130</v>
      </c>
      <c r="AV117" s="140">
        <f t="shared" si="108"/>
        <v>117142.74871199267</v>
      </c>
      <c r="AW117" s="140">
        <f t="shared" si="40"/>
        <v>-29325.403608117515</v>
      </c>
      <c r="AX117" s="141">
        <f t="shared" si="109"/>
        <v>638</v>
      </c>
      <c r="AY117" s="231">
        <f t="shared" si="56"/>
        <v>-209</v>
      </c>
      <c r="AZ117" s="140">
        <f t="shared" si="57"/>
        <v>5075.2297309241258</v>
      </c>
      <c r="BA117" s="140">
        <f t="shared" si="41"/>
        <v>4878.7413946597308</v>
      </c>
      <c r="BB117" s="217">
        <f t="shared" si="58"/>
        <v>87817.345103875152</v>
      </c>
      <c r="BC117" s="82">
        <f t="shared" si="59"/>
        <v>429</v>
      </c>
      <c r="BD117" s="141">
        <f t="shared" si="60"/>
        <v>23</v>
      </c>
      <c r="BE117" s="141">
        <f t="shared" si="61"/>
        <v>5075.2297309241258</v>
      </c>
      <c r="BF117" s="142">
        <f t="shared" si="71"/>
        <v>4.4424834223785049E-2</v>
      </c>
      <c r="BG117" s="142">
        <f t="shared" si="72"/>
        <v>0.76868855304057548</v>
      </c>
      <c r="BH117" s="143">
        <f t="shared" si="73"/>
        <v>4.1894353369763208E-2</v>
      </c>
      <c r="BI117" s="143">
        <f t="shared" si="86"/>
        <v>0.78142076502732238</v>
      </c>
      <c r="BJ117" s="217">
        <v>280832</v>
      </c>
      <c r="BK117" s="82">
        <v>1210</v>
      </c>
      <c r="BL117" s="141">
        <f t="shared" si="87"/>
        <v>50</v>
      </c>
      <c r="BM117" s="141">
        <f t="shared" si="88"/>
        <v>11938</v>
      </c>
      <c r="BN117" s="142">
        <f t="shared" si="74"/>
        <v>3.0670338817581109E-2</v>
      </c>
      <c r="BO117" s="142">
        <f t="shared" si="75"/>
        <v>0.72149544235373908</v>
      </c>
      <c r="BP117" s="143">
        <f t="shared" si="76"/>
        <v>3.0193236714975844E-2</v>
      </c>
      <c r="BQ117" s="143">
        <f t="shared" si="89"/>
        <v>0.73067632850241548</v>
      </c>
      <c r="BR117" s="217">
        <v>203119</v>
      </c>
      <c r="BS117" s="82">
        <v>1419</v>
      </c>
      <c r="BT117" s="141">
        <f t="shared" si="90"/>
        <v>35</v>
      </c>
      <c r="BU117" s="141">
        <f t="shared" si="91"/>
        <v>4858</v>
      </c>
      <c r="BV117" s="142">
        <f t="shared" si="77"/>
        <v>2.031038346405338E-2</v>
      </c>
      <c r="BW117" s="142">
        <f t="shared" si="78"/>
        <v>0.84920230111878525</v>
      </c>
      <c r="BX117" s="143">
        <f t="shared" si="79"/>
        <v>2.1033653846153848E-2</v>
      </c>
      <c r="BY117" s="143">
        <f t="shared" si="92"/>
        <v>0.85276442307692313</v>
      </c>
      <c r="BZ117" s="142">
        <v>2.7677470250330551E-2</v>
      </c>
      <c r="CA117" s="142">
        <v>0.74164731502983283</v>
      </c>
      <c r="CB117" s="143">
        <v>2.8340080971659919E-2</v>
      </c>
      <c r="CC117" s="143">
        <v>0.76315789473684237</v>
      </c>
      <c r="CD117" s="142">
        <v>4.1681192790718413E-2</v>
      </c>
      <c r="CE117" s="142">
        <v>0.74568878150817675</v>
      </c>
      <c r="CF117" s="143">
        <v>4.1284403669724773E-2</v>
      </c>
      <c r="CG117" s="143">
        <v>0.78593272171253814</v>
      </c>
      <c r="CH117" s="142">
        <v>3.4437466650248327E-2</v>
      </c>
      <c r="CI117" s="142">
        <f t="shared" si="62"/>
        <v>0.67678740009733729</v>
      </c>
      <c r="CJ117" s="143">
        <v>3.968253968253968E-2</v>
      </c>
      <c r="CK117" s="143">
        <f>SUM(CJ$98:CJ117)</f>
        <v>0.66269841269841268</v>
      </c>
      <c r="CL117" s="144">
        <f>Vergleich!C21</f>
        <v>46661</v>
      </c>
      <c r="CM117" s="142">
        <v>4.205629962306523E-2</v>
      </c>
      <c r="CN117" s="142">
        <f t="shared" si="63"/>
        <v>0.74843211163685941</v>
      </c>
      <c r="CO117" s="143">
        <v>4.8991354466858761E-2</v>
      </c>
      <c r="CP117" s="143">
        <f>SUM(CO$98:CO117)</f>
        <v>0.72046109510086453</v>
      </c>
      <c r="CQ117" s="144"/>
      <c r="CR117" s="142"/>
      <c r="CS117" s="192"/>
      <c r="CT117" s="192"/>
      <c r="CU117" s="192"/>
      <c r="CV117" s="192"/>
      <c r="CW117" s="192"/>
      <c r="CX117" s="192"/>
      <c r="CY117" s="192"/>
      <c r="CZ117" s="192"/>
      <c r="DA117" s="192"/>
      <c r="DB117" s="192"/>
      <c r="DC117" s="192"/>
      <c r="DD117" s="192"/>
      <c r="DE117" s="192"/>
      <c r="DF117" s="192"/>
      <c r="DG117" s="192"/>
      <c r="DH117" s="192"/>
      <c r="DI117" s="192"/>
      <c r="DJ117" s="192"/>
      <c r="DK117" s="192"/>
    </row>
    <row r="118" spans="1:115" s="145" customFormat="1" hidden="1" outlineLevel="1" x14ac:dyDescent="0.3">
      <c r="A118" s="191"/>
      <c r="B118" s="192"/>
      <c r="C118" s="192"/>
      <c r="D118" s="459">
        <v>19</v>
      </c>
      <c r="E118" s="475"/>
      <c r="F118" s="265"/>
      <c r="G118" s="438"/>
      <c r="H118" s="421"/>
      <c r="I118" s="212">
        <f t="shared" si="42"/>
        <v>44998.75</v>
      </c>
      <c r="J118" s="502">
        <f t="shared" si="43"/>
        <v>94417.155287073736</v>
      </c>
      <c r="K118" s="502">
        <f t="shared" si="44"/>
        <v>56452.852981723619</v>
      </c>
      <c r="L118" s="502">
        <f t="shared" si="45"/>
        <v>126024.33066697576</v>
      </c>
      <c r="M118" s="336"/>
      <c r="N118" s="503">
        <f t="shared" si="46"/>
        <v>56452.852981723627</v>
      </c>
      <c r="O118" s="503">
        <f t="shared" si="47"/>
        <v>126024.33066697579</v>
      </c>
      <c r="P118" s="326"/>
      <c r="Q118" s="326"/>
      <c r="R118" s="495"/>
      <c r="S118" s="183"/>
      <c r="T118" s="176"/>
      <c r="U118" s="131"/>
      <c r="V118" s="132">
        <v>19</v>
      </c>
      <c r="W118" s="133">
        <f t="shared" si="64"/>
        <v>2</v>
      </c>
      <c r="X118" s="134">
        <f t="shared" si="65"/>
        <v>44998</v>
      </c>
      <c r="Y118" s="135">
        <v>0.75</v>
      </c>
      <c r="Z118" s="136">
        <f t="shared" si="32"/>
        <v>44998.75</v>
      </c>
      <c r="AA118" s="137">
        <f t="shared" si="33"/>
        <v>19</v>
      </c>
      <c r="AB118" s="137">
        <f t="shared" si="66"/>
        <v>1</v>
      </c>
      <c r="AC118" s="364">
        <f t="shared" si="112"/>
        <v>94417.155287073736</v>
      </c>
      <c r="AD118" s="362">
        <f t="shared" si="113"/>
        <v>459</v>
      </c>
      <c r="AE118" s="365">
        <f t="shared" si="114"/>
        <v>30</v>
      </c>
      <c r="AF118" s="140">
        <f t="shared" si="68"/>
        <v>6599.8101831985841</v>
      </c>
      <c r="AG118" s="138">
        <f t="shared" si="34"/>
        <v>205.70186337053102</v>
      </c>
      <c r="AH118" s="139">
        <f t="shared" si="69"/>
        <v>219.99367277328614</v>
      </c>
      <c r="AI118" s="139">
        <f t="shared" si="163"/>
        <v>220.20249022260523</v>
      </c>
      <c r="AJ118" s="254">
        <f t="shared" si="100"/>
        <v>56452.852981723627</v>
      </c>
      <c r="AK118" s="255">
        <f t="shared" si="101"/>
        <v>312</v>
      </c>
      <c r="AL118" s="254">
        <f t="shared" si="102"/>
        <v>126024.33066697579</v>
      </c>
      <c r="AM118" s="255">
        <f t="shared" si="103"/>
        <v>687</v>
      </c>
      <c r="AN118" s="140">
        <f t="shared" si="104"/>
        <v>84896.967241252554</v>
      </c>
      <c r="AO118" s="140">
        <f t="shared" si="49"/>
        <v>9520.1880458211817</v>
      </c>
      <c r="AP118" s="141">
        <f t="shared" si="105"/>
        <v>459</v>
      </c>
      <c r="AQ118" s="141">
        <f t="shared" si="70"/>
        <v>0</v>
      </c>
      <c r="AR118" s="140">
        <f t="shared" si="106"/>
        <v>56452.852981723619</v>
      </c>
      <c r="AS118" s="140">
        <f t="shared" si="39"/>
        <v>37964.302305350117</v>
      </c>
      <c r="AT118" s="141">
        <f t="shared" si="107"/>
        <v>312</v>
      </c>
      <c r="AU118" s="231">
        <f t="shared" si="164"/>
        <v>147</v>
      </c>
      <c r="AV118" s="140">
        <f t="shared" si="108"/>
        <v>126024.33066697576</v>
      </c>
      <c r="AW118" s="140">
        <f t="shared" si="40"/>
        <v>-31607.175379902023</v>
      </c>
      <c r="AX118" s="141">
        <f t="shared" si="109"/>
        <v>687</v>
      </c>
      <c r="AY118" s="231">
        <f t="shared" si="56"/>
        <v>-228</v>
      </c>
      <c r="AZ118" s="140">
        <f t="shared" si="57"/>
        <v>6599.8101831985841</v>
      </c>
      <c r="BA118" s="140">
        <f t="shared" si="41"/>
        <v>4969.3239624775651</v>
      </c>
      <c r="BB118" s="217">
        <f t="shared" si="58"/>
        <v>94417.155287073736</v>
      </c>
      <c r="BC118" s="82">
        <f t="shared" si="59"/>
        <v>459</v>
      </c>
      <c r="BD118" s="141">
        <f t="shared" si="60"/>
        <v>30</v>
      </c>
      <c r="BE118" s="141">
        <f t="shared" si="61"/>
        <v>6599.8101831985841</v>
      </c>
      <c r="BF118" s="142">
        <f t="shared" si="71"/>
        <v>5.7769891973670107E-2</v>
      </c>
      <c r="BG118" s="142">
        <f t="shared" si="72"/>
        <v>0.82645844501424559</v>
      </c>
      <c r="BH118" s="143">
        <f t="shared" si="73"/>
        <v>5.4644808743169397E-2</v>
      </c>
      <c r="BI118" s="143">
        <f t="shared" si="86"/>
        <v>0.83606557377049173</v>
      </c>
      <c r="BJ118" s="217">
        <v>299641</v>
      </c>
      <c r="BK118" s="82">
        <v>1290</v>
      </c>
      <c r="BL118" s="141">
        <f t="shared" si="87"/>
        <v>80</v>
      </c>
      <c r="BM118" s="141">
        <f t="shared" si="88"/>
        <v>18809</v>
      </c>
      <c r="BN118" s="142">
        <f t="shared" si="74"/>
        <v>4.8322868388329956E-2</v>
      </c>
      <c r="BO118" s="142">
        <f t="shared" si="75"/>
        <v>0.76981831074206908</v>
      </c>
      <c r="BP118" s="143">
        <f t="shared" si="76"/>
        <v>4.8309178743961352E-2</v>
      </c>
      <c r="BQ118" s="143">
        <f t="shared" si="89"/>
        <v>0.77898550724637683</v>
      </c>
      <c r="BR118" s="217">
        <v>212186</v>
      </c>
      <c r="BS118" s="82">
        <v>1483</v>
      </c>
      <c r="BT118" s="141">
        <f t="shared" si="90"/>
        <v>64</v>
      </c>
      <c r="BU118" s="141">
        <f t="shared" si="91"/>
        <v>9067</v>
      </c>
      <c r="BV118" s="142">
        <f t="shared" si="77"/>
        <v>3.7907420104687527E-2</v>
      </c>
      <c r="BW118" s="142">
        <f t="shared" si="78"/>
        <v>0.88710972122347276</v>
      </c>
      <c r="BX118" s="143">
        <f t="shared" si="79"/>
        <v>3.8461538461538464E-2</v>
      </c>
      <c r="BY118" s="143">
        <f t="shared" si="92"/>
        <v>0.89122596153846156</v>
      </c>
      <c r="BZ118" s="142">
        <v>5.2043866179264674E-2</v>
      </c>
      <c r="CA118" s="142">
        <v>0.79369118120909754</v>
      </c>
      <c r="CB118" s="143">
        <v>4.8582995951417005E-2</v>
      </c>
      <c r="CC118" s="143">
        <v>0.81174089068825939</v>
      </c>
      <c r="CD118" s="142">
        <v>7.4557527505046989E-2</v>
      </c>
      <c r="CE118" s="142">
        <v>0.82024630901322371</v>
      </c>
      <c r="CF118" s="143">
        <v>5.3516819571865444E-2</v>
      </c>
      <c r="CG118" s="143">
        <v>0.83944954128440363</v>
      </c>
      <c r="CH118" s="142">
        <v>4.76249113116494E-2</v>
      </c>
      <c r="CI118" s="142">
        <f t="shared" si="62"/>
        <v>0.72441231140898665</v>
      </c>
      <c r="CJ118" s="143">
        <v>4.7619047619047616E-2</v>
      </c>
      <c r="CK118" s="143">
        <f>SUM(CJ$98:CJ118)</f>
        <v>0.71031746031746024</v>
      </c>
      <c r="CL118" s="144">
        <f>Vergleich!C22</f>
        <v>49576</v>
      </c>
      <c r="CM118" s="142">
        <v>4.6755954767824237E-2</v>
      </c>
      <c r="CN118" s="142">
        <f t="shared" si="63"/>
        <v>0.79518806640468365</v>
      </c>
      <c r="CO118" s="143">
        <v>4.8991354466858761E-2</v>
      </c>
      <c r="CP118" s="143">
        <f>SUM(CO$98:CO118)</f>
        <v>0.7694524495677233</v>
      </c>
      <c r="CQ118" s="144"/>
      <c r="CR118" s="14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</row>
    <row r="119" spans="1:115" s="145" customFormat="1" hidden="1" outlineLevel="1" x14ac:dyDescent="0.3">
      <c r="A119" s="191"/>
      <c r="B119" s="192"/>
      <c r="C119" s="192"/>
      <c r="D119" s="459">
        <v>20</v>
      </c>
      <c r="E119" s="475"/>
      <c r="F119" s="265"/>
      <c r="G119" s="438"/>
      <c r="H119" s="421"/>
      <c r="I119" s="212">
        <f t="shared" si="42"/>
        <v>44999.75</v>
      </c>
      <c r="J119" s="502">
        <f t="shared" si="43"/>
        <v>101023.2299937519</v>
      </c>
      <c r="K119" s="502">
        <f t="shared" si="44"/>
        <v>58231.286475241082</v>
      </c>
      <c r="L119" s="502">
        <f t="shared" si="45"/>
        <v>134557.19273931035</v>
      </c>
      <c r="M119" s="336"/>
      <c r="N119" s="503">
        <f t="shared" si="46"/>
        <v>58231.28647524109</v>
      </c>
      <c r="O119" s="503">
        <f t="shared" si="47"/>
        <v>134557.19273931038</v>
      </c>
      <c r="P119" s="326"/>
      <c r="Q119" s="326"/>
      <c r="R119" s="495"/>
      <c r="S119" s="183"/>
      <c r="T119" s="176"/>
      <c r="U119" s="131"/>
      <c r="V119" s="132">
        <v>20</v>
      </c>
      <c r="W119" s="133">
        <f t="shared" si="64"/>
        <v>3</v>
      </c>
      <c r="X119" s="134">
        <f t="shared" si="65"/>
        <v>44999</v>
      </c>
      <c r="Y119" s="135">
        <v>0.75</v>
      </c>
      <c r="Z119" s="136">
        <f t="shared" si="32"/>
        <v>44999.75</v>
      </c>
      <c r="AA119" s="137">
        <f t="shared" si="33"/>
        <v>20</v>
      </c>
      <c r="AB119" s="137">
        <f t="shared" si="66"/>
        <v>1</v>
      </c>
      <c r="AC119" s="364">
        <f t="shared" si="112"/>
        <v>101023.2299937519</v>
      </c>
      <c r="AD119" s="362">
        <f t="shared" si="113"/>
        <v>489</v>
      </c>
      <c r="AE119" s="365">
        <f t="shared" si="114"/>
        <v>30</v>
      </c>
      <c r="AF119" s="140">
        <f t="shared" si="68"/>
        <v>6606.0747066781623</v>
      </c>
      <c r="AG119" s="138">
        <f t="shared" si="34"/>
        <v>206.59147237986073</v>
      </c>
      <c r="AH119" s="139">
        <f t="shared" si="69"/>
        <v>220.20249022260541</v>
      </c>
      <c r="AI119" s="139">
        <f t="shared" si="163"/>
        <v>220.33077367716737</v>
      </c>
      <c r="AJ119" s="254">
        <f t="shared" si="100"/>
        <v>58231.28647524109</v>
      </c>
      <c r="AK119" s="255">
        <f t="shared" si="101"/>
        <v>326</v>
      </c>
      <c r="AL119" s="254">
        <f t="shared" si="102"/>
        <v>134557.19273931038</v>
      </c>
      <c r="AM119" s="255">
        <f t="shared" si="103"/>
        <v>735</v>
      </c>
      <c r="AN119" s="140">
        <f t="shared" si="104"/>
        <v>91324.186949281866</v>
      </c>
      <c r="AO119" s="140">
        <f t="shared" si="49"/>
        <v>9699.0430444700323</v>
      </c>
      <c r="AP119" s="141">
        <f t="shared" si="105"/>
        <v>489</v>
      </c>
      <c r="AQ119" s="141">
        <f t="shared" si="70"/>
        <v>0</v>
      </c>
      <c r="AR119" s="140">
        <f t="shared" si="106"/>
        <v>58231.286475241082</v>
      </c>
      <c r="AS119" s="140">
        <f t="shared" si="39"/>
        <v>42791.943518510816</v>
      </c>
      <c r="AT119" s="141">
        <f t="shared" si="107"/>
        <v>326</v>
      </c>
      <c r="AU119" s="231">
        <f t="shared" si="164"/>
        <v>163</v>
      </c>
      <c r="AV119" s="140">
        <f t="shared" si="108"/>
        <v>134557.19273931035</v>
      </c>
      <c r="AW119" s="140">
        <f t="shared" si="40"/>
        <v>-33533.962745558456</v>
      </c>
      <c r="AX119" s="141">
        <f t="shared" si="109"/>
        <v>735</v>
      </c>
      <c r="AY119" s="231">
        <f t="shared" si="56"/>
        <v>-246</v>
      </c>
      <c r="AZ119" s="140">
        <f t="shared" si="57"/>
        <v>6606.0747066781623</v>
      </c>
      <c r="BA119" s="140">
        <f t="shared" si="41"/>
        <v>5051.1614996875951</v>
      </c>
      <c r="BB119" s="217">
        <f t="shared" si="58"/>
        <v>101023.2299937519</v>
      </c>
      <c r="BC119" s="82">
        <f t="shared" si="59"/>
        <v>489</v>
      </c>
      <c r="BD119" s="141">
        <f t="shared" si="60"/>
        <v>30</v>
      </c>
      <c r="BE119" s="141">
        <f t="shared" si="61"/>
        <v>6606.0747066781623</v>
      </c>
      <c r="BF119" s="142">
        <f t="shared" si="71"/>
        <v>5.782472701204789E-2</v>
      </c>
      <c r="BG119" s="142">
        <f t="shared" si="72"/>
        <v>0.88428317202629347</v>
      </c>
      <c r="BH119" s="143">
        <f t="shared" si="73"/>
        <v>5.4644808743169397E-2</v>
      </c>
      <c r="BI119" s="143">
        <f t="shared" si="86"/>
        <v>0.89071038251366108</v>
      </c>
      <c r="BJ119" s="217">
        <v>330836</v>
      </c>
      <c r="BK119" s="82">
        <v>1421</v>
      </c>
      <c r="BL119" s="141">
        <f t="shared" si="87"/>
        <v>131</v>
      </c>
      <c r="BM119" s="141">
        <f t="shared" si="88"/>
        <v>31195</v>
      </c>
      <c r="BN119" s="142">
        <f t="shared" si="74"/>
        <v>8.0144179880586586E-2</v>
      </c>
      <c r="BO119" s="142">
        <f t="shared" si="75"/>
        <v>0.84996249062265561</v>
      </c>
      <c r="BP119" s="143">
        <f t="shared" si="76"/>
        <v>7.9106280193236719E-2</v>
      </c>
      <c r="BQ119" s="143">
        <f t="shared" si="89"/>
        <v>0.85809178743961356</v>
      </c>
      <c r="BR119" s="217">
        <v>220897</v>
      </c>
      <c r="BS119" s="82">
        <v>1545</v>
      </c>
      <c r="BT119" s="141">
        <f t="shared" si="90"/>
        <v>62</v>
      </c>
      <c r="BU119" s="141">
        <f t="shared" si="91"/>
        <v>8711</v>
      </c>
      <c r="BV119" s="142">
        <f t="shared" si="77"/>
        <v>3.6419051122966034E-2</v>
      </c>
      <c r="BW119" s="142">
        <f t="shared" si="78"/>
        <v>0.92352877234643882</v>
      </c>
      <c r="BX119" s="143">
        <f t="shared" si="79"/>
        <v>3.7259615384615384E-2</v>
      </c>
      <c r="BY119" s="143">
        <f t="shared" si="92"/>
        <v>0.92848557692307698</v>
      </c>
      <c r="BZ119" s="142">
        <v>8.3999066677036924E-2</v>
      </c>
      <c r="CA119" s="142">
        <v>0.87769024788613448</v>
      </c>
      <c r="CB119" s="143">
        <v>7.8947368421052627E-2</v>
      </c>
      <c r="CC119" s="143">
        <v>0.89068825910931204</v>
      </c>
      <c r="CD119" s="142">
        <v>6.2363690905700458E-2</v>
      </c>
      <c r="CE119" s="142">
        <v>0.88260999991892419</v>
      </c>
      <c r="CF119" s="143">
        <v>5.3516819571865444E-2</v>
      </c>
      <c r="CG119" s="143">
        <v>0.89296636085626913</v>
      </c>
      <c r="CH119" s="142">
        <v>3.9767563225265479E-2</v>
      </c>
      <c r="CI119" s="142">
        <f t="shared" si="62"/>
        <v>0.76417987463425208</v>
      </c>
      <c r="CJ119" s="143">
        <v>5.1587301587301584E-2</v>
      </c>
      <c r="CK119" s="143">
        <f>SUM(CJ$98:CJ119)</f>
        <v>0.76190476190476186</v>
      </c>
      <c r="CL119" s="144">
        <f>Vergleich!C23</f>
        <v>54612</v>
      </c>
      <c r="CM119" s="142">
        <v>8.077632528671097E-2</v>
      </c>
      <c r="CN119" s="142">
        <f t="shared" si="63"/>
        <v>0.87596439169139462</v>
      </c>
      <c r="CO119" s="143">
        <v>9.5100864553314124E-2</v>
      </c>
      <c r="CP119" s="143">
        <f>SUM(CO$98:CO119)</f>
        <v>0.86455331412103742</v>
      </c>
      <c r="CQ119" s="144"/>
      <c r="CR119" s="14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</row>
    <row r="120" spans="1:115" s="145" customFormat="1" hidden="1" outlineLevel="1" x14ac:dyDescent="0.3">
      <c r="A120" s="191"/>
      <c r="B120" s="192"/>
      <c r="C120" s="192"/>
      <c r="D120" s="460">
        <v>21</v>
      </c>
      <c r="E120" s="476"/>
      <c r="F120" s="266"/>
      <c r="G120" s="438"/>
      <c r="H120" s="421"/>
      <c r="I120" s="211">
        <f t="shared" si="42"/>
        <v>45000.75</v>
      </c>
      <c r="J120" s="504">
        <f t="shared" si="43"/>
        <v>114243.07641438194</v>
      </c>
      <c r="K120" s="290">
        <f>AR130</f>
        <v>68777.328912397046</v>
      </c>
      <c r="L120" s="304">
        <f t="shared" si="45"/>
        <v>152474.14603572545</v>
      </c>
      <c r="M120" s="505"/>
      <c r="N120" s="506">
        <f t="shared" si="46"/>
        <v>68777.328912397046</v>
      </c>
      <c r="O120" s="506">
        <f t="shared" si="47"/>
        <v>152474.14603572545</v>
      </c>
      <c r="P120" s="301"/>
      <c r="Q120" s="302"/>
      <c r="R120" s="449"/>
      <c r="S120" s="183"/>
      <c r="T120" s="176"/>
      <c r="U120" s="131"/>
      <c r="V120" s="132">
        <v>21</v>
      </c>
      <c r="W120" s="133">
        <f t="shared" si="64"/>
        <v>4</v>
      </c>
      <c r="X120" s="134">
        <f t="shared" si="65"/>
        <v>45000</v>
      </c>
      <c r="Y120" s="135">
        <v>0.75</v>
      </c>
      <c r="Z120" s="136">
        <f t="shared" si="32"/>
        <v>45000.75</v>
      </c>
      <c r="AA120" s="137">
        <f t="shared" si="33"/>
        <v>21</v>
      </c>
      <c r="AB120" s="137">
        <f t="shared" si="66"/>
        <v>1</v>
      </c>
      <c r="AC120" s="361">
        <f t="shared" ref="AC120" si="165">AC119+AE120*AI119</f>
        <v>114243.07641438194</v>
      </c>
      <c r="AD120" s="362">
        <f t="shared" ref="AD120" si="166">AD119+AE120</f>
        <v>549</v>
      </c>
      <c r="AE120" s="363">
        <f t="shared" ref="AE120" si="167">AP120-AP119</f>
        <v>60</v>
      </c>
      <c r="AF120" s="140">
        <f t="shared" si="68"/>
        <v>13219.846420630041</v>
      </c>
      <c r="AG120" s="138">
        <f t="shared" si="34"/>
        <v>208.09303536317293</v>
      </c>
      <c r="AH120" s="139">
        <f t="shared" si="69"/>
        <v>220.33077367716734</v>
      </c>
      <c r="AI120" s="139">
        <f t="shared" si="163"/>
        <v>220.36881701571636</v>
      </c>
      <c r="AJ120" s="254">
        <f t="shared" ref="AJ120" si="168">AJ119+AR120-AR119</f>
        <v>68777.328912397046</v>
      </c>
      <c r="AK120" s="255">
        <f t="shared" ref="AK120" si="169">AK119+AT120-AT119</f>
        <v>390</v>
      </c>
      <c r="AL120" s="254">
        <f t="shared" ref="AL120" si="170">AL119+AV120-AV119</f>
        <v>152474.14603572545</v>
      </c>
      <c r="AM120" s="255">
        <f t="shared" ref="AM120" si="171">AM119+AX120-AX119</f>
        <v>827</v>
      </c>
      <c r="AN120" s="140">
        <f t="shared" si="104"/>
        <v>103422.43371898499</v>
      </c>
      <c r="AO120" s="119">
        <f t="shared" si="49"/>
        <v>10820.642695396949</v>
      </c>
      <c r="AP120" s="141">
        <f t="shared" si="105"/>
        <v>549</v>
      </c>
      <c r="AQ120" s="272">
        <f t="shared" si="70"/>
        <v>0</v>
      </c>
      <c r="AR120" s="140">
        <f t="shared" si="106"/>
        <v>68777.328912397046</v>
      </c>
      <c r="AS120" s="119">
        <f t="shared" ref="AS120" si="172">AC120-AR120</f>
        <v>45465.747501984893</v>
      </c>
      <c r="AT120" s="141">
        <f t="shared" si="107"/>
        <v>390</v>
      </c>
      <c r="AU120" s="96">
        <f t="shared" si="164"/>
        <v>159</v>
      </c>
      <c r="AV120" s="140">
        <f t="shared" si="108"/>
        <v>152474.14603572545</v>
      </c>
      <c r="AW120" s="119">
        <f t="shared" ref="AW120" si="173">AC120-AV120</f>
        <v>-38231.069621343515</v>
      </c>
      <c r="AX120" s="141">
        <f t="shared" si="109"/>
        <v>827</v>
      </c>
      <c r="AY120" s="96">
        <f t="shared" si="56"/>
        <v>-278</v>
      </c>
      <c r="AZ120" s="140">
        <f t="shared" si="57"/>
        <v>13219.846420630041</v>
      </c>
      <c r="BA120" s="140">
        <f t="shared" si="41"/>
        <v>5440.1464959229497</v>
      </c>
      <c r="BB120" s="217">
        <f t="shared" si="58"/>
        <v>114243.07641438194</v>
      </c>
      <c r="BC120" s="82">
        <f t="shared" si="59"/>
        <v>549</v>
      </c>
      <c r="BD120" s="141">
        <f t="shared" si="60"/>
        <v>60</v>
      </c>
      <c r="BE120" s="141">
        <f t="shared" si="61"/>
        <v>13219.846420630041</v>
      </c>
      <c r="BF120" s="142">
        <f t="shared" si="71"/>
        <v>0.1157168279737065</v>
      </c>
      <c r="BG120" s="142">
        <f t="shared" si="72"/>
        <v>1</v>
      </c>
      <c r="BH120" s="143">
        <f t="shared" si="73"/>
        <v>0.10928961748633879</v>
      </c>
      <c r="BI120" s="143">
        <f t="shared" si="86"/>
        <v>0.99999999999999989</v>
      </c>
      <c r="BJ120" s="217">
        <v>389236</v>
      </c>
      <c r="BK120" s="82">
        <v>1656</v>
      </c>
      <c r="BL120" s="141">
        <f t="shared" si="87"/>
        <v>235</v>
      </c>
      <c r="BM120" s="141">
        <f t="shared" si="88"/>
        <v>58400</v>
      </c>
      <c r="BN120" s="142">
        <f t="shared" si="74"/>
        <v>0.15003750937734434</v>
      </c>
      <c r="BO120" s="142">
        <f t="shared" si="75"/>
        <v>1</v>
      </c>
      <c r="BP120" s="143">
        <f t="shared" si="76"/>
        <v>0.14190821256038647</v>
      </c>
      <c r="BQ120" s="143">
        <f t="shared" si="89"/>
        <v>1</v>
      </c>
      <c r="BR120" s="217">
        <v>239188</v>
      </c>
      <c r="BS120" s="82">
        <v>1664</v>
      </c>
      <c r="BT120" s="141">
        <f t="shared" si="90"/>
        <v>119</v>
      </c>
      <c r="BU120" s="141">
        <f t="shared" si="91"/>
        <v>18291</v>
      </c>
      <c r="BV120" s="142">
        <f t="shared" si="77"/>
        <v>7.6471227653561222E-2</v>
      </c>
      <c r="BW120" s="142">
        <f t="shared" si="78"/>
        <v>1</v>
      </c>
      <c r="BX120" s="143">
        <f t="shared" si="79"/>
        <v>7.1514423076923073E-2</v>
      </c>
      <c r="BY120" s="143">
        <f t="shared" si="92"/>
        <v>1</v>
      </c>
      <c r="BZ120" s="142">
        <v>0.1223097521138654</v>
      </c>
      <c r="CA120" s="142">
        <v>0.99999999999999989</v>
      </c>
      <c r="CB120" s="143">
        <v>0.11336032388663968</v>
      </c>
      <c r="CC120" s="143">
        <v>1.0040485829959518</v>
      </c>
      <c r="CD120" s="142">
        <v>0.11739000008107604</v>
      </c>
      <c r="CE120" s="142">
        <v>1.0000000000000002</v>
      </c>
      <c r="CF120" s="143">
        <v>0.10703363914373089</v>
      </c>
      <c r="CG120" s="143">
        <v>1</v>
      </c>
      <c r="CH120" s="142">
        <v>0.23582012536574781</v>
      </c>
      <c r="CI120" s="142">
        <f t="shared" si="62"/>
        <v>0.99999999999999989</v>
      </c>
      <c r="CJ120" s="143">
        <v>0.23809523809523808</v>
      </c>
      <c r="CK120" s="143">
        <f>SUM(CJ$98:CJ120)</f>
        <v>1</v>
      </c>
      <c r="CL120" s="144">
        <f>Vergleich!C24</f>
        <v>62345</v>
      </c>
      <c r="CM120" s="142">
        <v>0.12403560830860538</v>
      </c>
      <c r="CN120" s="142">
        <f t="shared" si="63"/>
        <v>1</v>
      </c>
      <c r="CO120" s="143">
        <v>0.13544668587896258</v>
      </c>
      <c r="CP120" s="143">
        <f>SUM(CO$98:CO120)</f>
        <v>1</v>
      </c>
      <c r="CQ120" s="144">
        <f>EM122</f>
        <v>0</v>
      </c>
      <c r="CR120" s="142"/>
      <c r="CS120" s="192"/>
      <c r="CT120" s="192"/>
      <c r="CU120" s="192"/>
      <c r="CV120" s="192"/>
      <c r="CW120" s="192"/>
      <c r="CX120" s="192"/>
      <c r="CY120" s="192"/>
      <c r="CZ120" s="192"/>
      <c r="DA120" s="192"/>
      <c r="DB120" s="192"/>
      <c r="DC120" s="192"/>
      <c r="DD120" s="192"/>
      <c r="DE120" s="192"/>
      <c r="DF120" s="192"/>
      <c r="DG120" s="192"/>
      <c r="DH120" s="192"/>
      <c r="DI120" s="192"/>
      <c r="DJ120" s="192"/>
      <c r="DK120" s="192"/>
    </row>
    <row r="121" spans="1:115" s="145" customFormat="1" hidden="1" outlineLevel="1" x14ac:dyDescent="0.3">
      <c r="A121" s="191"/>
      <c r="B121" s="192"/>
      <c r="C121" s="192"/>
      <c r="D121" s="459"/>
      <c r="E121" s="475"/>
      <c r="F121" s="265"/>
      <c r="G121" s="438"/>
      <c r="H121" s="421"/>
      <c r="I121" s="212"/>
      <c r="J121" s="241"/>
      <c r="K121" s="203"/>
      <c r="L121" s="205"/>
      <c r="M121" s="205"/>
      <c r="N121" s="239"/>
      <c r="O121" s="239"/>
      <c r="P121" s="303"/>
      <c r="Q121" s="303"/>
      <c r="R121" s="449"/>
      <c r="S121" s="183"/>
      <c r="T121" s="176"/>
      <c r="U121" s="131"/>
      <c r="V121" s="132"/>
      <c r="W121" s="133"/>
      <c r="X121" s="134"/>
      <c r="Y121" s="135"/>
      <c r="Z121" s="136"/>
      <c r="AA121" s="137"/>
      <c r="AB121" s="137"/>
      <c r="AC121" s="345"/>
      <c r="AD121" s="158"/>
      <c r="AE121" s="182">
        <f>SUM(AE98:AE120)</f>
        <v>549</v>
      </c>
      <c r="AF121" s="148">
        <f>SUM(AF98:AF120)</f>
        <v>114243.07641438194</v>
      </c>
      <c r="AG121" s="147"/>
      <c r="AH121" s="149">
        <f>AF121/AE121</f>
        <v>208.09303536317293</v>
      </c>
      <c r="AI121" s="149"/>
      <c r="AJ121" s="139"/>
      <c r="AK121" s="139"/>
      <c r="AL121" s="139"/>
      <c r="AM121" s="141"/>
      <c r="AN121" s="141"/>
      <c r="AO121" s="141"/>
      <c r="AP121" s="141"/>
      <c r="AQ121" s="141"/>
      <c r="AR121" s="140"/>
      <c r="AS121" s="119"/>
      <c r="AT121" s="141"/>
      <c r="AU121" s="96"/>
      <c r="AV121" s="140"/>
      <c r="AW121" s="119"/>
      <c r="AX121" s="141"/>
      <c r="AY121" s="96"/>
      <c r="AZ121" s="140"/>
      <c r="BA121" s="140"/>
      <c r="BB121" s="140"/>
      <c r="BC121" s="141"/>
      <c r="BD121" s="141"/>
      <c r="BE121" s="141"/>
      <c r="BF121" s="142"/>
      <c r="BG121" s="142"/>
      <c r="BH121" s="143"/>
      <c r="BI121" s="143"/>
      <c r="BJ121" s="140"/>
      <c r="BK121" s="141"/>
      <c r="BL121" s="141"/>
      <c r="BM121" s="141"/>
      <c r="BN121" s="142"/>
      <c r="BO121" s="142"/>
      <c r="BP121" s="143"/>
      <c r="BQ121" s="143"/>
      <c r="BR121" s="140"/>
      <c r="BS121" s="141"/>
      <c r="BT121" s="141"/>
      <c r="BU121" s="141"/>
      <c r="BV121" s="142"/>
      <c r="BW121" s="142"/>
      <c r="BX121" s="143"/>
      <c r="BY121" s="143"/>
      <c r="BZ121" s="142"/>
      <c r="CA121" s="142"/>
      <c r="CB121" s="143"/>
      <c r="CC121" s="143"/>
      <c r="CD121" s="142"/>
      <c r="CE121" s="142"/>
      <c r="CF121" s="143"/>
      <c r="CG121" s="143"/>
      <c r="CH121" s="142"/>
      <c r="CI121" s="142"/>
      <c r="CJ121" s="143"/>
      <c r="CK121" s="143"/>
      <c r="CL121" s="144"/>
      <c r="CM121" s="142"/>
      <c r="CN121" s="142"/>
      <c r="CO121" s="143"/>
      <c r="CP121" s="143"/>
      <c r="CQ121" s="144"/>
      <c r="CR121" s="14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</row>
    <row r="122" spans="1:115" s="145" customFormat="1" hidden="1" outlineLevel="1" x14ac:dyDescent="0.3">
      <c r="A122" s="192"/>
      <c r="B122" s="206"/>
      <c r="C122" s="192"/>
      <c r="D122" s="461"/>
      <c r="E122" s="468"/>
      <c r="F122" s="267"/>
      <c r="G122" s="439"/>
      <c r="H122" s="422"/>
      <c r="I122" s="196"/>
      <c r="J122" s="257" t="s">
        <v>7</v>
      </c>
      <c r="K122" s="210" t="s">
        <v>7</v>
      </c>
      <c r="L122" s="193" t="s">
        <v>7</v>
      </c>
      <c r="M122" s="268"/>
      <c r="N122" s="257" t="s">
        <v>231</v>
      </c>
      <c r="O122" s="257" t="s">
        <v>232</v>
      </c>
      <c r="P122" s="298"/>
      <c r="Q122" s="299"/>
      <c r="R122" s="449"/>
      <c r="S122" s="183"/>
      <c r="T122" s="177"/>
      <c r="U122" s="146"/>
      <c r="V122" s="146"/>
      <c r="W122" s="146"/>
      <c r="X122" s="146"/>
      <c r="Y122" s="146"/>
      <c r="Z122" s="146"/>
      <c r="AA122" s="131"/>
      <c r="AB122" s="146"/>
      <c r="AC122" s="356"/>
      <c r="AD122" s="147"/>
      <c r="AE122" s="242"/>
      <c r="AF122" s="148"/>
      <c r="AG122" s="147"/>
      <c r="AH122" s="139"/>
      <c r="AI122" s="139"/>
      <c r="AJ122" s="140"/>
      <c r="AK122" s="231"/>
      <c r="AL122" s="140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146"/>
      <c r="BB122" s="146"/>
      <c r="BC122" s="146"/>
      <c r="BD122" s="146"/>
      <c r="BE122" s="146"/>
      <c r="BF122" s="151">
        <f>X122/$AC$120</f>
        <v>0</v>
      </c>
      <c r="BG122" s="151"/>
      <c r="BH122" s="152">
        <f>W122/$AE$121</f>
        <v>0</v>
      </c>
      <c r="BI122" s="153"/>
      <c r="BJ122" s="146"/>
      <c r="BK122" s="146"/>
      <c r="BL122" s="146"/>
      <c r="BM122" s="146"/>
      <c r="BN122" s="151">
        <f>X122/$AC$120</f>
        <v>0</v>
      </c>
      <c r="BO122" s="151"/>
      <c r="BP122" s="152">
        <f>W122/$AE$121</f>
        <v>0</v>
      </c>
      <c r="BQ122" s="153"/>
      <c r="BR122" s="146"/>
      <c r="BS122" s="146"/>
      <c r="BT122" s="146"/>
      <c r="BU122" s="146"/>
      <c r="BV122" s="151">
        <f>AF121/$AC$120</f>
        <v>1</v>
      </c>
      <c r="BW122" s="151"/>
      <c r="BX122" s="152">
        <f>AE121/$AE$121</f>
        <v>1</v>
      </c>
      <c r="BY122" s="153"/>
      <c r="BZ122" s="151">
        <f>SUM(BZ98:BZ120)</f>
        <v>1.0000000000000002</v>
      </c>
      <c r="CA122" s="151"/>
      <c r="CB122" s="152">
        <f>SUM(CB98:CB120)</f>
        <v>1.0040485829959518</v>
      </c>
      <c r="CC122" s="153"/>
      <c r="CD122" s="151">
        <v>1.0000000000000002</v>
      </c>
      <c r="CE122" s="151"/>
      <c r="CF122" s="152">
        <v>1</v>
      </c>
      <c r="CG122" s="153"/>
      <c r="CH122" s="151">
        <f t="shared" ref="CH122:CJ122" si="174">SUM(CH98:CH120)</f>
        <v>0.99999999999999989</v>
      </c>
      <c r="CI122" s="151"/>
      <c r="CJ122" s="152">
        <f t="shared" si="174"/>
        <v>1</v>
      </c>
      <c r="CK122" s="153"/>
      <c r="CL122" s="154"/>
      <c r="CM122" s="151">
        <f t="shared" ref="CM122:CO122" si="175">SUM(CM98:CM120)</f>
        <v>1</v>
      </c>
      <c r="CN122" s="151"/>
      <c r="CO122" s="152">
        <f t="shared" si="175"/>
        <v>1</v>
      </c>
      <c r="CP122" s="153"/>
      <c r="CQ122" s="154">
        <v>285417</v>
      </c>
      <c r="CR122" s="151">
        <f>CQ122/$CQ$122</f>
        <v>1</v>
      </c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</row>
    <row r="123" spans="1:115" s="145" customFormat="1" hidden="1" outlineLevel="1" x14ac:dyDescent="0.3">
      <c r="A123" s="192"/>
      <c r="B123" s="206"/>
      <c r="C123" s="192"/>
      <c r="D123" s="459" t="s">
        <v>20</v>
      </c>
      <c r="E123" s="475"/>
      <c r="F123" s="265"/>
      <c r="G123" s="438"/>
      <c r="H123" s="421"/>
      <c r="I123" s="194" t="s">
        <v>6</v>
      </c>
      <c r="J123" s="257" t="s">
        <v>82</v>
      </c>
      <c r="K123" s="210" t="s">
        <v>80</v>
      </c>
      <c r="L123" s="193" t="s">
        <v>81</v>
      </c>
      <c r="M123" s="268"/>
      <c r="N123" s="257" t="s">
        <v>82</v>
      </c>
      <c r="O123" s="257" t="s">
        <v>82</v>
      </c>
      <c r="P123" s="298"/>
      <c r="Q123" s="299"/>
      <c r="R123" s="449"/>
      <c r="S123" s="183"/>
      <c r="T123" s="177"/>
      <c r="U123" s="146"/>
      <c r="V123" s="146"/>
      <c r="W123" s="146"/>
      <c r="X123" s="146"/>
      <c r="Y123" s="146"/>
      <c r="Z123" s="146"/>
      <c r="AA123" s="131"/>
      <c r="AB123" s="146"/>
      <c r="AC123" s="356"/>
      <c r="AD123" s="147"/>
      <c r="AE123" s="242"/>
      <c r="AF123" s="148"/>
      <c r="AG123" s="147"/>
      <c r="AH123" s="139"/>
      <c r="AI123" s="139"/>
      <c r="AJ123" s="139"/>
      <c r="AK123" s="139"/>
      <c r="AL123" s="139"/>
      <c r="AM123" s="139"/>
      <c r="AN123" s="147" t="s">
        <v>8</v>
      </c>
      <c r="AO123" s="231"/>
      <c r="AP123" s="147" t="s">
        <v>7</v>
      </c>
      <c r="AQ123" s="231"/>
      <c r="AR123" s="147" t="s">
        <v>8</v>
      </c>
      <c r="AS123" s="147"/>
      <c r="AT123" s="147" t="s">
        <v>7</v>
      </c>
      <c r="AU123" s="231"/>
      <c r="AV123" s="147" t="s">
        <v>8</v>
      </c>
      <c r="AW123" s="147"/>
      <c r="AX123" s="147" t="s">
        <v>7</v>
      </c>
      <c r="AY123" s="96"/>
      <c r="AZ123" s="147"/>
      <c r="BA123" s="43"/>
      <c r="BB123" s="606" t="s">
        <v>155</v>
      </c>
      <c r="BC123" s="608"/>
      <c r="BD123" s="608"/>
      <c r="BE123" s="608"/>
      <c r="BF123" s="608"/>
      <c r="BG123" s="608"/>
      <c r="BH123" s="608"/>
      <c r="BI123" s="607"/>
      <c r="BJ123" s="606" t="s">
        <v>153</v>
      </c>
      <c r="BK123" s="608"/>
      <c r="BL123" s="608"/>
      <c r="BM123" s="608"/>
      <c r="BN123" s="608"/>
      <c r="BO123" s="608"/>
      <c r="BP123" s="608"/>
      <c r="BQ123" s="607"/>
      <c r="BR123" s="606" t="s">
        <v>143</v>
      </c>
      <c r="BS123" s="608"/>
      <c r="BT123" s="608"/>
      <c r="BU123" s="608"/>
      <c r="BV123" s="608"/>
      <c r="BW123" s="608"/>
      <c r="BX123" s="608"/>
      <c r="BY123" s="607"/>
      <c r="BZ123" s="606" t="s">
        <v>101</v>
      </c>
      <c r="CA123" s="608"/>
      <c r="CB123" s="608"/>
      <c r="CC123" s="607"/>
      <c r="CD123" s="606" t="s">
        <v>35</v>
      </c>
      <c r="CE123" s="608"/>
      <c r="CF123" s="608"/>
      <c r="CG123" s="607"/>
      <c r="CH123" s="606" t="s">
        <v>37</v>
      </c>
      <c r="CI123" s="608"/>
      <c r="CJ123" s="608"/>
      <c r="CK123" s="607"/>
      <c r="CL123" s="606" t="s">
        <v>36</v>
      </c>
      <c r="CM123" s="608"/>
      <c r="CN123" s="608"/>
      <c r="CO123" s="608"/>
      <c r="CP123" s="607"/>
      <c r="CQ123" s="606" t="s">
        <v>38</v>
      </c>
      <c r="CR123" s="607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</row>
    <row r="124" spans="1:115" s="145" customFormat="1" hidden="1" outlineLevel="1" x14ac:dyDescent="0.3">
      <c r="A124" s="192"/>
      <c r="B124" s="206"/>
      <c r="C124" s="192"/>
      <c r="D124" s="460">
        <v>0</v>
      </c>
      <c r="E124" s="476"/>
      <c r="F124" s="266"/>
      <c r="G124" s="438"/>
      <c r="H124" s="421"/>
      <c r="I124" s="211">
        <f t="shared" ref="I124:I145" si="176">I99</f>
        <v>44979.75</v>
      </c>
      <c r="J124" s="220">
        <f>AD98</f>
        <v>0</v>
      </c>
      <c r="K124" s="220">
        <f>AT98</f>
        <v>0</v>
      </c>
      <c r="L124" s="220">
        <f>AX98</f>
        <v>0</v>
      </c>
      <c r="M124" s="220"/>
      <c r="N124" s="195">
        <f>AK98</f>
        <v>0</v>
      </c>
      <c r="O124" s="195">
        <f>AM98</f>
        <v>0</v>
      </c>
      <c r="P124" s="300"/>
      <c r="Q124" s="304"/>
      <c r="R124" s="449"/>
      <c r="S124" s="183"/>
      <c r="T124" s="177"/>
      <c r="U124" s="146"/>
      <c r="V124" s="146"/>
      <c r="W124" s="146"/>
      <c r="X124" s="146"/>
      <c r="Y124" s="146"/>
      <c r="Z124" s="146"/>
      <c r="AA124" s="131"/>
      <c r="AB124" s="146"/>
      <c r="AC124" s="356"/>
      <c r="AD124" s="147"/>
      <c r="AE124" s="43"/>
      <c r="AF124" s="43"/>
      <c r="AG124" s="43"/>
      <c r="AH124" s="43"/>
      <c r="AI124" s="43"/>
      <c r="AJ124" s="139"/>
      <c r="AK124" s="139"/>
      <c r="AL124" s="139"/>
      <c r="AM124" s="139"/>
      <c r="AN124" s="147" t="s">
        <v>173</v>
      </c>
      <c r="AO124" s="231"/>
      <c r="AP124" s="147" t="s">
        <v>173</v>
      </c>
      <c r="AQ124" s="231"/>
      <c r="AR124" s="147" t="s">
        <v>107</v>
      </c>
      <c r="AS124" s="96"/>
      <c r="AT124" s="150" t="s">
        <v>107</v>
      </c>
      <c r="AU124" s="96"/>
      <c r="AV124" s="147" t="s">
        <v>108</v>
      </c>
      <c r="AW124" s="63"/>
      <c r="AX124" s="150" t="s">
        <v>108</v>
      </c>
      <c r="AY124" s="231"/>
      <c r="AZ124" s="147"/>
      <c r="BA124" s="43"/>
      <c r="BB124" s="43"/>
      <c r="BC124" s="43"/>
      <c r="BD124" s="43"/>
      <c r="BE124" s="43"/>
      <c r="BF124" s="69" t="s">
        <v>159</v>
      </c>
      <c r="BG124" s="155" t="s">
        <v>160</v>
      </c>
      <c r="BH124" s="69" t="s">
        <v>161</v>
      </c>
      <c r="BI124" s="69" t="s">
        <v>162</v>
      </c>
      <c r="BJ124" s="43"/>
      <c r="BK124" s="43"/>
      <c r="BL124" s="43"/>
      <c r="BM124" s="43"/>
      <c r="BN124" s="69" t="s">
        <v>147</v>
      </c>
      <c r="BO124" s="155" t="s">
        <v>156</v>
      </c>
      <c r="BP124" s="69" t="s">
        <v>157</v>
      </c>
      <c r="BQ124" s="69" t="s">
        <v>158</v>
      </c>
      <c r="BR124" s="43"/>
      <c r="BS124" s="43"/>
      <c r="BT124" s="43"/>
      <c r="BU124" s="43"/>
      <c r="BV124" s="69" t="s">
        <v>132</v>
      </c>
      <c r="BW124" s="155" t="s">
        <v>144</v>
      </c>
      <c r="BX124" s="69" t="s">
        <v>145</v>
      </c>
      <c r="BY124" s="69" t="s">
        <v>146</v>
      </c>
      <c r="BZ124" s="69" t="s">
        <v>116</v>
      </c>
      <c r="CA124" s="155" t="s">
        <v>120</v>
      </c>
      <c r="CB124" s="69" t="s">
        <v>117</v>
      </c>
      <c r="CC124" s="69" t="s">
        <v>121</v>
      </c>
      <c r="CD124" s="69" t="s">
        <v>67</v>
      </c>
      <c r="CE124" s="69" t="s">
        <v>122</v>
      </c>
      <c r="CF124" s="69" t="s">
        <v>113</v>
      </c>
      <c r="CG124" s="69" t="s">
        <v>123</v>
      </c>
      <c r="CH124" s="69" t="s">
        <v>114</v>
      </c>
      <c r="CI124" s="156" t="s">
        <v>124</v>
      </c>
      <c r="CJ124" s="69" t="s">
        <v>115</v>
      </c>
      <c r="CK124" s="156" t="s">
        <v>125</v>
      </c>
      <c r="CL124" s="43"/>
      <c r="CM124" s="155" t="s">
        <v>118</v>
      </c>
      <c r="CN124" s="155" t="s">
        <v>126</v>
      </c>
      <c r="CO124" s="155" t="s">
        <v>119</v>
      </c>
      <c r="CP124" s="155" t="s">
        <v>127</v>
      </c>
      <c r="CQ124" s="45"/>
      <c r="CR124" s="43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</row>
    <row r="125" spans="1:115" s="145" customFormat="1" hidden="1" outlineLevel="1" x14ac:dyDescent="0.3">
      <c r="A125" s="192"/>
      <c r="B125" s="206"/>
      <c r="C125" s="192"/>
      <c r="D125" s="460">
        <v>1</v>
      </c>
      <c r="E125" s="476"/>
      <c r="F125" s="266"/>
      <c r="G125" s="438"/>
      <c r="H125" s="421"/>
      <c r="I125" s="211">
        <f t="shared" si="176"/>
        <v>44980.75</v>
      </c>
      <c r="J125" s="220">
        <f t="shared" ref="J125:J145" si="177">AD100</f>
        <v>170</v>
      </c>
      <c r="K125" s="220">
        <f t="shared" ref="K125:K145" si="178">AT100</f>
        <v>170</v>
      </c>
      <c r="L125" s="220">
        <f t="shared" ref="L125:L145" si="179">AX100</f>
        <v>170</v>
      </c>
      <c r="M125" s="271"/>
      <c r="N125" s="256">
        <f t="shared" ref="N125:N145" si="180">AK100</f>
        <v>170</v>
      </c>
      <c r="O125" s="256">
        <f t="shared" ref="O125:O145" si="181">AM100</f>
        <v>170</v>
      </c>
      <c r="P125" s="300"/>
      <c r="Q125" s="305"/>
      <c r="R125" s="449"/>
      <c r="S125" s="183"/>
      <c r="T125" s="177"/>
      <c r="U125" s="146"/>
      <c r="V125" s="146"/>
      <c r="W125" s="146"/>
      <c r="X125" s="146"/>
      <c r="Y125" s="146"/>
      <c r="Z125" s="146"/>
      <c r="AA125" s="131"/>
      <c r="AB125" s="148"/>
      <c r="AC125" s="347" t="s">
        <v>105</v>
      </c>
      <c r="AD125" s="43"/>
      <c r="AE125" s="43"/>
      <c r="AF125" s="43"/>
      <c r="AG125" s="43"/>
      <c r="AH125" s="43"/>
      <c r="AI125" s="43"/>
      <c r="AJ125" s="43"/>
      <c r="AK125" s="43"/>
      <c r="AL125" s="43"/>
      <c r="AM125" s="218" t="s">
        <v>105</v>
      </c>
      <c r="AN125" s="116">
        <f>AC100*Vergleich!AX9</f>
        <v>110590.35217845174</v>
      </c>
      <c r="AO125" s="218"/>
      <c r="AP125" s="273">
        <f>ROUND(AD100*Vergleich!AY9,)</f>
        <v>572</v>
      </c>
      <c r="AQ125" s="218"/>
      <c r="AR125" s="116">
        <f>AR100*Vergleich!BI8</f>
        <v>86628.517300941661</v>
      </c>
      <c r="AS125" s="218" t="s">
        <v>105</v>
      </c>
      <c r="AT125" s="273">
        <f>ROUND(AD100*Vergleich!BJ8,)</f>
        <v>453</v>
      </c>
      <c r="AU125" s="218"/>
      <c r="AV125" s="116">
        <f>AV100*Vergleich!BI9</f>
        <v>152474.14603572545</v>
      </c>
      <c r="AW125" s="116"/>
      <c r="AX125" s="273">
        <f>ROUND(AD100*Vergleich!BJ9,)</f>
        <v>826</v>
      </c>
      <c r="AY125" s="59"/>
      <c r="AZ125" s="147"/>
      <c r="BA125" s="43">
        <v>3</v>
      </c>
      <c r="BB125" s="43"/>
      <c r="BC125" s="43"/>
      <c r="BD125" s="43"/>
      <c r="BE125" s="43"/>
      <c r="BF125" s="83">
        <f t="shared" ref="BF125:BF143" si="182">BF102/SUM(BF$103:BF$120)</f>
        <v>7.1135467367422642E-2</v>
      </c>
      <c r="BG125" s="161">
        <f>BF125</f>
        <v>7.1135467367422642E-2</v>
      </c>
      <c r="BH125" s="83">
        <f t="shared" ref="BH125:BH143" si="183">BH102/SUM(BH$103:BH$120)</f>
        <v>1.4285714285714287E-2</v>
      </c>
      <c r="BI125" s="161">
        <f>BH125</f>
        <v>1.4285714285714287E-2</v>
      </c>
      <c r="BJ125" s="43"/>
      <c r="BK125" s="43"/>
      <c r="BL125" s="43"/>
      <c r="BM125" s="43"/>
      <c r="BN125" s="83">
        <f t="shared" ref="BN125:BN143" si="184">BN102/SUM(BN$103:BN$120)</f>
        <v>6.8660179722644835E-2</v>
      </c>
      <c r="BO125" s="161">
        <f>BN125</f>
        <v>6.8660179722644835E-2</v>
      </c>
      <c r="BP125" s="83">
        <f t="shared" ref="BP125:BP143" si="185">BP102/SUM(BP$103:BP$120)</f>
        <v>6.4625850340136071E-2</v>
      </c>
      <c r="BQ125" s="161">
        <f>BP125</f>
        <v>6.4625850340136071E-2</v>
      </c>
      <c r="BR125" s="43"/>
      <c r="BS125" s="43"/>
      <c r="BT125" s="43"/>
      <c r="BU125" s="276" t="s">
        <v>174</v>
      </c>
      <c r="BV125" s="270">
        <f>BV102/SUM(BV$102:BV$120)</f>
        <v>6.8027319567040792E-2</v>
      </c>
      <c r="BW125" s="161">
        <f>BV125</f>
        <v>6.8027319567040792E-2</v>
      </c>
      <c r="BX125" s="270">
        <f>BX102/SUM(BX$102:BX$120)</f>
        <v>7.1999999999999995E-2</v>
      </c>
      <c r="BY125" s="161">
        <f>BX125</f>
        <v>7.1999999999999995E-2</v>
      </c>
      <c r="BZ125" s="83"/>
      <c r="CA125" s="159"/>
      <c r="CB125" s="83"/>
      <c r="CC125" s="83"/>
      <c r="CD125" s="270">
        <f>CD102/SUM(CD$102:CD$120)</f>
        <v>3.2398800228055823E-2</v>
      </c>
      <c r="CE125" s="83"/>
      <c r="CF125" s="270">
        <f>CF102/SUM(CF$102:CF$120)</f>
        <v>3.5629453681710214E-2</v>
      </c>
      <c r="CG125" s="83"/>
      <c r="CH125" s="270">
        <f>CH102/SUM(CH$102:CH$120)</f>
        <v>3.6184400796569136E-2</v>
      </c>
      <c r="CI125" s="160">
        <f>CH125</f>
        <v>3.6184400796569136E-2</v>
      </c>
      <c r="CJ125" s="270">
        <f>CJ102/SUM(CJ$102:CJ$120)</f>
        <v>3.272727272727273E-2</v>
      </c>
      <c r="CK125" s="160">
        <f>CJ125</f>
        <v>3.272727272727273E-2</v>
      </c>
      <c r="CL125" s="43"/>
      <c r="CM125" s="159"/>
      <c r="CN125" s="159"/>
      <c r="CO125" s="159"/>
      <c r="CP125" s="159"/>
      <c r="CQ125" s="161"/>
      <c r="CR125" s="161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  <c r="DK125" s="192"/>
    </row>
    <row r="126" spans="1:115" s="124" customFormat="1" hidden="1" outlineLevel="1" x14ac:dyDescent="0.3">
      <c r="A126" s="195"/>
      <c r="B126" s="442"/>
      <c r="C126" s="195"/>
      <c r="D126" s="460">
        <v>2</v>
      </c>
      <c r="E126" s="476"/>
      <c r="F126" s="266"/>
      <c r="G126" s="266"/>
      <c r="H126" s="266"/>
      <c r="I126" s="211">
        <f t="shared" si="176"/>
        <v>44981.75</v>
      </c>
      <c r="J126" s="220">
        <f t="shared" si="177"/>
        <v>194</v>
      </c>
      <c r="K126" s="220">
        <f t="shared" si="178"/>
        <v>194</v>
      </c>
      <c r="L126" s="220">
        <f t="shared" si="179"/>
        <v>194</v>
      </c>
      <c r="M126" s="271"/>
      <c r="N126" s="256">
        <f t="shared" si="180"/>
        <v>194</v>
      </c>
      <c r="O126" s="256">
        <f t="shared" si="181"/>
        <v>194</v>
      </c>
      <c r="P126" s="300"/>
      <c r="Q126" s="305"/>
      <c r="R126" s="494"/>
      <c r="S126" s="183"/>
      <c r="T126" s="443"/>
      <c r="U126" s="218"/>
      <c r="V126" s="218"/>
      <c r="W126" s="218"/>
      <c r="X126" s="218"/>
      <c r="Y126" s="218"/>
      <c r="Z126" s="218"/>
      <c r="AA126" s="87"/>
      <c r="AB126" s="218"/>
      <c r="AC126" s="444" t="s">
        <v>106</v>
      </c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 t="s">
        <v>106</v>
      </c>
      <c r="AN126" s="116">
        <f>AC101*Vergleich!AX14</f>
        <v>95185.468670151662</v>
      </c>
      <c r="AO126" s="218"/>
      <c r="AP126" s="273">
        <f>ROUND(AD101*Vergleich!AY14,)</f>
        <v>546</v>
      </c>
      <c r="AQ126" s="218"/>
      <c r="AR126" s="116">
        <f>AR101*Vergleich!BI13</f>
        <v>68777.328912397046</v>
      </c>
      <c r="AS126" s="218" t="s">
        <v>106</v>
      </c>
      <c r="AT126" s="273">
        <f>ROUND(AD101*Vergleich!BJ13,)</f>
        <v>409</v>
      </c>
      <c r="AU126" s="218"/>
      <c r="AV126" s="116">
        <f>AV101*Vergleich!BI14</f>
        <v>132459.3608919525</v>
      </c>
      <c r="AW126" s="116"/>
      <c r="AX126" s="273">
        <f>ROUND(AD101*Vergleich!BJ14,)</f>
        <v>821</v>
      </c>
      <c r="AY126" s="218"/>
      <c r="AZ126" s="445"/>
      <c r="BA126" s="218">
        <v>4</v>
      </c>
      <c r="BB126" s="218"/>
      <c r="BC126" s="218"/>
      <c r="BD126" s="218"/>
      <c r="BE126" s="218"/>
      <c r="BF126" s="161">
        <f t="shared" si="182"/>
        <v>3.5328476838173667E-2</v>
      </c>
      <c r="BG126" s="161">
        <f>BF126</f>
        <v>3.5328476838173667E-2</v>
      </c>
      <c r="BH126" s="161">
        <f t="shared" si="183"/>
        <v>0.04</v>
      </c>
      <c r="BI126" s="161">
        <f>BH126</f>
        <v>0.04</v>
      </c>
      <c r="BJ126" s="218"/>
      <c r="BK126" s="218"/>
      <c r="BL126" s="218"/>
      <c r="BM126" s="218"/>
      <c r="BN126" s="161">
        <f t="shared" si="184"/>
        <v>3.1694084768086279E-2</v>
      </c>
      <c r="BO126" s="161">
        <f>BN126</f>
        <v>3.1694084768086279E-2</v>
      </c>
      <c r="BP126" s="161">
        <f t="shared" si="185"/>
        <v>3.4013605442176874E-2</v>
      </c>
      <c r="BQ126" s="161">
        <f>BP126</f>
        <v>3.4013605442176874E-2</v>
      </c>
      <c r="BR126" s="218"/>
      <c r="BS126" s="218"/>
      <c r="BT126" s="218"/>
      <c r="BU126" s="218"/>
      <c r="BV126" s="161">
        <f t="shared" ref="BV126:BV143" si="186">BV103/SUM(BV$103:BV$120)</f>
        <v>4.3584842588862506E-2</v>
      </c>
      <c r="BW126" s="161">
        <f>BV126</f>
        <v>4.3584842588862506E-2</v>
      </c>
      <c r="BX126" s="161">
        <f t="shared" ref="BX126:BX143" si="187">BX103/SUM(BX$103:BX$120)</f>
        <v>4.8029556650246309E-2</v>
      </c>
      <c r="BY126" s="161">
        <f>BX126</f>
        <v>4.8029556650246309E-2</v>
      </c>
      <c r="BZ126" s="161"/>
      <c r="CA126" s="161"/>
      <c r="CB126" s="161"/>
      <c r="CC126" s="161"/>
      <c r="CD126" s="161">
        <f t="shared" ref="CD126:CD143" si="188">CD103/SUM(CD$103:CD$120)</f>
        <v>3.4380283855100682E-2</v>
      </c>
      <c r="CE126" s="161"/>
      <c r="CF126" s="161">
        <f t="shared" ref="CF126:CF143" si="189">CF103/SUM(CF$103:CF$120)</f>
        <v>3.9408866995073892E-2</v>
      </c>
      <c r="CG126" s="161"/>
      <c r="CH126" s="161">
        <f t="shared" ref="CH126:CH143" si="190">CH103/SUM(CH$103:CH$120)</f>
        <v>5.1971879286694098E-2</v>
      </c>
      <c r="CI126" s="161">
        <f>CH126</f>
        <v>5.1971879286694098E-2</v>
      </c>
      <c r="CJ126" s="161">
        <f t="shared" ref="CJ126:CJ143" si="191">CJ103/SUM(CJ$103:CJ$120)</f>
        <v>4.3233082706766915E-2</v>
      </c>
      <c r="CK126" s="161">
        <f>CJ126</f>
        <v>4.3233082706766915E-2</v>
      </c>
      <c r="CL126" s="218"/>
      <c r="CM126" s="161"/>
      <c r="CN126" s="161"/>
      <c r="CO126" s="161"/>
      <c r="CP126" s="161"/>
      <c r="CQ126" s="161"/>
      <c r="CR126" s="161"/>
      <c r="CS126" s="195"/>
      <c r="CT126" s="195"/>
      <c r="CU126" s="195"/>
      <c r="CV126" s="195"/>
      <c r="CW126" s="195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  <c r="DI126" s="195"/>
      <c r="DJ126" s="195"/>
      <c r="DK126" s="195"/>
    </row>
    <row r="127" spans="1:115" s="145" customFormat="1" hidden="1" outlineLevel="1" x14ac:dyDescent="0.3">
      <c r="A127" s="192"/>
      <c r="B127" s="206"/>
      <c r="C127" s="192"/>
      <c r="D127" s="459">
        <v>3</v>
      </c>
      <c r="E127" s="475"/>
      <c r="F127" s="265"/>
      <c r="G127" s="438"/>
      <c r="H127" s="421"/>
      <c r="I127" s="212">
        <f t="shared" si="176"/>
        <v>44982.75</v>
      </c>
      <c r="J127" s="334">
        <f t="shared" si="177"/>
        <v>199</v>
      </c>
      <c r="K127" s="334">
        <f t="shared" si="178"/>
        <v>199</v>
      </c>
      <c r="L127" s="334">
        <f t="shared" si="179"/>
        <v>199</v>
      </c>
      <c r="M127" s="335"/>
      <c r="N127" s="316">
        <f t="shared" si="180"/>
        <v>199</v>
      </c>
      <c r="O127" s="316">
        <f t="shared" si="181"/>
        <v>199</v>
      </c>
      <c r="P127" s="326"/>
      <c r="Q127" s="336"/>
      <c r="R127" s="495"/>
      <c r="S127" s="183"/>
      <c r="T127" s="177"/>
      <c r="U127" s="146"/>
      <c r="V127" s="146"/>
      <c r="W127" s="146"/>
      <c r="X127" s="146"/>
      <c r="Y127" s="146"/>
      <c r="Z127" s="146"/>
      <c r="AA127" s="131"/>
      <c r="AB127" s="146"/>
      <c r="AC127" s="356" t="s">
        <v>128</v>
      </c>
      <c r="AD127" s="146"/>
      <c r="AE127" s="146"/>
      <c r="AF127" s="146"/>
      <c r="AG127" s="338"/>
      <c r="AH127" s="146"/>
      <c r="AI127" s="146"/>
      <c r="AJ127" s="146"/>
      <c r="AK127" s="146"/>
      <c r="AL127" s="146"/>
      <c r="AM127" s="146" t="s">
        <v>128</v>
      </c>
      <c r="AN127" s="140">
        <f>AC102*Vergleich!AX19</f>
        <v>104491.48030835156</v>
      </c>
      <c r="AO127" s="146"/>
      <c r="AP127" s="337">
        <f>ROUND(AD102*Vergleich!AY19,)</f>
        <v>526</v>
      </c>
      <c r="AQ127" s="146"/>
      <c r="AR127" s="140">
        <f>AR102*Vergleich!BI18</f>
        <v>74558.467731535507</v>
      </c>
      <c r="AS127" s="146" t="s">
        <v>128</v>
      </c>
      <c r="AT127" s="337">
        <f>ROUND(AD102*Vergleich!BJ18,)</f>
        <v>389</v>
      </c>
      <c r="AU127" s="146"/>
      <c r="AV127" s="140">
        <f>AV102*Vergleich!BI19</f>
        <v>134718.67686997849</v>
      </c>
      <c r="AW127" s="140"/>
      <c r="AX127" s="337">
        <f>ROUND(AD102*Vergleich!BJ19,)</f>
        <v>767</v>
      </c>
      <c r="AY127" s="146"/>
      <c r="AZ127" s="147"/>
      <c r="BA127" s="146">
        <v>5</v>
      </c>
      <c r="BB127" s="146"/>
      <c r="BC127" s="146"/>
      <c r="BD127" s="146"/>
      <c r="BE127" s="146"/>
      <c r="BF127" s="159">
        <f t="shared" si="182"/>
        <v>3.5328476838173667E-2</v>
      </c>
      <c r="BG127" s="159">
        <f t="shared" ref="BG127:BG143" si="192">BG126+BF127</f>
        <v>7.0656953676347334E-2</v>
      </c>
      <c r="BH127" s="159">
        <f t="shared" si="183"/>
        <v>0.04</v>
      </c>
      <c r="BI127" s="159">
        <f t="shared" ref="BI127:BI143" si="193">BI126+BH127</f>
        <v>0.08</v>
      </c>
      <c r="BJ127" s="146"/>
      <c r="BK127" s="146"/>
      <c r="BL127" s="146"/>
      <c r="BM127" s="146"/>
      <c r="BN127" s="159">
        <f t="shared" si="184"/>
        <v>2.9800539240903503E-2</v>
      </c>
      <c r="BO127" s="159">
        <f t="shared" ref="BO127:BO143" si="194">BO126+BN127</f>
        <v>6.1494624008989779E-2</v>
      </c>
      <c r="BP127" s="159">
        <f t="shared" si="185"/>
        <v>3.7414965986394565E-2</v>
      </c>
      <c r="BQ127" s="159">
        <f t="shared" ref="BQ127:BQ143" si="195">BQ126+BP127</f>
        <v>7.1428571428571438E-2</v>
      </c>
      <c r="BR127" s="146"/>
      <c r="BS127" s="146"/>
      <c r="BT127" s="146"/>
      <c r="BU127" s="146"/>
      <c r="BV127" s="159">
        <f t="shared" si="186"/>
        <v>3.1456513726868321E-2</v>
      </c>
      <c r="BW127" s="159">
        <f t="shared" ref="BW127:BW128" si="196">BW126+BV127</f>
        <v>7.5041356315730834E-2</v>
      </c>
      <c r="BX127" s="159">
        <f t="shared" si="187"/>
        <v>3.3251231527093604E-2</v>
      </c>
      <c r="BY127" s="159">
        <f t="shared" ref="BY127:BY128" si="197">BY126+BX127</f>
        <v>8.1280788177339913E-2</v>
      </c>
      <c r="BZ127" s="159"/>
      <c r="CA127" s="159"/>
      <c r="CB127" s="159"/>
      <c r="CC127" s="159"/>
      <c r="CD127" s="159">
        <f t="shared" si="188"/>
        <v>3.5943024030332532E-2</v>
      </c>
      <c r="CE127" s="159"/>
      <c r="CF127" s="159">
        <f t="shared" si="189"/>
        <v>3.9408866995073892E-2</v>
      </c>
      <c r="CG127" s="159"/>
      <c r="CH127" s="159">
        <f t="shared" si="190"/>
        <v>2.7023319615912211E-2</v>
      </c>
      <c r="CI127" s="159">
        <f t="shared" ref="CI127:CI128" si="198">CI126+CH127</f>
        <v>7.8995198902606312E-2</v>
      </c>
      <c r="CJ127" s="159">
        <f t="shared" si="191"/>
        <v>3.1954887218045111E-2</v>
      </c>
      <c r="CK127" s="159">
        <f t="shared" ref="CK127:CK128" si="199">CK126+CJ127</f>
        <v>7.5187969924812026E-2</v>
      </c>
      <c r="CL127" s="146"/>
      <c r="CM127" s="159"/>
      <c r="CN127" s="159"/>
      <c r="CO127" s="159"/>
      <c r="CP127" s="159"/>
      <c r="CQ127" s="159"/>
      <c r="CR127" s="159"/>
      <c r="CS127" s="192"/>
      <c r="CT127" s="192"/>
      <c r="CU127" s="192"/>
      <c r="CV127" s="192"/>
      <c r="CW127" s="192"/>
      <c r="CX127" s="192"/>
      <c r="CY127" s="192"/>
      <c r="CZ127" s="192"/>
      <c r="DA127" s="192"/>
      <c r="DB127" s="192"/>
      <c r="DC127" s="192"/>
      <c r="DD127" s="192"/>
      <c r="DE127" s="192"/>
      <c r="DF127" s="192"/>
      <c r="DG127" s="192"/>
      <c r="DH127" s="192"/>
      <c r="DI127" s="192"/>
      <c r="DJ127" s="192"/>
      <c r="DK127" s="192"/>
    </row>
    <row r="128" spans="1:115" s="145" customFormat="1" hidden="1" outlineLevel="1" x14ac:dyDescent="0.3">
      <c r="A128" s="192"/>
      <c r="B128" s="206"/>
      <c r="C128" s="192"/>
      <c r="D128" s="459">
        <v>4</v>
      </c>
      <c r="E128" s="475"/>
      <c r="F128" s="265"/>
      <c r="G128" s="438"/>
      <c r="H128" s="421"/>
      <c r="I128" s="212">
        <f t="shared" si="176"/>
        <v>44983.75</v>
      </c>
      <c r="J128" s="334">
        <f t="shared" si="177"/>
        <v>213</v>
      </c>
      <c r="K128" s="334">
        <f t="shared" si="178"/>
        <v>207</v>
      </c>
      <c r="L128" s="334">
        <f t="shared" si="179"/>
        <v>229</v>
      </c>
      <c r="M128" s="335"/>
      <c r="N128" s="316">
        <f t="shared" si="180"/>
        <v>207</v>
      </c>
      <c r="O128" s="316">
        <f t="shared" si="181"/>
        <v>229</v>
      </c>
      <c r="P128" s="326"/>
      <c r="Q128" s="336"/>
      <c r="R128" s="495"/>
      <c r="S128" s="183"/>
      <c r="T128" s="177"/>
      <c r="U128" s="146"/>
      <c r="V128" s="146"/>
      <c r="W128" s="146"/>
      <c r="X128" s="146"/>
      <c r="Y128" s="146"/>
      <c r="Z128" s="146"/>
      <c r="AA128" s="131"/>
      <c r="AB128" s="146"/>
      <c r="AC128" s="356" t="s">
        <v>129</v>
      </c>
      <c r="AD128" s="157">
        <f>ROUND(AVERAGE(AT130,AX130),)</f>
        <v>608</v>
      </c>
      <c r="AE128" s="146"/>
      <c r="AF128" s="146"/>
      <c r="AG128" s="338"/>
      <c r="AH128" s="146"/>
      <c r="AI128" s="146"/>
      <c r="AJ128" s="146"/>
      <c r="AK128" s="146"/>
      <c r="AL128" s="146"/>
      <c r="AM128" s="146" t="s">
        <v>137</v>
      </c>
      <c r="AN128" s="140">
        <f>AC103*Vergleich!AX24</f>
        <v>105583.16467589319</v>
      </c>
      <c r="AO128" s="146"/>
      <c r="AP128" s="337">
        <f>ROUND(AD103*Vergleich!AY24,)</f>
        <v>529</v>
      </c>
      <c r="AQ128" s="146"/>
      <c r="AR128" s="140">
        <f>AR103*Vergleich!BI23</f>
        <v>74567.012694200792</v>
      </c>
      <c r="AS128" s="146" t="s">
        <v>137</v>
      </c>
      <c r="AT128" s="337">
        <f>ROUND(AD103*Vergleich!BJ23,)</f>
        <v>398</v>
      </c>
      <c r="AU128" s="146"/>
      <c r="AV128" s="140">
        <f>AV103*Vergleich!BI24</f>
        <v>142553.84493160908</v>
      </c>
      <c r="AW128" s="140"/>
      <c r="AX128" s="337">
        <f>ROUND(AD103*Vergleich!BJ24,)</f>
        <v>778</v>
      </c>
      <c r="AY128" s="146"/>
      <c r="AZ128" s="147"/>
      <c r="BA128" s="146">
        <v>6</v>
      </c>
      <c r="BB128" s="146"/>
      <c r="BC128" s="146"/>
      <c r="BD128" s="146"/>
      <c r="BE128" s="146"/>
      <c r="BF128" s="159">
        <f t="shared" si="182"/>
        <v>3.0281551575577385E-2</v>
      </c>
      <c r="BG128" s="159">
        <f t="shared" si="192"/>
        <v>0.10093850525192472</v>
      </c>
      <c r="BH128" s="159">
        <f t="shared" si="183"/>
        <v>3.4285714285714287E-2</v>
      </c>
      <c r="BI128" s="159">
        <f t="shared" si="193"/>
        <v>0.1142857142857143</v>
      </c>
      <c r="BJ128" s="146"/>
      <c r="BK128" s="146"/>
      <c r="BL128" s="146"/>
      <c r="BM128" s="146"/>
      <c r="BN128" s="159">
        <f t="shared" si="184"/>
        <v>6.9156368916665753E-2</v>
      </c>
      <c r="BO128" s="159">
        <f t="shared" si="194"/>
        <v>0.13065099292565552</v>
      </c>
      <c r="BP128" s="159">
        <f t="shared" si="185"/>
        <v>7.4829931972789129E-2</v>
      </c>
      <c r="BQ128" s="159">
        <f t="shared" si="195"/>
        <v>0.14625850340136057</v>
      </c>
      <c r="BR128" s="146"/>
      <c r="BS128" s="146"/>
      <c r="BT128" s="146"/>
      <c r="BU128" s="146"/>
      <c r="BV128" s="159">
        <f t="shared" si="186"/>
        <v>3.7019259614807704E-2</v>
      </c>
      <c r="BW128" s="159">
        <f t="shared" si="196"/>
        <v>0.11206061593053854</v>
      </c>
      <c r="BX128" s="159">
        <f t="shared" si="187"/>
        <v>4.3103448275862079E-2</v>
      </c>
      <c r="BY128" s="159">
        <f t="shared" si="197"/>
        <v>0.12438423645320199</v>
      </c>
      <c r="BZ128" s="159"/>
      <c r="CA128" s="159"/>
      <c r="CB128" s="159"/>
      <c r="CC128" s="159"/>
      <c r="CD128" s="159">
        <f t="shared" si="188"/>
        <v>3.9273453911974177E-2</v>
      </c>
      <c r="CE128" s="159"/>
      <c r="CF128" s="159">
        <f t="shared" si="189"/>
        <v>3.4482758620689655E-2</v>
      </c>
      <c r="CG128" s="159"/>
      <c r="CH128" s="159">
        <f t="shared" si="190"/>
        <v>1.7429698216735255E-2</v>
      </c>
      <c r="CI128" s="159">
        <f t="shared" si="198"/>
        <v>9.6424897119341574E-2</v>
      </c>
      <c r="CJ128" s="159">
        <f t="shared" si="191"/>
        <v>1.8796992481203006E-2</v>
      </c>
      <c r="CK128" s="159">
        <f t="shared" si="199"/>
        <v>9.3984962406015032E-2</v>
      </c>
      <c r="CL128" s="146"/>
      <c r="CM128" s="159"/>
      <c r="CN128" s="159"/>
      <c r="CO128" s="159"/>
      <c r="CP128" s="159"/>
      <c r="CQ128" s="339"/>
      <c r="CR128" s="159">
        <f t="shared" ref="CR128:CR142" si="200">CR105/SUM($BZ$102:$BZ$120)</f>
        <v>0</v>
      </c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</row>
    <row r="129" spans="1:115" s="145" customFormat="1" hidden="1" outlineLevel="1" x14ac:dyDescent="0.3">
      <c r="A129" s="192"/>
      <c r="B129" s="206"/>
      <c r="C129" s="192"/>
      <c r="D129" s="459">
        <v>5</v>
      </c>
      <c r="E129" s="475"/>
      <c r="F129" s="265"/>
      <c r="G129" s="438"/>
      <c r="H129" s="421"/>
      <c r="I129" s="212">
        <f t="shared" si="176"/>
        <v>44984.75</v>
      </c>
      <c r="J129" s="334">
        <f t="shared" si="177"/>
        <v>227</v>
      </c>
      <c r="K129" s="334">
        <f t="shared" si="178"/>
        <v>213</v>
      </c>
      <c r="L129" s="334">
        <f t="shared" si="179"/>
        <v>250</v>
      </c>
      <c r="M129" s="335"/>
      <c r="N129" s="316">
        <f t="shared" si="180"/>
        <v>213</v>
      </c>
      <c r="O129" s="316">
        <f t="shared" si="181"/>
        <v>250</v>
      </c>
      <c r="P129" s="326"/>
      <c r="Q129" s="336"/>
      <c r="R129" s="495"/>
      <c r="S129" s="183"/>
      <c r="T129" s="177"/>
      <c r="U129" s="146"/>
      <c r="V129" s="146"/>
      <c r="W129" s="146"/>
      <c r="X129" s="146"/>
      <c r="Y129" s="146"/>
      <c r="Z129" s="146"/>
      <c r="AA129" s="131"/>
      <c r="AB129" s="146"/>
      <c r="AC129" s="356"/>
      <c r="AD129" s="38"/>
      <c r="AE129" s="38"/>
      <c r="AF129" s="38"/>
      <c r="AG129" s="38"/>
      <c r="AH129" s="146"/>
      <c r="AI129" s="146"/>
      <c r="AJ129" s="146"/>
      <c r="AK129" s="146"/>
      <c r="AL129" s="146"/>
      <c r="AM129" s="146" t="s">
        <v>138</v>
      </c>
      <c r="AN129" s="140">
        <f>AC104*Vergleich!AX29</f>
        <v>106303.0330895262</v>
      </c>
      <c r="AO129" s="146"/>
      <c r="AP129" s="337">
        <f>ROUND(AD104*Vergleich!AY9,)</f>
        <v>764</v>
      </c>
      <c r="AQ129" s="146"/>
      <c r="AR129" s="140">
        <f>AR104*Vergleich!BI28</f>
        <v>73988.364246430676</v>
      </c>
      <c r="AS129" s="146" t="s">
        <v>138</v>
      </c>
      <c r="AT129" s="337">
        <f>ROUND(AD104*Vergleich!BJ28,)</f>
        <v>411</v>
      </c>
      <c r="AU129" s="146"/>
      <c r="AV129" s="140">
        <f>AV104*Vergleich!BI29</f>
        <v>137902.34489636874</v>
      </c>
      <c r="AW129" s="140"/>
      <c r="AX129" s="337">
        <f>ROUND(AD104*Vergleich!BJ29,)</f>
        <v>710</v>
      </c>
      <c r="AY129" s="146"/>
      <c r="AZ129" s="147"/>
      <c r="BA129" s="146">
        <v>7</v>
      </c>
      <c r="BB129" s="146"/>
      <c r="BC129" s="146"/>
      <c r="BD129" s="146"/>
      <c r="BE129" s="146"/>
      <c r="BF129" s="159">
        <f t="shared" si="182"/>
        <v>3.0568488570309877E-2</v>
      </c>
      <c r="BG129" s="159">
        <f t="shared" si="192"/>
        <v>0.1315069938222346</v>
      </c>
      <c r="BH129" s="159">
        <f t="shared" si="183"/>
        <v>3.4285714285714287E-2</v>
      </c>
      <c r="BI129" s="159">
        <f t="shared" si="193"/>
        <v>0.14857142857142858</v>
      </c>
      <c r="BJ129" s="146"/>
      <c r="BK129" s="146"/>
      <c r="BL129" s="146"/>
      <c r="BM129" s="146"/>
      <c r="BN129" s="159">
        <f t="shared" si="184"/>
        <v>4.937812170499363E-2</v>
      </c>
      <c r="BO129" s="159">
        <f t="shared" si="194"/>
        <v>0.18002911463064913</v>
      </c>
      <c r="BP129" s="159">
        <f t="shared" si="185"/>
        <v>4.8469387755102046E-2</v>
      </c>
      <c r="BQ129" s="159">
        <f t="shared" si="195"/>
        <v>0.19472789115646261</v>
      </c>
      <c r="BR129" s="146"/>
      <c r="BS129" s="146"/>
      <c r="BT129" s="146"/>
      <c r="BU129" s="146"/>
      <c r="BV129" s="159">
        <f t="shared" si="186"/>
        <v>0.1003179936401272</v>
      </c>
      <c r="BW129" s="159">
        <f t="shared" ref="BW129:BW143" si="201">BW128+BV129</f>
        <v>0.21237860957066573</v>
      </c>
      <c r="BX129" s="159">
        <f t="shared" si="187"/>
        <v>0.1120689655172414</v>
      </c>
      <c r="BY129" s="159">
        <f t="shared" ref="BY129:BY143" si="202">BY128+BX129</f>
        <v>0.23645320197044339</v>
      </c>
      <c r="BZ129" s="159">
        <f t="shared" ref="BZ129:BZ143" si="203">BZ106/SUM(BZ$106:BZ$120)</f>
        <v>5.2208682406702213E-2</v>
      </c>
      <c r="CA129" s="159">
        <f t="shared" ref="CA129:CK143" si="204">CA128+BZ129</f>
        <v>5.2208682406702213E-2</v>
      </c>
      <c r="CB129" s="159">
        <f t="shared" ref="CB129:CB143" si="205">CB106/SUM(CB$106:CB$120)</f>
        <v>5.7971014492753631E-2</v>
      </c>
      <c r="CC129" s="159">
        <f t="shared" si="204"/>
        <v>5.7971014492753631E-2</v>
      </c>
      <c r="CD129" s="159">
        <f t="shared" si="188"/>
        <v>2.7565711943433935E-2</v>
      </c>
      <c r="CE129" s="159">
        <f t="shared" si="204"/>
        <v>2.7565711943433935E-2</v>
      </c>
      <c r="CF129" s="159">
        <f t="shared" si="189"/>
        <v>3.4482758620689655E-2</v>
      </c>
      <c r="CG129" s="159">
        <f t="shared" si="204"/>
        <v>3.4482758620689655E-2</v>
      </c>
      <c r="CH129" s="159">
        <f t="shared" si="190"/>
        <v>3.8365912208504799E-2</v>
      </c>
      <c r="CI129" s="159">
        <f t="shared" si="204"/>
        <v>0.13479080932784637</v>
      </c>
      <c r="CJ129" s="159">
        <f t="shared" si="191"/>
        <v>3.9473684210526314E-2</v>
      </c>
      <c r="CK129" s="159">
        <f t="shared" si="204"/>
        <v>0.13345864661654133</v>
      </c>
      <c r="CL129" s="146"/>
      <c r="CM129" s="159">
        <f t="shared" ref="CM129:CM143" si="206">CM106/SUM(CM$106:CM$120)</f>
        <v>4.0453562628852975E-2</v>
      </c>
      <c r="CN129" s="159">
        <f t="shared" ref="CN129:CN143" si="207">CN128+CM129</f>
        <v>4.0453562628852975E-2</v>
      </c>
      <c r="CO129" s="159">
        <f t="shared" ref="CO129:CO143" si="208">CO106/SUM(CO$106:CO$120)</f>
        <v>3.8793103448275877E-2</v>
      </c>
      <c r="CP129" s="159">
        <f t="shared" ref="CP129:CP143" si="209">CP128+CO129</f>
        <v>3.8793103448275877E-2</v>
      </c>
      <c r="CQ129" s="339"/>
      <c r="CR129" s="159">
        <f t="shared" si="200"/>
        <v>0</v>
      </c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  <c r="DK129" s="192"/>
    </row>
    <row r="130" spans="1:115" s="145" customFormat="1" hidden="1" outlineLevel="1" x14ac:dyDescent="0.3">
      <c r="A130" s="192"/>
      <c r="B130" s="206"/>
      <c r="C130" s="192"/>
      <c r="D130" s="459">
        <v>6</v>
      </c>
      <c r="E130" s="475"/>
      <c r="F130" s="265"/>
      <c r="G130" s="438"/>
      <c r="H130" s="421"/>
      <c r="I130" s="212">
        <f t="shared" si="176"/>
        <v>44985.75</v>
      </c>
      <c r="J130" s="334">
        <f t="shared" si="177"/>
        <v>239</v>
      </c>
      <c r="K130" s="334">
        <f t="shared" si="178"/>
        <v>217</v>
      </c>
      <c r="L130" s="334">
        <f t="shared" si="179"/>
        <v>277</v>
      </c>
      <c r="M130" s="335"/>
      <c r="N130" s="316">
        <f t="shared" si="180"/>
        <v>217</v>
      </c>
      <c r="O130" s="316">
        <f t="shared" si="181"/>
        <v>277</v>
      </c>
      <c r="P130" s="326"/>
      <c r="Q130" s="336"/>
      <c r="R130" s="495"/>
      <c r="S130" s="183"/>
      <c r="T130" s="177"/>
      <c r="U130" s="146"/>
      <c r="V130" s="146"/>
      <c r="W130" s="146"/>
      <c r="X130" s="146"/>
      <c r="Y130" s="146"/>
      <c r="Z130" s="146"/>
      <c r="AA130" s="131"/>
      <c r="AB130" s="146"/>
      <c r="AC130" s="356"/>
      <c r="AD130" s="38"/>
      <c r="AE130" s="38"/>
      <c r="AF130" s="38"/>
      <c r="AG130" s="38"/>
      <c r="AH130" s="146"/>
      <c r="AI130" s="146"/>
      <c r="AJ130" s="146"/>
      <c r="AK130" s="146"/>
      <c r="AL130" s="146"/>
      <c r="AM130" s="340" t="s">
        <v>166</v>
      </c>
      <c r="AN130" s="148">
        <f>AVERAGE(AN125:AN127)</f>
        <v>103422.43371898499</v>
      </c>
      <c r="AO130" s="340"/>
      <c r="AP130" s="158">
        <f>AVERAGE(AP125:AP127)</f>
        <v>548</v>
      </c>
      <c r="AQ130" s="340"/>
      <c r="AR130" s="148">
        <f>MIN(AR125:AR127)</f>
        <v>68777.328912397046</v>
      </c>
      <c r="AS130" s="341" t="s">
        <v>175</v>
      </c>
      <c r="AT130" s="158">
        <f>MIN(AT125:AT127)</f>
        <v>389</v>
      </c>
      <c r="AU130" s="146"/>
      <c r="AV130" s="148">
        <f>MAX(AV125:AV127)</f>
        <v>152474.14603572545</v>
      </c>
      <c r="AW130" s="146"/>
      <c r="AX130" s="158">
        <f>MAX(AX125:AX127)</f>
        <v>826</v>
      </c>
      <c r="AY130" s="146"/>
      <c r="AZ130" s="147"/>
      <c r="BA130" s="146">
        <v>8</v>
      </c>
      <c r="BB130" s="146"/>
      <c r="BC130" s="146"/>
      <c r="BD130" s="146"/>
      <c r="BE130" s="146"/>
      <c r="BF130" s="159">
        <f t="shared" si="182"/>
        <v>5.3326963470962406E-2</v>
      </c>
      <c r="BG130" s="159">
        <f t="shared" si="192"/>
        <v>0.18483395729319702</v>
      </c>
      <c r="BH130" s="159">
        <f t="shared" si="183"/>
        <v>4.2857142857142858E-2</v>
      </c>
      <c r="BI130" s="159">
        <f t="shared" si="193"/>
        <v>0.19142857142857145</v>
      </c>
      <c r="BJ130" s="146"/>
      <c r="BK130" s="146"/>
      <c r="BL130" s="146"/>
      <c r="BM130" s="146"/>
      <c r="BN130" s="159">
        <f t="shared" si="184"/>
        <v>6.7011080342516474E-2</v>
      </c>
      <c r="BO130" s="159">
        <f t="shared" si="194"/>
        <v>0.24704019497316559</v>
      </c>
      <c r="BP130" s="159">
        <f t="shared" si="185"/>
        <v>7.0578231292517016E-2</v>
      </c>
      <c r="BQ130" s="159">
        <f t="shared" si="195"/>
        <v>0.26530612244897961</v>
      </c>
      <c r="BR130" s="146"/>
      <c r="BS130" s="146"/>
      <c r="BT130" s="146"/>
      <c r="BU130" s="146"/>
      <c r="BV130" s="159">
        <f t="shared" si="186"/>
        <v>5.8773110252080672E-2</v>
      </c>
      <c r="BW130" s="159">
        <f t="shared" si="201"/>
        <v>0.27115171982274638</v>
      </c>
      <c r="BX130" s="159">
        <f t="shared" si="187"/>
        <v>4.9261083743842374E-2</v>
      </c>
      <c r="BY130" s="159">
        <f t="shared" si="202"/>
        <v>0.28571428571428575</v>
      </c>
      <c r="BZ130" s="159">
        <f t="shared" si="203"/>
        <v>6.7460015232292461E-2</v>
      </c>
      <c r="CA130" s="159">
        <f t="shared" si="204"/>
        <v>0.11966869763899468</v>
      </c>
      <c r="CB130" s="159">
        <f t="shared" si="205"/>
        <v>6.1594202898550728E-2</v>
      </c>
      <c r="CC130" s="159">
        <f t="shared" si="204"/>
        <v>0.11956521739130435</v>
      </c>
      <c r="CD130" s="159">
        <f t="shared" si="188"/>
        <v>3.6045498795921511E-2</v>
      </c>
      <c r="CE130" s="159">
        <f t="shared" si="204"/>
        <v>6.3611210739355439E-2</v>
      </c>
      <c r="CF130" s="159">
        <f t="shared" si="189"/>
        <v>4.1871921182266007E-2</v>
      </c>
      <c r="CG130" s="159">
        <f t="shared" si="204"/>
        <v>7.6354679802955655E-2</v>
      </c>
      <c r="CH130" s="159">
        <f t="shared" si="190"/>
        <v>2.709190672153635E-2</v>
      </c>
      <c r="CI130" s="159">
        <f t="shared" si="204"/>
        <v>0.16188271604938273</v>
      </c>
      <c r="CJ130" s="159">
        <f t="shared" si="191"/>
        <v>2.4436090225563908E-2</v>
      </c>
      <c r="CK130" s="159">
        <f t="shared" si="204"/>
        <v>0.15789473684210525</v>
      </c>
      <c r="CL130" s="146"/>
      <c r="CM130" s="159">
        <f t="shared" si="206"/>
        <v>6.2829989440337908E-2</v>
      </c>
      <c r="CN130" s="159">
        <f t="shared" si="207"/>
        <v>0.10328355206919088</v>
      </c>
      <c r="CO130" s="159">
        <f t="shared" si="208"/>
        <v>5.1724137931034468E-2</v>
      </c>
      <c r="CP130" s="159">
        <f t="shared" si="209"/>
        <v>9.0517241379310345E-2</v>
      </c>
      <c r="CQ130" s="339"/>
      <c r="CR130" s="159">
        <f t="shared" si="200"/>
        <v>0</v>
      </c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</row>
    <row r="131" spans="1:115" s="145" customFormat="1" hidden="1" outlineLevel="1" x14ac:dyDescent="0.3">
      <c r="A131" s="192"/>
      <c r="B131" s="206"/>
      <c r="C131" s="192"/>
      <c r="D131" s="459">
        <v>7</v>
      </c>
      <c r="E131" s="475"/>
      <c r="F131" s="265"/>
      <c r="G131" s="438"/>
      <c r="H131" s="421"/>
      <c r="I131" s="212">
        <f t="shared" si="176"/>
        <v>44986.75</v>
      </c>
      <c r="J131" s="334">
        <f t="shared" si="177"/>
        <v>251</v>
      </c>
      <c r="K131" s="334">
        <f t="shared" si="178"/>
        <v>225</v>
      </c>
      <c r="L131" s="334">
        <f t="shared" si="179"/>
        <v>347</v>
      </c>
      <c r="M131" s="335"/>
      <c r="N131" s="316">
        <f t="shared" si="180"/>
        <v>225</v>
      </c>
      <c r="O131" s="316">
        <f t="shared" si="181"/>
        <v>347</v>
      </c>
      <c r="P131" s="326"/>
      <c r="Q131" s="336"/>
      <c r="R131" s="495"/>
      <c r="S131" s="183"/>
      <c r="T131" s="177"/>
      <c r="U131" s="146"/>
      <c r="V131" s="146"/>
      <c r="W131" s="146"/>
      <c r="X131" s="146"/>
      <c r="Y131" s="146"/>
      <c r="Z131" s="146"/>
      <c r="AA131" s="131"/>
      <c r="AB131" s="146"/>
      <c r="AC131" s="356"/>
      <c r="AD131" s="38"/>
      <c r="AE131" s="38"/>
      <c r="AF131" s="38"/>
      <c r="AG131" s="38"/>
      <c r="AH131" s="146"/>
      <c r="AI131" s="146"/>
      <c r="AJ131" s="342"/>
      <c r="AK131" s="342"/>
      <c r="AL131" s="146"/>
      <c r="AM131" s="146"/>
      <c r="AN131" s="146"/>
      <c r="AO131" s="146"/>
      <c r="AP131" s="146"/>
      <c r="AQ131" s="146"/>
      <c r="AR131" s="342">
        <f>AR130/AT130</f>
        <v>176.80547278251169</v>
      </c>
      <c r="AS131" s="146"/>
      <c r="AT131" s="146"/>
      <c r="AU131" s="146"/>
      <c r="AV131" s="342">
        <f>AV130/AX130</f>
        <v>184.59339713768216</v>
      </c>
      <c r="AW131" s="38"/>
      <c r="AX131" s="146"/>
      <c r="AY131" s="146"/>
      <c r="AZ131" s="147"/>
      <c r="BA131" s="146">
        <v>9</v>
      </c>
      <c r="BB131" s="146"/>
      <c r="BC131" s="146"/>
      <c r="BD131" s="146"/>
      <c r="BE131" s="146"/>
      <c r="BF131" s="159">
        <f t="shared" si="182"/>
        <v>5.7933031390405031E-2</v>
      </c>
      <c r="BG131" s="159">
        <f t="shared" si="192"/>
        <v>0.24276698868360205</v>
      </c>
      <c r="BH131" s="159">
        <f t="shared" si="183"/>
        <v>0.06</v>
      </c>
      <c r="BI131" s="159">
        <f t="shared" si="193"/>
        <v>0.25142857142857145</v>
      </c>
      <c r="BJ131" s="146"/>
      <c r="BK131" s="146"/>
      <c r="BL131" s="146"/>
      <c r="BM131" s="146"/>
      <c r="BN131" s="159">
        <f t="shared" si="184"/>
        <v>4.4299479366191268E-2</v>
      </c>
      <c r="BO131" s="159">
        <f t="shared" si="194"/>
        <v>0.29133967433935687</v>
      </c>
      <c r="BP131" s="159">
        <f t="shared" si="185"/>
        <v>5.0170068027210885E-2</v>
      </c>
      <c r="BQ131" s="159">
        <f t="shared" si="195"/>
        <v>0.31547619047619047</v>
      </c>
      <c r="BR131" s="146"/>
      <c r="BS131" s="146"/>
      <c r="BT131" s="146"/>
      <c r="BU131" s="146"/>
      <c r="BV131" s="159">
        <f t="shared" si="186"/>
        <v>3.8467802072529977E-2</v>
      </c>
      <c r="BW131" s="159">
        <f t="shared" si="201"/>
        <v>0.30961952189527636</v>
      </c>
      <c r="BX131" s="159">
        <f t="shared" si="187"/>
        <v>3.4482758620689662E-2</v>
      </c>
      <c r="BY131" s="159">
        <f t="shared" si="202"/>
        <v>0.32019704433497542</v>
      </c>
      <c r="BZ131" s="159">
        <f t="shared" si="203"/>
        <v>4.1984006092916984E-2</v>
      </c>
      <c r="CA131" s="159">
        <f t="shared" si="204"/>
        <v>0.16165270373191165</v>
      </c>
      <c r="CB131" s="159">
        <f t="shared" si="205"/>
        <v>5.0724637681159424E-2</v>
      </c>
      <c r="CC131" s="159">
        <f t="shared" si="204"/>
        <v>0.17028985507246377</v>
      </c>
      <c r="CD131" s="159">
        <f t="shared" si="188"/>
        <v>5.7706102372290825E-2</v>
      </c>
      <c r="CE131" s="159">
        <f t="shared" si="204"/>
        <v>0.12131731311164626</v>
      </c>
      <c r="CF131" s="159">
        <f t="shared" si="189"/>
        <v>6.157635467980295E-2</v>
      </c>
      <c r="CG131" s="159">
        <f t="shared" si="204"/>
        <v>0.13793103448275862</v>
      </c>
      <c r="CH131" s="159">
        <f t="shared" si="190"/>
        <v>3.2698902606310011E-2</v>
      </c>
      <c r="CI131" s="159">
        <f t="shared" si="204"/>
        <v>0.19458161865569273</v>
      </c>
      <c r="CJ131" s="159">
        <f t="shared" si="191"/>
        <v>3.9473684210526314E-2</v>
      </c>
      <c r="CK131" s="159">
        <f t="shared" si="204"/>
        <v>0.19736842105263158</v>
      </c>
      <c r="CL131" s="146"/>
      <c r="CM131" s="159">
        <f t="shared" si="206"/>
        <v>2.9893900538039992E-2</v>
      </c>
      <c r="CN131" s="159">
        <f t="shared" si="207"/>
        <v>0.13317745260723088</v>
      </c>
      <c r="CO131" s="159">
        <f t="shared" si="208"/>
        <v>2.5862068965517276E-2</v>
      </c>
      <c r="CP131" s="159">
        <f t="shared" si="209"/>
        <v>0.11637931034482762</v>
      </c>
      <c r="CQ131" s="339"/>
      <c r="CR131" s="159">
        <f t="shared" si="200"/>
        <v>0</v>
      </c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</row>
    <row r="132" spans="1:115" s="145" customFormat="1" hidden="1" outlineLevel="1" x14ac:dyDescent="0.3">
      <c r="A132" s="192"/>
      <c r="B132" s="206"/>
      <c r="C132" s="192"/>
      <c r="D132" s="459">
        <v>8</v>
      </c>
      <c r="E132" s="475"/>
      <c r="F132" s="265"/>
      <c r="G132" s="438"/>
      <c r="H132" s="421"/>
      <c r="I132" s="212">
        <f t="shared" si="176"/>
        <v>44987.75</v>
      </c>
      <c r="J132" s="334">
        <f t="shared" si="177"/>
        <v>266</v>
      </c>
      <c r="K132" s="334">
        <f t="shared" si="178"/>
        <v>230</v>
      </c>
      <c r="L132" s="334">
        <f t="shared" si="179"/>
        <v>378</v>
      </c>
      <c r="M132" s="335"/>
      <c r="N132" s="316">
        <f t="shared" si="180"/>
        <v>230</v>
      </c>
      <c r="O132" s="316">
        <f t="shared" si="181"/>
        <v>378</v>
      </c>
      <c r="P132" s="326"/>
      <c r="Q132" s="336"/>
      <c r="R132" s="495"/>
      <c r="S132" s="183"/>
      <c r="T132" s="177"/>
      <c r="U132" s="146"/>
      <c r="V132" s="146"/>
      <c r="W132" s="146"/>
      <c r="X132" s="146"/>
      <c r="Y132" s="146"/>
      <c r="Z132" s="146"/>
      <c r="AA132" s="131"/>
      <c r="AB132" s="146"/>
      <c r="AC132" s="356"/>
      <c r="AD132" s="146"/>
      <c r="AE132" s="146"/>
      <c r="AF132" s="146"/>
      <c r="AG132" s="146"/>
      <c r="AH132" s="146"/>
      <c r="AI132" s="146"/>
      <c r="AJ132" s="342"/>
      <c r="AK132" s="146"/>
      <c r="AL132" s="342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7"/>
      <c r="BA132" s="146">
        <v>10</v>
      </c>
      <c r="BB132" s="146"/>
      <c r="BC132" s="146"/>
      <c r="BD132" s="146"/>
      <c r="BE132" s="146"/>
      <c r="BF132" s="159">
        <f t="shared" si="182"/>
        <v>4.4851570128741275E-2</v>
      </c>
      <c r="BG132" s="159">
        <f t="shared" si="192"/>
        <v>0.28761855881234333</v>
      </c>
      <c r="BH132" s="159">
        <f t="shared" si="183"/>
        <v>4.5714285714285714E-2</v>
      </c>
      <c r="BI132" s="159">
        <f t="shared" si="193"/>
        <v>0.29714285714285715</v>
      </c>
      <c r="BJ132" s="146"/>
      <c r="BK132" s="146"/>
      <c r="BL132" s="146"/>
      <c r="BM132" s="146"/>
      <c r="BN132" s="159">
        <f t="shared" si="184"/>
        <v>3.2387290259733151E-2</v>
      </c>
      <c r="BO132" s="159">
        <f t="shared" si="194"/>
        <v>0.32372696459909001</v>
      </c>
      <c r="BP132" s="159">
        <f t="shared" si="185"/>
        <v>3.5714285714285719E-2</v>
      </c>
      <c r="BQ132" s="159">
        <f t="shared" si="195"/>
        <v>0.35119047619047616</v>
      </c>
      <c r="BR132" s="146"/>
      <c r="BS132" s="146"/>
      <c r="BT132" s="146"/>
      <c r="BU132" s="146"/>
      <c r="BV132" s="159">
        <f t="shared" si="186"/>
        <v>3.9016362529892261E-2</v>
      </c>
      <c r="BW132" s="159">
        <f t="shared" si="201"/>
        <v>0.34863588442516863</v>
      </c>
      <c r="BX132" s="159">
        <f t="shared" si="187"/>
        <v>3.4482758620689662E-2</v>
      </c>
      <c r="BY132" s="159">
        <f t="shared" si="202"/>
        <v>0.35467980295566509</v>
      </c>
      <c r="BZ132" s="159">
        <f t="shared" si="203"/>
        <v>5.4874333587204879E-2</v>
      </c>
      <c r="CA132" s="159">
        <f t="shared" si="204"/>
        <v>0.21652703731911654</v>
      </c>
      <c r="CB132" s="159">
        <f t="shared" si="205"/>
        <v>5.4347826086956527E-2</v>
      </c>
      <c r="CC132" s="159">
        <f t="shared" si="204"/>
        <v>0.22463768115942029</v>
      </c>
      <c r="CD132" s="159">
        <f t="shared" si="188"/>
        <v>4.2911308090382745E-2</v>
      </c>
      <c r="CE132" s="159">
        <f t="shared" si="204"/>
        <v>0.164228621202029</v>
      </c>
      <c r="CF132" s="159">
        <f t="shared" si="189"/>
        <v>4.6798029556650245E-2</v>
      </c>
      <c r="CG132" s="159">
        <f t="shared" si="204"/>
        <v>0.18472906403940886</v>
      </c>
      <c r="CH132" s="159">
        <f t="shared" si="190"/>
        <v>4.0552126200274347E-2</v>
      </c>
      <c r="CI132" s="159">
        <f t="shared" si="204"/>
        <v>0.23513374485596708</v>
      </c>
      <c r="CJ132" s="159">
        <f t="shared" si="191"/>
        <v>3.9473684210526314E-2</v>
      </c>
      <c r="CK132" s="159">
        <f t="shared" si="204"/>
        <v>0.23684210526315791</v>
      </c>
      <c r="CL132" s="146"/>
      <c r="CM132" s="159">
        <f t="shared" si="206"/>
        <v>9.3503293608890273E-2</v>
      </c>
      <c r="CN132" s="159">
        <f t="shared" si="207"/>
        <v>0.22668074621612117</v>
      </c>
      <c r="CO132" s="159">
        <f t="shared" si="208"/>
        <v>8.1896551724137859E-2</v>
      </c>
      <c r="CP132" s="159">
        <f t="shared" si="209"/>
        <v>0.19827586206896547</v>
      </c>
      <c r="CQ132" s="339"/>
      <c r="CR132" s="159">
        <f t="shared" si="200"/>
        <v>0</v>
      </c>
      <c r="CS132" s="192"/>
      <c r="CT132" s="192"/>
      <c r="CU132" s="192"/>
      <c r="CV132" s="192"/>
      <c r="CW132" s="192"/>
      <c r="CX132" s="192"/>
      <c r="CY132" s="192"/>
      <c r="CZ132" s="192"/>
      <c r="DA132" s="192"/>
      <c r="DB132" s="192"/>
      <c r="DC132" s="192"/>
      <c r="DD132" s="192"/>
      <c r="DE132" s="192"/>
      <c r="DF132" s="192"/>
      <c r="DG132" s="192"/>
      <c r="DH132" s="192"/>
      <c r="DI132" s="192"/>
      <c r="DJ132" s="192"/>
      <c r="DK132" s="192"/>
    </row>
    <row r="133" spans="1:115" s="145" customFormat="1" hidden="1" outlineLevel="1" x14ac:dyDescent="0.3">
      <c r="A133" s="192"/>
      <c r="B133" s="206"/>
      <c r="C133" s="192"/>
      <c r="D133" s="459">
        <v>9</v>
      </c>
      <c r="E133" s="475"/>
      <c r="F133" s="265"/>
      <c r="G133" s="438"/>
      <c r="H133" s="421"/>
      <c r="I133" s="212">
        <f t="shared" si="176"/>
        <v>44988.75</v>
      </c>
      <c r="J133" s="334">
        <f t="shared" si="177"/>
        <v>287</v>
      </c>
      <c r="K133" s="334">
        <f t="shared" si="178"/>
        <v>238</v>
      </c>
      <c r="L133" s="334">
        <f t="shared" si="179"/>
        <v>400</v>
      </c>
      <c r="M133" s="335"/>
      <c r="N133" s="316">
        <f t="shared" si="180"/>
        <v>238</v>
      </c>
      <c r="O133" s="316">
        <f t="shared" si="181"/>
        <v>400</v>
      </c>
      <c r="P133" s="326"/>
      <c r="Q133" s="336"/>
      <c r="R133" s="495"/>
      <c r="S133" s="183"/>
      <c r="T133" s="177"/>
      <c r="U133" s="146"/>
      <c r="V133" s="146"/>
      <c r="W133" s="146"/>
      <c r="X133" s="146"/>
      <c r="Y133" s="146"/>
      <c r="Z133" s="146"/>
      <c r="AA133" s="131"/>
      <c r="AB133" s="146"/>
      <c r="AC133" s="356"/>
      <c r="AD133" s="146"/>
      <c r="AE133" s="146"/>
      <c r="AF133" s="146"/>
      <c r="AG133" s="338"/>
      <c r="AH133" s="146"/>
      <c r="AI133" s="146"/>
      <c r="AJ133" s="342"/>
      <c r="AK133" s="146"/>
      <c r="AL133" s="342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7"/>
      <c r="BA133" s="146">
        <v>11</v>
      </c>
      <c r="BB133" s="146"/>
      <c r="BC133" s="146"/>
      <c r="BD133" s="146"/>
      <c r="BE133" s="146"/>
      <c r="BF133" s="159">
        <f t="shared" si="182"/>
        <v>4.2821369434736023E-2</v>
      </c>
      <c r="BG133" s="159">
        <f t="shared" si="192"/>
        <v>0.33043992824707935</v>
      </c>
      <c r="BH133" s="159">
        <f t="shared" si="183"/>
        <v>4.2857142857142858E-2</v>
      </c>
      <c r="BI133" s="159">
        <f t="shared" si="193"/>
        <v>0.34</v>
      </c>
      <c r="BJ133" s="146"/>
      <c r="BK133" s="146"/>
      <c r="BL133" s="146"/>
      <c r="BM133" s="146"/>
      <c r="BN133" s="159">
        <f t="shared" si="184"/>
        <v>3.2533228257974597E-2</v>
      </c>
      <c r="BO133" s="159">
        <f t="shared" si="194"/>
        <v>0.35626019285706462</v>
      </c>
      <c r="BP133" s="159">
        <f t="shared" si="185"/>
        <v>3.5714285714285719E-2</v>
      </c>
      <c r="BQ133" s="159">
        <f t="shared" si="195"/>
        <v>0.38690476190476186</v>
      </c>
      <c r="BR133" s="146"/>
      <c r="BS133" s="146"/>
      <c r="BT133" s="146"/>
      <c r="BU133" s="146"/>
      <c r="BV133" s="159">
        <f t="shared" si="186"/>
        <v>2.752230669672321E-2</v>
      </c>
      <c r="BW133" s="159">
        <f t="shared" si="201"/>
        <v>0.37615819112189186</v>
      </c>
      <c r="BX133" s="159">
        <f t="shared" si="187"/>
        <v>2.8325123152709363E-2</v>
      </c>
      <c r="BY133" s="159">
        <f t="shared" si="202"/>
        <v>0.38300492610837444</v>
      </c>
      <c r="BZ133" s="159">
        <f t="shared" si="203"/>
        <v>2.7246763137852247E-2</v>
      </c>
      <c r="CA133" s="159">
        <f t="shared" si="204"/>
        <v>0.24377380045696878</v>
      </c>
      <c r="CB133" s="159">
        <f t="shared" si="205"/>
        <v>3.2608695652173912E-2</v>
      </c>
      <c r="CC133" s="159">
        <f t="shared" si="204"/>
        <v>0.25724637681159418</v>
      </c>
      <c r="CD133" s="159">
        <f t="shared" si="188"/>
        <v>3.8658605318440335E-2</v>
      </c>
      <c r="CE133" s="159">
        <f t="shared" si="204"/>
        <v>0.20288722652046934</v>
      </c>
      <c r="CF133" s="159">
        <f t="shared" si="189"/>
        <v>4.1871921182266007E-2</v>
      </c>
      <c r="CG133" s="159">
        <f t="shared" si="204"/>
        <v>0.22660098522167488</v>
      </c>
      <c r="CH133" s="159">
        <f t="shared" si="190"/>
        <v>1.4874828532235939E-2</v>
      </c>
      <c r="CI133" s="159">
        <f t="shared" si="204"/>
        <v>0.25000857338820304</v>
      </c>
      <c r="CJ133" s="159">
        <f t="shared" si="191"/>
        <v>1.1278195488721804E-2</v>
      </c>
      <c r="CK133" s="159">
        <f t="shared" si="204"/>
        <v>0.24812030075187971</v>
      </c>
      <c r="CL133" s="146"/>
      <c r="CM133" s="159">
        <f t="shared" si="206"/>
        <v>7.8342635892794193E-2</v>
      </c>
      <c r="CN133" s="159">
        <f t="shared" si="207"/>
        <v>0.30502338210891533</v>
      </c>
      <c r="CO133" s="159">
        <f t="shared" si="208"/>
        <v>7.3275862068965553E-2</v>
      </c>
      <c r="CP133" s="159">
        <f t="shared" si="209"/>
        <v>0.27155172413793105</v>
      </c>
      <c r="CQ133" s="339"/>
      <c r="CR133" s="159">
        <f t="shared" si="200"/>
        <v>0</v>
      </c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</row>
    <row r="134" spans="1:115" s="145" customFormat="1" hidden="1" outlineLevel="1" x14ac:dyDescent="0.3">
      <c r="A134" s="192"/>
      <c r="B134" s="206"/>
      <c r="C134" s="192"/>
      <c r="D134" s="459">
        <v>10</v>
      </c>
      <c r="E134" s="475"/>
      <c r="F134" s="265"/>
      <c r="G134" s="438"/>
      <c r="H134" s="421"/>
      <c r="I134" s="212">
        <f t="shared" si="176"/>
        <v>44989.75</v>
      </c>
      <c r="J134" s="334">
        <f t="shared" si="177"/>
        <v>303</v>
      </c>
      <c r="K134" s="334">
        <f t="shared" si="178"/>
        <v>246</v>
      </c>
      <c r="L134" s="334">
        <f t="shared" si="179"/>
        <v>422</v>
      </c>
      <c r="M134" s="335"/>
      <c r="N134" s="316">
        <f t="shared" si="180"/>
        <v>246</v>
      </c>
      <c r="O134" s="316">
        <f t="shared" si="181"/>
        <v>422</v>
      </c>
      <c r="P134" s="326"/>
      <c r="Q134" s="336"/>
      <c r="R134" s="495"/>
      <c r="S134" s="183"/>
      <c r="T134" s="177"/>
      <c r="U134" s="146"/>
      <c r="V134" s="146"/>
      <c r="W134" s="146"/>
      <c r="X134" s="146"/>
      <c r="Y134" s="146"/>
      <c r="Z134" s="146"/>
      <c r="AA134" s="131"/>
      <c r="AB134" s="146"/>
      <c r="AC134" s="356"/>
      <c r="AD134" s="146"/>
      <c r="AE134" s="146"/>
      <c r="AF134" s="146"/>
      <c r="AG134" s="338"/>
      <c r="AH134" s="146"/>
      <c r="AI134" s="146"/>
      <c r="AJ134" s="342"/>
      <c r="AK134" s="146"/>
      <c r="AL134" s="342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7"/>
      <c r="BA134" s="146">
        <v>12</v>
      </c>
      <c r="BB134" s="146"/>
      <c r="BC134" s="146"/>
      <c r="BD134" s="146"/>
      <c r="BE134" s="146"/>
      <c r="BF134" s="159">
        <f t="shared" si="182"/>
        <v>2.3240650429889098E-2</v>
      </c>
      <c r="BG134" s="159">
        <f t="shared" si="192"/>
        <v>0.35368057867696845</v>
      </c>
      <c r="BH134" s="159">
        <f t="shared" si="183"/>
        <v>2.2857142857142857E-2</v>
      </c>
      <c r="BI134" s="159">
        <f t="shared" si="193"/>
        <v>0.36285714285714288</v>
      </c>
      <c r="BJ134" s="146"/>
      <c r="BK134" s="146"/>
      <c r="BL134" s="146"/>
      <c r="BM134" s="146"/>
      <c r="BN134" s="159">
        <f t="shared" si="184"/>
        <v>3.3091441101248134E-2</v>
      </c>
      <c r="BO134" s="159">
        <f t="shared" si="194"/>
        <v>0.38935163395831274</v>
      </c>
      <c r="BP134" s="159">
        <f t="shared" si="185"/>
        <v>3.4863945578231297E-2</v>
      </c>
      <c r="BQ134" s="159">
        <f t="shared" si="195"/>
        <v>0.42176870748299317</v>
      </c>
      <c r="BR134" s="146"/>
      <c r="BS134" s="146"/>
      <c r="BT134" s="146"/>
      <c r="BU134" s="146"/>
      <c r="BV134" s="159">
        <f t="shared" si="186"/>
        <v>2.8927992868714055E-2</v>
      </c>
      <c r="BW134" s="159">
        <f t="shared" si="201"/>
        <v>0.40508618399060592</v>
      </c>
      <c r="BX134" s="159">
        <f t="shared" si="187"/>
        <v>3.2019704433497539E-2</v>
      </c>
      <c r="BY134" s="159">
        <f t="shared" si="202"/>
        <v>0.415024630541872</v>
      </c>
      <c r="BZ134" s="159">
        <f t="shared" si="203"/>
        <v>7.4904798172124906E-2</v>
      </c>
      <c r="CA134" s="159">
        <f t="shared" si="204"/>
        <v>0.3186785986290937</v>
      </c>
      <c r="CB134" s="159">
        <f t="shared" si="205"/>
        <v>7.2463768115942032E-2</v>
      </c>
      <c r="CC134" s="159">
        <f t="shared" si="204"/>
        <v>0.3297101449275362</v>
      </c>
      <c r="CD134" s="159">
        <f t="shared" si="188"/>
        <v>2.0725521340369937E-2</v>
      </c>
      <c r="CE134" s="159">
        <f t="shared" si="204"/>
        <v>0.22361274786083929</v>
      </c>
      <c r="CF134" s="159">
        <f t="shared" si="189"/>
        <v>2.2167487684729065E-2</v>
      </c>
      <c r="CG134" s="159">
        <f t="shared" si="204"/>
        <v>0.24876847290640394</v>
      </c>
      <c r="CH134" s="159">
        <f t="shared" si="190"/>
        <v>2.650891632373114E-2</v>
      </c>
      <c r="CI134" s="159">
        <f t="shared" si="204"/>
        <v>0.27651748971193418</v>
      </c>
      <c r="CJ134" s="159">
        <f t="shared" si="191"/>
        <v>2.819548872180451E-2</v>
      </c>
      <c r="CK134" s="159">
        <f t="shared" si="204"/>
        <v>0.27631578947368424</v>
      </c>
      <c r="CL134" s="146"/>
      <c r="CM134" s="159">
        <f t="shared" si="206"/>
        <v>5.7399306079348449E-2</v>
      </c>
      <c r="CN134" s="159">
        <f t="shared" si="207"/>
        <v>0.36242268818826379</v>
      </c>
      <c r="CO134" s="159">
        <f t="shared" si="208"/>
        <v>6.4655172413793066E-2</v>
      </c>
      <c r="CP134" s="159">
        <f t="shared" si="209"/>
        <v>0.33620689655172409</v>
      </c>
      <c r="CQ134" s="339"/>
      <c r="CR134" s="159" t="e">
        <f t="shared" si="200"/>
        <v>#REF!</v>
      </c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</row>
    <row r="135" spans="1:115" s="145" customFormat="1" hidden="1" outlineLevel="1" x14ac:dyDescent="0.3">
      <c r="A135" s="192"/>
      <c r="B135" s="206"/>
      <c r="C135" s="192"/>
      <c r="D135" s="459">
        <v>11</v>
      </c>
      <c r="E135" s="475"/>
      <c r="F135" s="265"/>
      <c r="G135" s="438"/>
      <c r="H135" s="421"/>
      <c r="I135" s="212">
        <f t="shared" si="176"/>
        <v>44990.75</v>
      </c>
      <c r="J135" s="334">
        <f t="shared" si="177"/>
        <v>318</v>
      </c>
      <c r="K135" s="334">
        <f t="shared" si="178"/>
        <v>248</v>
      </c>
      <c r="L135" s="334">
        <f t="shared" si="179"/>
        <v>440</v>
      </c>
      <c r="M135" s="335"/>
      <c r="N135" s="316">
        <f t="shared" si="180"/>
        <v>248</v>
      </c>
      <c r="O135" s="316">
        <f t="shared" si="181"/>
        <v>440</v>
      </c>
      <c r="P135" s="326"/>
      <c r="Q135" s="336"/>
      <c r="R135" s="495"/>
      <c r="S135" s="183"/>
      <c r="T135" s="177"/>
      <c r="U135" s="146"/>
      <c r="V135" s="146"/>
      <c r="W135" s="146"/>
      <c r="X135" s="146"/>
      <c r="Y135" s="146"/>
      <c r="Z135" s="146"/>
      <c r="AA135" s="131"/>
      <c r="AB135" s="146"/>
      <c r="AC135" s="356"/>
      <c r="AD135" s="146"/>
      <c r="AE135" s="146"/>
      <c r="AF135" s="146"/>
      <c r="AG135" s="338"/>
      <c r="AH135" s="146"/>
      <c r="AI135" s="146"/>
      <c r="AJ135" s="342"/>
      <c r="AK135" s="146"/>
      <c r="AL135" s="342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7"/>
      <c r="BA135" s="146">
        <v>13</v>
      </c>
      <c r="BB135" s="146"/>
      <c r="BC135" s="146"/>
      <c r="BD135" s="146"/>
      <c r="BE135" s="146"/>
      <c r="BF135" s="159">
        <f t="shared" si="182"/>
        <v>3.8510088041487173E-2</v>
      </c>
      <c r="BG135" s="159">
        <f t="shared" si="192"/>
        <v>0.39219066671845559</v>
      </c>
      <c r="BH135" s="159">
        <f t="shared" si="183"/>
        <v>3.7142857142857144E-2</v>
      </c>
      <c r="BI135" s="159">
        <f t="shared" si="193"/>
        <v>0.4</v>
      </c>
      <c r="BJ135" s="146"/>
      <c r="BK135" s="146"/>
      <c r="BL135" s="146"/>
      <c r="BM135" s="146"/>
      <c r="BN135" s="159">
        <f t="shared" si="184"/>
        <v>2.8592902305455529E-2</v>
      </c>
      <c r="BO135" s="159">
        <f t="shared" si="194"/>
        <v>0.41794453626376826</v>
      </c>
      <c r="BP135" s="159">
        <f t="shared" si="185"/>
        <v>2.9761904761904764E-2</v>
      </c>
      <c r="BQ135" s="159">
        <f t="shared" si="195"/>
        <v>0.45153061224489793</v>
      </c>
      <c r="BR135" s="146"/>
      <c r="BS135" s="146"/>
      <c r="BT135" s="146"/>
      <c r="BU135" s="146"/>
      <c r="BV135" s="159">
        <f t="shared" si="186"/>
        <v>2.2765258980534678E-2</v>
      </c>
      <c r="BW135" s="159">
        <f t="shared" si="201"/>
        <v>0.42785144297114058</v>
      </c>
      <c r="BX135" s="159">
        <f t="shared" si="187"/>
        <v>1.970443349753695E-2</v>
      </c>
      <c r="BY135" s="159">
        <f t="shared" si="202"/>
        <v>0.43472906403940892</v>
      </c>
      <c r="BZ135" s="159">
        <f t="shared" si="203"/>
        <v>2.6028179741051028E-2</v>
      </c>
      <c r="CA135" s="159">
        <f t="shared" si="204"/>
        <v>0.34470677837014474</v>
      </c>
      <c r="CB135" s="159">
        <f t="shared" si="205"/>
        <v>2.8985507246376815E-2</v>
      </c>
      <c r="CC135" s="159">
        <f t="shared" si="204"/>
        <v>0.35869565217391303</v>
      </c>
      <c r="CD135" s="159">
        <f t="shared" si="188"/>
        <v>3.5776502536250449E-2</v>
      </c>
      <c r="CE135" s="159">
        <f t="shared" si="204"/>
        <v>0.25938925039708971</v>
      </c>
      <c r="CF135" s="159">
        <f t="shared" si="189"/>
        <v>3.6945812807881777E-2</v>
      </c>
      <c r="CG135" s="159">
        <f t="shared" si="204"/>
        <v>0.2857142857142857</v>
      </c>
      <c r="CH135" s="159">
        <f t="shared" si="190"/>
        <v>2.4931412894375858E-2</v>
      </c>
      <c r="CI135" s="159">
        <f t="shared" si="204"/>
        <v>0.30144890260631002</v>
      </c>
      <c r="CJ135" s="159">
        <f t="shared" si="191"/>
        <v>2.819548872180451E-2</v>
      </c>
      <c r="CK135" s="159">
        <f t="shared" si="204"/>
        <v>0.30451127819548873</v>
      </c>
      <c r="CL135" s="146"/>
      <c r="CM135" s="159">
        <f t="shared" si="206"/>
        <v>1.8051993764770864E-2</v>
      </c>
      <c r="CN135" s="159">
        <f t="shared" si="207"/>
        <v>0.38047468195303463</v>
      </c>
      <c r="CO135" s="159">
        <f t="shared" si="208"/>
        <v>1.7241379310344796E-2</v>
      </c>
      <c r="CP135" s="159">
        <f t="shared" si="209"/>
        <v>0.35344827586206889</v>
      </c>
      <c r="CQ135" s="339"/>
      <c r="CR135" s="159">
        <f t="shared" si="200"/>
        <v>0</v>
      </c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</row>
    <row r="136" spans="1:115" s="145" customFormat="1" hidden="1" outlineLevel="1" x14ac:dyDescent="0.3">
      <c r="A136" s="192"/>
      <c r="B136" s="206"/>
      <c r="C136" s="192"/>
      <c r="D136" s="459">
        <v>12</v>
      </c>
      <c r="E136" s="475"/>
      <c r="F136" s="265"/>
      <c r="G136" s="438"/>
      <c r="H136" s="421"/>
      <c r="I136" s="212">
        <f t="shared" si="176"/>
        <v>44991.75</v>
      </c>
      <c r="J136" s="334">
        <f t="shared" si="177"/>
        <v>326</v>
      </c>
      <c r="K136" s="334">
        <f t="shared" si="178"/>
        <v>253</v>
      </c>
      <c r="L136" s="334">
        <f t="shared" si="179"/>
        <v>460</v>
      </c>
      <c r="M136" s="335"/>
      <c r="N136" s="316">
        <f t="shared" si="180"/>
        <v>253</v>
      </c>
      <c r="O136" s="316">
        <f t="shared" si="181"/>
        <v>460</v>
      </c>
      <c r="P136" s="326"/>
      <c r="Q136" s="336"/>
      <c r="R136" s="495"/>
      <c r="S136" s="183"/>
      <c r="T136" s="177"/>
      <c r="U136" s="146"/>
      <c r="V136" s="146"/>
      <c r="W136" s="146"/>
      <c r="X136" s="146"/>
      <c r="Y136" s="146"/>
      <c r="Z136" s="146"/>
      <c r="AA136" s="131"/>
      <c r="AB136" s="146"/>
      <c r="AC136" s="356"/>
      <c r="AD136" s="146"/>
      <c r="AE136" s="146"/>
      <c r="AF136" s="146"/>
      <c r="AG136" s="338"/>
      <c r="AH136" s="146"/>
      <c r="AI136" s="146"/>
      <c r="AJ136" s="342"/>
      <c r="AK136" s="146"/>
      <c r="AL136" s="342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7"/>
      <c r="BA136" s="146">
        <v>14</v>
      </c>
      <c r="BB136" s="146"/>
      <c r="BC136" s="146"/>
      <c r="BD136" s="146"/>
      <c r="BE136" s="146"/>
      <c r="BF136" s="159">
        <f t="shared" si="182"/>
        <v>1.7043017213034868E-2</v>
      </c>
      <c r="BG136" s="159">
        <f t="shared" si="192"/>
        <v>0.40923368393149046</v>
      </c>
      <c r="BH136" s="159">
        <f t="shared" si="183"/>
        <v>1.7142857142857144E-2</v>
      </c>
      <c r="BI136" s="159">
        <f t="shared" si="193"/>
        <v>0.41714285714285715</v>
      </c>
      <c r="BJ136" s="146"/>
      <c r="BK136" s="146"/>
      <c r="BL136" s="146"/>
      <c r="BM136" s="146"/>
      <c r="BN136" s="159">
        <f t="shared" si="184"/>
        <v>4.0461310012441215E-2</v>
      </c>
      <c r="BO136" s="159">
        <f t="shared" si="194"/>
        <v>0.45840584627620951</v>
      </c>
      <c r="BP136" s="159">
        <f t="shared" si="185"/>
        <v>4.1666666666666671E-2</v>
      </c>
      <c r="BQ136" s="159">
        <f t="shared" si="195"/>
        <v>0.49319727891156462</v>
      </c>
      <c r="BR136" s="146"/>
      <c r="BS136" s="146"/>
      <c r="BT136" s="146"/>
      <c r="BU136" s="146"/>
      <c r="BV136" s="159">
        <f t="shared" si="186"/>
        <v>3.5939281214375715E-2</v>
      </c>
      <c r="BW136" s="159">
        <f t="shared" si="201"/>
        <v>0.46379072418551631</v>
      </c>
      <c r="BX136" s="159">
        <f t="shared" si="187"/>
        <v>3.3251231527093604E-2</v>
      </c>
      <c r="BY136" s="159">
        <f t="shared" si="202"/>
        <v>0.4679802955665025</v>
      </c>
      <c r="BZ136" s="159">
        <f t="shared" si="203"/>
        <v>3.9470677837014474E-2</v>
      </c>
      <c r="CA136" s="159">
        <f t="shared" si="204"/>
        <v>0.38417745620715921</v>
      </c>
      <c r="CB136" s="159">
        <f t="shared" si="205"/>
        <v>3.9855072463768119E-2</v>
      </c>
      <c r="CC136" s="159">
        <f t="shared" si="204"/>
        <v>0.39855072463768115</v>
      </c>
      <c r="CD136" s="159">
        <f t="shared" si="188"/>
        <v>1.7062048470564126E-2</v>
      </c>
      <c r="CE136" s="159">
        <f t="shared" si="204"/>
        <v>0.27645129886765385</v>
      </c>
      <c r="CF136" s="159">
        <f t="shared" si="189"/>
        <v>1.7241379310344827E-2</v>
      </c>
      <c r="CG136" s="159">
        <f t="shared" si="204"/>
        <v>0.3029556650246305</v>
      </c>
      <c r="CH136" s="159">
        <f t="shared" si="190"/>
        <v>3.4696502057613168E-2</v>
      </c>
      <c r="CI136" s="159">
        <f t="shared" si="204"/>
        <v>0.33614540466392318</v>
      </c>
      <c r="CJ136" s="159">
        <f t="shared" si="191"/>
        <v>3.1954887218045111E-2</v>
      </c>
      <c r="CK136" s="159">
        <f t="shared" si="204"/>
        <v>0.33646616541353386</v>
      </c>
      <c r="CL136" s="146"/>
      <c r="CM136" s="159">
        <f t="shared" si="206"/>
        <v>2.1043898023834617E-2</v>
      </c>
      <c r="CN136" s="159">
        <f t="shared" si="207"/>
        <v>0.40151857997686924</v>
      </c>
      <c r="CO136" s="159">
        <f t="shared" si="208"/>
        <v>3.4482758620689759E-2</v>
      </c>
      <c r="CP136" s="159">
        <f t="shared" si="209"/>
        <v>0.38793103448275867</v>
      </c>
      <c r="CQ136" s="339"/>
      <c r="CR136" s="159">
        <f t="shared" si="200"/>
        <v>0</v>
      </c>
      <c r="CS136" s="192"/>
      <c r="CT136" s="192"/>
      <c r="CU136" s="192"/>
      <c r="CV136" s="192"/>
      <c r="CW136" s="192"/>
      <c r="CX136" s="192"/>
      <c r="CY136" s="192"/>
      <c r="CZ136" s="192"/>
      <c r="DA136" s="192"/>
      <c r="DB136" s="192"/>
      <c r="DC136" s="192"/>
      <c r="DD136" s="192"/>
      <c r="DE136" s="192"/>
      <c r="DF136" s="192"/>
      <c r="DG136" s="192"/>
      <c r="DH136" s="192"/>
      <c r="DI136" s="192"/>
      <c r="DJ136" s="192"/>
      <c r="DK136" s="192"/>
    </row>
    <row r="137" spans="1:115" s="145" customFormat="1" hidden="1" outlineLevel="1" x14ac:dyDescent="0.3">
      <c r="A137" s="192"/>
      <c r="B137" s="206"/>
      <c r="C137" s="192"/>
      <c r="D137" s="459">
        <v>13</v>
      </c>
      <c r="E137" s="475"/>
      <c r="F137" s="265"/>
      <c r="G137" s="438"/>
      <c r="H137" s="421"/>
      <c r="I137" s="212">
        <f t="shared" si="176"/>
        <v>44992.75</v>
      </c>
      <c r="J137" s="334">
        <f t="shared" si="177"/>
        <v>339</v>
      </c>
      <c r="K137" s="334">
        <f t="shared" si="178"/>
        <v>258</v>
      </c>
      <c r="L137" s="334">
        <f t="shared" si="179"/>
        <v>472</v>
      </c>
      <c r="M137" s="335"/>
      <c r="N137" s="316">
        <f t="shared" si="180"/>
        <v>258</v>
      </c>
      <c r="O137" s="316">
        <f t="shared" si="181"/>
        <v>472</v>
      </c>
      <c r="P137" s="326"/>
      <c r="Q137" s="336"/>
      <c r="R137" s="495"/>
      <c r="S137" s="183"/>
      <c r="T137" s="177"/>
      <c r="U137" s="146"/>
      <c r="V137" s="146"/>
      <c r="W137" s="146"/>
      <c r="X137" s="146"/>
      <c r="Y137" s="146"/>
      <c r="Z137" s="146"/>
      <c r="AA137" s="131"/>
      <c r="AB137" s="146"/>
      <c r="AC137" s="356"/>
      <c r="AD137" s="146"/>
      <c r="AE137" s="146"/>
      <c r="AF137" s="146"/>
      <c r="AG137" s="338"/>
      <c r="AH137" s="146"/>
      <c r="AI137" s="146"/>
      <c r="AJ137" s="342"/>
      <c r="AK137" s="146"/>
      <c r="AL137" s="342"/>
      <c r="AM137" s="146"/>
      <c r="AN137" s="146"/>
      <c r="AO137" s="146"/>
      <c r="AP137" s="146"/>
      <c r="AQ137" s="146"/>
      <c r="AR137" s="147"/>
      <c r="AS137" s="231"/>
      <c r="AT137" s="150"/>
      <c r="AU137" s="146"/>
      <c r="AV137" s="146"/>
      <c r="AW137" s="146"/>
      <c r="AX137" s="146"/>
      <c r="AY137" s="146"/>
      <c r="AZ137" s="147"/>
      <c r="BA137" s="146">
        <v>15</v>
      </c>
      <c r="BB137" s="146"/>
      <c r="BC137" s="146"/>
      <c r="BD137" s="146"/>
      <c r="BE137" s="146"/>
      <c r="BF137" s="159">
        <f t="shared" si="182"/>
        <v>2.5831038917775842E-2</v>
      </c>
      <c r="BG137" s="159">
        <f t="shared" si="192"/>
        <v>0.43506472284926628</v>
      </c>
      <c r="BH137" s="159">
        <f t="shared" si="183"/>
        <v>2.5714285714285714E-2</v>
      </c>
      <c r="BI137" s="159">
        <f t="shared" si="193"/>
        <v>0.44285714285714284</v>
      </c>
      <c r="BJ137" s="146"/>
      <c r="BK137" s="146"/>
      <c r="BL137" s="146"/>
      <c r="BM137" s="146"/>
      <c r="BN137" s="159">
        <f t="shared" si="184"/>
        <v>2.9950125689100982E-2</v>
      </c>
      <c r="BO137" s="159">
        <f t="shared" si="194"/>
        <v>0.4883559719653105</v>
      </c>
      <c r="BP137" s="159">
        <f t="shared" si="185"/>
        <v>3.0612244897959186E-2</v>
      </c>
      <c r="BQ137" s="159">
        <f t="shared" si="195"/>
        <v>0.52380952380952384</v>
      </c>
      <c r="BR137" s="146"/>
      <c r="BS137" s="146"/>
      <c r="BT137" s="146"/>
      <c r="BU137" s="146"/>
      <c r="BV137" s="159">
        <f t="shared" si="186"/>
        <v>9.9803718211350062E-2</v>
      </c>
      <c r="BW137" s="159">
        <f t="shared" si="201"/>
        <v>0.5635944423968664</v>
      </c>
      <c r="BX137" s="159">
        <f t="shared" si="187"/>
        <v>9.9753694581280805E-2</v>
      </c>
      <c r="BY137" s="159">
        <f t="shared" si="202"/>
        <v>0.56773399014778336</v>
      </c>
      <c r="BZ137" s="159">
        <f t="shared" si="203"/>
        <v>2.8484386900228486E-2</v>
      </c>
      <c r="CA137" s="159">
        <f t="shared" si="204"/>
        <v>0.41266184310738768</v>
      </c>
      <c r="CB137" s="159">
        <f t="shared" si="205"/>
        <v>2.5362318840579712E-2</v>
      </c>
      <c r="CC137" s="159">
        <f t="shared" si="204"/>
        <v>0.42391304347826086</v>
      </c>
      <c r="CD137" s="159">
        <f t="shared" si="188"/>
        <v>2.0558999846287854E-2</v>
      </c>
      <c r="CE137" s="159">
        <f t="shared" si="204"/>
        <v>0.29701029871394169</v>
      </c>
      <c r="CF137" s="159">
        <f t="shared" si="189"/>
        <v>2.463054187192118E-2</v>
      </c>
      <c r="CG137" s="159">
        <f t="shared" si="204"/>
        <v>0.32758620689655171</v>
      </c>
      <c r="CH137" s="159">
        <f t="shared" si="190"/>
        <v>3.7354252400548696E-2</v>
      </c>
      <c r="CI137" s="159">
        <f t="shared" si="204"/>
        <v>0.37349965706447186</v>
      </c>
      <c r="CJ137" s="159">
        <f t="shared" si="191"/>
        <v>3.5714285714285712E-2</v>
      </c>
      <c r="CK137" s="159">
        <f t="shared" si="204"/>
        <v>0.37218045112781956</v>
      </c>
      <c r="CL137" s="146"/>
      <c r="CM137" s="159">
        <f t="shared" si="206"/>
        <v>4.6764217830743762E-2</v>
      </c>
      <c r="CN137" s="159">
        <f t="shared" si="207"/>
        <v>0.44828279780761299</v>
      </c>
      <c r="CO137" s="159">
        <f t="shared" si="208"/>
        <v>3.8793103448275877E-2</v>
      </c>
      <c r="CP137" s="159">
        <f t="shared" si="209"/>
        <v>0.42672413793103453</v>
      </c>
      <c r="CQ137" s="339"/>
      <c r="CR137" s="159">
        <f t="shared" si="200"/>
        <v>0</v>
      </c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</row>
    <row r="138" spans="1:115" s="145" customFormat="1" hidden="1" outlineLevel="1" x14ac:dyDescent="0.3">
      <c r="A138" s="192"/>
      <c r="B138" s="206"/>
      <c r="C138" s="192"/>
      <c r="D138" s="459">
        <v>14</v>
      </c>
      <c r="E138" s="475"/>
      <c r="F138" s="265"/>
      <c r="G138" s="438"/>
      <c r="H138" s="421"/>
      <c r="I138" s="212">
        <f t="shared" si="176"/>
        <v>44993.75</v>
      </c>
      <c r="J138" s="334">
        <f t="shared" si="177"/>
        <v>345</v>
      </c>
      <c r="K138" s="334">
        <f t="shared" si="178"/>
        <v>264</v>
      </c>
      <c r="L138" s="334">
        <f t="shared" si="179"/>
        <v>493</v>
      </c>
      <c r="M138" s="335"/>
      <c r="N138" s="316">
        <f t="shared" si="180"/>
        <v>264</v>
      </c>
      <c r="O138" s="316">
        <f t="shared" si="181"/>
        <v>493</v>
      </c>
      <c r="P138" s="326"/>
      <c r="Q138" s="336"/>
      <c r="R138" s="495"/>
      <c r="S138" s="183"/>
      <c r="T138" s="177"/>
      <c r="U138" s="146"/>
      <c r="V138" s="146"/>
      <c r="W138" s="146"/>
      <c r="X138" s="146"/>
      <c r="Y138" s="146"/>
      <c r="Z138" s="146"/>
      <c r="AA138" s="131"/>
      <c r="AB138" s="146"/>
      <c r="AC138" s="356"/>
      <c r="AD138" s="146"/>
      <c r="AE138" s="146"/>
      <c r="AF138" s="146"/>
      <c r="AG138" s="338"/>
      <c r="AH138" s="146"/>
      <c r="AI138" s="146"/>
      <c r="AJ138" s="342"/>
      <c r="AK138" s="146"/>
      <c r="AL138" s="342"/>
      <c r="AM138" s="146"/>
      <c r="AN138" s="146"/>
      <c r="AO138" s="146"/>
      <c r="AP138" s="146"/>
      <c r="AQ138" s="146"/>
      <c r="AR138" s="140"/>
      <c r="AS138" s="343"/>
      <c r="AT138" s="337"/>
      <c r="AU138" s="146"/>
      <c r="AV138" s="146"/>
      <c r="AW138" s="146"/>
      <c r="AX138" s="146"/>
      <c r="AY138" s="146"/>
      <c r="AZ138" s="147"/>
      <c r="BA138" s="146">
        <v>16</v>
      </c>
      <c r="BB138" s="146"/>
      <c r="BC138" s="146"/>
      <c r="BD138" s="146"/>
      <c r="BE138" s="146"/>
      <c r="BF138" s="159">
        <f t="shared" si="182"/>
        <v>4.3366518834389106E-2</v>
      </c>
      <c r="BG138" s="159">
        <f t="shared" si="192"/>
        <v>0.47843124168365536</v>
      </c>
      <c r="BH138" s="159">
        <f t="shared" si="183"/>
        <v>4.2857142857142858E-2</v>
      </c>
      <c r="BI138" s="159">
        <f t="shared" si="193"/>
        <v>0.48571428571428571</v>
      </c>
      <c r="BJ138" s="146"/>
      <c r="BK138" s="146"/>
      <c r="BL138" s="146"/>
      <c r="BM138" s="146"/>
      <c r="BN138" s="159">
        <f t="shared" si="184"/>
        <v>3.1617467319009517E-2</v>
      </c>
      <c r="BO138" s="159">
        <f t="shared" si="194"/>
        <v>0.51997343928432005</v>
      </c>
      <c r="BP138" s="159">
        <f t="shared" si="185"/>
        <v>3.2312925170068035E-2</v>
      </c>
      <c r="BQ138" s="159">
        <f t="shared" si="195"/>
        <v>0.55612244897959184</v>
      </c>
      <c r="BR138" s="146"/>
      <c r="BS138" s="146"/>
      <c r="BT138" s="146"/>
      <c r="BU138" s="146"/>
      <c r="BV138" s="159">
        <f t="shared" si="186"/>
        <v>4.2779144417111663E-2</v>
      </c>
      <c r="BW138" s="159">
        <f t="shared" si="201"/>
        <v>0.60637358681397802</v>
      </c>
      <c r="BX138" s="159">
        <f t="shared" si="187"/>
        <v>4.5566502463054194E-2</v>
      </c>
      <c r="BY138" s="159">
        <f t="shared" si="202"/>
        <v>0.61330049261083752</v>
      </c>
      <c r="BZ138" s="159">
        <f t="shared" si="203"/>
        <v>5.1180502665651183E-2</v>
      </c>
      <c r="CA138" s="159">
        <f t="shared" si="204"/>
        <v>0.46384234577303884</v>
      </c>
      <c r="CB138" s="159">
        <f t="shared" si="205"/>
        <v>4.3478260869565223E-2</v>
      </c>
      <c r="CC138" s="159">
        <f t="shared" si="204"/>
        <v>0.46739130434782611</v>
      </c>
      <c r="CD138" s="159">
        <f t="shared" si="188"/>
        <v>3.8850745503919662E-2</v>
      </c>
      <c r="CE138" s="159">
        <f t="shared" si="204"/>
        <v>0.33586104421786134</v>
      </c>
      <c r="CF138" s="159">
        <f t="shared" si="189"/>
        <v>4.1871921182266007E-2</v>
      </c>
      <c r="CG138" s="159">
        <f t="shared" si="204"/>
        <v>0.36945812807881773</v>
      </c>
      <c r="CH138" s="159">
        <f t="shared" si="190"/>
        <v>5.1320301783264743E-2</v>
      </c>
      <c r="CI138" s="159">
        <f t="shared" si="204"/>
        <v>0.4248199588477366</v>
      </c>
      <c r="CJ138" s="159">
        <f t="shared" si="191"/>
        <v>4.3233082706766915E-2</v>
      </c>
      <c r="CK138" s="159">
        <f t="shared" si="204"/>
        <v>0.41541353383458646</v>
      </c>
      <c r="CL138" s="146"/>
      <c r="CM138" s="159">
        <f t="shared" si="206"/>
        <v>4.7166490672298576E-2</v>
      </c>
      <c r="CN138" s="159">
        <f t="shared" si="207"/>
        <v>0.49544928847991154</v>
      </c>
      <c r="CO138" s="159">
        <f t="shared" si="208"/>
        <v>4.3103448275861989E-2</v>
      </c>
      <c r="CP138" s="159">
        <f t="shared" si="209"/>
        <v>0.46982758620689652</v>
      </c>
      <c r="CQ138" s="339"/>
      <c r="CR138" s="159">
        <f t="shared" si="200"/>
        <v>0</v>
      </c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</row>
    <row r="139" spans="1:115" s="145" customFormat="1" hidden="1" outlineLevel="1" x14ac:dyDescent="0.3">
      <c r="A139" s="192"/>
      <c r="B139" s="206"/>
      <c r="C139" s="192"/>
      <c r="D139" s="459">
        <v>15</v>
      </c>
      <c r="E139" s="475"/>
      <c r="F139" s="265"/>
      <c r="G139" s="438"/>
      <c r="H139" s="421"/>
      <c r="I139" s="212">
        <f t="shared" si="176"/>
        <v>44994.75</v>
      </c>
      <c r="J139" s="334">
        <f t="shared" si="177"/>
        <v>354</v>
      </c>
      <c r="K139" s="334">
        <f t="shared" si="178"/>
        <v>271</v>
      </c>
      <c r="L139" s="334">
        <f t="shared" si="179"/>
        <v>556</v>
      </c>
      <c r="M139" s="335"/>
      <c r="N139" s="316">
        <f t="shared" si="180"/>
        <v>271</v>
      </c>
      <c r="O139" s="316">
        <f t="shared" si="181"/>
        <v>556</v>
      </c>
      <c r="P139" s="326"/>
      <c r="Q139" s="336"/>
      <c r="R139" s="495"/>
      <c r="S139" s="183"/>
      <c r="T139" s="177"/>
      <c r="U139" s="146"/>
      <c r="V139" s="146"/>
      <c r="W139" s="146"/>
      <c r="X139" s="146"/>
      <c r="Y139" s="146"/>
      <c r="Z139" s="146"/>
      <c r="AA139" s="131"/>
      <c r="AB139" s="146"/>
      <c r="AC139" s="356"/>
      <c r="AD139" s="147"/>
      <c r="AE139" s="242"/>
      <c r="AF139" s="148"/>
      <c r="AG139" s="147"/>
      <c r="AH139" s="139"/>
      <c r="AI139" s="139"/>
      <c r="AJ139" s="140"/>
      <c r="AK139" s="231"/>
      <c r="AL139" s="140"/>
      <c r="AM139" s="231"/>
      <c r="AN139" s="231"/>
      <c r="AO139" s="231"/>
      <c r="AP139" s="231"/>
      <c r="AQ139" s="231"/>
      <c r="AR139" s="147"/>
      <c r="AS139" s="231"/>
      <c r="AT139" s="150"/>
      <c r="AU139" s="231"/>
      <c r="AV139" s="147"/>
      <c r="AW139" s="338"/>
      <c r="AX139" s="150"/>
      <c r="AY139" s="231"/>
      <c r="AZ139" s="147"/>
      <c r="BA139" s="146">
        <v>17</v>
      </c>
      <c r="BB139" s="146"/>
      <c r="BC139" s="146"/>
      <c r="BD139" s="146"/>
      <c r="BE139" s="146"/>
      <c r="BF139" s="159">
        <f t="shared" si="182"/>
        <v>0.10736624700300616</v>
      </c>
      <c r="BG139" s="159">
        <f t="shared" si="192"/>
        <v>0.58579748868666148</v>
      </c>
      <c r="BH139" s="159">
        <f t="shared" si="183"/>
        <v>0.10571428571428572</v>
      </c>
      <c r="BI139" s="159">
        <f t="shared" si="193"/>
        <v>0.59142857142857141</v>
      </c>
      <c r="BJ139" s="146"/>
      <c r="BK139" s="146"/>
      <c r="BL139" s="146"/>
      <c r="BM139" s="146"/>
      <c r="BN139" s="159">
        <f t="shared" si="184"/>
        <v>4.0964796106374206E-2</v>
      </c>
      <c r="BO139" s="159">
        <f t="shared" si="194"/>
        <v>0.56093823539069421</v>
      </c>
      <c r="BP139" s="159">
        <f t="shared" si="185"/>
        <v>2.210884353741497E-2</v>
      </c>
      <c r="BQ139" s="159">
        <f t="shared" si="195"/>
        <v>0.57823129251700678</v>
      </c>
      <c r="BR139" s="146"/>
      <c r="BS139" s="146"/>
      <c r="BT139" s="146"/>
      <c r="BU139" s="146"/>
      <c r="BV139" s="159">
        <f t="shared" si="186"/>
        <v>4.2830571959989377E-2</v>
      </c>
      <c r="BW139" s="159">
        <f t="shared" si="201"/>
        <v>0.64920415877396742</v>
      </c>
      <c r="BX139" s="159">
        <f t="shared" si="187"/>
        <v>4.1871921182266014E-2</v>
      </c>
      <c r="BY139" s="159">
        <f t="shared" si="202"/>
        <v>0.65517241379310354</v>
      </c>
      <c r="BZ139" s="159">
        <f t="shared" si="203"/>
        <v>4.6001523229246007E-2</v>
      </c>
      <c r="CA139" s="159">
        <f t="shared" si="204"/>
        <v>0.50984386900228484</v>
      </c>
      <c r="CB139" s="159">
        <f t="shared" si="205"/>
        <v>5.0724637681159424E-2</v>
      </c>
      <c r="CC139" s="159">
        <f t="shared" si="204"/>
        <v>0.51811594202898559</v>
      </c>
      <c r="CD139" s="159">
        <f t="shared" si="188"/>
        <v>8.6898601219449714E-2</v>
      </c>
      <c r="CE139" s="159">
        <f t="shared" si="204"/>
        <v>0.42275964543731104</v>
      </c>
      <c r="CF139" s="159">
        <f t="shared" si="189"/>
        <v>0.10591133004926108</v>
      </c>
      <c r="CG139" s="159">
        <f t="shared" si="204"/>
        <v>0.47536945812807879</v>
      </c>
      <c r="CH139" s="159">
        <f t="shared" si="190"/>
        <v>5.2254801097393687E-2</v>
      </c>
      <c r="CI139" s="159">
        <f t="shared" si="204"/>
        <v>0.47707475994513027</v>
      </c>
      <c r="CJ139" s="159">
        <f t="shared" si="191"/>
        <v>4.8872180451127817E-2</v>
      </c>
      <c r="CK139" s="159">
        <f t="shared" si="204"/>
        <v>0.4642857142857143</v>
      </c>
      <c r="CL139" s="146"/>
      <c r="CM139" s="159">
        <f t="shared" si="206"/>
        <v>4.4300296676220534E-2</v>
      </c>
      <c r="CN139" s="159">
        <f t="shared" si="207"/>
        <v>0.53974958515613203</v>
      </c>
      <c r="CO139" s="159">
        <f t="shared" si="208"/>
        <v>3.8793103448275877E-2</v>
      </c>
      <c r="CP139" s="159">
        <f t="shared" si="209"/>
        <v>0.50862068965517238</v>
      </c>
      <c r="CQ139" s="339"/>
      <c r="CR139" s="159">
        <f t="shared" si="200"/>
        <v>0</v>
      </c>
      <c r="CS139" s="192"/>
      <c r="CT139" s="192"/>
      <c r="CU139" s="192"/>
      <c r="CV139" s="192"/>
      <c r="CW139" s="192"/>
      <c r="CX139" s="192"/>
      <c r="CY139" s="192"/>
      <c r="CZ139" s="192"/>
      <c r="DA139" s="192"/>
      <c r="DB139" s="192"/>
      <c r="DC139" s="192"/>
      <c r="DD139" s="192"/>
      <c r="DE139" s="192"/>
      <c r="DF139" s="192"/>
      <c r="DG139" s="192"/>
      <c r="DH139" s="192"/>
      <c r="DI139" s="192"/>
      <c r="DJ139" s="192"/>
      <c r="DK139" s="192"/>
    </row>
    <row r="140" spans="1:115" s="145" customFormat="1" hidden="1" outlineLevel="1" x14ac:dyDescent="0.3">
      <c r="A140" s="192"/>
      <c r="B140" s="206"/>
      <c r="C140" s="192"/>
      <c r="D140" s="459">
        <v>16</v>
      </c>
      <c r="E140" s="475"/>
      <c r="F140" s="265"/>
      <c r="G140" s="438"/>
      <c r="H140" s="421"/>
      <c r="I140" s="212">
        <f t="shared" si="176"/>
        <v>44995.75</v>
      </c>
      <c r="J140" s="334">
        <f t="shared" si="177"/>
        <v>369</v>
      </c>
      <c r="K140" s="334">
        <f t="shared" si="178"/>
        <v>279</v>
      </c>
      <c r="L140" s="334">
        <f t="shared" si="179"/>
        <v>585</v>
      </c>
      <c r="M140" s="335"/>
      <c r="N140" s="316">
        <f t="shared" si="180"/>
        <v>279</v>
      </c>
      <c r="O140" s="316">
        <f t="shared" si="181"/>
        <v>585</v>
      </c>
      <c r="P140" s="326"/>
      <c r="Q140" s="336"/>
      <c r="R140" s="495"/>
      <c r="S140" s="183"/>
      <c r="T140" s="177"/>
      <c r="U140" s="146"/>
      <c r="V140" s="146"/>
      <c r="W140" s="146"/>
      <c r="X140" s="146"/>
      <c r="Y140" s="146"/>
      <c r="Z140" s="146"/>
      <c r="AA140" s="131"/>
      <c r="AB140" s="146"/>
      <c r="AC140" s="356"/>
      <c r="AD140" s="147"/>
      <c r="AE140" s="242"/>
      <c r="AF140" s="148"/>
      <c r="AG140" s="147"/>
      <c r="AH140" s="139"/>
      <c r="AI140" s="139"/>
      <c r="AJ140" s="140"/>
      <c r="AK140" s="231"/>
      <c r="AL140" s="140"/>
      <c r="AM140" s="231"/>
      <c r="AN140" s="231"/>
      <c r="AO140" s="231"/>
      <c r="AP140" s="231"/>
      <c r="AQ140" s="231"/>
      <c r="AR140" s="147"/>
      <c r="AS140" s="231"/>
      <c r="AT140" s="150"/>
      <c r="AU140" s="231"/>
      <c r="AV140" s="147"/>
      <c r="AW140" s="338"/>
      <c r="AX140" s="150"/>
      <c r="AY140" s="231"/>
      <c r="AZ140" s="147"/>
      <c r="BA140" s="146">
        <v>18</v>
      </c>
      <c r="BB140" s="146"/>
      <c r="BC140" s="146"/>
      <c r="BD140" s="146"/>
      <c r="BE140" s="146"/>
      <c r="BF140" s="159">
        <f t="shared" si="182"/>
        <v>6.6733611627786751E-2</v>
      </c>
      <c r="BG140" s="159">
        <f t="shared" si="192"/>
        <v>0.65253110031444828</v>
      </c>
      <c r="BH140" s="159">
        <f t="shared" si="183"/>
        <v>6.5714285714285711E-2</v>
      </c>
      <c r="BI140" s="159">
        <f t="shared" si="193"/>
        <v>0.65714285714285714</v>
      </c>
      <c r="BJ140" s="146"/>
      <c r="BK140" s="146"/>
      <c r="BL140" s="146"/>
      <c r="BM140" s="146"/>
      <c r="BN140" s="159">
        <f t="shared" si="184"/>
        <v>4.355519557515989E-2</v>
      </c>
      <c r="BO140" s="159">
        <f t="shared" si="194"/>
        <v>0.60449343096585406</v>
      </c>
      <c r="BP140" s="159">
        <f t="shared" si="185"/>
        <v>4.2517006802721094E-2</v>
      </c>
      <c r="BQ140" s="159">
        <f t="shared" si="195"/>
        <v>0.62074829931972786</v>
      </c>
      <c r="BR140" s="146"/>
      <c r="BS140" s="146"/>
      <c r="BT140" s="146"/>
      <c r="BU140" s="146"/>
      <c r="BV140" s="159">
        <f t="shared" si="186"/>
        <v>4.163916721665567E-2</v>
      </c>
      <c r="BW140" s="159">
        <f t="shared" si="201"/>
        <v>0.69084332599062304</v>
      </c>
      <c r="BX140" s="159">
        <f t="shared" si="187"/>
        <v>4.3103448275862079E-2</v>
      </c>
      <c r="BY140" s="159">
        <f t="shared" si="202"/>
        <v>0.69827586206896564</v>
      </c>
      <c r="BZ140" s="159">
        <f t="shared" si="203"/>
        <v>4.7429550647372427E-2</v>
      </c>
      <c r="CA140" s="159">
        <f t="shared" si="204"/>
        <v>0.55727341964965726</v>
      </c>
      <c r="CB140" s="159">
        <f t="shared" si="205"/>
        <v>5.0724637681159424E-2</v>
      </c>
      <c r="CC140" s="159">
        <f t="shared" si="204"/>
        <v>0.56884057971014501</v>
      </c>
      <c r="CD140" s="159">
        <f t="shared" si="188"/>
        <v>6.5852846236614235E-2</v>
      </c>
      <c r="CE140" s="159">
        <f t="shared" si="204"/>
        <v>0.48861249167392529</v>
      </c>
      <c r="CF140" s="159">
        <f t="shared" si="189"/>
        <v>6.6502463054187194E-2</v>
      </c>
      <c r="CG140" s="159">
        <f t="shared" si="204"/>
        <v>0.54187192118226601</v>
      </c>
      <c r="CH140" s="159">
        <f t="shared" si="190"/>
        <v>5.0351508916323728E-2</v>
      </c>
      <c r="CI140" s="159">
        <f t="shared" si="204"/>
        <v>0.52742626886145394</v>
      </c>
      <c r="CJ140" s="159">
        <f t="shared" si="191"/>
        <v>5.6390977443609019E-2</v>
      </c>
      <c r="CK140" s="159">
        <f t="shared" si="204"/>
        <v>0.52067669172932329</v>
      </c>
      <c r="CL140" s="146"/>
      <c r="CM140" s="159">
        <f t="shared" si="206"/>
        <v>6.592246190979037E-2</v>
      </c>
      <c r="CN140" s="159">
        <f t="shared" si="207"/>
        <v>0.60567204706592237</v>
      </c>
      <c r="CO140" s="159">
        <f t="shared" si="208"/>
        <v>7.3275862068965469E-2</v>
      </c>
      <c r="CP140" s="159">
        <f t="shared" si="209"/>
        <v>0.5818965517241379</v>
      </c>
      <c r="CQ140" s="339"/>
      <c r="CR140" s="159">
        <f t="shared" si="200"/>
        <v>0</v>
      </c>
      <c r="CS140" s="192"/>
      <c r="CT140" s="192"/>
      <c r="CU140" s="192"/>
      <c r="CV140" s="192"/>
      <c r="CW140" s="192"/>
      <c r="CX140" s="192"/>
      <c r="CY140" s="192"/>
      <c r="CZ140" s="192"/>
      <c r="DA140" s="192"/>
      <c r="DB140" s="192"/>
      <c r="DC140" s="192"/>
      <c r="DD140" s="192"/>
      <c r="DE140" s="192"/>
      <c r="DF140" s="192"/>
      <c r="DG140" s="192"/>
      <c r="DH140" s="192"/>
      <c r="DI140" s="192"/>
      <c r="DJ140" s="192"/>
      <c r="DK140" s="192"/>
    </row>
    <row r="141" spans="1:115" s="145" customFormat="1" hidden="1" outlineLevel="1" x14ac:dyDescent="0.3">
      <c r="A141" s="192"/>
      <c r="B141" s="206"/>
      <c r="C141" s="192"/>
      <c r="D141" s="459">
        <v>17</v>
      </c>
      <c r="E141" s="475"/>
      <c r="F141" s="265"/>
      <c r="G141" s="438"/>
      <c r="H141" s="421"/>
      <c r="I141" s="212">
        <f t="shared" si="176"/>
        <v>44996.75</v>
      </c>
      <c r="J141" s="334">
        <f t="shared" si="177"/>
        <v>406</v>
      </c>
      <c r="K141" s="334">
        <f t="shared" si="178"/>
        <v>288</v>
      </c>
      <c r="L141" s="334">
        <f t="shared" si="179"/>
        <v>611</v>
      </c>
      <c r="M141" s="335"/>
      <c r="N141" s="316">
        <f t="shared" si="180"/>
        <v>288</v>
      </c>
      <c r="O141" s="316">
        <f t="shared" si="181"/>
        <v>611</v>
      </c>
      <c r="P141" s="326"/>
      <c r="Q141" s="336"/>
      <c r="R141" s="495"/>
      <c r="S141" s="183"/>
      <c r="T141" s="177"/>
      <c r="U141" s="146"/>
      <c r="V141" s="146"/>
      <c r="W141" s="146"/>
      <c r="X141" s="146"/>
      <c r="Y141" s="146"/>
      <c r="Z141" s="146"/>
      <c r="AA141" s="131"/>
      <c r="AB141" s="146"/>
      <c r="AC141" s="357"/>
      <c r="AD141" s="146"/>
      <c r="AE141" s="131"/>
      <c r="AF141" s="146"/>
      <c r="AG141" s="131"/>
      <c r="AH141" s="146"/>
      <c r="AI141" s="131"/>
      <c r="AJ141" s="146"/>
      <c r="AK141" s="131"/>
      <c r="AL141" s="146"/>
      <c r="AM141" s="131"/>
      <c r="AN141" s="131"/>
      <c r="AO141" s="131"/>
      <c r="AP141" s="131"/>
      <c r="AQ141" s="131"/>
      <c r="AR141" s="146"/>
      <c r="AS141" s="131"/>
      <c r="AT141" s="146"/>
      <c r="AU141" s="131"/>
      <c r="AV141" s="146"/>
      <c r="AW141" s="131"/>
      <c r="AX141" s="146"/>
      <c r="AY141" s="131"/>
      <c r="AZ141" s="147"/>
      <c r="BA141" s="146">
        <v>19</v>
      </c>
      <c r="BB141" s="146"/>
      <c r="BC141" s="146"/>
      <c r="BD141" s="146"/>
      <c r="BE141" s="146"/>
      <c r="BF141" s="159">
        <f t="shared" si="182"/>
        <v>8.6780144531997519E-2</v>
      </c>
      <c r="BG141" s="159">
        <f t="shared" si="192"/>
        <v>0.73931124484644584</v>
      </c>
      <c r="BH141" s="159">
        <f t="shared" si="183"/>
        <v>8.5714285714285715E-2</v>
      </c>
      <c r="BI141" s="159">
        <f t="shared" si="193"/>
        <v>0.74285714285714288</v>
      </c>
      <c r="BJ141" s="146"/>
      <c r="BK141" s="146"/>
      <c r="BL141" s="146"/>
      <c r="BM141" s="146"/>
      <c r="BN141" s="159">
        <f t="shared" si="184"/>
        <v>6.8623695223084466E-2</v>
      </c>
      <c r="BO141" s="159">
        <f t="shared" si="194"/>
        <v>0.67311712618893849</v>
      </c>
      <c r="BP141" s="159">
        <f t="shared" si="185"/>
        <v>6.8027210884353748E-2</v>
      </c>
      <c r="BQ141" s="159">
        <f t="shared" si="195"/>
        <v>0.68877551020408156</v>
      </c>
      <c r="BR141" s="146"/>
      <c r="BS141" s="146"/>
      <c r="BT141" s="146"/>
      <c r="BU141" s="146"/>
      <c r="BV141" s="159">
        <f t="shared" si="186"/>
        <v>7.7715588545371958E-2</v>
      </c>
      <c r="BW141" s="159">
        <f t="shared" si="201"/>
        <v>0.76855891453599501</v>
      </c>
      <c r="BX141" s="159">
        <f t="shared" si="187"/>
        <v>7.8817733990147798E-2</v>
      </c>
      <c r="BY141" s="159">
        <f t="shared" si="202"/>
        <v>0.77709359605911343</v>
      </c>
      <c r="BZ141" s="159">
        <f t="shared" si="203"/>
        <v>8.9185072353389183E-2</v>
      </c>
      <c r="CA141" s="159">
        <f t="shared" si="204"/>
        <v>0.6464584920030465</v>
      </c>
      <c r="CB141" s="159">
        <f t="shared" si="205"/>
        <v>8.6956521739130446E-2</v>
      </c>
      <c r="CC141" s="159">
        <f t="shared" si="204"/>
        <v>0.6557971014492755</v>
      </c>
      <c r="CD141" s="159">
        <f t="shared" si="188"/>
        <v>0.11779474304452529</v>
      </c>
      <c r="CE141" s="159">
        <f t="shared" si="204"/>
        <v>0.60640723471845059</v>
      </c>
      <c r="CF141" s="159">
        <f t="shared" si="189"/>
        <v>8.6206896551724144E-2</v>
      </c>
      <c r="CG141" s="159">
        <f t="shared" si="204"/>
        <v>0.62807881773399021</v>
      </c>
      <c r="CH141" s="159">
        <f t="shared" si="190"/>
        <v>6.9633058984910845E-2</v>
      </c>
      <c r="CI141" s="159">
        <f t="shared" si="204"/>
        <v>0.59705932784636473</v>
      </c>
      <c r="CJ141" s="159">
        <f t="shared" si="191"/>
        <v>6.7669172932330823E-2</v>
      </c>
      <c r="CK141" s="159">
        <f t="shared" si="204"/>
        <v>0.58834586466165417</v>
      </c>
      <c r="CL141" s="146"/>
      <c r="CM141" s="159">
        <f t="shared" si="206"/>
        <v>7.3289083320762366E-2</v>
      </c>
      <c r="CN141" s="159">
        <f t="shared" si="207"/>
        <v>0.67896113038668471</v>
      </c>
      <c r="CO141" s="159">
        <f t="shared" si="208"/>
        <v>7.3275862068965469E-2</v>
      </c>
      <c r="CP141" s="159">
        <f t="shared" si="209"/>
        <v>0.65517241379310343</v>
      </c>
      <c r="CQ141" s="339"/>
      <c r="CR141" s="159">
        <f t="shared" si="200"/>
        <v>0</v>
      </c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</row>
    <row r="142" spans="1:115" s="145" customFormat="1" hidden="1" outlineLevel="1" x14ac:dyDescent="0.3">
      <c r="A142" s="192"/>
      <c r="B142" s="206"/>
      <c r="C142" s="192"/>
      <c r="D142" s="459">
        <v>18</v>
      </c>
      <c r="E142" s="475"/>
      <c r="F142" s="265"/>
      <c r="G142" s="438"/>
      <c r="H142" s="421"/>
      <c r="I142" s="212">
        <f t="shared" si="176"/>
        <v>44997.75</v>
      </c>
      <c r="J142" s="334">
        <f t="shared" si="177"/>
        <v>429</v>
      </c>
      <c r="K142" s="334">
        <f t="shared" si="178"/>
        <v>299</v>
      </c>
      <c r="L142" s="334">
        <f t="shared" si="179"/>
        <v>638</v>
      </c>
      <c r="M142" s="335"/>
      <c r="N142" s="316">
        <f t="shared" si="180"/>
        <v>299</v>
      </c>
      <c r="O142" s="316">
        <f t="shared" si="181"/>
        <v>638</v>
      </c>
      <c r="P142" s="326"/>
      <c r="Q142" s="336"/>
      <c r="R142" s="495"/>
      <c r="S142" s="183"/>
      <c r="T142" s="177"/>
      <c r="U142" s="146"/>
      <c r="V142" s="146"/>
      <c r="W142" s="146"/>
      <c r="X142" s="146"/>
      <c r="Y142" s="146"/>
      <c r="Z142" s="146"/>
      <c r="AA142" s="131"/>
      <c r="AB142" s="146"/>
      <c r="AC142" s="357"/>
      <c r="AD142" s="146"/>
      <c r="AE142" s="131"/>
      <c r="AF142" s="146"/>
      <c r="AG142" s="131"/>
      <c r="AH142" s="146"/>
      <c r="AI142" s="131"/>
      <c r="AJ142" s="146"/>
      <c r="AK142" s="131"/>
      <c r="AL142" s="146"/>
      <c r="AM142" s="131"/>
      <c r="AN142" s="131"/>
      <c r="AO142" s="131"/>
      <c r="AP142" s="131"/>
      <c r="AQ142" s="131"/>
      <c r="AR142" s="146"/>
      <c r="AS142" s="131"/>
      <c r="AT142" s="146"/>
      <c r="AU142" s="131"/>
      <c r="AV142" s="146"/>
      <c r="AW142" s="131"/>
      <c r="AX142" s="146"/>
      <c r="AY142" s="131"/>
      <c r="AZ142" s="147"/>
      <c r="BA142" s="146">
        <v>20</v>
      </c>
      <c r="BB142" s="146"/>
      <c r="BC142" s="146"/>
      <c r="BD142" s="146"/>
      <c r="BE142" s="146"/>
      <c r="BF142" s="159">
        <f t="shared" si="182"/>
        <v>8.6862516030251496E-2</v>
      </c>
      <c r="BG142" s="159">
        <f t="shared" si="192"/>
        <v>0.82617376087669736</v>
      </c>
      <c r="BH142" s="159">
        <f t="shared" si="183"/>
        <v>8.5714285714285715E-2</v>
      </c>
      <c r="BI142" s="159">
        <f t="shared" si="193"/>
        <v>0.82857142857142863</v>
      </c>
      <c r="BJ142" s="146"/>
      <c r="BK142" s="146"/>
      <c r="BL142" s="146"/>
      <c r="BM142" s="146"/>
      <c r="BN142" s="159">
        <f t="shared" si="184"/>
        <v>0.11381339637854856</v>
      </c>
      <c r="BO142" s="159">
        <f t="shared" si="194"/>
        <v>0.78693052256748708</v>
      </c>
      <c r="BP142" s="159">
        <f t="shared" si="185"/>
        <v>0.11139455782312926</v>
      </c>
      <c r="BQ142" s="159">
        <f t="shared" si="195"/>
        <v>0.8001700680272108</v>
      </c>
      <c r="BR142" s="146"/>
      <c r="BS142" s="146"/>
      <c r="BT142" s="146"/>
      <c r="BU142" s="146"/>
      <c r="BV142" s="159">
        <f t="shared" si="186"/>
        <v>7.4664221001294259E-2</v>
      </c>
      <c r="BW142" s="159">
        <f t="shared" si="201"/>
        <v>0.84322313553728923</v>
      </c>
      <c r="BX142" s="159">
        <f t="shared" si="187"/>
        <v>7.6354679802955669E-2</v>
      </c>
      <c r="BY142" s="159">
        <f t="shared" si="202"/>
        <v>0.85344827586206906</v>
      </c>
      <c r="BZ142" s="159">
        <f t="shared" si="203"/>
        <v>0.14394516374714394</v>
      </c>
      <c r="CA142" s="159">
        <f t="shared" si="204"/>
        <v>0.79040365575019045</v>
      </c>
      <c r="CB142" s="159">
        <f t="shared" si="205"/>
        <v>0.14130434782608697</v>
      </c>
      <c r="CC142" s="159">
        <f t="shared" si="204"/>
        <v>0.79710144927536253</v>
      </c>
      <c r="CD142" s="159">
        <f t="shared" si="188"/>
        <v>9.8529487113798234E-2</v>
      </c>
      <c r="CE142" s="159">
        <f t="shared" si="204"/>
        <v>0.70493672183224887</v>
      </c>
      <c r="CF142" s="159">
        <f t="shared" si="189"/>
        <v>8.6206896551724144E-2</v>
      </c>
      <c r="CG142" s="159">
        <f t="shared" si="204"/>
        <v>0.71428571428571441</v>
      </c>
      <c r="CH142" s="159">
        <f t="shared" si="190"/>
        <v>5.8144718792866944E-2</v>
      </c>
      <c r="CI142" s="159">
        <f t="shared" si="204"/>
        <v>0.65520404663923171</v>
      </c>
      <c r="CJ142" s="159">
        <f t="shared" si="191"/>
        <v>7.3308270676691725E-2</v>
      </c>
      <c r="CK142" s="159">
        <f t="shared" si="204"/>
        <v>0.66165413533834594</v>
      </c>
      <c r="CL142" s="146"/>
      <c r="CM142" s="159">
        <f t="shared" si="206"/>
        <v>0.12661537687936833</v>
      </c>
      <c r="CN142" s="159">
        <f t="shared" si="207"/>
        <v>0.80557650726605301</v>
      </c>
      <c r="CO142" s="159">
        <f t="shared" si="208"/>
        <v>0.14224137931034481</v>
      </c>
      <c r="CP142" s="159">
        <f t="shared" si="209"/>
        <v>0.79741379310344818</v>
      </c>
      <c r="CQ142" s="339"/>
      <c r="CR142" s="159">
        <f t="shared" si="200"/>
        <v>0</v>
      </c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</row>
    <row r="143" spans="1:115" s="145" customFormat="1" hidden="1" outlineLevel="1" x14ac:dyDescent="0.3">
      <c r="A143" s="192"/>
      <c r="B143" s="206"/>
      <c r="C143" s="192"/>
      <c r="D143" s="459">
        <v>19</v>
      </c>
      <c r="E143" s="475"/>
      <c r="F143" s="265"/>
      <c r="G143" s="438"/>
      <c r="H143" s="421"/>
      <c r="I143" s="212">
        <f t="shared" si="176"/>
        <v>44998.75</v>
      </c>
      <c r="J143" s="334">
        <f t="shared" si="177"/>
        <v>459</v>
      </c>
      <c r="K143" s="334">
        <f t="shared" si="178"/>
        <v>312</v>
      </c>
      <c r="L143" s="334">
        <f t="shared" si="179"/>
        <v>687</v>
      </c>
      <c r="M143" s="335"/>
      <c r="N143" s="316">
        <f t="shared" si="180"/>
        <v>312</v>
      </c>
      <c r="O143" s="316">
        <f t="shared" si="181"/>
        <v>687</v>
      </c>
      <c r="P143" s="326"/>
      <c r="Q143" s="336"/>
      <c r="R143" s="495"/>
      <c r="S143" s="183"/>
      <c r="T143" s="177"/>
      <c r="U143" s="146"/>
      <c r="V143" s="146"/>
      <c r="W143" s="146"/>
      <c r="X143" s="146"/>
      <c r="Y143" s="146"/>
      <c r="Z143" s="146"/>
      <c r="AA143" s="131"/>
      <c r="AB143" s="146"/>
      <c r="AC143" s="357"/>
      <c r="AD143" s="146"/>
      <c r="AE143" s="131"/>
      <c r="AF143" s="146"/>
      <c r="AG143" s="131"/>
      <c r="AH143" s="146"/>
      <c r="AI143" s="131"/>
      <c r="AJ143" s="146"/>
      <c r="AK143" s="131"/>
      <c r="AL143" s="146"/>
      <c r="AM143" s="131"/>
      <c r="AN143" s="131"/>
      <c r="AO143" s="131"/>
      <c r="AP143" s="131"/>
      <c r="AQ143" s="131"/>
      <c r="AR143" s="146"/>
      <c r="AS143" s="131"/>
      <c r="AT143" s="146"/>
      <c r="AU143" s="131"/>
      <c r="AV143" s="146"/>
      <c r="AW143" s="131"/>
      <c r="AX143" s="146"/>
      <c r="AY143" s="131"/>
      <c r="AZ143" s="147"/>
      <c r="BA143" s="146">
        <v>21</v>
      </c>
      <c r="BB143" s="146"/>
      <c r="BC143" s="146"/>
      <c r="BD143" s="146"/>
      <c r="BE143" s="146"/>
      <c r="BF143" s="159">
        <f t="shared" si="182"/>
        <v>0.17382623912330267</v>
      </c>
      <c r="BG143" s="159">
        <f t="shared" si="192"/>
        <v>1</v>
      </c>
      <c r="BH143" s="159">
        <f t="shared" si="183"/>
        <v>0.17142857142857143</v>
      </c>
      <c r="BI143" s="159">
        <f t="shared" si="193"/>
        <v>1</v>
      </c>
      <c r="BJ143" s="146"/>
      <c r="BK143" s="146"/>
      <c r="BL143" s="146"/>
      <c r="BM143" s="146"/>
      <c r="BN143" s="159">
        <f t="shared" si="184"/>
        <v>0.21306947743251278</v>
      </c>
      <c r="BO143" s="159">
        <f t="shared" si="194"/>
        <v>0.99999999999999989</v>
      </c>
      <c r="BP143" s="159">
        <f t="shared" si="185"/>
        <v>0.19982993197278912</v>
      </c>
      <c r="BQ143" s="159">
        <f t="shared" si="195"/>
        <v>0.99999999999999989</v>
      </c>
      <c r="BR143" s="146"/>
      <c r="BS143" s="146"/>
      <c r="BT143" s="146"/>
      <c r="BU143" s="146"/>
      <c r="BV143" s="159">
        <f t="shared" si="186"/>
        <v>0.15677686446271077</v>
      </c>
      <c r="BW143" s="159">
        <f t="shared" si="201"/>
        <v>1</v>
      </c>
      <c r="BX143" s="159">
        <f t="shared" si="187"/>
        <v>0.14655172413793105</v>
      </c>
      <c r="BY143" s="159">
        <f t="shared" si="202"/>
        <v>1</v>
      </c>
      <c r="BZ143" s="159">
        <f t="shared" si="203"/>
        <v>0.20959634424980961</v>
      </c>
      <c r="CA143" s="159">
        <f t="shared" si="204"/>
        <v>1</v>
      </c>
      <c r="CB143" s="159">
        <f t="shared" si="205"/>
        <v>0.20289855072463769</v>
      </c>
      <c r="CC143" s="159">
        <f t="shared" si="204"/>
        <v>1.0000000000000002</v>
      </c>
      <c r="CD143" s="159">
        <f t="shared" si="188"/>
        <v>0.18546651637034381</v>
      </c>
      <c r="CE143" s="159">
        <f t="shared" si="204"/>
        <v>0.89040323820259271</v>
      </c>
      <c r="CF143" s="159">
        <f t="shared" si="189"/>
        <v>0.17241379310344829</v>
      </c>
      <c r="CG143" s="159">
        <f t="shared" si="204"/>
        <v>0.8866995073891627</v>
      </c>
      <c r="CH143" s="159">
        <f t="shared" si="190"/>
        <v>0.34479595336076813</v>
      </c>
      <c r="CI143" s="159">
        <f t="shared" si="204"/>
        <v>0.99999999999999978</v>
      </c>
      <c r="CJ143" s="159">
        <f t="shared" si="191"/>
        <v>0.33834586466165412</v>
      </c>
      <c r="CK143" s="159">
        <f t="shared" si="204"/>
        <v>1</v>
      </c>
      <c r="CL143" s="146"/>
      <c r="CM143" s="159">
        <f t="shared" si="206"/>
        <v>0.19442349273394688</v>
      </c>
      <c r="CN143" s="159">
        <f t="shared" si="207"/>
        <v>0.99999999999999989</v>
      </c>
      <c r="CO143" s="159">
        <f t="shared" si="208"/>
        <v>0.20258620689655177</v>
      </c>
      <c r="CP143" s="159">
        <f t="shared" si="209"/>
        <v>1</v>
      </c>
      <c r="CQ143" s="339"/>
      <c r="CR143" s="146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</row>
    <row r="144" spans="1:115" s="145" customFormat="1" hidden="1" outlineLevel="1" x14ac:dyDescent="0.3">
      <c r="A144" s="192"/>
      <c r="B144" s="206"/>
      <c r="C144" s="192"/>
      <c r="D144" s="459">
        <v>20</v>
      </c>
      <c r="E144" s="475"/>
      <c r="F144" s="265"/>
      <c r="G144" s="438"/>
      <c r="H144" s="421"/>
      <c r="I144" s="212">
        <f t="shared" si="176"/>
        <v>44999.75</v>
      </c>
      <c r="J144" s="334">
        <f t="shared" si="177"/>
        <v>489</v>
      </c>
      <c r="K144" s="334">
        <f t="shared" si="178"/>
        <v>326</v>
      </c>
      <c r="L144" s="334">
        <f t="shared" si="179"/>
        <v>735</v>
      </c>
      <c r="M144" s="335"/>
      <c r="N144" s="316">
        <f t="shared" si="180"/>
        <v>326</v>
      </c>
      <c r="O144" s="316">
        <f t="shared" si="181"/>
        <v>735</v>
      </c>
      <c r="P144" s="326"/>
      <c r="Q144" s="336"/>
      <c r="R144" s="495"/>
      <c r="S144" s="183"/>
      <c r="T144" s="177"/>
      <c r="U144" s="146"/>
      <c r="V144" s="146"/>
      <c r="W144" s="146"/>
      <c r="X144" s="146"/>
      <c r="Y144" s="146"/>
      <c r="Z144" s="146"/>
      <c r="AA144" s="131"/>
      <c r="AB144" s="146"/>
      <c r="AC144" s="357"/>
      <c r="AD144" s="146"/>
      <c r="AE144" s="131"/>
      <c r="AF144" s="146"/>
      <c r="AG144" s="131"/>
      <c r="AH144" s="146"/>
      <c r="AI144" s="131"/>
      <c r="AJ144" s="146"/>
      <c r="AK144" s="131"/>
      <c r="AL144" s="146"/>
      <c r="AM144" s="131"/>
      <c r="AN144" s="131"/>
      <c r="AO144" s="131"/>
      <c r="AP144" s="131"/>
      <c r="AQ144" s="131"/>
      <c r="AR144" s="146"/>
      <c r="AS144" s="131"/>
      <c r="AT144" s="146"/>
      <c r="AU144" s="131"/>
      <c r="AV144" s="146"/>
      <c r="AW144" s="131"/>
      <c r="AX144" s="146"/>
      <c r="AY144" s="131"/>
      <c r="AZ144" s="147"/>
      <c r="BA144" s="146"/>
      <c r="BB144" s="146"/>
      <c r="BC144" s="146"/>
      <c r="BD144" s="146"/>
      <c r="BE144" s="146"/>
      <c r="BF144" s="159">
        <f>SUM(BF129:BF131)</f>
        <v>0.14182848343167731</v>
      </c>
      <c r="BG144" s="146"/>
      <c r="BH144" s="159">
        <f>SUM(BH129:BH131)</f>
        <v>0.13714285714285715</v>
      </c>
      <c r="BI144" s="338"/>
      <c r="BJ144" s="146"/>
      <c r="BK144" s="146"/>
      <c r="BL144" s="146"/>
      <c r="BM144" s="146"/>
      <c r="BN144" s="159">
        <f>SUM(BN129:BN131)</f>
        <v>0.16068868141370138</v>
      </c>
      <c r="BO144" s="146"/>
      <c r="BP144" s="159">
        <f>SUM(BP129:BP131)</f>
        <v>0.16921768707482995</v>
      </c>
      <c r="BQ144" s="338"/>
      <c r="BR144" s="146"/>
      <c r="BS144" s="146"/>
      <c r="BT144" s="146"/>
      <c r="BU144" s="146"/>
      <c r="BV144" s="159">
        <f>SUM(BV129:BV131)</f>
        <v>0.19755890596473785</v>
      </c>
      <c r="BW144" s="146"/>
      <c r="BX144" s="159">
        <f>SUM(BX129:BX131)</f>
        <v>0.19581280788177344</v>
      </c>
      <c r="BY144" s="338"/>
      <c r="BZ144" s="159">
        <f>SUM(BZ129:BZ131)</f>
        <v>0.16165270373191165</v>
      </c>
      <c r="CA144" s="146"/>
      <c r="CB144" s="159">
        <f>SUM(CB129:CB131)</f>
        <v>0.17028985507246377</v>
      </c>
      <c r="CC144" s="338"/>
      <c r="CD144" s="159">
        <f>SUM(CD129:CD131)</f>
        <v>0.12131731311164626</v>
      </c>
      <c r="CE144" s="146"/>
      <c r="CF144" s="159">
        <f>SUM(CF129:CF131)</f>
        <v>0.13793103448275862</v>
      </c>
      <c r="CG144" s="338"/>
      <c r="CH144" s="159">
        <f>SUM(CH129:CH131)</f>
        <v>9.815672153635116E-2</v>
      </c>
      <c r="CI144" s="146"/>
      <c r="CJ144" s="159">
        <f>SUM(CJ129:CJ131)</f>
        <v>0.10338345864661654</v>
      </c>
      <c r="CK144" s="338"/>
      <c r="CL144" s="146"/>
      <c r="CM144" s="159">
        <f>SUM(CM129:CM131)</f>
        <v>0.13317745260723088</v>
      </c>
      <c r="CN144" s="146"/>
      <c r="CO144" s="159">
        <f>SUM(CO129:CO131)</f>
        <v>0.11637931034482762</v>
      </c>
      <c r="CP144" s="338"/>
      <c r="CQ144" s="339"/>
      <c r="CR144" s="146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</row>
    <row r="145" spans="1:115" s="2" customFormat="1" hidden="1" outlineLevel="1" x14ac:dyDescent="0.3">
      <c r="A145" s="183"/>
      <c r="B145" s="183"/>
      <c r="C145" s="183"/>
      <c r="D145" s="460">
        <v>21</v>
      </c>
      <c r="E145" s="476"/>
      <c r="F145" s="266"/>
      <c r="G145" s="438"/>
      <c r="H145" s="421"/>
      <c r="I145" s="211">
        <f t="shared" si="176"/>
        <v>45000.75</v>
      </c>
      <c r="J145" s="259">
        <f t="shared" si="177"/>
        <v>549</v>
      </c>
      <c r="K145" s="243">
        <f t="shared" si="178"/>
        <v>390</v>
      </c>
      <c r="L145" s="220">
        <f t="shared" si="179"/>
        <v>827</v>
      </c>
      <c r="M145" s="269"/>
      <c r="N145" s="258">
        <f t="shared" si="180"/>
        <v>390</v>
      </c>
      <c r="O145" s="258">
        <f t="shared" si="181"/>
        <v>827</v>
      </c>
      <c r="P145" s="301"/>
      <c r="Q145" s="306"/>
      <c r="R145" s="449"/>
      <c r="S145" s="183"/>
      <c r="T145" s="172"/>
      <c r="U145" s="43"/>
      <c r="V145" s="43"/>
      <c r="W145" s="43"/>
      <c r="X145" s="43"/>
      <c r="Y145" s="43"/>
      <c r="Z145" s="43"/>
      <c r="AA145" s="43"/>
      <c r="AB145" s="43"/>
      <c r="AC145" s="347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59"/>
      <c r="AV145" s="43"/>
      <c r="AW145" s="43"/>
      <c r="AX145" s="43"/>
      <c r="AY145" s="59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183"/>
      <c r="CT145" s="183"/>
      <c r="CU145" s="183"/>
      <c r="CV145" s="183"/>
      <c r="CW145" s="183"/>
      <c r="CX145" s="183"/>
      <c r="CY145" s="183"/>
      <c r="CZ145" s="183"/>
      <c r="DA145" s="183"/>
      <c r="DB145" s="183"/>
      <c r="DC145" s="183"/>
      <c r="DD145" s="183"/>
      <c r="DE145" s="183"/>
      <c r="DF145" s="183"/>
      <c r="DG145" s="183"/>
      <c r="DH145" s="183"/>
      <c r="DI145" s="183"/>
      <c r="DJ145" s="183"/>
      <c r="DK145" s="183"/>
    </row>
    <row r="146" spans="1:115" s="2" customFormat="1" ht="18" hidden="1" outlineLevel="1" x14ac:dyDescent="0.25">
      <c r="A146" s="183"/>
      <c r="B146" s="183"/>
      <c r="C146" s="183"/>
      <c r="D146" s="461"/>
      <c r="E146" s="468"/>
      <c r="F146" s="267"/>
      <c r="G146" s="439"/>
      <c r="H146" s="422"/>
      <c r="I146" s="183"/>
      <c r="J146" s="183"/>
      <c r="K146" s="183"/>
      <c r="L146" s="183"/>
      <c r="M146" s="183"/>
      <c r="N146" s="183"/>
      <c r="O146" s="183"/>
      <c r="P146" s="297"/>
      <c r="Q146" s="297"/>
      <c r="R146" s="449"/>
      <c r="S146" s="183"/>
      <c r="T146" s="172"/>
      <c r="U146" s="43"/>
      <c r="V146" s="43"/>
      <c r="W146" s="43"/>
      <c r="X146" s="43"/>
      <c r="Y146" s="43"/>
      <c r="Z146" s="43"/>
      <c r="AA146" s="43"/>
      <c r="AB146" s="43"/>
      <c r="AC146" s="347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59"/>
      <c r="AV146" s="43"/>
      <c r="AW146" s="43"/>
      <c r="AX146" s="43"/>
      <c r="AY146" s="59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3"/>
      <c r="DE146" s="183"/>
      <c r="DF146" s="183"/>
      <c r="DG146" s="183"/>
      <c r="DH146" s="183"/>
      <c r="DI146" s="183"/>
      <c r="DJ146" s="183"/>
      <c r="DK146" s="183"/>
    </row>
    <row r="147" spans="1:115" s="2" customFormat="1" collapsed="1" x14ac:dyDescent="0.3">
      <c r="A147" s="183"/>
      <c r="B147" s="183"/>
      <c r="C147" s="183"/>
      <c r="D147" s="449"/>
      <c r="E147" s="468"/>
      <c r="F147" s="183"/>
      <c r="G147" s="429"/>
      <c r="H147" s="412"/>
      <c r="I147" s="183"/>
      <c r="J147" s="183"/>
      <c r="K147" s="183"/>
      <c r="L147" s="183"/>
      <c r="M147" s="203"/>
      <c r="N147" s="183"/>
      <c r="O147" s="183"/>
      <c r="P147" s="297"/>
      <c r="Q147" s="297"/>
      <c r="R147" s="449"/>
      <c r="S147" s="183"/>
      <c r="T147" s="172"/>
      <c r="U147" s="43"/>
      <c r="V147" s="43"/>
      <c r="W147" s="43"/>
      <c r="X147" s="43"/>
      <c r="Y147" s="43"/>
      <c r="Z147" s="43"/>
      <c r="AA147" s="43"/>
      <c r="AB147" s="43"/>
      <c r="AC147" s="347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59"/>
      <c r="AV147" s="43"/>
      <c r="AW147" s="43"/>
      <c r="AX147" s="43"/>
      <c r="AY147" s="59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183"/>
      <c r="CT147" s="183"/>
      <c r="CU147" s="183"/>
      <c r="CV147" s="183"/>
      <c r="CW147" s="183"/>
      <c r="CX147" s="183"/>
      <c r="CY147" s="183"/>
      <c r="CZ147" s="183"/>
      <c r="DA147" s="183"/>
      <c r="DB147" s="183"/>
      <c r="DC147" s="183"/>
      <c r="DD147" s="183"/>
      <c r="DE147" s="183"/>
      <c r="DF147" s="183"/>
      <c r="DG147" s="183"/>
      <c r="DH147" s="183"/>
      <c r="DI147" s="183"/>
      <c r="DJ147" s="183"/>
      <c r="DK147" s="183"/>
    </row>
    <row r="148" spans="1:115" s="2" customFormat="1" ht="18" x14ac:dyDescent="0.25">
      <c r="A148" s="183"/>
      <c r="B148" s="183"/>
      <c r="C148" s="183"/>
      <c r="D148" s="449"/>
      <c r="E148" s="468"/>
      <c r="F148" s="183"/>
      <c r="G148" s="429"/>
      <c r="H148" s="412"/>
      <c r="I148" s="183"/>
      <c r="J148" s="183"/>
      <c r="K148" s="183"/>
      <c r="L148" s="183"/>
      <c r="M148" s="183"/>
      <c r="N148" s="183"/>
      <c r="O148" s="183"/>
      <c r="P148" s="297"/>
      <c r="Q148" s="297"/>
      <c r="R148" s="449"/>
      <c r="S148" s="183"/>
      <c r="T148" s="172"/>
      <c r="U148" s="43"/>
      <c r="V148" s="43"/>
      <c r="W148" s="43"/>
      <c r="X148" s="43"/>
      <c r="Y148" s="43"/>
      <c r="Z148" s="43"/>
      <c r="AA148" s="43"/>
      <c r="AB148" s="43"/>
      <c r="AC148" s="347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59"/>
      <c r="AV148" s="43"/>
      <c r="AW148" s="43"/>
      <c r="AX148" s="43"/>
      <c r="AY148" s="59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</row>
    <row r="149" spans="1:115" s="2" customFormat="1" ht="18" x14ac:dyDescent="0.25">
      <c r="A149" s="183"/>
      <c r="B149" s="183"/>
      <c r="C149" s="183"/>
      <c r="D149" s="449"/>
      <c r="E149" s="468"/>
      <c r="F149" s="183"/>
      <c r="G149" s="429"/>
      <c r="H149" s="412"/>
      <c r="I149" s="183"/>
      <c r="J149" s="183"/>
      <c r="K149" s="183"/>
      <c r="L149" s="183"/>
      <c r="M149" s="183"/>
      <c r="N149" s="183"/>
      <c r="O149" s="183"/>
      <c r="P149" s="297"/>
      <c r="Q149" s="297"/>
      <c r="R149" s="449"/>
      <c r="S149" s="183"/>
      <c r="T149" s="172"/>
      <c r="U149" s="43"/>
      <c r="V149" s="43"/>
      <c r="W149" s="43"/>
      <c r="X149" s="43"/>
      <c r="Y149" s="43"/>
      <c r="Z149" s="43"/>
      <c r="AA149" s="43"/>
      <c r="AB149" s="43"/>
      <c r="AC149" s="347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59"/>
      <c r="AV149" s="43"/>
      <c r="AW149" s="43"/>
      <c r="AX149" s="43"/>
      <c r="AY149" s="59"/>
      <c r="AZ149" s="38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183"/>
      <c r="CT149" s="183"/>
      <c r="CU149" s="183"/>
      <c r="CV149" s="183"/>
      <c r="CW149" s="183"/>
      <c r="CX149" s="183"/>
      <c r="CY149" s="183"/>
      <c r="CZ149" s="183"/>
      <c r="DA149" s="183"/>
      <c r="DB149" s="183"/>
      <c r="DC149" s="183"/>
      <c r="DD149" s="183"/>
      <c r="DE149" s="183"/>
      <c r="DF149" s="183"/>
      <c r="DG149" s="183"/>
      <c r="DH149" s="183"/>
      <c r="DI149" s="183"/>
      <c r="DJ149" s="183"/>
      <c r="DK149" s="183"/>
    </row>
    <row r="150" spans="1:115" s="2" customFormat="1" ht="18" x14ac:dyDescent="0.25">
      <c r="A150" s="183"/>
      <c r="B150" s="183"/>
      <c r="C150" s="183"/>
      <c r="D150" s="449"/>
      <c r="E150" s="468"/>
      <c r="F150" s="183"/>
      <c r="G150" s="429"/>
      <c r="H150" s="412"/>
      <c r="I150" s="183"/>
      <c r="J150" s="183"/>
      <c r="K150" s="183"/>
      <c r="L150" s="183"/>
      <c r="M150" s="183"/>
      <c r="N150" s="183"/>
      <c r="O150" s="183"/>
      <c r="P150" s="297"/>
      <c r="Q150" s="297"/>
      <c r="R150" s="449"/>
      <c r="S150" s="183"/>
      <c r="T150" s="172"/>
      <c r="U150" s="43"/>
      <c r="V150" s="43"/>
      <c r="W150" s="43"/>
      <c r="X150" s="43"/>
      <c r="Y150" s="43"/>
      <c r="Z150" s="43"/>
      <c r="AA150" s="43"/>
      <c r="AB150" s="43"/>
      <c r="AC150" s="347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59"/>
      <c r="AV150" s="43"/>
      <c r="AW150" s="43"/>
      <c r="AX150" s="43"/>
      <c r="AY150" s="59"/>
      <c r="AZ150" s="38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183"/>
      <c r="CT150" s="183"/>
      <c r="CU150" s="183"/>
      <c r="CV150" s="183"/>
      <c r="CW150" s="183"/>
      <c r="CX150" s="183"/>
      <c r="CY150" s="183"/>
      <c r="CZ150" s="183"/>
      <c r="DA150" s="183"/>
      <c r="DB150" s="183"/>
      <c r="DC150" s="183"/>
      <c r="DD150" s="183"/>
      <c r="DE150" s="183"/>
      <c r="DF150" s="183"/>
      <c r="DG150" s="183"/>
      <c r="DH150" s="183"/>
      <c r="DI150" s="183"/>
      <c r="DJ150" s="183"/>
      <c r="DK150" s="183"/>
    </row>
    <row r="151" spans="1:115" s="2" customFormat="1" ht="18" x14ac:dyDescent="0.25">
      <c r="A151" s="183"/>
      <c r="B151" s="183"/>
      <c r="C151" s="183"/>
      <c r="D151" s="449"/>
      <c r="E151" s="468"/>
      <c r="F151" s="183"/>
      <c r="G151" s="429"/>
      <c r="H151" s="412"/>
      <c r="I151" s="183"/>
      <c r="J151" s="183"/>
      <c r="K151" s="183"/>
      <c r="L151" s="183"/>
      <c r="M151" s="183"/>
      <c r="N151" s="183"/>
      <c r="O151" s="183"/>
      <c r="P151" s="297"/>
      <c r="Q151" s="297"/>
      <c r="R151" s="449"/>
      <c r="S151" s="183"/>
      <c r="T151" s="172"/>
      <c r="U151" s="43"/>
      <c r="V151" s="43"/>
      <c r="W151" s="43"/>
      <c r="X151" s="43"/>
      <c r="Y151" s="43"/>
      <c r="Z151" s="43"/>
      <c r="AA151" s="43"/>
      <c r="AB151" s="43"/>
      <c r="AC151" s="347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59"/>
      <c r="AV151" s="43"/>
      <c r="AW151" s="43"/>
      <c r="AX151" s="43"/>
      <c r="AY151" s="59"/>
      <c r="AZ151" s="38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183"/>
      <c r="CT151" s="183"/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</row>
    <row r="152" spans="1:115" s="2" customFormat="1" ht="18" x14ac:dyDescent="0.25">
      <c r="A152" s="183"/>
      <c r="B152" s="183"/>
      <c r="C152" s="183"/>
      <c r="D152" s="449"/>
      <c r="E152" s="468"/>
      <c r="F152" s="183"/>
      <c r="G152" s="429"/>
      <c r="H152" s="412"/>
      <c r="I152" s="183"/>
      <c r="J152" s="183"/>
      <c r="K152" s="183"/>
      <c r="L152" s="183"/>
      <c r="M152" s="183"/>
      <c r="N152" s="183"/>
      <c r="O152" s="183"/>
      <c r="P152" s="297"/>
      <c r="Q152" s="297"/>
      <c r="R152" s="449"/>
      <c r="S152" s="183"/>
      <c r="T152" s="172"/>
      <c r="U152" s="43"/>
      <c r="V152" s="43"/>
      <c r="W152" s="43"/>
      <c r="X152" s="43"/>
      <c r="Y152" s="43"/>
      <c r="Z152" s="43"/>
      <c r="AA152" s="43"/>
      <c r="AB152" s="43"/>
      <c r="AC152" s="347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59"/>
      <c r="AV152" s="43"/>
      <c r="AW152" s="43"/>
      <c r="AX152" s="43"/>
      <c r="AY152" s="59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3"/>
      <c r="DJ152" s="183"/>
      <c r="DK152" s="183"/>
    </row>
    <row r="153" spans="1:115" s="2" customFormat="1" ht="18.75" hidden="1" customHeight="1" outlineLevel="1" x14ac:dyDescent="0.3">
      <c r="A153" s="183"/>
      <c r="B153" s="202"/>
      <c r="C153" s="183"/>
      <c r="D153" s="449"/>
      <c r="E153" s="468"/>
      <c r="F153" s="183"/>
      <c r="G153" s="429"/>
      <c r="H153" s="412"/>
      <c r="I153" s="196"/>
      <c r="J153" s="196"/>
      <c r="K153" s="196"/>
      <c r="L153" s="196"/>
      <c r="M153" s="196"/>
      <c r="N153" s="196"/>
      <c r="O153" s="196"/>
      <c r="P153" s="290"/>
      <c r="Q153" s="291"/>
      <c r="R153" s="449"/>
      <c r="S153" s="183"/>
      <c r="T153" s="172"/>
      <c r="U153" s="43"/>
      <c r="V153" s="43"/>
      <c r="W153" s="43"/>
      <c r="X153" s="43"/>
      <c r="Y153" s="43"/>
      <c r="Z153" s="43"/>
      <c r="AA153" s="43"/>
      <c r="AB153" s="43"/>
      <c r="AC153" s="347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59"/>
      <c r="AV153" s="43"/>
      <c r="AW153" s="43"/>
      <c r="AX153" s="43"/>
      <c r="AY153" s="59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183"/>
      <c r="CT153" s="183"/>
      <c r="CU153" s="183"/>
      <c r="CV153" s="183"/>
      <c r="CW153" s="183"/>
      <c r="CX153" s="183"/>
      <c r="CY153" s="183"/>
      <c r="CZ153" s="183"/>
      <c r="DA153" s="183"/>
      <c r="DB153" s="183"/>
      <c r="DC153" s="183"/>
      <c r="DD153" s="183"/>
      <c r="DE153" s="183"/>
      <c r="DF153" s="183"/>
      <c r="DG153" s="183"/>
      <c r="DH153" s="183"/>
      <c r="DI153" s="183"/>
      <c r="DJ153" s="183"/>
      <c r="DK153" s="183"/>
    </row>
    <row r="154" spans="1:115" s="2" customFormat="1" ht="19.5" hidden="1" customHeight="1" outlineLevel="1" x14ac:dyDescent="0.3">
      <c r="A154" s="183"/>
      <c r="B154" s="188"/>
      <c r="C154" s="183"/>
      <c r="D154" s="449"/>
      <c r="E154" s="468"/>
      <c r="F154" s="183"/>
      <c r="G154" s="429"/>
      <c r="H154" s="412"/>
      <c r="I154" s="196"/>
      <c r="J154" s="196"/>
      <c r="K154" s="196"/>
      <c r="L154" s="196"/>
      <c r="M154" s="196"/>
      <c r="N154" s="196"/>
      <c r="O154" s="196"/>
      <c r="P154" s="290"/>
      <c r="Q154" s="291"/>
      <c r="R154" s="449"/>
      <c r="S154" s="183"/>
      <c r="T154" s="172"/>
      <c r="U154" s="43"/>
      <c r="V154" s="43"/>
      <c r="W154" s="43"/>
      <c r="X154" s="43"/>
      <c r="Y154" s="43"/>
      <c r="Z154" s="43"/>
      <c r="AA154" s="43"/>
      <c r="AB154" s="43"/>
      <c r="AC154" s="347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59"/>
      <c r="AV154" s="43"/>
      <c r="AW154" s="43"/>
      <c r="AX154" s="43"/>
      <c r="AY154" s="59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3"/>
      <c r="DJ154" s="183"/>
      <c r="DK154" s="183"/>
    </row>
    <row r="155" spans="1:115" s="2" customFormat="1" ht="19.5" hidden="1" customHeight="1" outlineLevel="1" x14ac:dyDescent="0.3">
      <c r="A155" s="183"/>
      <c r="B155" s="207" t="s">
        <v>3</v>
      </c>
      <c r="C155" s="183"/>
      <c r="D155" s="449"/>
      <c r="E155" s="468"/>
      <c r="F155" s="183"/>
      <c r="G155" s="429"/>
      <c r="H155" s="412"/>
      <c r="I155" s="196"/>
      <c r="J155" s="196"/>
      <c r="K155" s="196"/>
      <c r="L155" s="196"/>
      <c r="M155" s="196"/>
      <c r="N155" s="196"/>
      <c r="O155" s="196"/>
      <c r="P155" s="290"/>
      <c r="Q155" s="291"/>
      <c r="R155" s="449"/>
      <c r="S155" s="183"/>
      <c r="T155" s="172"/>
      <c r="U155" s="43"/>
      <c r="V155" s="43"/>
      <c r="W155" s="43"/>
      <c r="X155" s="43"/>
      <c r="Y155" s="43"/>
      <c r="Z155" s="43"/>
      <c r="AA155" s="43"/>
      <c r="AB155" s="43"/>
      <c r="AC155" s="347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59"/>
      <c r="AV155" s="43"/>
      <c r="AW155" s="43"/>
      <c r="AX155" s="43"/>
      <c r="AY155" s="59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183"/>
      <c r="DF155" s="183"/>
      <c r="DG155" s="183"/>
      <c r="DH155" s="183"/>
      <c r="DI155" s="183"/>
      <c r="DJ155" s="183"/>
      <c r="DK155" s="183"/>
    </row>
    <row r="156" spans="1:115" s="2" customFormat="1" ht="19.5" hidden="1" customHeight="1" outlineLevel="1" x14ac:dyDescent="0.3">
      <c r="A156" s="183"/>
      <c r="B156" s="207"/>
      <c r="C156" s="183"/>
      <c r="D156" s="449"/>
      <c r="E156" s="468"/>
      <c r="F156" s="183"/>
      <c r="G156" s="429"/>
      <c r="H156" s="412"/>
      <c r="I156" s="196"/>
      <c r="J156" s="196"/>
      <c r="K156" s="196"/>
      <c r="L156" s="196"/>
      <c r="M156" s="196"/>
      <c r="N156" s="196"/>
      <c r="O156" s="196"/>
      <c r="P156" s="290"/>
      <c r="Q156" s="291"/>
      <c r="R156" s="449"/>
      <c r="S156" s="183"/>
      <c r="T156" s="172"/>
      <c r="U156" s="43"/>
      <c r="V156" s="43"/>
      <c r="W156" s="43"/>
      <c r="X156" s="43"/>
      <c r="Y156" s="43"/>
      <c r="Z156" s="43"/>
      <c r="AA156" s="43"/>
      <c r="AB156" s="43"/>
      <c r="AC156" s="347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59"/>
      <c r="AV156" s="43"/>
      <c r="AW156" s="43"/>
      <c r="AX156" s="43"/>
      <c r="AY156" s="59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</row>
    <row r="157" spans="1:115" s="2" customFormat="1" collapsed="1" x14ac:dyDescent="0.3">
      <c r="A157" s="183"/>
      <c r="B157" s="188"/>
      <c r="C157" s="183"/>
      <c r="D157" s="449"/>
      <c r="E157" s="468"/>
      <c r="F157" s="183"/>
      <c r="G157" s="429"/>
      <c r="H157" s="412"/>
      <c r="I157" s="196"/>
      <c r="J157" s="196"/>
      <c r="K157" s="196"/>
      <c r="L157" s="196"/>
      <c r="M157" s="196"/>
      <c r="N157" s="196"/>
      <c r="O157" s="196"/>
      <c r="P157" s="290"/>
      <c r="Q157" s="291"/>
      <c r="R157" s="449"/>
      <c r="S157" s="183"/>
      <c r="T157" s="172"/>
      <c r="U157" s="43"/>
      <c r="V157" s="43"/>
      <c r="W157" s="43"/>
      <c r="X157" s="43"/>
      <c r="Y157" s="43"/>
      <c r="Z157" s="43"/>
      <c r="AA157" s="43"/>
      <c r="AB157" s="43"/>
      <c r="AC157" s="347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59"/>
      <c r="AV157" s="43"/>
      <c r="AW157" s="43"/>
      <c r="AX157" s="43"/>
      <c r="AY157" s="59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</row>
    <row r="158" spans="1:115" s="2" customFormat="1" x14ac:dyDescent="0.3">
      <c r="A158" s="183"/>
      <c r="B158" s="188"/>
      <c r="C158" s="183"/>
      <c r="D158" s="449"/>
      <c r="E158" s="468"/>
      <c r="F158" s="183"/>
      <c r="G158" s="429"/>
      <c r="H158" s="412"/>
      <c r="I158" s="196"/>
      <c r="J158" s="196"/>
      <c r="K158" s="196"/>
      <c r="L158" s="196"/>
      <c r="M158" s="196"/>
      <c r="N158" s="196"/>
      <c r="O158" s="196"/>
      <c r="P158" s="290"/>
      <c r="Q158" s="291"/>
      <c r="R158" s="449"/>
      <c r="S158" s="183"/>
      <c r="T158" s="172"/>
      <c r="U158" s="43"/>
      <c r="V158" s="43"/>
      <c r="W158" s="43"/>
      <c r="X158" s="43"/>
      <c r="Y158" s="43"/>
      <c r="Z158" s="43"/>
      <c r="AA158" s="43"/>
      <c r="AB158" s="43"/>
      <c r="AC158" s="347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59"/>
      <c r="AV158" s="43"/>
      <c r="AW158" s="43"/>
      <c r="AX158" s="43"/>
      <c r="AY158" s="59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183"/>
      <c r="CT158" s="183"/>
      <c r="CU158" s="183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</row>
    <row r="159" spans="1:115" s="2" customFormat="1" x14ac:dyDescent="0.3">
      <c r="A159" s="183"/>
      <c r="B159" s="188"/>
      <c r="C159" s="183"/>
      <c r="D159" s="449"/>
      <c r="E159" s="468"/>
      <c r="F159" s="183"/>
      <c r="G159" s="429"/>
      <c r="H159" s="412"/>
      <c r="I159" s="196"/>
      <c r="J159" s="196"/>
      <c r="K159" s="196"/>
      <c r="L159" s="196"/>
      <c r="M159" s="196"/>
      <c r="N159" s="196"/>
      <c r="O159" s="196"/>
      <c r="P159" s="290"/>
      <c r="Q159" s="291"/>
      <c r="R159" s="449"/>
      <c r="S159" s="183"/>
      <c r="T159" s="172"/>
      <c r="U159" s="43"/>
      <c r="V159" s="43"/>
      <c r="W159" s="312">
        <v>0</v>
      </c>
      <c r="X159" s="43"/>
      <c r="Y159" s="43"/>
      <c r="Z159" s="43"/>
      <c r="AA159" s="43"/>
      <c r="AB159" s="43"/>
      <c r="AC159" s="347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59"/>
      <c r="AV159" s="43"/>
      <c r="AW159" s="43"/>
      <c r="AX159" s="43"/>
      <c r="AY159" s="59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183"/>
      <c r="CT159" s="183"/>
      <c r="CU159" s="183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</row>
    <row r="160" spans="1:115" s="2" customFormat="1" x14ac:dyDescent="0.3">
      <c r="A160" s="183"/>
      <c r="B160" s="188"/>
      <c r="C160" s="183"/>
      <c r="D160" s="449"/>
      <c r="E160" s="468"/>
      <c r="F160" s="183"/>
      <c r="G160" s="429"/>
      <c r="H160" s="412"/>
      <c r="I160" s="196"/>
      <c r="J160" s="196"/>
      <c r="K160" s="196"/>
      <c r="L160" s="196"/>
      <c r="M160" s="196"/>
      <c r="N160" s="196"/>
      <c r="O160" s="196"/>
      <c r="P160" s="290"/>
      <c r="Q160" s="291"/>
      <c r="R160" s="449"/>
      <c r="S160" s="183"/>
      <c r="T160" s="172"/>
      <c r="U160" s="43"/>
      <c r="V160" s="43"/>
      <c r="W160" s="312">
        <v>1</v>
      </c>
      <c r="X160" s="43"/>
      <c r="Y160" s="43"/>
      <c r="Z160" s="43"/>
      <c r="AA160" s="43"/>
      <c r="AB160" s="43"/>
      <c r="AC160" s="347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59"/>
      <c r="AV160" s="43"/>
      <c r="AW160" s="43"/>
      <c r="AX160" s="43"/>
      <c r="AY160" s="59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183"/>
      <c r="CT160" s="183"/>
      <c r="CU160" s="183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</row>
    <row r="161" spans="1:115" s="2" customFormat="1" x14ac:dyDescent="0.3">
      <c r="A161" s="183"/>
      <c r="B161" s="188"/>
      <c r="C161" s="183"/>
      <c r="D161" s="449"/>
      <c r="E161" s="468"/>
      <c r="F161" s="183"/>
      <c r="G161" s="429"/>
      <c r="H161" s="412"/>
      <c r="I161" s="196"/>
      <c r="J161" s="196"/>
      <c r="K161" s="196"/>
      <c r="L161" s="196"/>
      <c r="M161" s="196"/>
      <c r="N161" s="196"/>
      <c r="O161" s="196"/>
      <c r="P161" s="290"/>
      <c r="Q161" s="291"/>
      <c r="R161" s="449"/>
      <c r="S161" s="183"/>
      <c r="T161" s="172"/>
      <c r="U161" s="43"/>
      <c r="V161" s="43"/>
      <c r="W161" s="312">
        <v>2</v>
      </c>
      <c r="X161" s="43"/>
      <c r="Y161" s="43"/>
      <c r="Z161" s="43"/>
      <c r="AA161" s="43"/>
      <c r="AB161" s="43"/>
      <c r="AC161" s="347"/>
      <c r="AD161" s="43"/>
      <c r="AE161" s="43"/>
      <c r="AF161" s="43"/>
      <c r="AG161" s="44"/>
      <c r="AH161" s="43"/>
      <c r="AI161" s="43"/>
      <c r="AJ161" s="219"/>
      <c r="AK161" s="43"/>
      <c r="AL161" s="219"/>
      <c r="AM161" s="43"/>
      <c r="AN161" s="43"/>
      <c r="AO161" s="43"/>
      <c r="AP161" s="43"/>
      <c r="AQ161" s="43"/>
      <c r="AR161" s="140"/>
      <c r="AS161" s="165"/>
      <c r="AT161" s="72"/>
      <c r="AU161" s="59"/>
      <c r="AV161" s="43"/>
      <c r="AW161" s="59"/>
      <c r="AX161" s="59"/>
      <c r="AY161" s="59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183"/>
      <c r="CT161" s="183"/>
      <c r="CU161" s="183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</row>
    <row r="162" spans="1:115" s="2" customFormat="1" x14ac:dyDescent="0.3">
      <c r="A162" s="183"/>
      <c r="B162" s="188"/>
      <c r="C162" s="183"/>
      <c r="D162" s="449"/>
      <c r="E162" s="468"/>
      <c r="F162" s="183"/>
      <c r="G162" s="429"/>
      <c r="H162" s="412"/>
      <c r="I162" s="196"/>
      <c r="J162" s="196"/>
      <c r="K162" s="196"/>
      <c r="L162" s="196"/>
      <c r="M162" s="196"/>
      <c r="N162" s="196"/>
      <c r="O162" s="196"/>
      <c r="P162" s="290"/>
      <c r="Q162" s="291"/>
      <c r="R162" s="449"/>
      <c r="S162" s="183"/>
      <c r="T162" s="172"/>
      <c r="U162" s="43"/>
      <c r="V162" s="43"/>
      <c r="W162" s="312">
        <v>3</v>
      </c>
      <c r="X162" s="43"/>
      <c r="Y162" s="43"/>
      <c r="Z162" s="43"/>
      <c r="AA162" s="43"/>
      <c r="AB162" s="43"/>
      <c r="AC162" s="347"/>
      <c r="AD162" s="43"/>
      <c r="AE162" s="43"/>
      <c r="AF162" s="43"/>
      <c r="AG162" s="44"/>
      <c r="AH162" s="43"/>
      <c r="AI162" s="43"/>
      <c r="AJ162" s="219"/>
      <c r="AK162" s="43"/>
      <c r="AL162" s="219"/>
      <c r="AM162" s="43"/>
      <c r="AN162" s="43"/>
      <c r="AO162" s="43"/>
      <c r="AP162" s="43"/>
      <c r="AQ162" s="43"/>
      <c r="AR162" s="140">
        <f>AR117*Vergleich!BI41</f>
        <v>0</v>
      </c>
      <c r="AS162" s="165"/>
      <c r="AT162" s="72">
        <f>ROUND(AD117*Vergleich!BJ41,)</f>
        <v>0</v>
      </c>
      <c r="AU162" s="59"/>
      <c r="AV162" s="43"/>
      <c r="AW162" s="59"/>
      <c r="AX162" s="59"/>
      <c r="AY162" s="59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183"/>
      <c r="CT162" s="183"/>
      <c r="CU162" s="183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</row>
    <row r="163" spans="1:115" s="2" customFormat="1" x14ac:dyDescent="0.3">
      <c r="A163" s="183"/>
      <c r="B163" s="188"/>
      <c r="C163" s="183"/>
      <c r="D163" s="449"/>
      <c r="E163" s="468"/>
      <c r="F163" s="183"/>
      <c r="G163" s="429"/>
      <c r="H163" s="412"/>
      <c r="I163" s="196"/>
      <c r="J163" s="196"/>
      <c r="K163" s="196"/>
      <c r="L163" s="196"/>
      <c r="M163" s="196"/>
      <c r="N163" s="196"/>
      <c r="O163" s="196"/>
      <c r="P163" s="290"/>
      <c r="Q163" s="291"/>
      <c r="R163" s="449"/>
      <c r="S163" s="183"/>
      <c r="T163" s="172"/>
      <c r="U163" s="43"/>
      <c r="V163" s="43"/>
      <c r="W163" s="312">
        <v>4</v>
      </c>
      <c r="X163" s="43"/>
      <c r="Y163" s="43"/>
      <c r="Z163" s="43"/>
      <c r="AA163" s="43"/>
      <c r="AB163" s="43"/>
      <c r="AC163" s="347"/>
      <c r="AD163" s="43"/>
      <c r="AE163" s="43"/>
      <c r="AF163" s="43"/>
      <c r="AG163" s="44"/>
      <c r="AH163" s="43"/>
      <c r="AI163" s="43"/>
      <c r="AJ163" s="219"/>
      <c r="AK163" s="43"/>
      <c r="AL163" s="219"/>
      <c r="AM163" s="43"/>
      <c r="AN163" s="43"/>
      <c r="AO163" s="43"/>
      <c r="AP163" s="43"/>
      <c r="AQ163" s="43"/>
      <c r="AR163" s="148">
        <f>MIN(AR138:AR162)</f>
        <v>0</v>
      </c>
      <c r="AS163" s="59"/>
      <c r="AT163" s="158">
        <f>MIN(AT138:AT162)</f>
        <v>0</v>
      </c>
      <c r="AU163" s="59"/>
      <c r="AV163" s="43"/>
      <c r="AW163" s="59"/>
      <c r="AX163" s="59"/>
      <c r="AY163" s="59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183"/>
      <c r="CT163" s="183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3"/>
      <c r="DG163" s="183"/>
      <c r="DH163" s="183"/>
      <c r="DI163" s="183"/>
      <c r="DJ163" s="183"/>
      <c r="DK163" s="183"/>
    </row>
    <row r="164" spans="1:115" s="2" customFormat="1" x14ac:dyDescent="0.3">
      <c r="A164" s="183"/>
      <c r="B164" s="188"/>
      <c r="C164" s="183"/>
      <c r="D164" s="449"/>
      <c r="E164" s="468"/>
      <c r="F164" s="183"/>
      <c r="G164" s="429"/>
      <c r="H164" s="412"/>
      <c r="I164" s="196"/>
      <c r="J164" s="196"/>
      <c r="K164" s="196"/>
      <c r="L164" s="196"/>
      <c r="M164" s="196"/>
      <c r="N164" s="196"/>
      <c r="O164" s="196"/>
      <c r="P164" s="290"/>
      <c r="Q164" s="291"/>
      <c r="R164" s="449"/>
      <c r="S164" s="183"/>
      <c r="T164" s="172"/>
      <c r="U164" s="43"/>
      <c r="V164" s="43"/>
      <c r="W164" s="312">
        <v>5</v>
      </c>
      <c r="X164" s="43"/>
      <c r="Y164" s="43"/>
      <c r="Z164" s="43"/>
      <c r="AA164" s="43"/>
      <c r="AB164" s="43"/>
      <c r="AC164" s="347"/>
      <c r="AD164" s="43"/>
      <c r="AE164" s="43"/>
      <c r="AF164" s="43"/>
      <c r="AG164" s="44"/>
      <c r="AH164" s="43"/>
      <c r="AI164" s="43"/>
      <c r="AJ164" s="219"/>
      <c r="AK164" s="43"/>
      <c r="AL164" s="219"/>
      <c r="AM164" s="43"/>
      <c r="AN164" s="43"/>
      <c r="AO164" s="43"/>
      <c r="AP164" s="43"/>
      <c r="AQ164" s="43"/>
      <c r="AR164" s="43"/>
      <c r="AS164" s="59"/>
      <c r="AT164" s="59"/>
      <c r="AU164" s="59"/>
      <c r="AV164" s="43"/>
      <c r="AW164" s="59"/>
      <c r="AX164" s="59"/>
      <c r="AY164" s="59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</row>
    <row r="165" spans="1:115" s="2" customFormat="1" x14ac:dyDescent="0.3">
      <c r="A165" s="183"/>
      <c r="B165" s="188"/>
      <c r="C165" s="183"/>
      <c r="D165" s="449"/>
      <c r="E165" s="468"/>
      <c r="F165" s="183"/>
      <c r="G165" s="429"/>
      <c r="H165" s="412"/>
      <c r="I165" s="196"/>
      <c r="J165" s="196"/>
      <c r="K165" s="196"/>
      <c r="L165" s="196"/>
      <c r="M165" s="196"/>
      <c r="N165" s="196"/>
      <c r="O165" s="196"/>
      <c r="P165" s="290"/>
      <c r="Q165" s="291"/>
      <c r="R165" s="449"/>
      <c r="S165" s="183"/>
      <c r="T165" s="172"/>
      <c r="U165" s="43"/>
      <c r="V165" s="43"/>
      <c r="W165" s="312">
        <v>6</v>
      </c>
      <c r="X165" s="43"/>
      <c r="Y165" s="43"/>
      <c r="Z165" s="43"/>
      <c r="AA165" s="43"/>
      <c r="AB165" s="43"/>
      <c r="AC165" s="347"/>
      <c r="AD165" s="43"/>
      <c r="AE165" s="43"/>
      <c r="AF165" s="43"/>
      <c r="AG165" s="44"/>
      <c r="AH165" s="43"/>
      <c r="AI165" s="43"/>
      <c r="AJ165" s="219"/>
      <c r="AK165" s="43"/>
      <c r="AL165" s="219"/>
      <c r="AM165" s="43"/>
      <c r="AN165" s="43"/>
      <c r="AO165" s="43"/>
      <c r="AP165" s="43"/>
      <c r="AQ165" s="43"/>
      <c r="AR165" s="43"/>
      <c r="AS165" s="59"/>
      <c r="AT165" s="59"/>
      <c r="AU165" s="59"/>
      <c r="AV165" s="43"/>
      <c r="AW165" s="59"/>
      <c r="AX165" s="59"/>
      <c r="AY165" s="59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</row>
    <row r="166" spans="1:115" s="2" customFormat="1" x14ac:dyDescent="0.3">
      <c r="A166" s="183"/>
      <c r="B166" s="188"/>
      <c r="C166" s="183"/>
      <c r="D166" s="449"/>
      <c r="E166" s="468"/>
      <c r="F166" s="183"/>
      <c r="G166" s="429"/>
      <c r="H166" s="412"/>
      <c r="I166" s="196"/>
      <c r="J166" s="196"/>
      <c r="K166" s="196"/>
      <c r="L166" s="196"/>
      <c r="M166" s="196"/>
      <c r="N166" s="196"/>
      <c r="O166" s="196"/>
      <c r="P166" s="290"/>
      <c r="Q166" s="291"/>
      <c r="R166" s="449"/>
      <c r="S166" s="183"/>
      <c r="T166" s="172"/>
      <c r="U166" s="43"/>
      <c r="V166" s="43"/>
      <c r="W166" s="312">
        <v>7</v>
      </c>
      <c r="X166" s="43"/>
      <c r="Y166" s="43"/>
      <c r="Z166" s="43"/>
      <c r="AA166" s="43"/>
      <c r="AB166" s="43"/>
      <c r="AC166" s="347"/>
      <c r="AD166" s="43"/>
      <c r="AE166" s="43"/>
      <c r="AF166" s="43"/>
      <c r="AG166" s="44"/>
      <c r="AH166" s="43"/>
      <c r="AI166" s="43"/>
      <c r="AJ166" s="219"/>
      <c r="AK166" s="43"/>
      <c r="AL166" s="219"/>
      <c r="AM166" s="43"/>
      <c r="AN166" s="43"/>
      <c r="AO166" s="43"/>
      <c r="AP166" s="43"/>
      <c r="AQ166" s="43"/>
      <c r="AR166" s="43"/>
      <c r="AS166" s="59"/>
      <c r="AT166" s="59"/>
      <c r="AU166" s="59"/>
      <c r="AV166" s="43"/>
      <c r="AW166" s="59"/>
      <c r="AX166" s="59"/>
      <c r="AY166" s="59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</row>
    <row r="167" spans="1:115" s="2" customFormat="1" x14ac:dyDescent="0.3">
      <c r="A167" s="183"/>
      <c r="B167" s="188"/>
      <c r="C167" s="183"/>
      <c r="D167" s="449"/>
      <c r="E167" s="468"/>
      <c r="F167" s="183"/>
      <c r="G167" s="429"/>
      <c r="H167" s="412"/>
      <c r="I167" s="196"/>
      <c r="J167" s="196"/>
      <c r="K167" s="196"/>
      <c r="L167" s="196"/>
      <c r="M167" s="196"/>
      <c r="N167" s="196"/>
      <c r="O167" s="196"/>
      <c r="P167" s="290"/>
      <c r="Q167" s="291"/>
      <c r="R167" s="449"/>
      <c r="S167" s="183"/>
      <c r="T167" s="172"/>
      <c r="U167" s="43"/>
      <c r="V167" s="43"/>
      <c r="W167" s="312">
        <v>8</v>
      </c>
      <c r="X167" s="43"/>
      <c r="Y167" s="43"/>
      <c r="Z167" s="43"/>
      <c r="AA167" s="43"/>
      <c r="AB167" s="43"/>
      <c r="AC167" s="347"/>
      <c r="AD167" s="43"/>
      <c r="AE167" s="43"/>
      <c r="AF167" s="43"/>
      <c r="AG167" s="44"/>
      <c r="AH167" s="43"/>
      <c r="AI167" s="43"/>
      <c r="AJ167" s="219"/>
      <c r="AK167" s="43"/>
      <c r="AL167" s="219"/>
      <c r="AM167" s="43"/>
      <c r="AN167" s="43"/>
      <c r="AO167" s="43"/>
      <c r="AP167" s="43"/>
      <c r="AQ167" s="43"/>
      <c r="AR167" s="43"/>
      <c r="AS167" s="59"/>
      <c r="AT167" s="59"/>
      <c r="AU167" s="59"/>
      <c r="AV167" s="43"/>
      <c r="AW167" s="59"/>
      <c r="AX167" s="59"/>
      <c r="AY167" s="59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4"/>
      <c r="CC167" s="44"/>
      <c r="CD167" s="43"/>
      <c r="CE167" s="43"/>
      <c r="CF167" s="44"/>
      <c r="CG167" s="44"/>
      <c r="CH167" s="43"/>
      <c r="CI167" s="43"/>
      <c r="CJ167" s="44"/>
      <c r="CK167" s="44"/>
      <c r="CL167" s="43"/>
      <c r="CM167" s="43"/>
      <c r="CN167" s="43"/>
      <c r="CO167" s="44"/>
      <c r="CP167" s="44"/>
      <c r="CQ167" s="45"/>
      <c r="CR167" s="43"/>
      <c r="CS167" s="183"/>
      <c r="CT167" s="183"/>
      <c r="CU167" s="183"/>
      <c r="CV167" s="183"/>
      <c r="CW167" s="183"/>
      <c r="CX167" s="183"/>
      <c r="CY167" s="183"/>
      <c r="CZ167" s="183"/>
      <c r="DA167" s="183"/>
      <c r="DB167" s="183"/>
      <c r="DC167" s="183"/>
      <c r="DD167" s="183"/>
      <c r="DE167" s="183"/>
      <c r="DF167" s="183"/>
      <c r="DG167" s="183"/>
      <c r="DH167" s="183"/>
      <c r="DI167" s="183"/>
      <c r="DJ167" s="183"/>
      <c r="DK167" s="183"/>
    </row>
    <row r="168" spans="1:115" s="2" customFormat="1" x14ac:dyDescent="0.3">
      <c r="A168" s="183"/>
      <c r="B168" s="188"/>
      <c r="C168" s="183"/>
      <c r="D168" s="449"/>
      <c r="E168" s="468"/>
      <c r="F168" s="183"/>
      <c r="G168" s="429"/>
      <c r="H168" s="412"/>
      <c r="I168" s="196"/>
      <c r="J168" s="196"/>
      <c r="K168" s="196"/>
      <c r="L168" s="196"/>
      <c r="M168" s="196"/>
      <c r="N168" s="196"/>
      <c r="O168" s="196"/>
      <c r="P168" s="290"/>
      <c r="Q168" s="291"/>
      <c r="R168" s="449"/>
      <c r="S168" s="183"/>
      <c r="T168" s="172"/>
      <c r="U168" s="43"/>
      <c r="V168" s="43"/>
      <c r="W168" s="312">
        <v>9</v>
      </c>
      <c r="X168" s="43"/>
      <c r="Y168" s="43"/>
      <c r="Z168" s="43"/>
      <c r="AA168" s="43"/>
      <c r="AB168" s="43"/>
      <c r="AC168" s="347"/>
      <c r="AD168" s="43"/>
      <c r="AE168" s="43"/>
      <c r="AF168" s="43"/>
      <c r="AG168" s="44"/>
      <c r="AH168" s="43"/>
      <c r="AI168" s="43"/>
      <c r="AJ168" s="219"/>
      <c r="AK168" s="43"/>
      <c r="AL168" s="219"/>
      <c r="AM168" s="43"/>
      <c r="AN168" s="43"/>
      <c r="AO168" s="43"/>
      <c r="AP168" s="43"/>
      <c r="AQ168" s="43"/>
      <c r="AR168" s="43"/>
      <c r="AS168" s="59"/>
      <c r="AT168" s="59"/>
      <c r="AU168" s="59"/>
      <c r="AV168" s="43"/>
      <c r="AW168" s="59"/>
      <c r="AX168" s="59"/>
      <c r="AY168" s="59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4"/>
      <c r="CC168" s="44"/>
      <c r="CD168" s="43"/>
      <c r="CE168" s="43"/>
      <c r="CF168" s="44"/>
      <c r="CG168" s="44"/>
      <c r="CH168" s="43"/>
      <c r="CI168" s="43"/>
      <c r="CJ168" s="44"/>
      <c r="CK168" s="44"/>
      <c r="CL168" s="43"/>
      <c r="CM168" s="43"/>
      <c r="CN168" s="43"/>
      <c r="CO168" s="44"/>
      <c r="CP168" s="44"/>
      <c r="CQ168" s="45"/>
      <c r="CR168" s="4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</row>
    <row r="169" spans="1:115" s="2" customFormat="1" x14ac:dyDescent="0.3">
      <c r="A169" s="183"/>
      <c r="B169" s="188"/>
      <c r="C169" s="183"/>
      <c r="D169" s="449"/>
      <c r="E169" s="468"/>
      <c r="F169" s="183"/>
      <c r="G169" s="429"/>
      <c r="H169" s="412"/>
      <c r="I169" s="196"/>
      <c r="J169" s="196"/>
      <c r="K169" s="196"/>
      <c r="L169" s="196"/>
      <c r="M169" s="196"/>
      <c r="N169" s="196"/>
      <c r="O169" s="196"/>
      <c r="P169" s="290"/>
      <c r="Q169" s="291"/>
      <c r="R169" s="449"/>
      <c r="S169" s="183"/>
      <c r="T169" s="172"/>
      <c r="U169" s="43"/>
      <c r="V169" s="43"/>
      <c r="W169" s="312">
        <v>10</v>
      </c>
      <c r="X169" s="43"/>
      <c r="Y169" s="43"/>
      <c r="Z169" s="43"/>
      <c r="AA169" s="43"/>
      <c r="AB169" s="43"/>
      <c r="AC169" s="347"/>
      <c r="AD169" s="43"/>
      <c r="AE169" s="43"/>
      <c r="AF169" s="43"/>
      <c r="AG169" s="44"/>
      <c r="AH169" s="43"/>
      <c r="AI169" s="43"/>
      <c r="AJ169" s="219"/>
      <c r="AK169" s="43"/>
      <c r="AL169" s="219"/>
      <c r="AM169" s="43"/>
      <c r="AN169" s="43"/>
      <c r="AO169" s="43"/>
      <c r="AP169" s="43"/>
      <c r="AQ169" s="43"/>
      <c r="AR169" s="43"/>
      <c r="AS169" s="59"/>
      <c r="AT169" s="59"/>
      <c r="AU169" s="59"/>
      <c r="AV169" s="43"/>
      <c r="AW169" s="59"/>
      <c r="AX169" s="59"/>
      <c r="AY169" s="59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4"/>
      <c r="CC169" s="44"/>
      <c r="CD169" s="43"/>
      <c r="CE169" s="43"/>
      <c r="CF169" s="44"/>
      <c r="CG169" s="44"/>
      <c r="CH169" s="43"/>
      <c r="CI169" s="43"/>
      <c r="CJ169" s="44"/>
      <c r="CK169" s="44"/>
      <c r="CL169" s="43"/>
      <c r="CM169" s="43"/>
      <c r="CN169" s="43"/>
      <c r="CO169" s="44"/>
      <c r="CP169" s="44"/>
      <c r="CQ169" s="45"/>
      <c r="CR169" s="43"/>
      <c r="CS169" s="183"/>
      <c r="CT169" s="183"/>
      <c r="CU169" s="183"/>
      <c r="CV169" s="183"/>
      <c r="CW169" s="183"/>
      <c r="CX169" s="183"/>
      <c r="CY169" s="183"/>
      <c r="CZ169" s="183"/>
      <c r="DA169" s="183"/>
      <c r="DB169" s="183"/>
      <c r="DC169" s="183"/>
      <c r="DD169" s="183"/>
      <c r="DE169" s="183"/>
      <c r="DF169" s="183"/>
      <c r="DG169" s="183"/>
      <c r="DH169" s="183"/>
      <c r="DI169" s="183"/>
      <c r="DJ169" s="183"/>
      <c r="DK169" s="183"/>
    </row>
    <row r="170" spans="1:115" s="2" customFormat="1" x14ac:dyDescent="0.3">
      <c r="A170" s="183"/>
      <c r="B170" s="188"/>
      <c r="C170" s="183"/>
      <c r="D170" s="449"/>
      <c r="E170" s="468"/>
      <c r="F170" s="183"/>
      <c r="G170" s="429"/>
      <c r="H170" s="412"/>
      <c r="I170" s="196"/>
      <c r="J170" s="196"/>
      <c r="K170" s="196"/>
      <c r="L170" s="196"/>
      <c r="M170" s="196"/>
      <c r="N170" s="196"/>
      <c r="O170" s="196"/>
      <c r="P170" s="290"/>
      <c r="Q170" s="291"/>
      <c r="R170" s="449"/>
      <c r="S170" s="183"/>
      <c r="T170" s="172"/>
      <c r="U170" s="43"/>
      <c r="V170" s="43"/>
      <c r="W170" s="312">
        <v>11</v>
      </c>
      <c r="X170" s="43"/>
      <c r="Y170" s="43"/>
      <c r="Z170" s="43"/>
      <c r="AA170" s="43"/>
      <c r="AB170" s="43"/>
      <c r="AC170" s="347"/>
      <c r="AD170" s="43"/>
      <c r="AE170" s="43"/>
      <c r="AF170" s="43"/>
      <c r="AG170" s="44"/>
      <c r="AH170" s="43"/>
      <c r="AI170" s="43"/>
      <c r="AJ170" s="219"/>
      <c r="AK170" s="43"/>
      <c r="AL170" s="219"/>
      <c r="AM170" s="43"/>
      <c r="AN170" s="43"/>
      <c r="AO170" s="43"/>
      <c r="AP170" s="43"/>
      <c r="AQ170" s="43"/>
      <c r="AR170" s="43"/>
      <c r="AS170" s="59"/>
      <c r="AT170" s="59"/>
      <c r="AU170" s="59"/>
      <c r="AV170" s="43"/>
      <c r="AW170" s="59"/>
      <c r="AX170" s="59"/>
      <c r="AY170" s="59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4"/>
      <c r="CC170" s="44"/>
      <c r="CD170" s="43"/>
      <c r="CE170" s="43"/>
      <c r="CF170" s="44"/>
      <c r="CG170" s="44"/>
      <c r="CH170" s="43"/>
      <c r="CI170" s="43"/>
      <c r="CJ170" s="44"/>
      <c r="CK170" s="44"/>
      <c r="CL170" s="43"/>
      <c r="CM170" s="43"/>
      <c r="CN170" s="43"/>
      <c r="CO170" s="44"/>
      <c r="CP170" s="44"/>
      <c r="CQ170" s="45"/>
      <c r="CR170" s="43"/>
      <c r="CS170" s="183"/>
      <c r="CT170" s="183"/>
      <c r="CU170" s="183"/>
      <c r="CV170" s="183"/>
      <c r="CW170" s="183"/>
      <c r="CX170" s="183"/>
      <c r="CY170" s="183"/>
      <c r="CZ170" s="183"/>
      <c r="DA170" s="183"/>
      <c r="DB170" s="183"/>
      <c r="DC170" s="183"/>
      <c r="DD170" s="183"/>
      <c r="DE170" s="183"/>
      <c r="DF170" s="183"/>
      <c r="DG170" s="183"/>
      <c r="DH170" s="183"/>
      <c r="DI170" s="183"/>
      <c r="DJ170" s="183"/>
      <c r="DK170" s="183"/>
    </row>
    <row r="171" spans="1:115" s="2" customFormat="1" x14ac:dyDescent="0.3">
      <c r="A171" s="183"/>
      <c r="B171" s="188"/>
      <c r="C171" s="183"/>
      <c r="D171" s="449"/>
      <c r="E171" s="468"/>
      <c r="F171" s="183"/>
      <c r="G171" s="429"/>
      <c r="H171" s="412"/>
      <c r="I171" s="196"/>
      <c r="J171" s="196"/>
      <c r="K171" s="196"/>
      <c r="L171" s="196"/>
      <c r="M171" s="196"/>
      <c r="N171" s="196"/>
      <c r="O171" s="196"/>
      <c r="P171" s="290"/>
      <c r="Q171" s="291"/>
      <c r="R171" s="449"/>
      <c r="S171" s="183"/>
      <c r="T171" s="172"/>
      <c r="U171" s="43"/>
      <c r="V171" s="43"/>
      <c r="W171" s="312">
        <v>12</v>
      </c>
      <c r="X171" s="43"/>
      <c r="Y171" s="43"/>
      <c r="Z171" s="43"/>
      <c r="AA171" s="43"/>
      <c r="AB171" s="43"/>
      <c r="AC171" s="347"/>
      <c r="AD171" s="43"/>
      <c r="AE171" s="43"/>
      <c r="AF171" s="43"/>
      <c r="AG171" s="44"/>
      <c r="AH171" s="43"/>
      <c r="AI171" s="43"/>
      <c r="AJ171" s="219"/>
      <c r="AK171" s="43"/>
      <c r="AL171" s="219"/>
      <c r="AM171" s="43"/>
      <c r="AN171" s="43"/>
      <c r="AO171" s="43"/>
      <c r="AP171" s="43"/>
      <c r="AQ171" s="43"/>
      <c r="AR171" s="43"/>
      <c r="AS171" s="59"/>
      <c r="AT171" s="59"/>
      <c r="AU171" s="59"/>
      <c r="AV171" s="43"/>
      <c r="AW171" s="59"/>
      <c r="AX171" s="59"/>
      <c r="AY171" s="59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4"/>
      <c r="CC171" s="44"/>
      <c r="CD171" s="43"/>
      <c r="CE171" s="43"/>
      <c r="CF171" s="44"/>
      <c r="CG171" s="44"/>
      <c r="CH171" s="43"/>
      <c r="CI171" s="43"/>
      <c r="CJ171" s="44"/>
      <c r="CK171" s="44"/>
      <c r="CL171" s="43"/>
      <c r="CM171" s="43"/>
      <c r="CN171" s="43"/>
      <c r="CO171" s="44"/>
      <c r="CP171" s="44"/>
      <c r="CQ171" s="45"/>
      <c r="CR171" s="43"/>
      <c r="CS171" s="183"/>
      <c r="CT171" s="183"/>
      <c r="CU171" s="183"/>
      <c r="CV171" s="183"/>
      <c r="CW171" s="183"/>
      <c r="CX171" s="183"/>
      <c r="CY171" s="183"/>
      <c r="CZ171" s="183"/>
      <c r="DA171" s="183"/>
      <c r="DB171" s="183"/>
      <c r="DC171" s="183"/>
      <c r="DD171" s="183"/>
      <c r="DE171" s="183"/>
      <c r="DF171" s="183"/>
      <c r="DG171" s="183"/>
      <c r="DH171" s="183"/>
      <c r="DI171" s="183"/>
      <c r="DJ171" s="183"/>
      <c r="DK171" s="183"/>
    </row>
    <row r="172" spans="1:115" s="2" customFormat="1" x14ac:dyDescent="0.3">
      <c r="A172" s="183"/>
      <c r="B172" s="188"/>
      <c r="C172" s="183"/>
      <c r="D172" s="449"/>
      <c r="E172" s="468"/>
      <c r="F172" s="183"/>
      <c r="G172" s="429"/>
      <c r="H172" s="412"/>
      <c r="I172" s="196"/>
      <c r="J172" s="196"/>
      <c r="K172" s="196"/>
      <c r="L172" s="196"/>
      <c r="M172" s="196"/>
      <c r="N172" s="196"/>
      <c r="O172" s="196"/>
      <c r="P172" s="290"/>
      <c r="Q172" s="291"/>
      <c r="R172" s="449"/>
      <c r="S172" s="183"/>
      <c r="T172" s="172"/>
      <c r="U172" s="43"/>
      <c r="V172" s="43"/>
      <c r="W172" s="312">
        <v>13</v>
      </c>
      <c r="X172" s="43"/>
      <c r="Y172" s="43"/>
      <c r="Z172" s="43"/>
      <c r="AA172" s="43"/>
      <c r="AB172" s="43"/>
      <c r="AC172" s="347"/>
      <c r="AD172" s="43"/>
      <c r="AE172" s="43"/>
      <c r="AF172" s="43"/>
      <c r="AG172" s="44"/>
      <c r="AH172" s="43"/>
      <c r="AI172" s="43"/>
      <c r="AJ172" s="219"/>
      <c r="AK172" s="43"/>
      <c r="AL172" s="219"/>
      <c r="AM172" s="43"/>
      <c r="AN172" s="43"/>
      <c r="AO172" s="43"/>
      <c r="AP172" s="43"/>
      <c r="AQ172" s="43"/>
      <c r="AR172" s="43"/>
      <c r="AS172" s="59"/>
      <c r="AT172" s="59"/>
      <c r="AU172" s="59"/>
      <c r="AV172" s="43"/>
      <c r="AW172" s="59"/>
      <c r="AX172" s="59"/>
      <c r="AY172" s="59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4"/>
      <c r="CC172" s="44"/>
      <c r="CD172" s="43"/>
      <c r="CE172" s="43"/>
      <c r="CF172" s="44"/>
      <c r="CG172" s="44"/>
      <c r="CH172" s="43"/>
      <c r="CI172" s="43"/>
      <c r="CJ172" s="44"/>
      <c r="CK172" s="44"/>
      <c r="CL172" s="43"/>
      <c r="CM172" s="43"/>
      <c r="CN172" s="43"/>
      <c r="CO172" s="44"/>
      <c r="CP172" s="44"/>
      <c r="CQ172" s="45"/>
      <c r="CR172" s="43"/>
      <c r="CS172" s="183"/>
      <c r="CT172" s="183"/>
      <c r="CU172" s="183"/>
      <c r="CV172" s="183"/>
      <c r="CW172" s="183"/>
      <c r="CX172" s="183"/>
      <c r="CY172" s="183"/>
      <c r="CZ172" s="183"/>
      <c r="DA172" s="183"/>
      <c r="DB172" s="183"/>
      <c r="DC172" s="183"/>
      <c r="DD172" s="183"/>
      <c r="DE172" s="183"/>
      <c r="DF172" s="183"/>
      <c r="DG172" s="183"/>
      <c r="DH172" s="183"/>
      <c r="DI172" s="183"/>
      <c r="DJ172" s="183"/>
      <c r="DK172" s="183"/>
    </row>
    <row r="173" spans="1:115" s="2" customFormat="1" x14ac:dyDescent="0.3">
      <c r="A173" s="183"/>
      <c r="B173" s="188"/>
      <c r="C173" s="183"/>
      <c r="D173" s="449"/>
      <c r="E173" s="468"/>
      <c r="F173" s="183"/>
      <c r="G173" s="429"/>
      <c r="H173" s="412"/>
      <c r="I173" s="196"/>
      <c r="J173" s="196"/>
      <c r="K173" s="196"/>
      <c r="L173" s="196"/>
      <c r="M173" s="196"/>
      <c r="N173" s="196"/>
      <c r="O173" s="196"/>
      <c r="P173" s="290"/>
      <c r="Q173" s="291"/>
      <c r="R173" s="449"/>
      <c r="S173" s="183"/>
      <c r="T173" s="172"/>
      <c r="U173" s="43"/>
      <c r="V173" s="43"/>
      <c r="W173" s="312">
        <v>14</v>
      </c>
      <c r="X173" s="43"/>
      <c r="Y173" s="43"/>
      <c r="Z173" s="43"/>
      <c r="AA173" s="43"/>
      <c r="AB173" s="43"/>
      <c r="AC173" s="347"/>
      <c r="AD173" s="43"/>
      <c r="AE173" s="43"/>
      <c r="AF173" s="43"/>
      <c r="AG173" s="44"/>
      <c r="AH173" s="43"/>
      <c r="AI173" s="43"/>
      <c r="AJ173" s="219"/>
      <c r="AK173" s="43"/>
      <c r="AL173" s="219"/>
      <c r="AM173" s="43"/>
      <c r="AN173" s="43"/>
      <c r="AO173" s="43"/>
      <c r="AP173" s="43"/>
      <c r="AQ173" s="43"/>
      <c r="AR173" s="43"/>
      <c r="AS173" s="59"/>
      <c r="AT173" s="59"/>
      <c r="AU173" s="59"/>
      <c r="AV173" s="43"/>
      <c r="AW173" s="59"/>
      <c r="AX173" s="59"/>
      <c r="AY173" s="59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4"/>
      <c r="CC173" s="44"/>
      <c r="CD173" s="43"/>
      <c r="CE173" s="43"/>
      <c r="CF173" s="44"/>
      <c r="CG173" s="44"/>
      <c r="CH173" s="43"/>
      <c r="CI173" s="43"/>
      <c r="CJ173" s="44"/>
      <c r="CK173" s="44"/>
      <c r="CL173" s="43"/>
      <c r="CM173" s="43"/>
      <c r="CN173" s="43"/>
      <c r="CO173" s="44"/>
      <c r="CP173" s="44"/>
      <c r="CQ173" s="45"/>
      <c r="CR173" s="43"/>
      <c r="CS173" s="183"/>
      <c r="CT173" s="183"/>
      <c r="CU173" s="183"/>
      <c r="CV173" s="183"/>
      <c r="CW173" s="183"/>
      <c r="CX173" s="183"/>
      <c r="CY173" s="183"/>
      <c r="CZ173" s="183"/>
      <c r="DA173" s="183"/>
      <c r="DB173" s="183"/>
      <c r="DC173" s="183"/>
      <c r="DD173" s="183"/>
      <c r="DE173" s="183"/>
      <c r="DF173" s="183"/>
      <c r="DG173" s="183"/>
      <c r="DH173" s="183"/>
      <c r="DI173" s="183"/>
      <c r="DJ173" s="183"/>
      <c r="DK173" s="183"/>
    </row>
    <row r="174" spans="1:115" s="2" customFormat="1" x14ac:dyDescent="0.3">
      <c r="A174" s="183"/>
      <c r="B174" s="188"/>
      <c r="C174" s="183"/>
      <c r="D174" s="449"/>
      <c r="E174" s="468"/>
      <c r="F174" s="183"/>
      <c r="G174" s="429"/>
      <c r="H174" s="412"/>
      <c r="I174" s="196"/>
      <c r="J174" s="196"/>
      <c r="K174" s="196"/>
      <c r="L174" s="196"/>
      <c r="M174" s="196"/>
      <c r="N174" s="196"/>
      <c r="O174" s="196"/>
      <c r="P174" s="290"/>
      <c r="Q174" s="291"/>
      <c r="R174" s="449"/>
      <c r="S174" s="183"/>
      <c r="T174" s="172"/>
      <c r="U174" s="43"/>
      <c r="V174" s="43"/>
      <c r="W174" s="312">
        <v>15</v>
      </c>
      <c r="X174" s="43"/>
      <c r="Y174" s="43"/>
      <c r="Z174" s="43"/>
      <c r="AA174" s="43"/>
      <c r="AB174" s="43"/>
      <c r="AC174" s="347"/>
      <c r="AD174" s="43"/>
      <c r="AE174" s="43"/>
      <c r="AF174" s="43"/>
      <c r="AG174" s="44"/>
      <c r="AH174" s="43"/>
      <c r="AI174" s="43"/>
      <c r="AJ174" s="219"/>
      <c r="AK174" s="43"/>
      <c r="AL174" s="219"/>
      <c r="AM174" s="43"/>
      <c r="AN174" s="43"/>
      <c r="AO174" s="43"/>
      <c r="AP174" s="43"/>
      <c r="AQ174" s="43"/>
      <c r="AR174" s="43"/>
      <c r="AS174" s="59"/>
      <c r="AT174" s="59"/>
      <c r="AU174" s="59"/>
      <c r="AV174" s="43"/>
      <c r="AW174" s="59"/>
      <c r="AX174" s="59"/>
      <c r="AY174" s="59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4"/>
      <c r="CC174" s="44"/>
      <c r="CD174" s="43"/>
      <c r="CE174" s="43"/>
      <c r="CF174" s="44"/>
      <c r="CG174" s="44"/>
      <c r="CH174" s="43"/>
      <c r="CI174" s="43"/>
      <c r="CJ174" s="44"/>
      <c r="CK174" s="44"/>
      <c r="CL174" s="43"/>
      <c r="CM174" s="43"/>
      <c r="CN174" s="43"/>
      <c r="CO174" s="44"/>
      <c r="CP174" s="44"/>
      <c r="CQ174" s="45"/>
      <c r="CR174" s="43"/>
      <c r="CS174" s="183"/>
      <c r="CT174" s="183"/>
      <c r="CU174" s="183"/>
      <c r="CV174" s="183"/>
      <c r="CW174" s="183"/>
      <c r="CX174" s="183"/>
      <c r="CY174" s="183"/>
      <c r="CZ174" s="183"/>
      <c r="DA174" s="183"/>
      <c r="DB174" s="183"/>
      <c r="DC174" s="183"/>
      <c r="DD174" s="183"/>
      <c r="DE174" s="183"/>
      <c r="DF174" s="183"/>
      <c r="DG174" s="183"/>
      <c r="DH174" s="183"/>
      <c r="DI174" s="183"/>
      <c r="DJ174" s="183"/>
      <c r="DK174" s="183"/>
    </row>
    <row r="175" spans="1:115" s="2" customFormat="1" x14ac:dyDescent="0.3">
      <c r="A175" s="183"/>
      <c r="B175" s="188"/>
      <c r="C175" s="183"/>
      <c r="D175" s="449"/>
      <c r="E175" s="468"/>
      <c r="F175" s="183"/>
      <c r="G175" s="429"/>
      <c r="H175" s="412"/>
      <c r="I175" s="196"/>
      <c r="J175" s="196"/>
      <c r="K175" s="196"/>
      <c r="L175" s="196"/>
      <c r="M175" s="196"/>
      <c r="N175" s="196"/>
      <c r="O175" s="196"/>
      <c r="P175" s="290"/>
      <c r="Q175" s="291"/>
      <c r="R175" s="449"/>
      <c r="S175" s="183"/>
      <c r="T175" s="172"/>
      <c r="U175" s="43"/>
      <c r="V175" s="43"/>
      <c r="W175" s="312">
        <v>16</v>
      </c>
      <c r="X175" s="43"/>
      <c r="Y175" s="43"/>
      <c r="Z175" s="43"/>
      <c r="AA175" s="43"/>
      <c r="AB175" s="43"/>
      <c r="AC175" s="347"/>
      <c r="AD175" s="43"/>
      <c r="AE175" s="43"/>
      <c r="AF175" s="43"/>
      <c r="AG175" s="44"/>
      <c r="AH175" s="43"/>
      <c r="AI175" s="43"/>
      <c r="AJ175" s="219"/>
      <c r="AK175" s="43"/>
      <c r="AL175" s="219"/>
      <c r="AM175" s="43"/>
      <c r="AN175" s="43"/>
      <c r="AO175" s="43"/>
      <c r="AP175" s="43"/>
      <c r="AQ175" s="43"/>
      <c r="AR175" s="43"/>
      <c r="AS175" s="59"/>
      <c r="AT175" s="59"/>
      <c r="AU175" s="59"/>
      <c r="AV175" s="43"/>
      <c r="AW175" s="59"/>
      <c r="AX175" s="59"/>
      <c r="AY175" s="59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4"/>
      <c r="CC175" s="44"/>
      <c r="CD175" s="43"/>
      <c r="CE175" s="43"/>
      <c r="CF175" s="44"/>
      <c r="CG175" s="44"/>
      <c r="CH175" s="43"/>
      <c r="CI175" s="43"/>
      <c r="CJ175" s="44"/>
      <c r="CK175" s="44"/>
      <c r="CL175" s="43"/>
      <c r="CM175" s="43"/>
      <c r="CN175" s="43"/>
      <c r="CO175" s="44"/>
      <c r="CP175" s="44"/>
      <c r="CQ175" s="45"/>
      <c r="CR175" s="43"/>
      <c r="CS175" s="183"/>
      <c r="CT175" s="183"/>
      <c r="CU175" s="183"/>
      <c r="CV175" s="183"/>
      <c r="CW175" s="183"/>
      <c r="CX175" s="183"/>
      <c r="CY175" s="183"/>
      <c r="CZ175" s="183"/>
      <c r="DA175" s="183"/>
      <c r="DB175" s="183"/>
      <c r="DC175" s="183"/>
      <c r="DD175" s="183"/>
      <c r="DE175" s="183"/>
      <c r="DF175" s="183"/>
      <c r="DG175" s="183"/>
      <c r="DH175" s="183"/>
      <c r="DI175" s="183"/>
      <c r="DJ175" s="183"/>
      <c r="DK175" s="183"/>
    </row>
    <row r="176" spans="1:115" s="2" customFormat="1" x14ac:dyDescent="0.3">
      <c r="A176" s="183"/>
      <c r="B176" s="188"/>
      <c r="C176" s="183"/>
      <c r="D176" s="449"/>
      <c r="E176" s="468"/>
      <c r="F176" s="183"/>
      <c r="G176" s="429"/>
      <c r="H176" s="412"/>
      <c r="I176" s="196"/>
      <c r="J176" s="196"/>
      <c r="K176" s="196"/>
      <c r="L176" s="196"/>
      <c r="M176" s="196"/>
      <c r="N176" s="196"/>
      <c r="O176" s="196"/>
      <c r="P176" s="290"/>
      <c r="Q176" s="291"/>
      <c r="R176" s="449"/>
      <c r="S176" s="183"/>
      <c r="T176" s="172"/>
      <c r="U176" s="43"/>
      <c r="V176" s="43"/>
      <c r="W176" s="312">
        <v>17</v>
      </c>
      <c r="X176" s="43"/>
      <c r="Y176" s="43"/>
      <c r="Z176" s="43"/>
      <c r="AA176" s="43"/>
      <c r="AB176" s="43"/>
      <c r="AC176" s="347"/>
      <c r="AD176" s="43"/>
      <c r="AE176" s="43"/>
      <c r="AF176" s="43"/>
      <c r="AG176" s="44"/>
      <c r="AH176" s="43"/>
      <c r="AI176" s="43"/>
      <c r="AJ176" s="219"/>
      <c r="AK176" s="43"/>
      <c r="AL176" s="219"/>
      <c r="AM176" s="43"/>
      <c r="AN176" s="43"/>
      <c r="AO176" s="43"/>
      <c r="AP176" s="43"/>
      <c r="AQ176" s="43"/>
      <c r="AR176" s="43"/>
      <c r="AS176" s="59"/>
      <c r="AT176" s="59"/>
      <c r="AU176" s="59"/>
      <c r="AV176" s="43"/>
      <c r="AW176" s="59"/>
      <c r="AX176" s="59"/>
      <c r="AY176" s="59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4"/>
      <c r="CC176" s="44"/>
      <c r="CD176" s="43"/>
      <c r="CE176" s="43"/>
      <c r="CF176" s="44"/>
      <c r="CG176" s="44"/>
      <c r="CH176" s="43"/>
      <c r="CI176" s="43"/>
      <c r="CJ176" s="44"/>
      <c r="CK176" s="44"/>
      <c r="CL176" s="43"/>
      <c r="CM176" s="43"/>
      <c r="CN176" s="43"/>
      <c r="CO176" s="44"/>
      <c r="CP176" s="44"/>
      <c r="CQ176" s="45"/>
      <c r="CR176" s="43"/>
      <c r="CS176" s="183"/>
      <c r="CT176" s="183"/>
      <c r="CU176" s="183"/>
      <c r="CV176" s="183"/>
      <c r="CW176" s="183"/>
      <c r="CX176" s="183"/>
      <c r="CY176" s="183"/>
      <c r="CZ176" s="183"/>
      <c r="DA176" s="183"/>
      <c r="DB176" s="183"/>
      <c r="DC176" s="183"/>
      <c r="DD176" s="183"/>
      <c r="DE176" s="183"/>
      <c r="DF176" s="183"/>
      <c r="DG176" s="183"/>
      <c r="DH176" s="183"/>
      <c r="DI176" s="183"/>
      <c r="DJ176" s="183"/>
      <c r="DK176" s="183"/>
    </row>
    <row r="177" spans="1:115" s="2" customFormat="1" x14ac:dyDescent="0.3">
      <c r="A177" s="183"/>
      <c r="B177" s="188"/>
      <c r="C177" s="183"/>
      <c r="D177" s="449"/>
      <c r="E177" s="468"/>
      <c r="F177" s="183"/>
      <c r="G177" s="429"/>
      <c r="H177" s="412"/>
      <c r="I177" s="196"/>
      <c r="J177" s="196"/>
      <c r="K177" s="196"/>
      <c r="L177" s="196"/>
      <c r="M177" s="196"/>
      <c r="N177" s="196"/>
      <c r="O177" s="196"/>
      <c r="P177" s="290"/>
      <c r="Q177" s="291"/>
      <c r="R177" s="449"/>
      <c r="S177" s="183"/>
      <c r="T177" s="172"/>
      <c r="U177" s="43"/>
      <c r="V177" s="43"/>
      <c r="W177" s="312">
        <v>18</v>
      </c>
      <c r="X177" s="43"/>
      <c r="Y177" s="43"/>
      <c r="Z177" s="43"/>
      <c r="AA177" s="43"/>
      <c r="AB177" s="43"/>
      <c r="AC177" s="347"/>
      <c r="AD177" s="43"/>
      <c r="AE177" s="43"/>
      <c r="AF177" s="43"/>
      <c r="AG177" s="44"/>
      <c r="AH177" s="43"/>
      <c r="AI177" s="43"/>
      <c r="AJ177" s="219"/>
      <c r="AK177" s="43"/>
      <c r="AL177" s="219"/>
      <c r="AM177" s="43"/>
      <c r="AN177" s="43"/>
      <c r="AO177" s="43"/>
      <c r="AP177" s="43"/>
      <c r="AQ177" s="43"/>
      <c r="AR177" s="43"/>
      <c r="AS177" s="59"/>
      <c r="AT177" s="59"/>
      <c r="AU177" s="59"/>
      <c r="AV177" s="43"/>
      <c r="AW177" s="59"/>
      <c r="AX177" s="59"/>
      <c r="AY177" s="59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4"/>
      <c r="CC177" s="44"/>
      <c r="CD177" s="43"/>
      <c r="CE177" s="43"/>
      <c r="CF177" s="44"/>
      <c r="CG177" s="44"/>
      <c r="CH177" s="43"/>
      <c r="CI177" s="43"/>
      <c r="CJ177" s="44"/>
      <c r="CK177" s="44"/>
      <c r="CL177" s="43"/>
      <c r="CM177" s="43"/>
      <c r="CN177" s="43"/>
      <c r="CO177" s="44"/>
      <c r="CP177" s="44"/>
      <c r="CQ177" s="45"/>
      <c r="CR177" s="43"/>
      <c r="CS177" s="183"/>
      <c r="CT177" s="183"/>
      <c r="CU177" s="183"/>
      <c r="CV177" s="183"/>
      <c r="CW177" s="183"/>
      <c r="CX177" s="183"/>
      <c r="CY177" s="183"/>
      <c r="CZ177" s="183"/>
      <c r="DA177" s="183"/>
      <c r="DB177" s="183"/>
      <c r="DC177" s="183"/>
      <c r="DD177" s="183"/>
      <c r="DE177" s="183"/>
      <c r="DF177" s="183"/>
      <c r="DG177" s="183"/>
      <c r="DH177" s="183"/>
      <c r="DI177" s="183"/>
      <c r="DJ177" s="183"/>
      <c r="DK177" s="183"/>
    </row>
    <row r="178" spans="1:115" s="2" customFormat="1" x14ac:dyDescent="0.3">
      <c r="A178" s="183"/>
      <c r="B178" s="188"/>
      <c r="C178" s="183"/>
      <c r="D178" s="449"/>
      <c r="E178" s="468"/>
      <c r="F178" s="183"/>
      <c r="G178" s="429"/>
      <c r="H178" s="412"/>
      <c r="I178" s="196"/>
      <c r="J178" s="196"/>
      <c r="K178" s="196"/>
      <c r="L178" s="196"/>
      <c r="M178" s="196"/>
      <c r="N178" s="196"/>
      <c r="O178" s="196"/>
      <c r="P178" s="290"/>
      <c r="Q178" s="291"/>
      <c r="R178" s="449"/>
      <c r="S178" s="183"/>
      <c r="T178" s="172"/>
      <c r="U178" s="43"/>
      <c r="V178" s="43"/>
      <c r="W178" s="312">
        <v>19</v>
      </c>
      <c r="X178" s="43"/>
      <c r="Y178" s="43"/>
      <c r="Z178" s="43"/>
      <c r="AA178" s="43"/>
      <c r="AB178" s="43"/>
      <c r="AC178" s="347"/>
      <c r="AD178" s="43"/>
      <c r="AE178" s="43"/>
      <c r="AF178" s="43"/>
      <c r="AG178" s="44"/>
      <c r="AH178" s="43"/>
      <c r="AI178" s="43"/>
      <c r="AJ178" s="219"/>
      <c r="AK178" s="43"/>
      <c r="AL178" s="219"/>
      <c r="AM178" s="43"/>
      <c r="AN178" s="43"/>
      <c r="AO178" s="43"/>
      <c r="AP178" s="43"/>
      <c r="AQ178" s="43"/>
      <c r="AR178" s="43"/>
      <c r="AS178" s="59"/>
      <c r="AT178" s="59"/>
      <c r="AU178" s="59"/>
      <c r="AV178" s="43"/>
      <c r="AW178" s="59"/>
      <c r="AX178" s="59"/>
      <c r="AY178" s="59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4"/>
      <c r="CC178" s="44"/>
      <c r="CD178" s="43"/>
      <c r="CE178" s="43"/>
      <c r="CF178" s="44"/>
      <c r="CG178" s="44"/>
      <c r="CH178" s="43"/>
      <c r="CI178" s="43"/>
      <c r="CJ178" s="44"/>
      <c r="CK178" s="44"/>
      <c r="CL178" s="43"/>
      <c r="CM178" s="43"/>
      <c r="CN178" s="43"/>
      <c r="CO178" s="44"/>
      <c r="CP178" s="44"/>
      <c r="CQ178" s="45"/>
      <c r="CR178" s="43"/>
      <c r="CS178" s="183"/>
      <c r="CT178" s="183"/>
      <c r="CU178" s="183"/>
      <c r="CV178" s="183"/>
      <c r="CW178" s="183"/>
      <c r="CX178" s="183"/>
      <c r="CY178" s="183"/>
      <c r="CZ178" s="183"/>
      <c r="DA178" s="183"/>
      <c r="DB178" s="183"/>
      <c r="DC178" s="183"/>
      <c r="DD178" s="183"/>
      <c r="DE178" s="183"/>
      <c r="DF178" s="183"/>
      <c r="DG178" s="183"/>
      <c r="DH178" s="183"/>
      <c r="DI178" s="183"/>
      <c r="DJ178" s="183"/>
      <c r="DK178" s="183"/>
    </row>
    <row r="179" spans="1:115" s="2" customFormat="1" x14ac:dyDescent="0.3">
      <c r="A179" s="183"/>
      <c r="B179" s="188"/>
      <c r="C179" s="183"/>
      <c r="D179" s="449"/>
      <c r="E179" s="468"/>
      <c r="F179" s="183"/>
      <c r="G179" s="429"/>
      <c r="H179" s="412"/>
      <c r="I179" s="196"/>
      <c r="J179" s="196"/>
      <c r="K179" s="196"/>
      <c r="L179" s="196"/>
      <c r="M179" s="196"/>
      <c r="N179" s="196"/>
      <c r="O179" s="196"/>
      <c r="P179" s="290"/>
      <c r="Q179" s="291"/>
      <c r="R179" s="449"/>
      <c r="S179" s="183"/>
      <c r="T179" s="172"/>
      <c r="U179" s="43"/>
      <c r="V179" s="43"/>
      <c r="W179" s="312">
        <v>20</v>
      </c>
      <c r="X179" s="43"/>
      <c r="Y179" s="43"/>
      <c r="Z179" s="43"/>
      <c r="AA179" s="43"/>
      <c r="AB179" s="43"/>
      <c r="AC179" s="347"/>
      <c r="AD179" s="43"/>
      <c r="AE179" s="43"/>
      <c r="AF179" s="43"/>
      <c r="AG179" s="44"/>
      <c r="AH179" s="43"/>
      <c r="AI179" s="43"/>
      <c r="AJ179" s="219"/>
      <c r="AK179" s="43"/>
      <c r="AL179" s="219"/>
      <c r="AM179" s="43"/>
      <c r="AN179" s="43"/>
      <c r="AO179" s="43"/>
      <c r="AP179" s="43"/>
      <c r="AQ179" s="43"/>
      <c r="AR179" s="43"/>
      <c r="AS179" s="59"/>
      <c r="AT179" s="59"/>
      <c r="AU179" s="59"/>
      <c r="AV179" s="43"/>
      <c r="AW179" s="59"/>
      <c r="AX179" s="59"/>
      <c r="AY179" s="59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4"/>
      <c r="CC179" s="44"/>
      <c r="CD179" s="43"/>
      <c r="CE179" s="43"/>
      <c r="CF179" s="44"/>
      <c r="CG179" s="44"/>
      <c r="CH179" s="43"/>
      <c r="CI179" s="43"/>
      <c r="CJ179" s="44"/>
      <c r="CK179" s="44"/>
      <c r="CL179" s="43"/>
      <c r="CM179" s="43"/>
      <c r="CN179" s="43"/>
      <c r="CO179" s="44"/>
      <c r="CP179" s="44"/>
      <c r="CQ179" s="45"/>
      <c r="CR179" s="43"/>
      <c r="CS179" s="183"/>
      <c r="CT179" s="183"/>
      <c r="CU179" s="183"/>
      <c r="CV179" s="183"/>
      <c r="CW179" s="183"/>
      <c r="CX179" s="183"/>
      <c r="CY179" s="183"/>
      <c r="CZ179" s="183"/>
      <c r="DA179" s="183"/>
      <c r="DB179" s="183"/>
      <c r="DC179" s="183"/>
      <c r="DD179" s="183"/>
      <c r="DE179" s="183"/>
      <c r="DF179" s="183"/>
      <c r="DG179" s="183"/>
      <c r="DH179" s="183"/>
      <c r="DI179" s="183"/>
      <c r="DJ179" s="183"/>
      <c r="DK179" s="183"/>
    </row>
    <row r="180" spans="1:115" s="2" customFormat="1" x14ac:dyDescent="0.3">
      <c r="A180" s="183"/>
      <c r="B180" s="188"/>
      <c r="C180" s="183"/>
      <c r="D180" s="449"/>
      <c r="E180" s="468"/>
      <c r="F180" s="183"/>
      <c r="G180" s="429"/>
      <c r="H180" s="412"/>
      <c r="I180" s="196"/>
      <c r="J180" s="196"/>
      <c r="K180" s="196"/>
      <c r="L180" s="196"/>
      <c r="M180" s="196"/>
      <c r="N180" s="196"/>
      <c r="O180" s="196"/>
      <c r="P180" s="290"/>
      <c r="Q180" s="291"/>
      <c r="R180" s="449"/>
      <c r="S180" s="183"/>
      <c r="T180" s="172"/>
      <c r="U180" s="43"/>
      <c r="V180" s="43"/>
      <c r="W180" s="312">
        <v>21</v>
      </c>
      <c r="X180" s="43"/>
      <c r="Y180" s="43"/>
      <c r="Z180" s="43"/>
      <c r="AA180" s="43"/>
      <c r="AB180" s="43"/>
      <c r="AC180" s="347"/>
      <c r="AD180" s="43"/>
      <c r="AE180" s="43"/>
      <c r="AF180" s="43"/>
      <c r="AG180" s="44"/>
      <c r="AH180" s="43"/>
      <c r="AI180" s="43"/>
      <c r="AJ180" s="219"/>
      <c r="AK180" s="43"/>
      <c r="AL180" s="219"/>
      <c r="AM180" s="43"/>
      <c r="AN180" s="43"/>
      <c r="AO180" s="43"/>
      <c r="AP180" s="43"/>
      <c r="AQ180" s="43"/>
      <c r="AR180" s="43"/>
      <c r="AS180" s="59"/>
      <c r="AT180" s="59"/>
      <c r="AU180" s="59"/>
      <c r="AV180" s="43"/>
      <c r="AW180" s="59"/>
      <c r="AX180" s="59"/>
      <c r="AY180" s="59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4"/>
      <c r="CC180" s="44"/>
      <c r="CD180" s="43"/>
      <c r="CE180" s="43"/>
      <c r="CF180" s="44"/>
      <c r="CG180" s="44"/>
      <c r="CH180" s="43"/>
      <c r="CI180" s="43"/>
      <c r="CJ180" s="44"/>
      <c r="CK180" s="44"/>
      <c r="CL180" s="43"/>
      <c r="CM180" s="43"/>
      <c r="CN180" s="43"/>
      <c r="CO180" s="44"/>
      <c r="CP180" s="44"/>
      <c r="CQ180" s="45"/>
      <c r="CR180" s="43"/>
      <c r="CS180" s="183"/>
      <c r="CT180" s="183"/>
      <c r="CU180" s="183"/>
      <c r="CV180" s="183"/>
      <c r="CW180" s="183"/>
      <c r="CX180" s="183"/>
      <c r="CY180" s="183"/>
      <c r="CZ180" s="183"/>
      <c r="DA180" s="183"/>
      <c r="DB180" s="183"/>
      <c r="DC180" s="183"/>
      <c r="DD180" s="183"/>
      <c r="DE180" s="183"/>
      <c r="DF180" s="183"/>
      <c r="DG180" s="183"/>
      <c r="DH180" s="183"/>
      <c r="DI180" s="183"/>
      <c r="DJ180" s="183"/>
      <c r="DK180" s="183"/>
    </row>
    <row r="181" spans="1:115" s="2" customFormat="1" x14ac:dyDescent="0.3">
      <c r="A181" s="183"/>
      <c r="B181" s="188"/>
      <c r="C181" s="183"/>
      <c r="D181" s="449"/>
      <c r="E181" s="468"/>
      <c r="F181" s="183"/>
      <c r="G181" s="429"/>
      <c r="H181" s="412"/>
      <c r="I181" s="196"/>
      <c r="J181" s="196"/>
      <c r="K181" s="196"/>
      <c r="L181" s="196"/>
      <c r="M181" s="196"/>
      <c r="N181" s="196"/>
      <c r="O181" s="196"/>
      <c r="P181" s="290"/>
      <c r="Q181" s="291"/>
      <c r="R181" s="449"/>
      <c r="S181" s="183"/>
      <c r="T181" s="172"/>
      <c r="U181" s="43"/>
      <c r="V181" s="43"/>
      <c r="W181" s="312">
        <v>22</v>
      </c>
      <c r="X181" s="43"/>
      <c r="Y181" s="43"/>
      <c r="Z181" s="43"/>
      <c r="AA181" s="43"/>
      <c r="AB181" s="43"/>
      <c r="AC181" s="347"/>
      <c r="AD181" s="43"/>
      <c r="AE181" s="43"/>
      <c r="AF181" s="43"/>
      <c r="AG181" s="44"/>
      <c r="AH181" s="43"/>
      <c r="AI181" s="43"/>
      <c r="AJ181" s="219"/>
      <c r="AK181" s="43"/>
      <c r="AL181" s="219"/>
      <c r="AM181" s="43"/>
      <c r="AN181" s="43"/>
      <c r="AO181" s="43"/>
      <c r="AP181" s="43"/>
      <c r="AQ181" s="43"/>
      <c r="AR181" s="43"/>
      <c r="AS181" s="59"/>
      <c r="AT181" s="59"/>
      <c r="AU181" s="59"/>
      <c r="AV181" s="43"/>
      <c r="AW181" s="59"/>
      <c r="AX181" s="59"/>
      <c r="AY181" s="59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4"/>
      <c r="CC181" s="44"/>
      <c r="CD181" s="43"/>
      <c r="CE181" s="43"/>
      <c r="CF181" s="44"/>
      <c r="CG181" s="44"/>
      <c r="CH181" s="43"/>
      <c r="CI181" s="43"/>
      <c r="CJ181" s="44"/>
      <c r="CK181" s="44"/>
      <c r="CL181" s="43"/>
      <c r="CM181" s="43"/>
      <c r="CN181" s="43"/>
      <c r="CO181" s="44"/>
      <c r="CP181" s="44"/>
      <c r="CQ181" s="45"/>
      <c r="CR181" s="43"/>
      <c r="CS181" s="183"/>
      <c r="CT181" s="183"/>
      <c r="CU181" s="183"/>
      <c r="CV181" s="183"/>
      <c r="CW181" s="183"/>
      <c r="CX181" s="183"/>
      <c r="CY181" s="183"/>
      <c r="CZ181" s="183"/>
      <c r="DA181" s="183"/>
      <c r="DB181" s="183"/>
      <c r="DC181" s="183"/>
      <c r="DD181" s="183"/>
      <c r="DE181" s="183"/>
      <c r="DF181" s="183"/>
      <c r="DG181" s="183"/>
      <c r="DH181" s="183"/>
      <c r="DI181" s="183"/>
      <c r="DJ181" s="183"/>
      <c r="DK181" s="183"/>
    </row>
    <row r="182" spans="1:115" s="2" customFormat="1" x14ac:dyDescent="0.3">
      <c r="A182" s="183"/>
      <c r="B182" s="188"/>
      <c r="C182" s="183"/>
      <c r="D182" s="449"/>
      <c r="E182" s="468"/>
      <c r="F182" s="183"/>
      <c r="G182" s="429"/>
      <c r="H182" s="412"/>
      <c r="I182" s="196"/>
      <c r="J182" s="196"/>
      <c r="K182" s="196"/>
      <c r="L182" s="196"/>
      <c r="M182" s="196"/>
      <c r="N182" s="196"/>
      <c r="O182" s="196"/>
      <c r="P182" s="290"/>
      <c r="Q182" s="291"/>
      <c r="R182" s="449"/>
      <c r="S182" s="183"/>
      <c r="T182" s="172"/>
      <c r="U182" s="43"/>
      <c r="V182" s="43"/>
      <c r="W182" s="312">
        <v>23</v>
      </c>
      <c r="X182" s="43"/>
      <c r="Y182" s="43"/>
      <c r="Z182" s="43"/>
      <c r="AA182" s="43"/>
      <c r="AB182" s="43"/>
      <c r="AC182" s="347"/>
      <c r="AD182" s="43"/>
      <c r="AE182" s="43"/>
      <c r="AF182" s="43"/>
      <c r="AG182" s="44"/>
      <c r="AH182" s="43"/>
      <c r="AI182" s="43"/>
      <c r="AJ182" s="219"/>
      <c r="AK182" s="43"/>
      <c r="AL182" s="219"/>
      <c r="AM182" s="43"/>
      <c r="AN182" s="43"/>
      <c r="AO182" s="43"/>
      <c r="AP182" s="43"/>
      <c r="AQ182" s="43"/>
      <c r="AR182" s="43"/>
      <c r="AS182" s="59"/>
      <c r="AT182" s="59"/>
      <c r="AU182" s="59"/>
      <c r="AV182" s="43"/>
      <c r="AW182" s="59"/>
      <c r="AX182" s="59"/>
      <c r="AY182" s="59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4"/>
      <c r="CC182" s="44"/>
      <c r="CD182" s="43"/>
      <c r="CE182" s="43"/>
      <c r="CF182" s="44"/>
      <c r="CG182" s="44"/>
      <c r="CH182" s="43"/>
      <c r="CI182" s="43"/>
      <c r="CJ182" s="44"/>
      <c r="CK182" s="44"/>
      <c r="CL182" s="43"/>
      <c r="CM182" s="43"/>
      <c r="CN182" s="43"/>
      <c r="CO182" s="44"/>
      <c r="CP182" s="44"/>
      <c r="CQ182" s="45"/>
      <c r="CR182" s="43"/>
      <c r="CS182" s="183"/>
      <c r="CT182" s="183"/>
      <c r="CU182" s="183"/>
      <c r="CV182" s="183"/>
      <c r="CW182" s="183"/>
      <c r="CX182" s="183"/>
      <c r="CY182" s="183"/>
      <c r="CZ182" s="183"/>
      <c r="DA182" s="183"/>
      <c r="DB182" s="183"/>
      <c r="DC182" s="183"/>
      <c r="DD182" s="183"/>
      <c r="DE182" s="183"/>
      <c r="DF182" s="183"/>
      <c r="DG182" s="183"/>
      <c r="DH182" s="183"/>
      <c r="DI182" s="183"/>
      <c r="DJ182" s="183"/>
      <c r="DK182" s="183"/>
    </row>
    <row r="183" spans="1:115" s="2" customFormat="1" x14ac:dyDescent="0.3">
      <c r="A183" s="183"/>
      <c r="B183" s="188"/>
      <c r="C183" s="183"/>
      <c r="D183" s="449"/>
      <c r="E183" s="468"/>
      <c r="F183" s="183"/>
      <c r="G183" s="429"/>
      <c r="H183" s="412"/>
      <c r="I183" s="196"/>
      <c r="J183" s="196"/>
      <c r="K183" s="196"/>
      <c r="L183" s="196"/>
      <c r="M183" s="196"/>
      <c r="N183" s="196"/>
      <c r="O183" s="196"/>
      <c r="P183" s="290"/>
      <c r="Q183" s="291"/>
      <c r="R183" s="449"/>
      <c r="S183" s="183"/>
      <c r="T183" s="172"/>
      <c r="U183" s="43"/>
      <c r="V183" s="43"/>
      <c r="W183" s="312">
        <v>24</v>
      </c>
      <c r="X183" s="43"/>
      <c r="Y183" s="43"/>
      <c r="Z183" s="43"/>
      <c r="AA183" s="43"/>
      <c r="AB183" s="43"/>
      <c r="AC183" s="347"/>
      <c r="AD183" s="43"/>
      <c r="AE183" s="43"/>
      <c r="AF183" s="43"/>
      <c r="AG183" s="44"/>
      <c r="AH183" s="43"/>
      <c r="AI183" s="43"/>
      <c r="AJ183" s="219"/>
      <c r="AK183" s="43"/>
      <c r="AL183" s="219"/>
      <c r="AM183" s="43"/>
      <c r="AN183" s="43"/>
      <c r="AO183" s="43"/>
      <c r="AP183" s="43"/>
      <c r="AQ183" s="43"/>
      <c r="AR183" s="43"/>
      <c r="AS183" s="59"/>
      <c r="AT183" s="59"/>
      <c r="AU183" s="59"/>
      <c r="AV183" s="43"/>
      <c r="AW183" s="59"/>
      <c r="AX183" s="59"/>
      <c r="AY183" s="59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4"/>
      <c r="CC183" s="44"/>
      <c r="CD183" s="43"/>
      <c r="CE183" s="43"/>
      <c r="CF183" s="44"/>
      <c r="CG183" s="44"/>
      <c r="CH183" s="43"/>
      <c r="CI183" s="43"/>
      <c r="CJ183" s="44"/>
      <c r="CK183" s="44"/>
      <c r="CL183" s="43"/>
      <c r="CM183" s="43"/>
      <c r="CN183" s="43"/>
      <c r="CO183" s="44"/>
      <c r="CP183" s="44"/>
      <c r="CQ183" s="45"/>
      <c r="CR183" s="43"/>
      <c r="CS183" s="183"/>
      <c r="CT183" s="183"/>
      <c r="CU183" s="183"/>
      <c r="CV183" s="183"/>
      <c r="CW183" s="183"/>
      <c r="CX183" s="183"/>
      <c r="CY183" s="183"/>
      <c r="CZ183" s="183"/>
      <c r="DA183" s="183"/>
      <c r="DB183" s="183"/>
      <c r="DC183" s="183"/>
      <c r="DD183" s="183"/>
      <c r="DE183" s="183"/>
      <c r="DF183" s="183"/>
      <c r="DG183" s="183"/>
      <c r="DH183" s="183"/>
      <c r="DI183" s="183"/>
      <c r="DJ183" s="183"/>
      <c r="DK183" s="183"/>
    </row>
    <row r="184" spans="1:115" s="2" customFormat="1" x14ac:dyDescent="0.3">
      <c r="A184" s="183"/>
      <c r="B184" s="188"/>
      <c r="C184" s="183"/>
      <c r="D184" s="449"/>
      <c r="E184" s="468"/>
      <c r="F184" s="183"/>
      <c r="G184" s="429"/>
      <c r="H184" s="412"/>
      <c r="I184" s="196"/>
      <c r="J184" s="196"/>
      <c r="K184" s="196"/>
      <c r="L184" s="196"/>
      <c r="M184" s="196"/>
      <c r="N184" s="196"/>
      <c r="O184" s="196"/>
      <c r="P184" s="290"/>
      <c r="Q184" s="291"/>
      <c r="R184" s="449"/>
      <c r="S184" s="183"/>
      <c r="T184" s="172"/>
      <c r="U184" s="43"/>
      <c r="V184" s="43"/>
      <c r="W184" s="312">
        <v>25</v>
      </c>
      <c r="X184" s="43"/>
      <c r="Y184" s="43"/>
      <c r="Z184" s="43"/>
      <c r="AA184" s="43"/>
      <c r="AB184" s="43"/>
      <c r="AC184" s="347"/>
      <c r="AD184" s="43"/>
      <c r="AE184" s="43"/>
      <c r="AF184" s="43"/>
      <c r="AG184" s="44"/>
      <c r="AH184" s="43"/>
      <c r="AI184" s="43"/>
      <c r="AJ184" s="219"/>
      <c r="AK184" s="43"/>
      <c r="AL184" s="219"/>
      <c r="AM184" s="43"/>
      <c r="AN184" s="43"/>
      <c r="AO184" s="43"/>
      <c r="AP184" s="43"/>
      <c r="AQ184" s="43"/>
      <c r="AR184" s="43"/>
      <c r="AS184" s="59"/>
      <c r="AT184" s="59"/>
      <c r="AU184" s="59"/>
      <c r="AV184" s="43"/>
      <c r="AW184" s="59"/>
      <c r="AX184" s="59"/>
      <c r="AY184" s="59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4"/>
      <c r="CC184" s="44"/>
      <c r="CD184" s="43"/>
      <c r="CE184" s="43"/>
      <c r="CF184" s="44"/>
      <c r="CG184" s="44"/>
      <c r="CH184" s="43"/>
      <c r="CI184" s="43"/>
      <c r="CJ184" s="44"/>
      <c r="CK184" s="44"/>
      <c r="CL184" s="43"/>
      <c r="CM184" s="43"/>
      <c r="CN184" s="43"/>
      <c r="CO184" s="44"/>
      <c r="CP184" s="44"/>
      <c r="CQ184" s="45"/>
      <c r="CR184" s="43"/>
      <c r="CS184" s="183"/>
      <c r="CT184" s="183"/>
      <c r="CU184" s="183"/>
      <c r="CV184" s="183"/>
      <c r="CW184" s="183"/>
      <c r="CX184" s="183"/>
      <c r="CY184" s="183"/>
      <c r="CZ184" s="183"/>
      <c r="DA184" s="183"/>
      <c r="DB184" s="183"/>
      <c r="DC184" s="183"/>
      <c r="DD184" s="183"/>
      <c r="DE184" s="183"/>
      <c r="DF184" s="183"/>
      <c r="DG184" s="183"/>
      <c r="DH184" s="183"/>
      <c r="DI184" s="183"/>
      <c r="DJ184" s="183"/>
      <c r="DK184" s="183"/>
    </row>
    <row r="185" spans="1:115" s="2" customFormat="1" x14ac:dyDescent="0.3">
      <c r="A185" s="183"/>
      <c r="B185" s="188"/>
      <c r="C185" s="183"/>
      <c r="D185" s="449"/>
      <c r="E185" s="468"/>
      <c r="F185" s="183"/>
      <c r="G185" s="429"/>
      <c r="H185" s="412"/>
      <c r="I185" s="196"/>
      <c r="J185" s="196"/>
      <c r="K185" s="196"/>
      <c r="L185" s="196"/>
      <c r="M185" s="196"/>
      <c r="N185" s="196"/>
      <c r="O185" s="196"/>
      <c r="P185" s="290"/>
      <c r="Q185" s="291"/>
      <c r="R185" s="449"/>
      <c r="S185" s="183"/>
      <c r="T185" s="172"/>
      <c r="U185" s="43"/>
      <c r="V185" s="43"/>
      <c r="W185" s="312">
        <v>26</v>
      </c>
      <c r="X185" s="43"/>
      <c r="Y185" s="43"/>
      <c r="Z185" s="43"/>
      <c r="AA185" s="43"/>
      <c r="AB185" s="43"/>
      <c r="AC185" s="347"/>
      <c r="AD185" s="43"/>
      <c r="AE185" s="43"/>
      <c r="AF185" s="43"/>
      <c r="AG185" s="44"/>
      <c r="AH185" s="43"/>
      <c r="AI185" s="43"/>
      <c r="AJ185" s="219"/>
      <c r="AK185" s="43"/>
      <c r="AL185" s="219"/>
      <c r="AM185" s="43"/>
      <c r="AN185" s="43"/>
      <c r="AO185" s="43"/>
      <c r="AP185" s="43"/>
      <c r="AQ185" s="43"/>
      <c r="AR185" s="43"/>
      <c r="AS185" s="59"/>
      <c r="AT185" s="59"/>
      <c r="AU185" s="59"/>
      <c r="AV185" s="43"/>
      <c r="AW185" s="59"/>
      <c r="AX185" s="59"/>
      <c r="AY185" s="59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4"/>
      <c r="CC185" s="44"/>
      <c r="CD185" s="43"/>
      <c r="CE185" s="43"/>
      <c r="CF185" s="44"/>
      <c r="CG185" s="44"/>
      <c r="CH185" s="43"/>
      <c r="CI185" s="43"/>
      <c r="CJ185" s="44"/>
      <c r="CK185" s="44"/>
      <c r="CL185" s="43"/>
      <c r="CM185" s="43"/>
      <c r="CN185" s="43"/>
      <c r="CO185" s="44"/>
      <c r="CP185" s="44"/>
      <c r="CQ185" s="45"/>
      <c r="CR185" s="43"/>
      <c r="CS185" s="183"/>
      <c r="CT185" s="183"/>
      <c r="CU185" s="183"/>
      <c r="CV185" s="183"/>
      <c r="CW185" s="183"/>
      <c r="CX185" s="183"/>
      <c r="CY185" s="183"/>
      <c r="CZ185" s="183"/>
      <c r="DA185" s="183"/>
      <c r="DB185" s="183"/>
      <c r="DC185" s="183"/>
      <c r="DD185" s="183"/>
      <c r="DE185" s="183"/>
      <c r="DF185" s="183"/>
      <c r="DG185" s="183"/>
      <c r="DH185" s="183"/>
      <c r="DI185" s="183"/>
      <c r="DJ185" s="183"/>
      <c r="DK185" s="183"/>
    </row>
    <row r="186" spans="1:115" s="2" customFormat="1" x14ac:dyDescent="0.3">
      <c r="A186" s="183"/>
      <c r="B186" s="188"/>
      <c r="C186" s="183"/>
      <c r="D186" s="449"/>
      <c r="E186" s="468"/>
      <c r="F186" s="183"/>
      <c r="G186" s="429"/>
      <c r="H186" s="412"/>
      <c r="I186" s="196"/>
      <c r="J186" s="196"/>
      <c r="K186" s="196"/>
      <c r="L186" s="196"/>
      <c r="M186" s="196"/>
      <c r="N186" s="196"/>
      <c r="O186" s="196"/>
      <c r="P186" s="290"/>
      <c r="Q186" s="291"/>
      <c r="R186" s="449"/>
      <c r="S186" s="183"/>
      <c r="T186" s="172"/>
      <c r="U186" s="43"/>
      <c r="V186" s="43"/>
      <c r="W186" s="312">
        <v>27</v>
      </c>
      <c r="X186" s="43"/>
      <c r="Y186" s="43"/>
      <c r="Z186" s="43"/>
      <c r="AA186" s="43"/>
      <c r="AB186" s="43"/>
      <c r="AC186" s="347"/>
      <c r="AD186" s="43"/>
      <c r="AE186" s="43"/>
      <c r="AF186" s="43"/>
      <c r="AG186" s="44"/>
      <c r="AH186" s="43"/>
      <c r="AI186" s="43"/>
      <c r="AJ186" s="219"/>
      <c r="AK186" s="43"/>
      <c r="AL186" s="219"/>
      <c r="AM186" s="43"/>
      <c r="AN186" s="43"/>
      <c r="AO186" s="43"/>
      <c r="AP186" s="43"/>
      <c r="AQ186" s="43"/>
      <c r="AR186" s="43"/>
      <c r="AS186" s="59"/>
      <c r="AT186" s="59"/>
      <c r="AU186" s="59"/>
      <c r="AV186" s="43"/>
      <c r="AW186" s="59"/>
      <c r="AX186" s="59"/>
      <c r="AY186" s="59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4"/>
      <c r="CC186" s="44"/>
      <c r="CD186" s="43"/>
      <c r="CE186" s="43"/>
      <c r="CF186" s="44"/>
      <c r="CG186" s="44"/>
      <c r="CH186" s="43"/>
      <c r="CI186" s="43"/>
      <c r="CJ186" s="44"/>
      <c r="CK186" s="44"/>
      <c r="CL186" s="43"/>
      <c r="CM186" s="43"/>
      <c r="CN186" s="43"/>
      <c r="CO186" s="44"/>
      <c r="CP186" s="44"/>
      <c r="CQ186" s="45"/>
      <c r="CR186" s="43"/>
      <c r="CS186" s="183"/>
      <c r="CT186" s="183"/>
      <c r="CU186" s="183"/>
      <c r="CV186" s="183"/>
      <c r="CW186" s="183"/>
      <c r="CX186" s="183"/>
      <c r="CY186" s="183"/>
      <c r="CZ186" s="183"/>
      <c r="DA186" s="183"/>
      <c r="DB186" s="183"/>
      <c r="DC186" s="183"/>
      <c r="DD186" s="183"/>
      <c r="DE186" s="183"/>
      <c r="DF186" s="183"/>
      <c r="DG186" s="183"/>
      <c r="DH186" s="183"/>
      <c r="DI186" s="183"/>
      <c r="DJ186" s="183"/>
      <c r="DK186" s="183"/>
    </row>
    <row r="187" spans="1:115" s="2" customFormat="1" x14ac:dyDescent="0.3">
      <c r="A187" s="183"/>
      <c r="B187" s="188"/>
      <c r="C187" s="183"/>
      <c r="D187" s="449"/>
      <c r="E187" s="468"/>
      <c r="F187" s="183"/>
      <c r="G187" s="429"/>
      <c r="H187" s="412"/>
      <c r="I187" s="196"/>
      <c r="J187" s="196"/>
      <c r="K187" s="196"/>
      <c r="L187" s="196"/>
      <c r="M187" s="196"/>
      <c r="N187" s="196"/>
      <c r="O187" s="196"/>
      <c r="P187" s="290"/>
      <c r="Q187" s="291"/>
      <c r="R187" s="449"/>
      <c r="S187" s="183"/>
      <c r="T187" s="172"/>
      <c r="U187" s="43"/>
      <c r="V187" s="43"/>
      <c r="W187" s="312">
        <v>28</v>
      </c>
      <c r="X187" s="43"/>
      <c r="Y187" s="43"/>
      <c r="Z187" s="43"/>
      <c r="AA187" s="43"/>
      <c r="AB187" s="43"/>
      <c r="AC187" s="347"/>
      <c r="AD187" s="43"/>
      <c r="AE187" s="43"/>
      <c r="AF187" s="43"/>
      <c r="AG187" s="44"/>
      <c r="AH187" s="43"/>
      <c r="AI187" s="43"/>
      <c r="AJ187" s="219"/>
      <c r="AK187" s="43"/>
      <c r="AL187" s="219"/>
      <c r="AM187" s="43"/>
      <c r="AN187" s="43"/>
      <c r="AO187" s="43"/>
      <c r="AP187" s="43"/>
      <c r="AQ187" s="43"/>
      <c r="AR187" s="43"/>
      <c r="AS187" s="59"/>
      <c r="AT187" s="59"/>
      <c r="AU187" s="59"/>
      <c r="AV187" s="43"/>
      <c r="AW187" s="59"/>
      <c r="AX187" s="59"/>
      <c r="AY187" s="59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4"/>
      <c r="CC187" s="44"/>
      <c r="CD187" s="43"/>
      <c r="CE187" s="43"/>
      <c r="CF187" s="44"/>
      <c r="CG187" s="44"/>
      <c r="CH187" s="43"/>
      <c r="CI187" s="43"/>
      <c r="CJ187" s="44"/>
      <c r="CK187" s="44"/>
      <c r="CL187" s="43"/>
      <c r="CM187" s="43"/>
      <c r="CN187" s="43"/>
      <c r="CO187" s="44"/>
      <c r="CP187" s="44"/>
      <c r="CQ187" s="45"/>
      <c r="CR187" s="43"/>
      <c r="CS187" s="183"/>
      <c r="CT187" s="183"/>
      <c r="CU187" s="183"/>
      <c r="CV187" s="183"/>
      <c r="CW187" s="183"/>
      <c r="CX187" s="183"/>
      <c r="CY187" s="183"/>
      <c r="CZ187" s="183"/>
      <c r="DA187" s="183"/>
      <c r="DB187" s="183"/>
      <c r="DC187" s="183"/>
      <c r="DD187" s="183"/>
      <c r="DE187" s="183"/>
      <c r="DF187" s="183"/>
      <c r="DG187" s="183"/>
      <c r="DH187" s="183"/>
      <c r="DI187" s="183"/>
      <c r="DJ187" s="183"/>
      <c r="DK187" s="183"/>
    </row>
    <row r="188" spans="1:115" s="2" customFormat="1" x14ac:dyDescent="0.3">
      <c r="A188" s="183"/>
      <c r="B188" s="188"/>
      <c r="C188" s="183"/>
      <c r="D188" s="449"/>
      <c r="E188" s="468"/>
      <c r="F188" s="183"/>
      <c r="G188" s="429"/>
      <c r="H188" s="412"/>
      <c r="I188" s="196"/>
      <c r="J188" s="196"/>
      <c r="K188" s="196"/>
      <c r="L188" s="196"/>
      <c r="M188" s="196"/>
      <c r="N188" s="196"/>
      <c r="O188" s="196"/>
      <c r="P188" s="290"/>
      <c r="Q188" s="291"/>
      <c r="R188" s="449"/>
      <c r="S188" s="183"/>
      <c r="T188" s="172"/>
      <c r="U188" s="43"/>
      <c r="V188" s="43"/>
      <c r="W188" s="312">
        <v>29</v>
      </c>
      <c r="X188" s="43"/>
      <c r="Y188" s="43"/>
      <c r="Z188" s="43"/>
      <c r="AA188" s="43"/>
      <c r="AB188" s="43"/>
      <c r="AC188" s="347"/>
      <c r="AD188" s="43"/>
      <c r="AE188" s="43"/>
      <c r="AF188" s="43"/>
      <c r="AG188" s="44"/>
      <c r="AH188" s="43"/>
      <c r="AI188" s="43"/>
      <c r="AJ188" s="219"/>
      <c r="AK188" s="43"/>
      <c r="AL188" s="219"/>
      <c r="AM188" s="43"/>
      <c r="AN188" s="43"/>
      <c r="AO188" s="43"/>
      <c r="AP188" s="43"/>
      <c r="AQ188" s="43"/>
      <c r="AR188" s="43"/>
      <c r="AS188" s="59"/>
      <c r="AT188" s="59"/>
      <c r="AU188" s="59"/>
      <c r="AV188" s="43"/>
      <c r="AW188" s="59"/>
      <c r="AX188" s="59"/>
      <c r="AY188" s="59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4"/>
      <c r="CC188" s="44"/>
      <c r="CD188" s="43"/>
      <c r="CE188" s="43"/>
      <c r="CF188" s="44"/>
      <c r="CG188" s="44"/>
      <c r="CH188" s="43"/>
      <c r="CI188" s="43"/>
      <c r="CJ188" s="44"/>
      <c r="CK188" s="44"/>
      <c r="CL188" s="43"/>
      <c r="CM188" s="43"/>
      <c r="CN188" s="43"/>
      <c r="CO188" s="44"/>
      <c r="CP188" s="44"/>
      <c r="CQ188" s="45"/>
      <c r="CR188" s="43"/>
      <c r="CS188" s="183"/>
      <c r="CT188" s="183"/>
      <c r="CU188" s="183"/>
      <c r="CV188" s="183"/>
      <c r="CW188" s="183"/>
      <c r="CX188" s="183"/>
      <c r="CY188" s="183"/>
      <c r="CZ188" s="183"/>
      <c r="DA188" s="183"/>
      <c r="DB188" s="183"/>
      <c r="DC188" s="183"/>
      <c r="DD188" s="183"/>
      <c r="DE188" s="183"/>
      <c r="DF188" s="183"/>
      <c r="DG188" s="183"/>
      <c r="DH188" s="183"/>
      <c r="DI188" s="183"/>
      <c r="DJ188" s="183"/>
      <c r="DK188" s="183"/>
    </row>
    <row r="189" spans="1:115" s="2" customFormat="1" x14ac:dyDescent="0.3">
      <c r="A189" s="183"/>
      <c r="B189" s="188"/>
      <c r="C189" s="183"/>
      <c r="D189" s="449"/>
      <c r="E189" s="468"/>
      <c r="F189" s="183"/>
      <c r="G189" s="429"/>
      <c r="H189" s="412"/>
      <c r="I189" s="196"/>
      <c r="J189" s="196"/>
      <c r="K189" s="196"/>
      <c r="L189" s="196"/>
      <c r="M189" s="196"/>
      <c r="N189" s="196"/>
      <c r="O189" s="196"/>
      <c r="P189" s="290"/>
      <c r="Q189" s="291"/>
      <c r="R189" s="449"/>
      <c r="S189" s="183"/>
      <c r="T189" s="172"/>
      <c r="U189" s="43"/>
      <c r="V189" s="43"/>
      <c r="W189" s="312">
        <v>30</v>
      </c>
      <c r="X189" s="43"/>
      <c r="Y189" s="43"/>
      <c r="Z189" s="43"/>
      <c r="AA189" s="43"/>
      <c r="AB189" s="43"/>
      <c r="AC189" s="347"/>
      <c r="AD189" s="43"/>
      <c r="AE189" s="43"/>
      <c r="AF189" s="43"/>
      <c r="AG189" s="44"/>
      <c r="AH189" s="43"/>
      <c r="AI189" s="43"/>
      <c r="AJ189" s="219"/>
      <c r="AK189" s="43"/>
      <c r="AL189" s="219"/>
      <c r="AM189" s="43"/>
      <c r="AN189" s="43"/>
      <c r="AO189" s="43"/>
      <c r="AP189" s="43"/>
      <c r="AQ189" s="43"/>
      <c r="AR189" s="43"/>
      <c r="AS189" s="59"/>
      <c r="AT189" s="59"/>
      <c r="AU189" s="59"/>
      <c r="AV189" s="43"/>
      <c r="AW189" s="59"/>
      <c r="AX189" s="59"/>
      <c r="AY189" s="59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4"/>
      <c r="CC189" s="44"/>
      <c r="CD189" s="43"/>
      <c r="CE189" s="43"/>
      <c r="CF189" s="44"/>
      <c r="CG189" s="44"/>
      <c r="CH189" s="43"/>
      <c r="CI189" s="43"/>
      <c r="CJ189" s="44"/>
      <c r="CK189" s="44"/>
      <c r="CL189" s="43"/>
      <c r="CM189" s="43"/>
      <c r="CN189" s="43"/>
      <c r="CO189" s="44"/>
      <c r="CP189" s="44"/>
      <c r="CQ189" s="45"/>
      <c r="CR189" s="43"/>
      <c r="CS189" s="183"/>
      <c r="CT189" s="183"/>
      <c r="CU189" s="183"/>
      <c r="CV189" s="183"/>
      <c r="CW189" s="183"/>
      <c r="CX189" s="183"/>
      <c r="CY189" s="183"/>
      <c r="CZ189" s="183"/>
      <c r="DA189" s="183"/>
      <c r="DB189" s="183"/>
      <c r="DC189" s="183"/>
      <c r="DD189" s="183"/>
      <c r="DE189" s="183"/>
      <c r="DF189" s="183"/>
      <c r="DG189" s="183"/>
      <c r="DH189" s="183"/>
      <c r="DI189" s="183"/>
      <c r="DJ189" s="183"/>
      <c r="DK189" s="183"/>
    </row>
    <row r="190" spans="1:115" x14ac:dyDescent="0.3">
      <c r="B190" s="188"/>
      <c r="C190" s="183"/>
      <c r="D190" s="449"/>
      <c r="E190" s="468"/>
      <c r="F190" s="183"/>
      <c r="G190" s="429"/>
      <c r="H190" s="412"/>
      <c r="I190" s="196"/>
      <c r="K190" s="196"/>
      <c r="L190" s="196"/>
      <c r="M190" s="196"/>
      <c r="N190" s="196"/>
      <c r="O190" s="196"/>
      <c r="P190" s="290"/>
      <c r="Q190" s="291"/>
      <c r="R190" s="449"/>
      <c r="S190" s="183"/>
      <c r="W190" s="312">
        <v>31</v>
      </c>
    </row>
    <row r="191" spans="1:115" x14ac:dyDescent="0.3">
      <c r="S191" s="183"/>
      <c r="W191" s="312">
        <v>32</v>
      </c>
    </row>
    <row r="192" spans="1:115" x14ac:dyDescent="0.3">
      <c r="S192" s="183"/>
      <c r="W192" s="312">
        <v>33</v>
      </c>
    </row>
    <row r="193" spans="19:23" x14ac:dyDescent="0.3">
      <c r="S193" s="183"/>
      <c r="W193" s="312">
        <v>34</v>
      </c>
    </row>
    <row r="194" spans="19:23" x14ac:dyDescent="0.3">
      <c r="S194" s="183"/>
      <c r="W194" s="312">
        <v>35</v>
      </c>
    </row>
    <row r="195" spans="19:23" x14ac:dyDescent="0.3">
      <c r="S195" s="183"/>
      <c r="W195" s="312">
        <v>36</v>
      </c>
    </row>
    <row r="196" spans="19:23" x14ac:dyDescent="0.3">
      <c r="S196" s="183"/>
      <c r="W196" s="312">
        <v>37</v>
      </c>
    </row>
    <row r="197" spans="19:23" x14ac:dyDescent="0.3">
      <c r="S197" s="183"/>
      <c r="W197" s="312">
        <v>38</v>
      </c>
    </row>
    <row r="198" spans="19:23" x14ac:dyDescent="0.3">
      <c r="S198" s="183"/>
      <c r="W198" s="312">
        <v>39</v>
      </c>
    </row>
    <row r="199" spans="19:23" x14ac:dyDescent="0.3">
      <c r="S199" s="183"/>
      <c r="W199" s="312">
        <v>40</v>
      </c>
    </row>
    <row r="200" spans="19:23" x14ac:dyDescent="0.3">
      <c r="S200" s="183"/>
      <c r="W200" s="312">
        <v>41</v>
      </c>
    </row>
    <row r="201" spans="19:23" x14ac:dyDescent="0.3">
      <c r="S201" s="183"/>
      <c r="W201" s="312">
        <v>42</v>
      </c>
    </row>
    <row r="202" spans="19:23" x14ac:dyDescent="0.3">
      <c r="S202" s="183"/>
      <c r="W202" s="312">
        <v>43</v>
      </c>
    </row>
    <row r="203" spans="19:23" x14ac:dyDescent="0.3">
      <c r="W203" s="312">
        <v>44</v>
      </c>
    </row>
    <row r="204" spans="19:23" x14ac:dyDescent="0.3">
      <c r="W204" s="312">
        <v>45</v>
      </c>
    </row>
    <row r="205" spans="19:23" x14ac:dyDescent="0.3">
      <c r="W205" s="312">
        <v>46</v>
      </c>
    </row>
    <row r="206" spans="19:23" x14ac:dyDescent="0.3">
      <c r="W206" s="312">
        <v>47</v>
      </c>
    </row>
    <row r="207" spans="19:23" x14ac:dyDescent="0.3">
      <c r="W207" s="312">
        <v>48</v>
      </c>
    </row>
    <row r="208" spans="19:23" x14ac:dyDescent="0.3">
      <c r="W208" s="312">
        <v>49</v>
      </c>
    </row>
    <row r="209" spans="23:23" x14ac:dyDescent="0.3">
      <c r="W209" s="312">
        <v>50</v>
      </c>
    </row>
    <row r="210" spans="23:23" x14ac:dyDescent="0.3">
      <c r="W210" s="312">
        <v>51</v>
      </c>
    </row>
    <row r="211" spans="23:23" x14ac:dyDescent="0.3">
      <c r="W211" s="312">
        <v>52</v>
      </c>
    </row>
    <row r="212" spans="23:23" x14ac:dyDescent="0.3">
      <c r="W212" s="312">
        <v>53</v>
      </c>
    </row>
    <row r="213" spans="23:23" x14ac:dyDescent="0.3">
      <c r="W213" s="312">
        <v>54</v>
      </c>
    </row>
    <row r="214" spans="23:23" x14ac:dyDescent="0.3">
      <c r="W214" s="312">
        <v>55</v>
      </c>
    </row>
    <row r="215" spans="23:23" x14ac:dyDescent="0.3">
      <c r="W215" s="312">
        <v>56</v>
      </c>
    </row>
    <row r="216" spans="23:23" x14ac:dyDescent="0.3">
      <c r="W216" s="312">
        <v>57</v>
      </c>
    </row>
    <row r="217" spans="23:23" x14ac:dyDescent="0.3">
      <c r="W217" s="312">
        <v>58</v>
      </c>
    </row>
    <row r="218" spans="23:23" x14ac:dyDescent="0.3">
      <c r="W218" s="312">
        <v>59</v>
      </c>
    </row>
    <row r="219" spans="23:23" x14ac:dyDescent="0.3">
      <c r="W219" s="312">
        <v>60</v>
      </c>
    </row>
    <row r="220" spans="23:23" x14ac:dyDescent="0.3">
      <c r="W220" s="312">
        <v>61</v>
      </c>
    </row>
    <row r="221" spans="23:23" x14ac:dyDescent="0.3">
      <c r="W221" s="312">
        <v>62</v>
      </c>
    </row>
    <row r="222" spans="23:23" x14ac:dyDescent="0.3">
      <c r="W222" s="312">
        <v>63</v>
      </c>
    </row>
    <row r="223" spans="23:23" x14ac:dyDescent="0.3">
      <c r="W223" s="312">
        <v>64</v>
      </c>
    </row>
    <row r="224" spans="23:23" x14ac:dyDescent="0.3">
      <c r="W224" s="312">
        <v>65</v>
      </c>
    </row>
    <row r="225" spans="23:23" x14ac:dyDescent="0.3">
      <c r="W225" s="312">
        <v>66</v>
      </c>
    </row>
    <row r="226" spans="23:23" x14ac:dyDescent="0.3">
      <c r="W226" s="312">
        <v>67</v>
      </c>
    </row>
    <row r="227" spans="23:23" x14ac:dyDescent="0.3">
      <c r="W227" s="312">
        <v>68</v>
      </c>
    </row>
    <row r="228" spans="23:23" x14ac:dyDescent="0.3">
      <c r="W228" s="312">
        <v>69</v>
      </c>
    </row>
    <row r="229" spans="23:23" x14ac:dyDescent="0.3">
      <c r="W229" s="312">
        <v>70</v>
      </c>
    </row>
    <row r="230" spans="23:23" x14ac:dyDescent="0.3">
      <c r="W230" s="312">
        <v>71</v>
      </c>
    </row>
    <row r="231" spans="23:23" x14ac:dyDescent="0.3">
      <c r="W231" s="312">
        <v>72</v>
      </c>
    </row>
    <row r="232" spans="23:23" x14ac:dyDescent="0.3">
      <c r="W232" s="312">
        <v>73</v>
      </c>
    </row>
    <row r="233" spans="23:23" x14ac:dyDescent="0.3">
      <c r="W233" s="312">
        <v>74</v>
      </c>
    </row>
    <row r="234" spans="23:23" x14ac:dyDescent="0.3">
      <c r="W234" s="312">
        <v>75</v>
      </c>
    </row>
    <row r="235" spans="23:23" x14ac:dyDescent="0.3">
      <c r="W235" s="312">
        <v>76</v>
      </c>
    </row>
    <row r="236" spans="23:23" x14ac:dyDescent="0.3">
      <c r="W236" s="312">
        <v>77</v>
      </c>
    </row>
    <row r="237" spans="23:23" x14ac:dyDescent="0.3">
      <c r="W237" s="312">
        <v>78</v>
      </c>
    </row>
    <row r="238" spans="23:23" x14ac:dyDescent="0.3">
      <c r="W238" s="312">
        <v>79</v>
      </c>
    </row>
    <row r="239" spans="23:23" x14ac:dyDescent="0.3">
      <c r="W239" s="312">
        <v>80</v>
      </c>
    </row>
    <row r="240" spans="23:23" x14ac:dyDescent="0.3">
      <c r="W240" s="312">
        <v>81</v>
      </c>
    </row>
    <row r="241" spans="23:23" x14ac:dyDescent="0.3">
      <c r="W241" s="312">
        <v>82</v>
      </c>
    </row>
    <row r="242" spans="23:23" x14ac:dyDescent="0.3">
      <c r="W242" s="312">
        <v>83</v>
      </c>
    </row>
    <row r="243" spans="23:23" x14ac:dyDescent="0.3">
      <c r="W243" s="312">
        <v>84</v>
      </c>
    </row>
    <row r="244" spans="23:23" x14ac:dyDescent="0.3">
      <c r="W244" s="312">
        <v>85</v>
      </c>
    </row>
    <row r="245" spans="23:23" x14ac:dyDescent="0.3">
      <c r="W245" s="312">
        <v>86</v>
      </c>
    </row>
    <row r="246" spans="23:23" x14ac:dyDescent="0.3">
      <c r="W246" s="312">
        <v>87</v>
      </c>
    </row>
    <row r="247" spans="23:23" x14ac:dyDescent="0.3">
      <c r="W247" s="312">
        <v>88</v>
      </c>
    </row>
    <row r="248" spans="23:23" x14ac:dyDescent="0.3">
      <c r="W248" s="312">
        <v>89</v>
      </c>
    </row>
    <row r="249" spans="23:23" x14ac:dyDescent="0.3">
      <c r="W249" s="312">
        <v>90</v>
      </c>
    </row>
    <row r="250" spans="23:23" x14ac:dyDescent="0.3">
      <c r="W250" s="312">
        <v>91</v>
      </c>
    </row>
    <row r="251" spans="23:23" x14ac:dyDescent="0.3">
      <c r="W251" s="312">
        <v>92</v>
      </c>
    </row>
    <row r="252" spans="23:23" x14ac:dyDescent="0.3">
      <c r="W252" s="312">
        <v>93</v>
      </c>
    </row>
    <row r="253" spans="23:23" x14ac:dyDescent="0.3">
      <c r="W253" s="312">
        <v>94</v>
      </c>
    </row>
    <row r="254" spans="23:23" x14ac:dyDescent="0.3">
      <c r="W254" s="312">
        <v>95</v>
      </c>
    </row>
    <row r="255" spans="23:23" x14ac:dyDescent="0.3">
      <c r="W255" s="312">
        <v>96</v>
      </c>
    </row>
    <row r="256" spans="23:23" x14ac:dyDescent="0.3">
      <c r="W256" s="312">
        <v>97</v>
      </c>
    </row>
    <row r="257" spans="23:23" x14ac:dyDescent="0.3">
      <c r="W257" s="312">
        <v>98</v>
      </c>
    </row>
    <row r="258" spans="23:23" x14ac:dyDescent="0.3">
      <c r="W258" s="312">
        <v>99</v>
      </c>
    </row>
    <row r="259" spans="23:23" x14ac:dyDescent="0.3">
      <c r="W259" s="312">
        <v>100</v>
      </c>
    </row>
  </sheetData>
  <sheetProtection algorithmName="SHA-512" hashValue="yW2x+fpAyZgZWnZOz3WicXMnoiGHHTTj5GeF8onvOLT+WYu2pZ7/176QtHBHZc6Gs7I4H37T8FROZNEypk1sHg==" saltValue="dh1Kx7mZZBR/g2Ni0t0owg==" spinCount="100000" sheet="1" objects="1" scenarios="1"/>
  <protectedRanges>
    <protectedRange sqref="B36 B38 B84:B94 B40:B63" name="Auswahlfelder"/>
  </protectedRanges>
  <mergeCells count="64">
    <mergeCell ref="AR96:AU96"/>
    <mergeCell ref="AV96:AY96"/>
    <mergeCell ref="AC96:AD96"/>
    <mergeCell ref="J8:O8"/>
    <mergeCell ref="J9:O9"/>
    <mergeCell ref="AJ96:AK96"/>
    <mergeCell ref="AL96:AM96"/>
    <mergeCell ref="AN96:AQ96"/>
    <mergeCell ref="P86:R95"/>
    <mergeCell ref="P74:R76"/>
    <mergeCell ref="P78:R81"/>
    <mergeCell ref="BR123:BY123"/>
    <mergeCell ref="BB96:BI96"/>
    <mergeCell ref="BB123:BI123"/>
    <mergeCell ref="BR96:BY96"/>
    <mergeCell ref="BJ96:BQ96"/>
    <mergeCell ref="BJ123:BQ123"/>
    <mergeCell ref="CQ123:CR123"/>
    <mergeCell ref="CQ96:CR96"/>
    <mergeCell ref="BZ96:CC96"/>
    <mergeCell ref="CH96:CK96"/>
    <mergeCell ref="CD96:CG96"/>
    <mergeCell ref="CL96:CP96"/>
    <mergeCell ref="BZ123:CC123"/>
    <mergeCell ref="CL123:CP123"/>
    <mergeCell ref="CH123:CK123"/>
    <mergeCell ref="CD123:CG123"/>
    <mergeCell ref="B74:B76"/>
    <mergeCell ref="B78:B79"/>
    <mergeCell ref="B80:B81"/>
    <mergeCell ref="I74:O74"/>
    <mergeCell ref="D11:H11"/>
    <mergeCell ref="C80:H80"/>
    <mergeCell ref="C81:H81"/>
    <mergeCell ref="C76:H76"/>
    <mergeCell ref="C75:H75"/>
    <mergeCell ref="C74:H74"/>
    <mergeCell ref="C66:D66"/>
    <mergeCell ref="C78:H78"/>
    <mergeCell ref="C79:H79"/>
    <mergeCell ref="D70:H70"/>
    <mergeCell ref="D71:H71"/>
    <mergeCell ref="D72:H72"/>
    <mergeCell ref="P5:S5"/>
    <mergeCell ref="P6:S6"/>
    <mergeCell ref="P7:S7"/>
    <mergeCell ref="P66:R72"/>
    <mergeCell ref="D67:H67"/>
    <mergeCell ref="J6:O6"/>
    <mergeCell ref="J7:O7"/>
    <mergeCell ref="B5:O5"/>
    <mergeCell ref="C6:D6"/>
    <mergeCell ref="C8:D8"/>
    <mergeCell ref="D7:F7"/>
    <mergeCell ref="B7:B8"/>
    <mergeCell ref="P11:Q11"/>
    <mergeCell ref="C67:C72"/>
    <mergeCell ref="D68:H68"/>
    <mergeCell ref="D69:H69"/>
    <mergeCell ref="D86:H94"/>
    <mergeCell ref="D83:H83"/>
    <mergeCell ref="C95:H95"/>
    <mergeCell ref="D84:H84"/>
    <mergeCell ref="D85:H85"/>
  </mergeCells>
  <phoneticPr fontId="5" type="noConversion"/>
  <conditionalFormatting sqref="K67 O71 K69 K70:L70 N70:O70 M69:O69 K72:N72 L67:O68 K71:M71 I67:I72 J68:J72">
    <cfRule type="cellIs" dxfId="59" priority="240" operator="lessThan">
      <formula>0</formula>
    </cfRule>
  </conditionalFormatting>
  <conditionalFormatting sqref="N14:N3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O3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O64">
    <cfRule type="expression" dxfId="58" priority="86">
      <formula>OR(AND($B36="x",I36="µ"),AND($B36="x",I36="enthalten"))</formula>
    </cfRule>
    <cfRule type="expression" dxfId="57" priority="87">
      <formula>AND($B36="x",I36="Add on")</formula>
    </cfRule>
  </conditionalFormatting>
  <conditionalFormatting sqref="AF100:AF120">
    <cfRule type="colorScale" priority="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0:O80">
    <cfRule type="colorScale" priority="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O66">
    <cfRule type="top10" dxfId="56" priority="970" bottom="1" rank="1"/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5:O75">
    <cfRule type="colorScale" priority="97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5" priority="975" operator="lessThan">
      <formula>0</formula>
    </cfRule>
  </conditionalFormatting>
  <conditionalFormatting sqref="I76:O76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4" priority="979" operator="lessThan">
      <formula>0</formula>
    </cfRule>
  </conditionalFormatting>
  <conditionalFormatting sqref="I81:O81">
    <cfRule type="colorScale" priority="98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3" priority="983" operator="lessThan">
      <formula>0</formula>
    </cfRule>
  </conditionalFormatting>
  <conditionalFormatting sqref="O36:O63">
    <cfRule type="expression" dxfId="52" priority="9">
      <formula>$O36="included"</formula>
    </cfRule>
  </conditionalFormatting>
  <conditionalFormatting sqref="J95:O95">
    <cfRule type="top10" dxfId="51" priority="5" bottom="1" rank="1"/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4:O85">
    <cfRule type="expression" dxfId="50" priority="4">
      <formula>AND($B84&gt;0,I84="Add on")</formula>
    </cfRule>
  </conditionalFormatting>
  <conditionalFormatting sqref="B55:B56">
    <cfRule type="expression" dxfId="49" priority="3">
      <formula>$B$54="x"</formula>
    </cfRule>
  </conditionalFormatting>
  <conditionalFormatting sqref="B58:B62">
    <cfRule type="expression" dxfId="48" priority="2">
      <formula>$B$57="x"</formula>
    </cfRule>
  </conditionalFormatting>
  <conditionalFormatting sqref="B50:B51">
    <cfRule type="expression" dxfId="47" priority="1">
      <formula>$B$49="x"</formula>
    </cfRule>
  </conditionalFormatting>
  <dataValidations count="2">
    <dataValidation type="list" allowBlank="1" showInputMessage="1" showErrorMessage="1" sqref="B86:B94 B38 B36 B40:B63" xr:uid="{D30EEA0A-86A0-48D5-A10D-3ABC9F2C4A3A}">
      <formula1>$B$155:$B$156</formula1>
    </dataValidation>
    <dataValidation type="list" allowBlank="1" showInputMessage="1" showErrorMessage="1" sqref="B84:B85" xr:uid="{3A3D377D-44ED-4718-97BB-EAC8512209E8}">
      <formula1>$W$159:$W$259</formula1>
    </dataValidation>
  </dataValidations>
  <hyperlinks>
    <hyperlink ref="P6" r:id="rId1" xr:uid="{8619FBF9-A6D1-4445-B25B-2EB913BE4B5C}"/>
    <hyperlink ref="P6:R6" r:id="rId2" display="https://hinter-dem-schwarzen-auge.de/links/" xr:uid="{5CA7FECC-3EF2-4469-BE67-888D8CF0AF95}"/>
    <hyperlink ref="E44" r:id="rId3" xr:uid="{C6C931D4-B863-4955-AE23-242E5298D1BF}"/>
    <hyperlink ref="E40" r:id="rId4" xr:uid="{D9E3F4A4-640B-4B6B-BCD5-E3868FC01D8F}"/>
    <hyperlink ref="E41" r:id="rId5" xr:uid="{9C17358E-17B0-48DA-A3B9-7C17EA813CC1}"/>
    <hyperlink ref="E38" r:id="rId6" xr:uid="{8FF6B0D2-615D-40C9-887A-145A0FA59360}"/>
    <hyperlink ref="E36" r:id="rId7" xr:uid="{6F7D0854-E22E-48AA-9E45-BB3CAF157BEB}"/>
    <hyperlink ref="E56" r:id="rId8" xr:uid="{BD49BD9D-02E0-4F34-8D4C-4C339FD9F124}"/>
    <hyperlink ref="E58" r:id="rId9" xr:uid="{93F7E5D0-3D4E-437D-9712-6A9EC8473A84}"/>
    <hyperlink ref="E59" r:id="rId10" xr:uid="{E239119E-8563-4241-B47B-BA02E9D4F53D}"/>
    <hyperlink ref="E55" r:id="rId11" xr:uid="{E5F0BCC9-105B-4477-BE30-8816BC94D1FA}"/>
    <hyperlink ref="E61" r:id="rId12" xr:uid="{80A7B9F0-9AEF-4C9C-A602-3A0955FA7CFD}"/>
    <hyperlink ref="E60" r:id="rId13" xr:uid="{87F74FF9-C30D-4ED1-9464-771BD5947B2F}"/>
    <hyperlink ref="E63" r:id="rId14" xr:uid="{88CB8DFF-C532-48D6-8F8D-5D6DC4ED72CA}"/>
    <hyperlink ref="E50" r:id="rId15" xr:uid="{B4CE80B7-210B-40EE-BFFA-BD2D50665C70}"/>
    <hyperlink ref="E51" r:id="rId16" xr:uid="{EA7C1C65-D6A8-4FC8-97DD-46C5707D57F0}"/>
    <hyperlink ref="E52" r:id="rId17" xr:uid="{8F7B02C9-E8EF-4A86-9CAE-CD6ABDE77B51}"/>
    <hyperlink ref="E53" r:id="rId18" xr:uid="{39A2D643-5F32-4ECD-9019-67ED15DAE654}"/>
    <hyperlink ref="E48" r:id="rId19" xr:uid="{B9E781ED-3312-4639-A88B-100A97D256A2}"/>
    <hyperlink ref="E45" r:id="rId20" xr:uid="{E430484E-E6DE-48DD-AF92-6527D102CEC7}"/>
    <hyperlink ref="E46" r:id="rId21" xr:uid="{A7F2449E-BC2F-4D47-9B9F-CAB2DE993355}"/>
    <hyperlink ref="E47" r:id="rId22" xr:uid="{CBF1305F-322F-4CB6-ACE1-595CD2B99CEB}"/>
    <hyperlink ref="J7" r:id="rId23" xr:uid="{258F6FF8-9B4F-4F08-9226-7DB580773B75}"/>
  </hyperlinks>
  <pageMargins left="0.15748031496062992" right="3.937007874015748E-2" top="0.39370078740157483" bottom="0.11811023622047245" header="0.31496062992125984" footer="7.874015748031496E-2"/>
  <pageSetup paperSize="9" scale="56" fitToHeight="0" orientation="landscape" r:id="rId24"/>
  <rowBreaks count="2" manualBreakCount="2">
    <brk id="49" max="18" man="1"/>
    <brk id="72" max="18" man="1"/>
  </rowBreaks>
  <drawing r:id="rId25"/>
  <legacyDrawing r:id="rId26"/>
  <tableParts count="1">
    <tablePart r:id="rId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dimension ref="B1:BK52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50" sqref="AG50"/>
    </sheetView>
  </sheetViews>
  <sheetFormatPr baseColWidth="10" defaultRowHeight="15" x14ac:dyDescent="0.25"/>
  <cols>
    <col min="3" max="3" width="14.7109375" style="3" customWidth="1"/>
    <col min="4" max="4" width="19.5703125" style="3" customWidth="1"/>
    <col min="5" max="5" width="13.140625" style="4" customWidth="1"/>
    <col min="6" max="6" width="18" style="4" customWidth="1"/>
    <col min="7" max="7" width="15.140625" style="4" customWidth="1"/>
    <col min="8" max="12" width="20" style="4" customWidth="1"/>
    <col min="13" max="16" width="11" style="4" customWidth="1"/>
    <col min="17" max="34" width="11.42578125" style="21"/>
    <col min="44" max="44" width="11.42578125" style="5"/>
    <col min="45" max="45" width="11.42578125" style="6"/>
    <col min="46" max="46" width="11.42578125" style="5"/>
    <col min="47" max="47" width="11.42578125" style="6"/>
    <col min="48" max="48" width="11.42578125" style="19"/>
    <col min="49" max="49" width="11.42578125" style="22"/>
    <col min="50" max="50" width="11.42578125" style="5"/>
    <col min="51" max="51" width="11.42578125" style="6"/>
    <col min="52" max="52" width="11.42578125" style="5"/>
    <col min="53" max="53" width="11.42578125" style="6"/>
    <col min="54" max="54" width="11.42578125" style="5"/>
    <col min="55" max="55" width="11.42578125" style="6"/>
    <col min="56" max="56" width="11.42578125" style="5"/>
    <col min="57" max="57" width="11.42578125" style="6"/>
    <col min="58" max="58" width="11.42578125" style="5"/>
    <col min="59" max="59" width="11.42578125" style="6"/>
    <col min="60" max="60" width="5.28515625" bestFit="1" customWidth="1"/>
    <col min="61" max="62" width="4.5703125" bestFit="1" customWidth="1"/>
  </cols>
  <sheetData>
    <row r="1" spans="2:62" x14ac:dyDescent="0.25">
      <c r="C1" s="3" t="s">
        <v>40</v>
      </c>
      <c r="D1" s="3" t="s">
        <v>40</v>
      </c>
      <c r="E1" s="4" t="s">
        <v>41</v>
      </c>
      <c r="F1" s="4" t="s">
        <v>41</v>
      </c>
      <c r="G1" s="4" t="s">
        <v>41</v>
      </c>
      <c r="H1" s="4" t="s">
        <v>41</v>
      </c>
      <c r="I1" s="4" t="s">
        <v>41</v>
      </c>
      <c r="J1" s="4" t="s">
        <v>41</v>
      </c>
      <c r="K1" s="4" t="s">
        <v>41</v>
      </c>
      <c r="L1" s="4" t="s">
        <v>41</v>
      </c>
      <c r="M1" s="4" t="s">
        <v>41</v>
      </c>
      <c r="N1" s="4" t="s">
        <v>41</v>
      </c>
      <c r="O1" s="4" t="s">
        <v>41</v>
      </c>
      <c r="P1" s="4" t="s">
        <v>41</v>
      </c>
      <c r="Q1" s="3" t="s">
        <v>40</v>
      </c>
      <c r="R1" s="3" t="s">
        <v>40</v>
      </c>
      <c r="S1" s="3" t="s">
        <v>40</v>
      </c>
      <c r="T1" s="3" t="s">
        <v>40</v>
      </c>
      <c r="U1" s="3" t="s">
        <v>40</v>
      </c>
      <c r="V1" s="3" t="s">
        <v>40</v>
      </c>
      <c r="W1" s="3"/>
      <c r="X1" s="3"/>
      <c r="Y1" s="3" t="s">
        <v>40</v>
      </c>
      <c r="Z1" s="3" t="s">
        <v>40</v>
      </c>
      <c r="AA1" s="3"/>
      <c r="AB1" s="3"/>
      <c r="AC1" s="3"/>
      <c r="AD1" s="3"/>
      <c r="AE1" s="3"/>
      <c r="AF1" s="3"/>
      <c r="AG1" s="3"/>
      <c r="AH1" s="3"/>
    </row>
    <row r="2" spans="2:62" x14ac:dyDescent="0.25">
      <c r="B2" t="s">
        <v>20</v>
      </c>
      <c r="C2" s="3" t="s">
        <v>95</v>
      </c>
      <c r="D2" s="3" t="s">
        <v>96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69</v>
      </c>
      <c r="L2" s="4" t="s">
        <v>70</v>
      </c>
      <c r="M2" s="3" t="s">
        <v>99</v>
      </c>
      <c r="N2" s="3" t="s">
        <v>100</v>
      </c>
      <c r="O2" s="3" t="s">
        <v>149</v>
      </c>
      <c r="P2" s="3" t="s">
        <v>150</v>
      </c>
      <c r="Q2" s="3" t="s">
        <v>49</v>
      </c>
      <c r="R2" s="3" t="s">
        <v>50</v>
      </c>
      <c r="S2" s="3" t="s">
        <v>51</v>
      </c>
      <c r="T2" s="3" t="s">
        <v>52</v>
      </c>
      <c r="U2" s="3" t="s">
        <v>53</v>
      </c>
      <c r="V2" s="3" t="s">
        <v>54</v>
      </c>
      <c r="W2" s="3" t="s">
        <v>67</v>
      </c>
      <c r="X2" s="3" t="s">
        <v>68</v>
      </c>
      <c r="Y2" s="3" t="s">
        <v>97</v>
      </c>
      <c r="Z2" s="3" t="s">
        <v>98</v>
      </c>
      <c r="AA2" s="3" t="s">
        <v>132</v>
      </c>
      <c r="AB2" s="3" t="s">
        <v>133</v>
      </c>
      <c r="AC2" s="3" t="s">
        <v>147</v>
      </c>
      <c r="AD2" s="3" t="s">
        <v>148</v>
      </c>
      <c r="AE2" s="3" t="s">
        <v>159</v>
      </c>
      <c r="AF2" s="3" t="s">
        <v>165</v>
      </c>
      <c r="AG2" s="3" t="s">
        <v>169</v>
      </c>
      <c r="AH2" s="3" t="s">
        <v>170</v>
      </c>
      <c r="AI2" s="7" t="s">
        <v>55</v>
      </c>
      <c r="AJ2" s="7" t="s">
        <v>56</v>
      </c>
      <c r="AK2" s="7" t="s">
        <v>57</v>
      </c>
      <c r="AL2" s="7" t="s">
        <v>58</v>
      </c>
      <c r="AM2" s="7" t="s">
        <v>59</v>
      </c>
      <c r="AN2" s="7" t="s">
        <v>60</v>
      </c>
      <c r="AO2" s="7" t="s">
        <v>61</v>
      </c>
      <c r="AP2" s="7" t="s">
        <v>62</v>
      </c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2:62" x14ac:dyDescent="0.25">
      <c r="B3">
        <v>0</v>
      </c>
      <c r="C3" s="3">
        <v>0</v>
      </c>
      <c r="D3" s="3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240">
        <v>0</v>
      </c>
      <c r="AD3" s="240">
        <v>0</v>
      </c>
      <c r="AE3" s="240">
        <v>0</v>
      </c>
      <c r="AF3" s="240">
        <v>0</v>
      </c>
      <c r="AG3" s="240">
        <v>0</v>
      </c>
      <c r="AH3" s="240">
        <v>0</v>
      </c>
      <c r="AI3" s="9">
        <f>Tabelle3[[#This Row],[Nedime (€)]]/C$24</f>
        <v>0</v>
      </c>
      <c r="AJ3" s="9">
        <f>Tabelle3[[#This Row],[Nedime (Backer)]]/D$24</f>
        <v>0</v>
      </c>
      <c r="AK3" s="9">
        <f>Tabelle3[[#This Row],[Thorwal (€)]]/Q$24</f>
        <v>0</v>
      </c>
      <c r="AL3" s="9">
        <f>Tabelle3[[#This Row],[Thorwal (Backer)]]/R$24</f>
        <v>0</v>
      </c>
      <c r="AM3" s="9">
        <f>Tabelle3[[#This Row],[Werkzeuge (€)]]/S$24</f>
        <v>0</v>
      </c>
      <c r="AN3" s="9">
        <f>Tabelle3[[#This Row],[Werkzeuge (Backer)]]/T$24</f>
        <v>0</v>
      </c>
      <c r="AO3" s="9">
        <f>Tabelle3[[#This Row],[Mythos (€)]]/U$24</f>
        <v>0</v>
      </c>
      <c r="AP3" s="9">
        <f>Tabelle3[[#This Row],[Mythos (Backer)]]/V$24</f>
        <v>0</v>
      </c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2:62" x14ac:dyDescent="0.25">
      <c r="B4">
        <v>1</v>
      </c>
      <c r="C4" s="3">
        <v>14771</v>
      </c>
      <c r="D4" s="3">
        <v>73</v>
      </c>
      <c r="E4" s="4">
        <f>Tabelle3[[#This Row],[Thorwal (€)]]/Q24*E24</f>
        <v>15220.890095815445</v>
      </c>
      <c r="F4" s="4">
        <f>Tabelle3[[#This Row],[Thorwal (Backer)]]/R24*F24</f>
        <v>110.36895674300254</v>
      </c>
      <c r="G4" s="4">
        <f>Tabelle3[[#This Row],[Werkzeuge (€)]]/$S$24*$G$24</f>
        <v>15879.347283058034</v>
      </c>
      <c r="H4" s="4">
        <f>Tabelle3[[#This Row],[Werkzeuge (Backer)]]/$T$24*$H$24</f>
        <v>82.160052910052912</v>
      </c>
      <c r="I4" s="11">
        <f>Tabelle3[[#This Row],[Mythos (€)]]/$U$24*$I$24</f>
        <v>8008.0810450070085</v>
      </c>
      <c r="J4" s="11">
        <f>Tabelle3[[#This Row],[Mythos (Backer)]]/$V$24*$J$24</f>
        <v>48.804500703234879</v>
      </c>
      <c r="K4" s="4">
        <f>Tabelle3[[#This Row],[DSK (€)]]/$W$24*$I$24</f>
        <v>18321.783592211064</v>
      </c>
      <c r="L4" s="4">
        <f>Tabelle3[[#This Row],[DSK (Backer)]]/$X$24*$L$24</f>
        <v>103.14786585365853</v>
      </c>
      <c r="M4" s="4">
        <f>Tabelle3[[#This Row],[Mythen (€)]]/$Y$24*$M$24</f>
        <v>13585.517272030311</v>
      </c>
      <c r="N4" s="4">
        <f>Tabelle3[[#This Row],[Mythen (Backer)]]/$Z$24*$N$24</f>
        <v>80.453629032258064</v>
      </c>
      <c r="O4" s="4">
        <f>Tabelle3[[#This Row],[SOK (€)]]/$AA$24*$M$24</f>
        <v>23389.670781979032</v>
      </c>
      <c r="P4" s="4">
        <f>Tabelle3[[#This Row],[SOK (Backer)]]/$AB$24*$N$24</f>
        <v>130.33353365384616</v>
      </c>
      <c r="Q4" s="3">
        <v>65000</v>
      </c>
      <c r="R4" s="3">
        <v>500</v>
      </c>
      <c r="S4" s="3">
        <v>43437</v>
      </c>
      <c r="T4" s="3">
        <v>179</v>
      </c>
      <c r="U4" s="10">
        <f>U3+($U$6-$U$3)/3</f>
        <v>15333.333333333334</v>
      </c>
      <c r="V4" s="10">
        <f>V3+($V$6-$V$3)/3</f>
        <v>100</v>
      </c>
      <c r="W4" s="3">
        <v>36402</v>
      </c>
      <c r="X4" s="3">
        <v>195</v>
      </c>
      <c r="Y4" s="3">
        <v>19612</v>
      </c>
      <c r="Z4" s="3">
        <v>115</v>
      </c>
      <c r="AA4" s="3">
        <v>89735</v>
      </c>
      <c r="AB4" s="3">
        <v>625</v>
      </c>
      <c r="AC4" s="240">
        <f>'AVENTURIA - Stories &amp; Legends'!BJ100</f>
        <v>82966</v>
      </c>
      <c r="AD4" s="240">
        <f>'AVENTURIA - Stories &amp; Legends'!BK100</f>
        <v>341</v>
      </c>
      <c r="AE4" s="240">
        <v>76466</v>
      </c>
      <c r="AF4" s="240">
        <v>317</v>
      </c>
      <c r="AG4" s="240">
        <f>'AVENTURIA - Stories &amp; Legends'!AC100</f>
        <v>32500</v>
      </c>
      <c r="AH4" s="240">
        <f>'AVENTURIA - Stories &amp; Legends'!AD100</f>
        <v>170</v>
      </c>
      <c r="AI4" s="9">
        <f>Tabelle3[[#This Row],[Nedime (€)]]/C$24</f>
        <v>0.23692357045472773</v>
      </c>
      <c r="AJ4" s="9">
        <f>Tabelle3[[#This Row],[Nedime (Backer)]]/D$24</f>
        <v>0.21037463976945245</v>
      </c>
      <c r="AK4" s="9">
        <f>Tabelle3[[#This Row],[Thorwal (€)]]/Q$24</f>
        <v>0.24413970800890922</v>
      </c>
      <c r="AL4" s="9">
        <f>Tabelle3[[#This Row],[Thorwal (Backer)]]/R$24</f>
        <v>0.31806615776081426</v>
      </c>
      <c r="AM4" s="9">
        <f>Tabelle3[[#This Row],[Werkzeuge (€)]]/S$24</f>
        <v>0.25470121554347636</v>
      </c>
      <c r="AN4" s="9">
        <f>Tabelle3[[#This Row],[Werkzeuge (Backer)]]/T$24</f>
        <v>0.23677248677248677</v>
      </c>
      <c r="AO4" s="9"/>
      <c r="AP4" s="9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2:62" x14ac:dyDescent="0.25">
      <c r="B5">
        <v>2</v>
      </c>
      <c r="C5" s="3">
        <v>16764</v>
      </c>
      <c r="D5" s="3">
        <v>82</v>
      </c>
      <c r="E5" s="11">
        <f t="shared" ref="E5:E13" si="0">E4+($E$14-$E$4)/10</f>
        <v>16625.895335429177</v>
      </c>
      <c r="F5" s="11">
        <f>F4+($F$14-$F$4)/10</f>
        <v>119.19847328244275</v>
      </c>
      <c r="G5" s="4">
        <f>Tabelle3[[#This Row],[Werkzeuge (€)]]/$S$24*$G$24</f>
        <v>18103.852387402443</v>
      </c>
      <c r="H5" s="4">
        <f>Tabelle3[[#This Row],[Werkzeuge (Backer)]]/$T$24*$H$24</f>
        <v>94.55291005291005</v>
      </c>
      <c r="I5" s="11">
        <f>Tabelle3[[#This Row],[Mythos (€)]]/$U$24*$I$24</f>
        <v>16016.162090014017</v>
      </c>
      <c r="J5" s="11">
        <f>Tabelle3[[#This Row],[Mythos (Backer)]]/$V$24*$J$24</f>
        <v>97.609001406469758</v>
      </c>
      <c r="K5" s="4">
        <f>Tabelle3[[#This Row],[DSK (€)]]/$W$24*$I$24</f>
        <v>21471.044620079439</v>
      </c>
      <c r="L5" s="4">
        <f>Tabelle3[[#This Row],[DSK (Backer)]]/$X$24*$L$24</f>
        <v>123.24847560975608</v>
      </c>
      <c r="M5" s="4">
        <f>Tabelle3[[#This Row],[Mythen (€)]]/$Y$24*$M$24</f>
        <v>16993.672736969591</v>
      </c>
      <c r="N5" s="4">
        <f>Tabelle3[[#This Row],[Mythen (Backer)]]/$Z$24*$N$24</f>
        <v>101.44153225806453</v>
      </c>
      <c r="O5" s="4">
        <f>Tabelle3[[#This Row],[SOK (€)]]/$AA$24*$M$24</f>
        <v>29715.190707727812</v>
      </c>
      <c r="P5" s="4">
        <f>Tabelle3[[#This Row],[SOK (Backer)]]/$AB$24*$N$24</f>
        <v>164.53305288461539</v>
      </c>
      <c r="Q5" s="10">
        <f>Q4+($Q$14-$Q$4)/10</f>
        <v>71000</v>
      </c>
      <c r="R5" s="10">
        <f>R4+($R$14-$R$4)/10</f>
        <v>540</v>
      </c>
      <c r="S5" s="3">
        <v>49522</v>
      </c>
      <c r="T5" s="3">
        <v>206</v>
      </c>
      <c r="U5" s="10">
        <f>U4+($U$6-$U$3)/3</f>
        <v>30666.666666666668</v>
      </c>
      <c r="V5" s="10">
        <f>V4+($V$6-$V$3)/3</f>
        <v>200</v>
      </c>
      <c r="W5" s="3">
        <v>42659</v>
      </c>
      <c r="X5" s="3">
        <v>233</v>
      </c>
      <c r="Y5" s="3">
        <v>24532</v>
      </c>
      <c r="Z5" s="3">
        <v>145</v>
      </c>
      <c r="AA5" s="3">
        <v>114003</v>
      </c>
      <c r="AB5" s="3">
        <v>789</v>
      </c>
      <c r="AC5" s="240">
        <f>'AVENTURIA - Stories &amp; Legends'!BJ101</f>
        <v>96328</v>
      </c>
      <c r="AD5" s="240">
        <f>'AVENTURIA - Stories &amp; Legends'!BK101</f>
        <v>404</v>
      </c>
      <c r="AE5" s="240">
        <v>100197</v>
      </c>
      <c r="AF5" s="240">
        <v>417</v>
      </c>
      <c r="AG5" s="240">
        <f>'AVENTURIA - Stories &amp; Legends'!AC101</f>
        <v>32781</v>
      </c>
      <c r="AH5" s="240">
        <f>'AVENTURIA - Stories &amp; Legends'!AD101</f>
        <v>194</v>
      </c>
      <c r="AI5" s="9">
        <f>Tabelle3[[#This Row],[Nedime (€)]]/C$24</f>
        <v>0.2688908493062796</v>
      </c>
      <c r="AJ5" s="9">
        <f>Tabelle3[[#This Row],[Nedime (Backer)]]/D$24</f>
        <v>0.23631123919308358</v>
      </c>
      <c r="AK5" s="9"/>
      <c r="AL5" s="9"/>
      <c r="AM5" s="9">
        <f>Tabelle3[[#This Row],[Werkzeuge (€)]]/S$24</f>
        <v>0.29038178502530182</v>
      </c>
      <c r="AN5" s="9">
        <f>Tabelle3[[#This Row],[Werkzeuge (Backer)]]/T$24</f>
        <v>0.2724867724867725</v>
      </c>
      <c r="AO5" s="9"/>
      <c r="AP5" s="9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2:62" ht="15.75" thickBot="1" x14ac:dyDescent="0.3">
      <c r="B6">
        <v>3</v>
      </c>
      <c r="C6" s="3">
        <v>17674</v>
      </c>
      <c r="D6" s="3">
        <v>90</v>
      </c>
      <c r="E6" s="11">
        <f t="shared" si="0"/>
        <v>18030.90057504291</v>
      </c>
      <c r="F6" s="11">
        <f t="shared" ref="F6:F13" si="1">F5+($F$14-$F$4)/10</f>
        <v>128.02798982188295</v>
      </c>
      <c r="G6" s="4">
        <f>Tabelle3[[#This Row],[Werkzeuge (€)]]/$S$24*$G$24</f>
        <v>19704.691804316852</v>
      </c>
      <c r="H6" s="4">
        <f>Tabelle3[[#This Row],[Werkzeuge (Backer)]]/$T$24*$H$24</f>
        <v>102.81481481481481</v>
      </c>
      <c r="I6" s="4">
        <f>Tabelle3[[#This Row],[Mythos (€)]]/$U$24*$I$24</f>
        <v>24024.243135021028</v>
      </c>
      <c r="J6" s="4">
        <f>Tabelle3[[#This Row],[Mythos (Backer)]]/$V$24*$J$24</f>
        <v>146.41350210970464</v>
      </c>
      <c r="K6" s="4">
        <f>Tabelle3[[#This Row],[DSK (€)]]/$W$24*$I$24</f>
        <v>22786.717998191623</v>
      </c>
      <c r="L6" s="4">
        <f>Tabelle3[[#This Row],[DSK (Backer)]]/$X$24*$L$24</f>
        <v>131.1829268292683</v>
      </c>
      <c r="M6" s="4">
        <f>Tabelle3[[#This Row],[Mythen (€)]]/$Y$24*$M$24</f>
        <v>19168.103632181865</v>
      </c>
      <c r="N6" s="4">
        <f>Tabelle3[[#This Row],[Mythen (Backer)]]/$Z$24*$N$24</f>
        <v>113.33467741935483</v>
      </c>
      <c r="O6" s="4">
        <f>Tabelle3[[#This Row],[SOK (€)]]/$AA$24*$M$24</f>
        <v>31934.909171864809</v>
      </c>
      <c r="P6" s="4">
        <f>Tabelle3[[#This Row],[SOK (Backer)]]/$AB$24*$N$24</f>
        <v>177.67067307692307</v>
      </c>
      <c r="Q6" s="10">
        <f t="shared" ref="Q6:Q13" si="2">Q5+($Q$14-$Q$4)/10</f>
        <v>77000</v>
      </c>
      <c r="R6" s="10">
        <f t="shared" ref="R6:R13" si="3">R5+($R$14-$R$4)/10</f>
        <v>580</v>
      </c>
      <c r="S6" s="3">
        <v>53901</v>
      </c>
      <c r="T6" s="3">
        <v>224</v>
      </c>
      <c r="U6" s="3">
        <v>46000</v>
      </c>
      <c r="V6" s="3">
        <v>300</v>
      </c>
      <c r="W6" s="3">
        <v>45273</v>
      </c>
      <c r="X6" s="3">
        <v>248</v>
      </c>
      <c r="Y6" s="3">
        <v>27671</v>
      </c>
      <c r="Z6" s="3">
        <v>162</v>
      </c>
      <c r="AA6" s="3">
        <v>122519</v>
      </c>
      <c r="AB6" s="3">
        <v>852</v>
      </c>
      <c r="AC6" s="240">
        <f>'AVENTURIA - Stories &amp; Legends'!BJ102</f>
        <v>115147</v>
      </c>
      <c r="AD6" s="240">
        <f>'AVENTURIA - Stories &amp; Legends'!BK102</f>
        <v>480</v>
      </c>
      <c r="AE6" s="240">
        <v>110488</v>
      </c>
      <c r="AF6" s="240">
        <v>458</v>
      </c>
      <c r="AG6" s="240">
        <f>'AVENTURIA - Stories &amp; Legends'!AC102</f>
        <v>38191</v>
      </c>
      <c r="AH6" s="240">
        <f>'AVENTURIA - Stories &amp; Legends'!AD102</f>
        <v>199</v>
      </c>
      <c r="AI6" s="9">
        <f>Tabelle3[[#This Row],[Nedime (€)]]/C$24</f>
        <v>0.2834870478787393</v>
      </c>
      <c r="AJ6" s="9">
        <f>Tabelle3[[#This Row],[Nedime (Backer)]]/D$24</f>
        <v>0.25936599423631124</v>
      </c>
      <c r="AK6" s="9"/>
      <c r="AL6" s="9"/>
      <c r="AM6" s="9">
        <f>Tabelle3[[#This Row],[Werkzeuge (€)]]/S$24</f>
        <v>0.31605889492849226</v>
      </c>
      <c r="AN6" s="9">
        <f>Tabelle3[[#This Row],[Werkzeuge (Backer)]]/T$24</f>
        <v>0.29629629629629628</v>
      </c>
      <c r="AO6" s="9">
        <f>Tabelle3[[#This Row],[Mythos (€)]]/U$24</f>
        <v>0.38534354214485567</v>
      </c>
      <c r="AP6" s="9">
        <f>Tabelle3[[#This Row],[Mythos (Backer)]]/V$24</f>
        <v>0.4219409282700422</v>
      </c>
      <c r="AS6" s="8"/>
      <c r="AU6" s="8"/>
      <c r="AW6" s="20"/>
      <c r="AY6" s="8"/>
      <c r="BA6" s="8"/>
      <c r="BC6" s="8"/>
      <c r="BE6" s="8"/>
      <c r="BG6" s="8"/>
    </row>
    <row r="7" spans="2:62" x14ac:dyDescent="0.25">
      <c r="B7">
        <v>4</v>
      </c>
      <c r="C7" s="3">
        <v>18881</v>
      </c>
      <c r="D7" s="3">
        <v>95</v>
      </c>
      <c r="E7" s="11">
        <f t="shared" si="0"/>
        <v>19435.905814656642</v>
      </c>
      <c r="F7" s="11">
        <f t="shared" si="1"/>
        <v>136.85750636132315</v>
      </c>
      <c r="G7" s="4">
        <f>Tabelle3[[#This Row],[Werkzeuge (€)]]/$S$24*$G$24</f>
        <v>21920.78875461033</v>
      </c>
      <c r="H7" s="4">
        <f>Tabelle3[[#This Row],[Werkzeuge (Backer)]]/$T$24*$H$24</f>
        <v>113.37169312169313</v>
      </c>
      <c r="I7" s="11">
        <f>Tabelle3[[#This Row],[Mythos (€)]]/$U$24*$I$24</f>
        <v>26153.174071964302</v>
      </c>
      <c r="J7" s="11">
        <f>Tabelle3[[#This Row],[Mythos (Backer)]]/$V$24*$J$24</f>
        <v>157.55719643694326</v>
      </c>
      <c r="K7" s="4">
        <f>Tabelle3[[#This Row],[DSK (€)]]/$W$24*$I$24</f>
        <v>24137.623639680951</v>
      </c>
      <c r="L7" s="4">
        <f>Tabelle3[[#This Row],[DSK (Backer)]]/$X$24*$L$24</f>
        <v>139.64634146341464</v>
      </c>
      <c r="M7" s="4">
        <f>Tabelle3[[#This Row],[Mythen (€)]]/$Y$24*$M$24</f>
        <v>21005.875268052576</v>
      </c>
      <c r="N7" s="4">
        <f>Tabelle3[[#This Row],[Mythen (Backer)]]/$Z$24*$N$24</f>
        <v>124.52822580645162</v>
      </c>
      <c r="O7" s="4">
        <f>Tabelle3[[#This Row],[SOK (€)]]/$AA$24*$M$24</f>
        <v>33260.328193722096</v>
      </c>
      <c r="P7" s="4">
        <f>Tabelle3[[#This Row],[SOK (Backer)]]/$AB$24*$N$24</f>
        <v>185.80348557692307</v>
      </c>
      <c r="Q7" s="10">
        <f t="shared" si="2"/>
        <v>83000</v>
      </c>
      <c r="R7" s="10">
        <f t="shared" si="3"/>
        <v>620</v>
      </c>
      <c r="S7" s="3">
        <v>59963</v>
      </c>
      <c r="T7" s="3">
        <v>247</v>
      </c>
      <c r="U7" s="10">
        <f>U6+($U$24-$U$6)/18</f>
        <v>50076.333333333336</v>
      </c>
      <c r="V7" s="10">
        <f>V6+($V$24-$V$6)/18</f>
        <v>322.83333333333331</v>
      </c>
      <c r="W7" s="3">
        <v>47957</v>
      </c>
      <c r="X7" s="3">
        <v>264</v>
      </c>
      <c r="Y7" s="3">
        <v>30324</v>
      </c>
      <c r="Z7" s="3">
        <v>178</v>
      </c>
      <c r="AA7" s="3">
        <v>127604</v>
      </c>
      <c r="AB7" s="3">
        <v>891</v>
      </c>
      <c r="AC7" s="240">
        <f>'AVENTURIA - Stories &amp; Legends'!BJ103</f>
        <v>123834</v>
      </c>
      <c r="AD7" s="240">
        <f>'AVENTURIA - Stories &amp; Legends'!BK103</f>
        <v>520</v>
      </c>
      <c r="AE7" s="240">
        <v>117325</v>
      </c>
      <c r="AF7" s="240">
        <v>486</v>
      </c>
      <c r="AG7" s="240">
        <f>'AVENTURIA - Stories &amp; Legends'!AC103</f>
        <v>40877.804020100506</v>
      </c>
      <c r="AH7" s="240">
        <f>'AVENTURIA - Stories &amp; Legends'!AD103</f>
        <v>213</v>
      </c>
      <c r="AI7" s="9">
        <f>Tabelle3[[#This Row],[Nedime (€)]]/C$24</f>
        <v>0.30284706071056222</v>
      </c>
      <c r="AJ7" s="9">
        <f>Tabelle3[[#This Row],[Nedime (Backer)]]/D$24</f>
        <v>0.2737752161383285</v>
      </c>
      <c r="AK7" s="9"/>
      <c r="AL7" s="9"/>
      <c r="AM7" s="9">
        <f>Tabelle3[[#This Row],[Werkzeuge (€)]]/S$24</f>
        <v>0.35160459948047684</v>
      </c>
      <c r="AN7" s="9">
        <f>Tabelle3[[#This Row],[Werkzeuge (Backer)]]/T$24</f>
        <v>0.32671957671957674</v>
      </c>
      <c r="AO7" s="9"/>
      <c r="AP7" s="9"/>
      <c r="AR7" s="25" t="s">
        <v>42</v>
      </c>
      <c r="AS7" s="31" t="s">
        <v>42</v>
      </c>
      <c r="AT7" s="32" t="s">
        <v>42</v>
      </c>
      <c r="AU7" s="31" t="s">
        <v>42</v>
      </c>
      <c r="AV7" s="32" t="s">
        <v>42</v>
      </c>
      <c r="AW7" s="31" t="s">
        <v>42</v>
      </c>
      <c r="AX7" s="32" t="s">
        <v>42</v>
      </c>
      <c r="AY7" s="26" t="s">
        <v>42</v>
      </c>
      <c r="AZ7" s="32" t="s">
        <v>42</v>
      </c>
      <c r="BA7" s="26" t="s">
        <v>42</v>
      </c>
      <c r="BB7" s="32" t="s">
        <v>42</v>
      </c>
      <c r="BC7" s="26" t="s">
        <v>42</v>
      </c>
      <c r="BD7" s="32" t="s">
        <v>42</v>
      </c>
      <c r="BE7" s="26" t="s">
        <v>42</v>
      </c>
      <c r="BF7" s="32" t="s">
        <v>42</v>
      </c>
      <c r="BG7" s="26" t="s">
        <v>42</v>
      </c>
      <c r="BI7" t="s">
        <v>8</v>
      </c>
      <c r="BJ7" t="s">
        <v>76</v>
      </c>
    </row>
    <row r="8" spans="2:62" x14ac:dyDescent="0.25">
      <c r="B8">
        <v>5</v>
      </c>
      <c r="C8" s="3">
        <v>21886</v>
      </c>
      <c r="D8" s="3">
        <v>111</v>
      </c>
      <c r="E8" s="11">
        <f t="shared" si="0"/>
        <v>20840.911054270375</v>
      </c>
      <c r="F8" s="11">
        <f t="shared" si="1"/>
        <v>145.68702290076334</v>
      </c>
      <c r="G8" s="4">
        <f>Tabelle3[[#This Row],[Werkzeuge (€)]]/$S$24*$G$24</f>
        <v>23073.071431503275</v>
      </c>
      <c r="H8" s="4">
        <f>Tabelle3[[#This Row],[Werkzeuge (Backer)]]/$T$24*$H$24</f>
        <v>121.17460317460316</v>
      </c>
      <c r="I8" s="11">
        <f>Tabelle3[[#This Row],[Mythos (€)]]/$U$24*$I$24</f>
        <v>28282.10500890758</v>
      </c>
      <c r="J8" s="11">
        <f>Tabelle3[[#This Row],[Mythos (Backer)]]/$V$24*$J$24</f>
        <v>168.70089076418188</v>
      </c>
      <c r="K8" s="4">
        <f>Tabelle3[[#This Row],[DSK (€)]]/$W$24*$I$24</f>
        <v>25549.934083056156</v>
      </c>
      <c r="L8" s="4">
        <f>Tabelle3[[#This Row],[DSK (Backer)]]/$X$24*$L$24</f>
        <v>148.10975609756096</v>
      </c>
      <c r="M8" s="4">
        <f>Tabelle3[[#This Row],[Mythen (€)]]/$Y$24*$M$24</f>
        <v>22597.040532882966</v>
      </c>
      <c r="N8" s="4">
        <f>Tabelle3[[#This Row],[Mythen (Backer)]]/$Z$24*$N$24</f>
        <v>133.62298387096774</v>
      </c>
      <c r="O8" s="4">
        <f>Tabelle3[[#This Row],[SOK (€)]]/$AA$24*$M$24</f>
        <v>34216.923633292638</v>
      </c>
      <c r="P8" s="4">
        <f>Tabelle3[[#This Row],[SOK (Backer)]]/$AB$24*$N$24</f>
        <v>191.43389423076923</v>
      </c>
      <c r="Q8" s="10">
        <f t="shared" si="2"/>
        <v>89000</v>
      </c>
      <c r="R8" s="10">
        <f t="shared" si="3"/>
        <v>660</v>
      </c>
      <c r="S8" s="3">
        <v>63115</v>
      </c>
      <c r="T8" s="3">
        <v>264</v>
      </c>
      <c r="U8" s="10">
        <f t="shared" ref="U8:U23" si="4">U7+($U$24-$U$6)/18</f>
        <v>54152.666666666672</v>
      </c>
      <c r="V8" s="10">
        <f t="shared" ref="V8:V23" si="5">V7+($V$24-$V$6)/18</f>
        <v>345.66666666666663</v>
      </c>
      <c r="W8" s="3">
        <v>50763</v>
      </c>
      <c r="X8" s="3">
        <v>280</v>
      </c>
      <c r="Y8" s="3">
        <v>32621</v>
      </c>
      <c r="Z8" s="3">
        <v>191</v>
      </c>
      <c r="AA8" s="3">
        <v>131274</v>
      </c>
      <c r="AB8" s="3">
        <v>918</v>
      </c>
      <c r="AC8" s="240">
        <f>'AVENTURIA - Stories &amp; Legends'!BJ104</f>
        <v>132002</v>
      </c>
      <c r="AD8" s="240">
        <f>'AVENTURIA - Stories &amp; Legends'!BK104</f>
        <v>564</v>
      </c>
      <c r="AE8" s="240">
        <v>120368</v>
      </c>
      <c r="AF8" s="240">
        <v>497</v>
      </c>
      <c r="AG8" s="240">
        <f>'AVENTURIA - Stories &amp; Legends'!AC104</f>
        <v>43564.608040201012</v>
      </c>
      <c r="AH8" s="240">
        <f>'AVENTURIA - Stories &amp; Legends'!AD104</f>
        <v>227</v>
      </c>
      <c r="AI8" s="9">
        <f>Tabelle3[[#This Row],[Nedime (€)]]/C$24</f>
        <v>0.35104659555698131</v>
      </c>
      <c r="AJ8" s="9">
        <f>Tabelle3[[#This Row],[Nedime (Backer)]]/D$24</f>
        <v>0.31988472622478387</v>
      </c>
      <c r="AK8" s="9"/>
      <c r="AL8" s="9"/>
      <c r="AM8" s="9">
        <f>Tabelle3[[#This Row],[Werkzeuge (€)]]/S$24</f>
        <v>0.37008695856128437</v>
      </c>
      <c r="AN8" s="9">
        <f>Tabelle3[[#This Row],[Werkzeuge (Backer)]]/T$24</f>
        <v>0.34920634920634919</v>
      </c>
      <c r="AO8" s="9"/>
      <c r="AP8" s="9"/>
      <c r="AR8" s="27" t="s">
        <v>65</v>
      </c>
      <c r="AS8" s="8" t="s">
        <v>66</v>
      </c>
      <c r="AT8" s="5" t="s">
        <v>63</v>
      </c>
      <c r="AU8" s="8" t="s">
        <v>64</v>
      </c>
      <c r="AV8" s="5" t="s">
        <v>103</v>
      </c>
      <c r="AW8" s="8" t="s">
        <v>104</v>
      </c>
      <c r="AX8" s="5" t="s">
        <v>71</v>
      </c>
      <c r="AY8" s="28" t="s">
        <v>72</v>
      </c>
      <c r="AZ8" s="5" t="s">
        <v>130</v>
      </c>
      <c r="BA8" s="28" t="s">
        <v>131</v>
      </c>
      <c r="BB8" s="5" t="s">
        <v>151</v>
      </c>
      <c r="BC8" s="28" t="s">
        <v>152</v>
      </c>
      <c r="BD8" s="5" t="s">
        <v>163</v>
      </c>
      <c r="BE8" s="28" t="s">
        <v>164</v>
      </c>
      <c r="BF8" s="5" t="s">
        <v>171</v>
      </c>
      <c r="BG8" s="28" t="s">
        <v>172</v>
      </c>
      <c r="BH8" s="16" t="s">
        <v>74</v>
      </c>
      <c r="BI8" s="23">
        <f>MIN(AR9,AT9,AV9,AX9,AZ9,BB9,BD9,BF9)</f>
        <v>2.6654928400289744</v>
      </c>
      <c r="BJ8" s="23">
        <f>MIN(AS9,AU9,AW9,AY9,BA9,BC9,BE9,BG9)</f>
        <v>2.6623999999999999</v>
      </c>
    </row>
    <row r="9" spans="2:62" x14ac:dyDescent="0.25">
      <c r="B9">
        <v>6</v>
      </c>
      <c r="C9" s="3">
        <v>22571</v>
      </c>
      <c r="D9" s="3">
        <v>114.99999999999999</v>
      </c>
      <c r="E9" s="11">
        <f t="shared" si="0"/>
        <v>22245.916293884107</v>
      </c>
      <c r="F9" s="11">
        <f t="shared" si="1"/>
        <v>154.51653944020353</v>
      </c>
      <c r="G9" s="4">
        <f>Tabelle3[[#This Row],[Werkzeuge (€)]]/$S$24*$G$24</f>
        <v>23816.279135222616</v>
      </c>
      <c r="H9" s="4">
        <f>Tabelle3[[#This Row],[Werkzeuge (Backer)]]/$T$24*$H$24</f>
        <v>125.76455026455027</v>
      </c>
      <c r="I9" s="11">
        <f>Tabelle3[[#This Row],[Mythos (€)]]/$U$24*$I$24</f>
        <v>30411.035945850857</v>
      </c>
      <c r="J9" s="11">
        <f>Tabelle3[[#This Row],[Mythos (Backer)]]/$V$24*$J$24</f>
        <v>179.84458509142053</v>
      </c>
      <c r="K9" s="4">
        <f>Tabelle3[[#This Row],[DSK (€)]]/$W$24*$I$24</f>
        <v>27093.107218975038</v>
      </c>
      <c r="L9" s="4">
        <f>Tabelle3[[#This Row],[DSK (Backer)]]/$X$24*$L$24</f>
        <v>155.51524390243904</v>
      </c>
      <c r="M9" s="4">
        <f>Tabelle3[[#This Row],[Mythen (€)]]/$Y$24*$M$24</f>
        <v>25963.633126298595</v>
      </c>
      <c r="N9" s="4">
        <f>Tabelle3[[#This Row],[Mythen (Backer)]]/$Z$24*$N$24</f>
        <v>153.91129032258064</v>
      </c>
      <c r="O9" s="4">
        <f>Tabelle3[[#This Row],[SOK (€)]]/$AA$24*$M$24</f>
        <v>35342.682680569254</v>
      </c>
      <c r="P9" s="4">
        <f>Tabelle3[[#This Row],[SOK (Backer)]]/$AB$24*$N$24</f>
        <v>198.73257211538461</v>
      </c>
      <c r="Q9" s="10">
        <f t="shared" si="2"/>
        <v>95000</v>
      </c>
      <c r="R9" s="10">
        <f t="shared" si="3"/>
        <v>700</v>
      </c>
      <c r="S9" s="3">
        <v>65148</v>
      </c>
      <c r="T9" s="3">
        <v>274</v>
      </c>
      <c r="U9" s="10">
        <f t="shared" si="4"/>
        <v>58229.000000000007</v>
      </c>
      <c r="V9" s="10">
        <f t="shared" si="5"/>
        <v>368.49999999999994</v>
      </c>
      <c r="W9" s="3">
        <v>53829</v>
      </c>
      <c r="X9" s="3">
        <v>294</v>
      </c>
      <c r="Y9" s="3">
        <v>37481</v>
      </c>
      <c r="Z9" s="3">
        <v>220</v>
      </c>
      <c r="AA9" s="3">
        <v>135593</v>
      </c>
      <c r="AB9" s="3">
        <v>953</v>
      </c>
      <c r="AC9" s="240">
        <f>'AVENTURIA - Stories &amp; Legends'!BJ105</f>
        <v>150957</v>
      </c>
      <c r="AD9" s="240">
        <f>'AVENTURIA - Stories &amp; Legends'!BK105</f>
        <v>652</v>
      </c>
      <c r="AE9" s="240">
        <v>123198</v>
      </c>
      <c r="AF9" s="240">
        <v>508</v>
      </c>
      <c r="AG9" s="240">
        <f>'AVENTURIA - Stories &amp; Legends'!AC105</f>
        <v>45867.582914572871</v>
      </c>
      <c r="AH9" s="240">
        <f>'AVENTURIA - Stories &amp; Legends'!AD105</f>
        <v>239</v>
      </c>
      <c r="AI9" s="9">
        <f>Tabelle3[[#This Row],[Nedime (€)]]/C$24</f>
        <v>0.36203384393295374</v>
      </c>
      <c r="AJ9" s="9">
        <f>Tabelle3[[#This Row],[Nedime (Backer)]]/D$24</f>
        <v>0.33141210374639768</v>
      </c>
      <c r="AK9" s="9"/>
      <c r="AL9" s="9"/>
      <c r="AM9" s="9">
        <f>Tabelle3[[#This Row],[Werkzeuge (€)]]/S$24</f>
        <v>0.38200784562070117</v>
      </c>
      <c r="AN9" s="9">
        <f>Tabelle3[[#This Row],[Werkzeuge (Backer)]]/T$24</f>
        <v>0.36243386243386244</v>
      </c>
      <c r="AO9" s="9"/>
      <c r="AP9" s="9"/>
      <c r="AR9" s="27">
        <f>C24/C4</f>
        <v>4.2207704285424139</v>
      </c>
      <c r="AS9" s="8">
        <f>D24/D4</f>
        <v>4.7534246575342465</v>
      </c>
      <c r="AT9" s="5">
        <f>Q24/Q4</f>
        <v>4.0960153846153844</v>
      </c>
      <c r="AU9" s="8">
        <f>R24/R4</f>
        <v>3.1440000000000001</v>
      </c>
      <c r="AV9" s="5">
        <f>S24/S4</f>
        <v>3.9261689343186683</v>
      </c>
      <c r="AW9" s="8">
        <f>T24/T4</f>
        <v>4.2234636871508382</v>
      </c>
      <c r="AX9" s="19">
        <f t="shared" ref="AX9:BG9" si="6">W24/W4</f>
        <v>3.4027800670292843</v>
      </c>
      <c r="AY9" s="47">
        <f t="shared" si="6"/>
        <v>3.3641025641025641</v>
      </c>
      <c r="AZ9" s="19">
        <f t="shared" si="6"/>
        <v>4.589078115439527</v>
      </c>
      <c r="BA9" s="47">
        <f t="shared" si="6"/>
        <v>4.3130434782608695</v>
      </c>
      <c r="BB9" s="19">
        <f t="shared" si="6"/>
        <v>2.6654928400289744</v>
      </c>
      <c r="BC9" s="47">
        <f t="shared" si="6"/>
        <v>2.6623999999999999</v>
      </c>
      <c r="BD9" s="19">
        <f t="shared" si="6"/>
        <v>4.6915121857146298</v>
      </c>
      <c r="BE9" s="47">
        <f t="shared" si="6"/>
        <v>4.8563049853372435</v>
      </c>
      <c r="BF9" s="19">
        <f t="shared" si="6"/>
        <v>3.0300656500928516</v>
      </c>
      <c r="BG9" s="47">
        <f t="shared" si="6"/>
        <v>3.0662460567823344</v>
      </c>
      <c r="BH9" t="s">
        <v>75</v>
      </c>
      <c r="BI9" s="24">
        <f>MAX(AR9,AT9,AV9,AX9,AZ9,BB9,BD9,BF9)</f>
        <v>4.6915121857146298</v>
      </c>
      <c r="BJ9" s="24">
        <f>MAX(AS9,AU9,AW9,AY9,BA9,BC9,BE9,BG9)</f>
        <v>4.8563049853372435</v>
      </c>
    </row>
    <row r="10" spans="2:62" ht="15.75" thickBot="1" x14ac:dyDescent="0.3">
      <c r="B10">
        <v>7</v>
      </c>
      <c r="C10" s="3">
        <v>24180</v>
      </c>
      <c r="D10" s="3">
        <v>124</v>
      </c>
      <c r="E10" s="11">
        <f t="shared" si="0"/>
        <v>23650.92153349784</v>
      </c>
      <c r="F10" s="11">
        <f t="shared" si="1"/>
        <v>163.34605597964372</v>
      </c>
      <c r="G10" s="4">
        <f>Tabelle3[[#This Row],[Werkzeuge (€)]]/$S$24*$G$24</f>
        <v>25452.213456001784</v>
      </c>
      <c r="H10" s="4">
        <f>Tabelle3[[#This Row],[Werkzeuge (Backer)]]/$T$24*$H$24</f>
        <v>135.40343915343917</v>
      </c>
      <c r="I10" s="11">
        <f>Tabelle3[[#This Row],[Mythos (€)]]/$U$24*$I$24</f>
        <v>32539.966882794135</v>
      </c>
      <c r="J10" s="11">
        <f>Tabelle3[[#This Row],[Mythos (Backer)]]/$V$24*$J$24</f>
        <v>190.98827941865915</v>
      </c>
      <c r="K10" s="4">
        <f>Tabelle3[[#This Row],[DSK (€)]]/$W$24*$I$24</f>
        <v>28176.247658798078</v>
      </c>
      <c r="L10" s="4">
        <f>Tabelle3[[#This Row],[DSK (Backer)]]/$X$24*$L$24</f>
        <v>162.92073170731706</v>
      </c>
      <c r="M10" s="4">
        <f>Tabelle3[[#This Row],[Mythen (€)]]/$Y$24*$M$24</f>
        <v>27863.056354929391</v>
      </c>
      <c r="N10" s="4">
        <f>Tabelle3[[#This Row],[Mythen (Backer)]]/$Z$24*$N$24</f>
        <v>165.10483870967744</v>
      </c>
      <c r="O10" s="4">
        <f>Tabelle3[[#This Row],[SOK (€)]]/$AA$24*$M$24</f>
        <v>38393.361978861816</v>
      </c>
      <c r="P10" s="4">
        <f>Tabelle3[[#This Row],[SOK (Backer)]]/$AB$24*$N$24</f>
        <v>217.70913461538461</v>
      </c>
      <c r="Q10" s="10">
        <f t="shared" si="2"/>
        <v>101000</v>
      </c>
      <c r="R10" s="10">
        <f t="shared" si="3"/>
        <v>740</v>
      </c>
      <c r="S10" s="3">
        <v>69623</v>
      </c>
      <c r="T10" s="3">
        <v>295</v>
      </c>
      <c r="U10" s="10">
        <f t="shared" si="4"/>
        <v>62305.333333333343</v>
      </c>
      <c r="V10" s="10">
        <f t="shared" si="5"/>
        <v>391.33333333333326</v>
      </c>
      <c r="W10" s="3">
        <v>55981</v>
      </c>
      <c r="X10" s="3">
        <v>308</v>
      </c>
      <c r="Y10" s="3">
        <v>40223</v>
      </c>
      <c r="Z10" s="3">
        <v>236</v>
      </c>
      <c r="AA10" s="3">
        <v>147297</v>
      </c>
      <c r="AB10" s="3">
        <v>1044</v>
      </c>
      <c r="AC10" s="240">
        <f>'AVENTURIA - Stories &amp; Legends'!BJ106</f>
        <v>164491</v>
      </c>
      <c r="AD10" s="240">
        <f>'AVENTURIA - Stories &amp; Legends'!BK106</f>
        <v>709</v>
      </c>
      <c r="AE10" s="240">
        <v>126713</v>
      </c>
      <c r="AF10" s="240">
        <v>523</v>
      </c>
      <c r="AG10" s="3">
        <f>'AVENTURIA - Stories &amp; Legends'!AC106</f>
        <v>48192.379943194239</v>
      </c>
      <c r="AH10" s="3">
        <f>'AVENTURIA - Stories &amp; Legends'!AD106</f>
        <v>251</v>
      </c>
      <c r="AI10" s="9">
        <f>Tabelle3[[#This Row],[Nedime (€)]]/C$24</f>
        <v>0.38784184778250058</v>
      </c>
      <c r="AJ10" s="9">
        <f>Tabelle3[[#This Row],[Nedime (Backer)]]/D$24</f>
        <v>0.35734870317002881</v>
      </c>
      <c r="AK10" s="9"/>
      <c r="AL10" s="9"/>
      <c r="AM10" s="9">
        <f>Tabelle3[[#This Row],[Werkzeuge (€)]]/S$24</f>
        <v>0.40824787001366242</v>
      </c>
      <c r="AN10" s="9">
        <f>Tabelle3[[#This Row],[Werkzeuge (Backer)]]/T$24</f>
        <v>0.39021164021164023</v>
      </c>
      <c r="AO10" s="9"/>
      <c r="AP10" s="9"/>
      <c r="AR10" s="29"/>
      <c r="AS10" s="33">
        <f>AR9-AS9</f>
        <v>-0.53265422899183257</v>
      </c>
      <c r="AT10" s="34"/>
      <c r="AU10" s="33">
        <f>AT9-AU9</f>
        <v>0.95201538461538426</v>
      </c>
      <c r="AV10" s="34"/>
      <c r="AW10" s="33">
        <f>AV9-AW9</f>
        <v>-0.29729475283216988</v>
      </c>
      <c r="AX10" s="34"/>
      <c r="AY10" s="30">
        <f>AX9-AY9</f>
        <v>3.867750292672012E-2</v>
      </c>
      <c r="AZ10" s="34"/>
      <c r="BA10" s="30">
        <f>AZ9-BA9</f>
        <v>0.2760346371786575</v>
      </c>
      <c r="BB10" s="34"/>
      <c r="BC10" s="30">
        <f>BB9-BC9</f>
        <v>3.0928400289744751E-3</v>
      </c>
      <c r="BD10" s="34"/>
      <c r="BE10" s="30">
        <f>BD9-BE9</f>
        <v>-0.16479279962261373</v>
      </c>
      <c r="BF10" s="34"/>
      <c r="BG10" s="30">
        <f>BF9-BG9</f>
        <v>-3.6180406689482858E-2</v>
      </c>
    </row>
    <row r="11" spans="2:62" ht="15.75" thickBot="1" x14ac:dyDescent="0.3">
      <c r="B11">
        <v>8</v>
      </c>
      <c r="C11" s="3">
        <v>26679</v>
      </c>
      <c r="D11" s="3">
        <v>136</v>
      </c>
      <c r="E11" s="11">
        <f t="shared" si="0"/>
        <v>25055.926773111572</v>
      </c>
      <c r="F11" s="11">
        <f t="shared" si="1"/>
        <v>172.17557251908391</v>
      </c>
      <c r="G11" s="4">
        <f>Tabelle3[[#This Row],[Werkzeuge (€)]]/$S$24*$G$24</f>
        <v>26607.420708216792</v>
      </c>
      <c r="H11" s="4">
        <f>Tabelle3[[#This Row],[Werkzeuge (Backer)]]/$T$24*$H$24</f>
        <v>141.37037037037035</v>
      </c>
      <c r="I11" s="11">
        <f>Tabelle3[[#This Row],[Mythos (€)]]/$U$24*$I$24</f>
        <v>34668.897819737409</v>
      </c>
      <c r="J11" s="11">
        <f>Tabelle3[[#This Row],[Mythos (Backer)]]/$V$24*$J$24</f>
        <v>202.13197374589777</v>
      </c>
      <c r="K11" s="4">
        <f>Tabelle3[[#This Row],[DSK (€)]]/$W$24*$I$24</f>
        <v>29592.58464655924</v>
      </c>
      <c r="L11" s="4">
        <f>Tabelle3[[#This Row],[DSK (Backer)]]/$X$24*$L$24</f>
        <v>171.91310975609755</v>
      </c>
      <c r="M11" s="4">
        <f>Tabelle3[[#This Row],[Mythen (€)]]/$Y$24*$M$24</f>
        <v>30317.343918400908</v>
      </c>
      <c r="N11" s="4">
        <f>Tabelle3[[#This Row],[Mythen (Backer)]]/$Z$24*$N$24</f>
        <v>176.99798387096777</v>
      </c>
      <c r="O11" s="4">
        <f>Tabelle3[[#This Row],[SOK (€)]]/$AA$24*$M$24</f>
        <v>40180.657599879589</v>
      </c>
      <c r="P11" s="4">
        <f>Tabelle3[[#This Row],[SOK (Backer)]]/$AB$24*$N$24</f>
        <v>226.05048076923077</v>
      </c>
      <c r="Q11" s="10">
        <f t="shared" si="2"/>
        <v>107000</v>
      </c>
      <c r="R11" s="10">
        <f t="shared" si="3"/>
        <v>780</v>
      </c>
      <c r="S11" s="3">
        <v>72783</v>
      </c>
      <c r="T11" s="3">
        <v>308</v>
      </c>
      <c r="U11" s="10">
        <f t="shared" si="4"/>
        <v>66381.666666666672</v>
      </c>
      <c r="V11" s="10">
        <f t="shared" si="5"/>
        <v>414.16666666666657</v>
      </c>
      <c r="W11" s="3">
        <v>58795</v>
      </c>
      <c r="X11" s="3">
        <v>325</v>
      </c>
      <c r="Y11" s="3">
        <v>43766</v>
      </c>
      <c r="Z11" s="3">
        <v>253</v>
      </c>
      <c r="AA11" s="3">
        <v>154154</v>
      </c>
      <c r="AB11" s="3">
        <v>1084</v>
      </c>
      <c r="AC11" s="240">
        <f>'AVENTURIA - Stories &amp; Legends'!BJ107</f>
        <v>182858</v>
      </c>
      <c r="AD11" s="240">
        <f>'AVENTURIA - Stories &amp; Legends'!BK107</f>
        <v>792</v>
      </c>
      <c r="AE11" s="240">
        <v>130050</v>
      </c>
      <c r="AF11" s="240">
        <v>539</v>
      </c>
      <c r="AG11" s="3">
        <f>'AVENTURIA - Stories &amp; Legends'!AC107</f>
        <v>52248.006244034827</v>
      </c>
      <c r="AH11" s="3">
        <f>'AVENTURIA - Stories &amp; Legends'!AD107</f>
        <v>266</v>
      </c>
      <c r="AI11" s="9">
        <f>Tabelle3[[#This Row],[Nedime (€)]]/C$24</f>
        <v>0.42792525463148606</v>
      </c>
      <c r="AJ11" s="9">
        <f>Tabelle3[[#This Row],[Nedime (Backer)]]/D$24</f>
        <v>0.39193083573487031</v>
      </c>
      <c r="AK11" s="9"/>
      <c r="AL11" s="9"/>
      <c r="AM11" s="9">
        <f>Tabelle3[[#This Row],[Werkzeuge (€)]]/S$24</f>
        <v>0.42677713863528416</v>
      </c>
      <c r="AN11" s="9">
        <f>Tabelle3[[#This Row],[Werkzeuge (Backer)]]/T$24</f>
        <v>0.40740740740740738</v>
      </c>
      <c r="AO11" s="9"/>
      <c r="AP11" s="9"/>
    </row>
    <row r="12" spans="2:62" x14ac:dyDescent="0.25">
      <c r="B12">
        <v>9</v>
      </c>
      <c r="C12" s="3">
        <v>27868</v>
      </c>
      <c r="D12" s="3">
        <v>142</v>
      </c>
      <c r="E12" s="11">
        <f t="shared" si="0"/>
        <v>26460.932012725305</v>
      </c>
      <c r="F12" s="11">
        <f t="shared" si="1"/>
        <v>181.00508905852411</v>
      </c>
      <c r="G12" s="4">
        <f>Tabelle3[[#This Row],[Werkzeuge (€)]]/$S$24*$G$24</f>
        <v>28001.711993010478</v>
      </c>
      <c r="H12" s="4">
        <f>Tabelle3[[#This Row],[Werkzeuge (Backer)]]/$T$24*$H$24</f>
        <v>151.00925925925927</v>
      </c>
      <c r="I12" s="11">
        <f>Tabelle3[[#This Row],[Mythos (€)]]/$U$24*$I$24</f>
        <v>36797.828756680683</v>
      </c>
      <c r="J12" s="11">
        <f>Tabelle3[[#This Row],[Mythos (Backer)]]/$V$24*$J$24</f>
        <v>213.27566807313639</v>
      </c>
      <c r="K12" s="4">
        <f>Tabelle3[[#This Row],[DSK (€)]]/$W$24*$I$24</f>
        <v>31860.032453902542</v>
      </c>
      <c r="L12" s="4">
        <f>Tabelle3[[#This Row],[DSK (Backer)]]/$X$24*$L$24</f>
        <v>185.13719512195124</v>
      </c>
      <c r="M12" s="4">
        <f>Tabelle3[[#This Row],[Mythen (€)]]/$Y$24*$M$24</f>
        <v>31844.779446895034</v>
      </c>
      <c r="N12" s="4">
        <f>Tabelle3[[#This Row],[Mythen (Backer)]]/$Z$24*$N$24</f>
        <v>186.79233870967744</v>
      </c>
      <c r="O12" s="4">
        <f>Tabelle3[[#This Row],[SOK (€)]]/$AA$24*$M$24</f>
        <v>41350.466954863958</v>
      </c>
      <c r="P12" s="4">
        <f>Tabelle3[[#This Row],[SOK (Backer)]]/$AB$24*$N$24</f>
        <v>231.88942307692307</v>
      </c>
      <c r="Q12" s="10">
        <f t="shared" si="2"/>
        <v>113000</v>
      </c>
      <c r="R12" s="10">
        <f t="shared" si="3"/>
        <v>820</v>
      </c>
      <c r="S12" s="3">
        <v>76597</v>
      </c>
      <c r="T12" s="3">
        <v>329</v>
      </c>
      <c r="U12" s="10">
        <f t="shared" si="4"/>
        <v>70458</v>
      </c>
      <c r="V12" s="10">
        <f t="shared" si="5"/>
        <v>436.99999999999989</v>
      </c>
      <c r="W12" s="3">
        <v>63300</v>
      </c>
      <c r="X12" s="3">
        <v>350</v>
      </c>
      <c r="Y12" s="3">
        <v>45971</v>
      </c>
      <c r="Z12" s="3">
        <v>267</v>
      </c>
      <c r="AA12" s="3">
        <v>158642</v>
      </c>
      <c r="AB12" s="3">
        <v>1112</v>
      </c>
      <c r="AC12" s="240">
        <f>'AVENTURIA - Stories &amp; Legends'!BJ108</f>
        <v>195000</v>
      </c>
      <c r="AD12" s="240">
        <f>'AVENTURIA - Stories &amp; Legends'!BK108</f>
        <v>851</v>
      </c>
      <c r="AE12" s="240">
        <v>133215</v>
      </c>
      <c r="AF12" s="240">
        <v>551</v>
      </c>
      <c r="AG12" s="3">
        <f>'AVENTURIA - Stories &amp; Legends'!AC108</f>
        <v>56653.933574254697</v>
      </c>
      <c r="AH12" s="3">
        <f>'AVENTURIA - Stories &amp; Legends'!AD108</f>
        <v>287</v>
      </c>
      <c r="AI12" s="9">
        <f>Tabelle3[[#This Row],[Nedime (€)]]/C$24</f>
        <v>0.44699655144759004</v>
      </c>
      <c r="AJ12" s="9">
        <f>Tabelle3[[#This Row],[Nedime (Backer)]]/D$24</f>
        <v>0.40922190201729108</v>
      </c>
      <c r="AK12" s="9"/>
      <c r="AL12" s="9"/>
      <c r="AM12" s="9">
        <f>Tabelle3[[#This Row],[Werkzeuge (€)]]/S$24</f>
        <v>0.44914126221846945</v>
      </c>
      <c r="AN12" s="9">
        <f>Tabelle3[[#This Row],[Werkzeuge (Backer)]]/T$24</f>
        <v>0.43518518518518517</v>
      </c>
      <c r="AO12" s="9"/>
      <c r="AP12" s="9"/>
      <c r="AR12" s="25" t="s">
        <v>73</v>
      </c>
      <c r="AS12" s="31" t="s">
        <v>73</v>
      </c>
      <c r="AT12" s="52"/>
      <c r="AU12" s="53"/>
      <c r="AV12" s="48" t="s">
        <v>73</v>
      </c>
      <c r="AW12" s="49" t="s">
        <v>73</v>
      </c>
      <c r="AX12" s="32" t="s">
        <v>73</v>
      </c>
      <c r="AY12" s="26" t="s">
        <v>73</v>
      </c>
      <c r="AZ12" s="32" t="s">
        <v>73</v>
      </c>
      <c r="BA12" s="26" t="s">
        <v>73</v>
      </c>
      <c r="BB12" s="32" t="s">
        <v>73</v>
      </c>
      <c r="BC12" s="26" t="s">
        <v>73</v>
      </c>
      <c r="BD12" s="32" t="s">
        <v>73</v>
      </c>
      <c r="BE12" s="26" t="s">
        <v>73</v>
      </c>
      <c r="BF12" s="32" t="s">
        <v>73</v>
      </c>
      <c r="BG12" s="26" t="s">
        <v>73</v>
      </c>
    </row>
    <row r="13" spans="2:62" x14ac:dyDescent="0.25">
      <c r="B13">
        <v>10</v>
      </c>
      <c r="C13" s="3">
        <v>31587</v>
      </c>
      <c r="D13" s="3">
        <v>161</v>
      </c>
      <c r="E13" s="11">
        <f t="shared" si="0"/>
        <v>27865.937252339038</v>
      </c>
      <c r="F13" s="11">
        <f t="shared" si="1"/>
        <v>189.8346055979643</v>
      </c>
      <c r="G13" s="4">
        <f>Tabelle3[[#This Row],[Werkzeuge (€)]]/$S$24*$G$24</f>
        <v>29730.867152180414</v>
      </c>
      <c r="H13" s="4">
        <f>Tabelle3[[#This Row],[Werkzeuge (Backer)]]/$T$24*$H$24</f>
        <v>160.64814814814815</v>
      </c>
      <c r="I13" s="11">
        <f>Tabelle3[[#This Row],[Mythos (€)]]/$U$24*$I$24</f>
        <v>38926.759693623957</v>
      </c>
      <c r="J13" s="11">
        <f>Tabelle3[[#This Row],[Mythos (Backer)]]/$V$24*$J$24</f>
        <v>224.41936240037501</v>
      </c>
      <c r="K13" s="4">
        <f>Tabelle3[[#This Row],[DSK (€)]]/$W$24*$I$24</f>
        <v>33546.147915522975</v>
      </c>
      <c r="L13" s="4">
        <f>Tabelle3[[#This Row],[DSK (Backer)]]/$X$24*$L$24</f>
        <v>195.1875</v>
      </c>
      <c r="M13" s="4">
        <f>Tabelle3[[#This Row],[Mythen (€)]]/$Y$24*$M$24</f>
        <v>33841.182709081011</v>
      </c>
      <c r="N13" s="4">
        <f>Tabelle3[[#This Row],[Mythen (Backer)]]/$Z$24*$N$24</f>
        <v>197.28629032258067</v>
      </c>
      <c r="O13" s="4">
        <f>Tabelle3[[#This Row],[SOK (€)]]/$AA$24*$M$24</f>
        <v>42536.958083181431</v>
      </c>
      <c r="P13" s="4">
        <f>Tabelle3[[#This Row],[SOK (Backer)]]/$AB$24*$N$24</f>
        <v>237.72836538461539</v>
      </c>
      <c r="Q13" s="10">
        <f t="shared" si="2"/>
        <v>119000</v>
      </c>
      <c r="R13" s="10">
        <f t="shared" si="3"/>
        <v>860</v>
      </c>
      <c r="S13" s="3">
        <v>81327</v>
      </c>
      <c r="T13" s="3">
        <v>350</v>
      </c>
      <c r="U13" s="10">
        <f t="shared" si="4"/>
        <v>74534.333333333328</v>
      </c>
      <c r="V13" s="10">
        <f t="shared" si="5"/>
        <v>459.8333333333332</v>
      </c>
      <c r="W13" s="3">
        <v>66650</v>
      </c>
      <c r="X13" s="3">
        <v>369</v>
      </c>
      <c r="Y13" s="3">
        <v>48853</v>
      </c>
      <c r="Z13" s="3">
        <v>282</v>
      </c>
      <c r="AA13" s="3">
        <v>163194</v>
      </c>
      <c r="AB13" s="3">
        <v>1140</v>
      </c>
      <c r="AC13" s="240">
        <f>'AVENTURIA - Stories &amp; Legends'!BJ109</f>
        <v>203877</v>
      </c>
      <c r="AD13" s="240">
        <f>'AVENTURIA - Stories &amp; Legends'!BK109</f>
        <v>893</v>
      </c>
      <c r="AE13" s="240">
        <v>136715</v>
      </c>
      <c r="AF13" s="240">
        <v>565</v>
      </c>
      <c r="AG13" s="3">
        <f>'AVENTURIA - Stories &amp; Legends'!AC109</f>
        <v>60064.988612990739</v>
      </c>
      <c r="AH13" s="3">
        <f>'AVENTURIA - Stories &amp; Legends'!AD109</f>
        <v>303</v>
      </c>
      <c r="AI13" s="9">
        <f>Tabelle3[[#This Row],[Nedime (€)]]/C$24</f>
        <v>0.50664848825086217</v>
      </c>
      <c r="AJ13" s="9">
        <f>Tabelle3[[#This Row],[Nedime (Backer)]]/D$24</f>
        <v>0.46397694524495675</v>
      </c>
      <c r="AK13" s="9"/>
      <c r="AL13" s="9"/>
      <c r="AM13" s="9">
        <f>Tabelle3[[#This Row],[Werkzeuge (€)]]/S$24</f>
        <v>0.47687652822488436</v>
      </c>
      <c r="AN13" s="9">
        <f>Tabelle3[[#This Row],[Werkzeuge (Backer)]]/T$24</f>
        <v>0.46296296296296297</v>
      </c>
      <c r="AO13" s="9"/>
      <c r="AP13" s="9"/>
      <c r="AR13" s="27" t="s">
        <v>65</v>
      </c>
      <c r="AS13" s="8" t="s">
        <v>66</v>
      </c>
      <c r="AT13" s="46"/>
      <c r="AU13" s="54"/>
      <c r="AV13" s="5" t="s">
        <v>103</v>
      </c>
      <c r="AW13" s="8" t="s">
        <v>104</v>
      </c>
      <c r="AX13" s="5" t="s">
        <v>71</v>
      </c>
      <c r="AY13" s="28" t="s">
        <v>72</v>
      </c>
      <c r="AZ13" s="5" t="s">
        <v>130</v>
      </c>
      <c r="BA13" s="28" t="s">
        <v>131</v>
      </c>
      <c r="BB13" s="5" t="s">
        <v>151</v>
      </c>
      <c r="BC13" s="28" t="s">
        <v>152</v>
      </c>
      <c r="BD13" s="5" t="s">
        <v>163</v>
      </c>
      <c r="BE13" s="28" t="s">
        <v>164</v>
      </c>
      <c r="BF13" s="5" t="s">
        <v>171</v>
      </c>
      <c r="BG13" s="28" t="s">
        <v>172</v>
      </c>
      <c r="BH13" s="16" t="s">
        <v>74</v>
      </c>
      <c r="BI13" s="23">
        <f>MIN(AR14,AT14,AV14,AX14,AZ14,BB14,BD14,BF14)</f>
        <v>2.0980851381104006</v>
      </c>
      <c r="BJ13" s="23">
        <f>MIN(AS14,AU14,AW14,AY14,BA14,BC14,BE14,BG14)</f>
        <v>2.1089987325728772</v>
      </c>
    </row>
    <row r="14" spans="2:62" x14ac:dyDescent="0.25">
      <c r="B14">
        <v>11</v>
      </c>
      <c r="C14" s="3">
        <v>34703</v>
      </c>
      <c r="D14" s="3">
        <v>178</v>
      </c>
      <c r="E14" s="4">
        <f>Tabelle3[[#This Row],[Thorwal (€)]]/Q24*E24</f>
        <v>29270.942491952781</v>
      </c>
      <c r="F14" s="4">
        <f>Tabelle3[[#This Row],[Thorwal (Backer)]]/R24*F24</f>
        <v>198.66412213740458</v>
      </c>
      <c r="G14" s="4">
        <f>Tabelle3[[#This Row],[Werkzeuge (€)]]/$S$24*$G$24</f>
        <v>30365.134425152894</v>
      </c>
      <c r="H14" s="4">
        <f>Tabelle3[[#This Row],[Werkzeuge (Backer)]]/$T$24*$H$24</f>
        <v>163.40211640211641</v>
      </c>
      <c r="I14" s="11">
        <f>Tabelle3[[#This Row],[Mythos (€)]]/$U$24*$I$24</f>
        <v>41055.690630567231</v>
      </c>
      <c r="J14" s="11">
        <f>Tabelle3[[#This Row],[Mythos (Backer)]]/$V$24*$J$24</f>
        <v>235.56305672761363</v>
      </c>
      <c r="K14" s="4">
        <f>Tabelle3[[#This Row],[DSK (€)]]/$W$24*$I$24</f>
        <v>35065.161785126103</v>
      </c>
      <c r="L14" s="4">
        <f>Tabelle3[[#This Row],[DSK (Backer)]]/$X$24*$L$24</f>
        <v>204.17987804878047</v>
      </c>
      <c r="M14" s="4">
        <f>Tabelle3[[#This Row],[Mythen (€)]]/$Y$24*$M$24</f>
        <v>34832.457194920054</v>
      </c>
      <c r="N14" s="4">
        <f>Tabelle3[[#This Row],[Mythen (Backer)]]/$Z$24*$N$24</f>
        <v>203.58266129032256</v>
      </c>
      <c r="O14" s="4">
        <f>Tabelle3[[#This Row],[SOK (€)]]/$AA$24*$M$24</f>
        <v>43373.913929628579</v>
      </c>
      <c r="P14" s="4">
        <f>Tabelle3[[#This Row],[SOK (Backer)]]/$AB$24*$N$24</f>
        <v>242.52463942307693</v>
      </c>
      <c r="Q14" s="3">
        <v>125000</v>
      </c>
      <c r="R14" s="3">
        <v>900</v>
      </c>
      <c r="S14" s="3">
        <v>83062</v>
      </c>
      <c r="T14" s="3">
        <v>356</v>
      </c>
      <c r="U14" s="10">
        <f t="shared" si="4"/>
        <v>78610.666666666657</v>
      </c>
      <c r="V14" s="10">
        <f t="shared" si="5"/>
        <v>482.66666666666652</v>
      </c>
      <c r="W14" s="3">
        <v>69668</v>
      </c>
      <c r="X14" s="3">
        <v>386</v>
      </c>
      <c r="Y14" s="3">
        <v>50284</v>
      </c>
      <c r="Z14" s="3">
        <v>291</v>
      </c>
      <c r="AA14" s="3">
        <v>166405</v>
      </c>
      <c r="AB14" s="3">
        <v>1163</v>
      </c>
      <c r="AC14" s="240">
        <f>'AVENTURIA - Stories &amp; Legends'!BJ110</f>
        <v>212794</v>
      </c>
      <c r="AD14" s="240">
        <f>'AVENTURIA - Stories &amp; Legends'!BK110</f>
        <v>935</v>
      </c>
      <c r="AE14" s="240">
        <v>139670</v>
      </c>
      <c r="AF14" s="240">
        <v>582</v>
      </c>
      <c r="AG14" s="3">
        <f>'AVENTURIA - Stories &amp; Legends'!AC110</f>
        <v>63321.642673409762</v>
      </c>
      <c r="AH14" s="3">
        <f>'AVENTURIA - Stories &amp; Legends'!AD110</f>
        <v>318</v>
      </c>
      <c r="AI14" s="9">
        <f>Tabelle3[[#This Row],[Nedime (€)]]/C$24</f>
        <v>0.55662843852754829</v>
      </c>
      <c r="AJ14" s="9">
        <f>Tabelle3[[#This Row],[Nedime (Backer)]]/D$24</f>
        <v>0.51296829971181557</v>
      </c>
      <c r="AK14" s="9">
        <f>Tabelle3[[#This Row],[Thorwal (€)]]/Q$24</f>
        <v>0.46949943847867159</v>
      </c>
      <c r="AL14" s="9">
        <f>Tabelle3[[#This Row],[Thorwal (Backer)]]/R$24</f>
        <v>0.5725190839694656</v>
      </c>
      <c r="AM14" s="9">
        <f>Tabelle3[[#This Row],[Werkzeuge (€)]]/S$24</f>
        <v>0.48705003488897097</v>
      </c>
      <c r="AN14" s="9">
        <f>Tabelle3[[#This Row],[Werkzeuge (Backer)]]/T$24</f>
        <v>0.47089947089947087</v>
      </c>
      <c r="AO14" s="9"/>
      <c r="AP14" s="9"/>
      <c r="AR14" s="27">
        <f>C24/C5</f>
        <v>3.7189811500835122</v>
      </c>
      <c r="AS14" s="8">
        <f>D24/D5</f>
        <v>4.2317073170731705</v>
      </c>
      <c r="AT14" s="46"/>
      <c r="AU14" s="54"/>
      <c r="AV14" s="19">
        <f>S24/S5</f>
        <v>3.4437421751948629</v>
      </c>
      <c r="AW14" s="20">
        <f>T24/T5</f>
        <v>3.6699029126213594</v>
      </c>
      <c r="AX14" s="19">
        <f t="shared" ref="AX14:BG14" si="7">W24/W5</f>
        <v>2.903678004641459</v>
      </c>
      <c r="AY14" s="47">
        <f t="shared" si="7"/>
        <v>2.8154506437768241</v>
      </c>
      <c r="AZ14" s="19">
        <f t="shared" si="7"/>
        <v>3.6687184086091635</v>
      </c>
      <c r="BA14" s="47">
        <f t="shared" si="7"/>
        <v>3.420689655172414</v>
      </c>
      <c r="BB14" s="19">
        <f t="shared" si="7"/>
        <v>2.0980851381104006</v>
      </c>
      <c r="BC14" s="47">
        <f t="shared" si="7"/>
        <v>2.1089987325728772</v>
      </c>
      <c r="BD14" s="19">
        <f t="shared" si="7"/>
        <v>4.0407358192841123</v>
      </c>
      <c r="BE14" s="47">
        <f t="shared" si="7"/>
        <v>4.0990099009900991</v>
      </c>
      <c r="BF14" s="19">
        <f t="shared" si="7"/>
        <v>2.3124145433496013</v>
      </c>
      <c r="BG14" s="47">
        <f t="shared" si="7"/>
        <v>2.3309352517985613</v>
      </c>
      <c r="BH14" t="s">
        <v>75</v>
      </c>
      <c r="BI14" s="24">
        <f>MAX(AR14,AT14,AV14,AX14,AZ14,BB14,BD14,BF14)</f>
        <v>4.0407358192841123</v>
      </c>
      <c r="BJ14" s="24">
        <f>MAX(AS14,AU14,AW14,AY14,BA14,BC14,BE14,BG14)</f>
        <v>4.2317073170731705</v>
      </c>
    </row>
    <row r="15" spans="2:62" ht="15.75" thickBot="1" x14ac:dyDescent="0.3">
      <c r="B15">
        <v>12</v>
      </c>
      <c r="C15" s="3">
        <v>36986</v>
      </c>
      <c r="D15" s="3">
        <v>193</v>
      </c>
      <c r="E15" s="11">
        <f>E14+($E$24-$E$14)/10</f>
        <v>32578.348242757504</v>
      </c>
      <c r="F15" s="11">
        <f>F14+($F$24-$F$14)/10</f>
        <v>213.4977099236641</v>
      </c>
      <c r="G15" s="4">
        <f>Tabelle3[[#This Row],[Werkzeuge (€)]]/$S$24*$G$24</f>
        <v>31495.482787130364</v>
      </c>
      <c r="H15" s="4">
        <f>Tabelle3[[#This Row],[Werkzeuge (Backer)]]/$T$24*$H$24</f>
        <v>170.28703703703704</v>
      </c>
      <c r="I15" s="11">
        <f>Tabelle3[[#This Row],[Mythos (€)]]/$U$24*$I$24</f>
        <v>43184.621567510505</v>
      </c>
      <c r="J15" s="11">
        <f>Tabelle3[[#This Row],[Mythos (Backer)]]/$V$24*$J$24</f>
        <v>246.70675105485225</v>
      </c>
      <c r="K15" s="4">
        <f>Tabelle3[[#This Row],[DSK (€)]]/$W$24*$I$24</f>
        <v>35879.530387186358</v>
      </c>
      <c r="L15" s="4">
        <f>Tabelle3[[#This Row],[DSK (Backer)]]/$X$24*$L$24</f>
        <v>208.94054878048783</v>
      </c>
      <c r="M15" s="4">
        <f>Tabelle3[[#This Row],[Mythen (€)]]/$Y$24*$M$24</f>
        <v>37557.596137820692</v>
      </c>
      <c r="N15" s="4">
        <f>Tabelle3[[#This Row],[Mythen (Backer)]]/$Z$24*$N$24</f>
        <v>217.57459677419357</v>
      </c>
      <c r="O15" s="4">
        <f>Tabelle3[[#This Row],[SOK (€)]]/$AA$24*$M$24</f>
        <v>44253.616820241819</v>
      </c>
      <c r="P15" s="4">
        <f>Tabelle3[[#This Row],[SOK (Backer)]]/$AB$24*$N$24</f>
        <v>247.94651442307693</v>
      </c>
      <c r="Q15" s="10">
        <f>Q14+($Q$24-$Q$14)/10</f>
        <v>139124.1</v>
      </c>
      <c r="R15" s="10">
        <f>R14+($R$24-$R$14)/10</f>
        <v>967.2</v>
      </c>
      <c r="S15" s="3">
        <v>86154</v>
      </c>
      <c r="T15" s="3">
        <v>371</v>
      </c>
      <c r="U15" s="10">
        <f t="shared" si="4"/>
        <v>82686.999999999985</v>
      </c>
      <c r="V15" s="10">
        <f t="shared" si="5"/>
        <v>505.49999999999983</v>
      </c>
      <c r="W15" s="3">
        <v>71286</v>
      </c>
      <c r="X15" s="3">
        <v>395</v>
      </c>
      <c r="Y15" s="3">
        <v>54218</v>
      </c>
      <c r="Z15" s="3">
        <v>311</v>
      </c>
      <c r="AA15" s="3">
        <v>169780</v>
      </c>
      <c r="AB15" s="3">
        <v>1189</v>
      </c>
      <c r="AC15" s="240">
        <f>'AVENTURIA - Stories &amp; Legends'!BJ111</f>
        <v>221864</v>
      </c>
      <c r="AD15" s="240">
        <f>'AVENTURIA - Stories &amp; Legends'!BK111</f>
        <v>976</v>
      </c>
      <c r="AE15" s="240">
        <v>143057</v>
      </c>
      <c r="AF15" s="240">
        <v>598</v>
      </c>
      <c r="AG15" s="3">
        <f>'AVENTURIA - Stories &amp; Legends'!AC111</f>
        <v>65089.142395823626</v>
      </c>
      <c r="AH15" s="3">
        <f>'AVENTURIA - Stories &amp; Legends'!AD111</f>
        <v>326</v>
      </c>
      <c r="AI15" s="9">
        <f>Tabelle3[[#This Row],[Nedime (€)]]/C$24</f>
        <v>0.59324725318790605</v>
      </c>
      <c r="AJ15" s="9">
        <f>Tabelle3[[#This Row],[Nedime (Backer)]]/D$24</f>
        <v>0.55619596541786742</v>
      </c>
      <c r="AK15" s="9"/>
      <c r="AL15" s="9"/>
      <c r="AM15" s="9">
        <f>Tabelle3[[#This Row],[Werkzeuge (€)]]/S$24</f>
        <v>0.50518057241367176</v>
      </c>
      <c r="AN15" s="9">
        <f>Tabelle3[[#This Row],[Werkzeuge (Backer)]]/T$24</f>
        <v>0.49074074074074076</v>
      </c>
      <c r="AO15" s="9"/>
      <c r="AP15" s="9"/>
      <c r="AR15" s="29"/>
      <c r="AS15" s="33">
        <f>AR14-AS14</f>
        <v>-0.51272616698965834</v>
      </c>
      <c r="AT15" s="55"/>
      <c r="AU15" s="56"/>
      <c r="AV15" s="50"/>
      <c r="AW15" s="51">
        <f>AV14-AW14</f>
        <v>-0.22616073742649645</v>
      </c>
      <c r="AX15" s="34"/>
      <c r="AY15" s="30">
        <f>AX14-AY14</f>
        <v>8.8227360864634896E-2</v>
      </c>
      <c r="AZ15" s="34"/>
      <c r="BA15" s="30">
        <f>AZ14-BA14</f>
        <v>0.24802875343674957</v>
      </c>
      <c r="BB15" s="34"/>
      <c r="BC15" s="30">
        <f>BB14-BC14</f>
        <v>-1.0913594462476528E-2</v>
      </c>
      <c r="BD15" s="34"/>
      <c r="BE15" s="30">
        <f>BD14-BE14</f>
        <v>-5.8274081705986802E-2</v>
      </c>
      <c r="BF15" s="34"/>
      <c r="BG15" s="30">
        <f>BF14-BG14</f>
        <v>-1.8520708448960033E-2</v>
      </c>
    </row>
    <row r="16" spans="2:62" ht="15.75" thickBot="1" x14ac:dyDescent="0.3">
      <c r="B16">
        <v>13</v>
      </c>
      <c r="C16" s="3">
        <v>37704</v>
      </c>
      <c r="D16" s="3">
        <v>197</v>
      </c>
      <c r="E16" s="11">
        <f t="shared" ref="E16:E23" si="8">E15+($E$24-$E$14)/10</f>
        <v>35885.753993562226</v>
      </c>
      <c r="F16" s="11">
        <f t="shared" ref="F16:F23" si="9">F15+($F$24-$F$14)/10</f>
        <v>228.33129770992366</v>
      </c>
      <c r="G16" s="4">
        <f>Tabelle3[[#This Row],[Werkzeuge (€)]]/$S$24*$G$24</f>
        <v>32558.56591670038</v>
      </c>
      <c r="H16" s="4">
        <f>Tabelle3[[#This Row],[Werkzeuge (Backer)]]/$T$24*$H$24</f>
        <v>177.17195767195767</v>
      </c>
      <c r="I16" s="11">
        <f>Tabelle3[[#This Row],[Mythos (€)]]/$U$24*$I$24</f>
        <v>45313.552504453779</v>
      </c>
      <c r="J16" s="11">
        <f>Tabelle3[[#This Row],[Mythos (Backer)]]/$V$24*$J$24</f>
        <v>257.85044538209087</v>
      </c>
      <c r="K16" s="4">
        <f>Tabelle3[[#This Row],[DSK (€)]]/$W$24*$I$24</f>
        <v>37285.297695934387</v>
      </c>
      <c r="L16" s="4">
        <f>Tabelle3[[#This Row],[DSK (Backer)]]/$X$24*$L$24</f>
        <v>216.875</v>
      </c>
      <c r="M16" s="4">
        <f>Tabelle3[[#This Row],[Mythen (€)]]/$Y$24*$M$24</f>
        <v>38504.536894034507</v>
      </c>
      <c r="N16" s="4">
        <f>Tabelle3[[#This Row],[Mythen (Backer)]]/$Z$24*$N$24</f>
        <v>223.17137096774195</v>
      </c>
      <c r="O16" s="4">
        <f>Tabelle3[[#This Row],[SOK (€)]]/$AA$24*$M$24</f>
        <v>44945.9104135659</v>
      </c>
      <c r="P16" s="4">
        <f>Tabelle3[[#This Row],[SOK (Backer)]]/$AB$24*$N$24</f>
        <v>251.28305288461539</v>
      </c>
      <c r="Q16" s="10">
        <f t="shared" ref="Q16:Q23" si="10">Q15+($Q$24-$Q$14)/10</f>
        <v>153248.20000000001</v>
      </c>
      <c r="R16" s="10">
        <f t="shared" ref="R16:R23" si="11">R15+($R$24-$R$14)/10</f>
        <v>1034.4000000000001</v>
      </c>
      <c r="S16" s="3">
        <v>89062</v>
      </c>
      <c r="T16" s="3">
        <v>386</v>
      </c>
      <c r="U16" s="10">
        <f t="shared" si="4"/>
        <v>86763.333333333314</v>
      </c>
      <c r="V16" s="10">
        <f t="shared" si="5"/>
        <v>528.33333333333314</v>
      </c>
      <c r="W16" s="3">
        <v>74079</v>
      </c>
      <c r="X16" s="3">
        <v>410</v>
      </c>
      <c r="Y16" s="3">
        <v>55585</v>
      </c>
      <c r="Z16" s="3">
        <v>319</v>
      </c>
      <c r="AA16" s="3">
        <v>172436</v>
      </c>
      <c r="AB16" s="3">
        <v>1205</v>
      </c>
      <c r="AC16" s="240">
        <f>'AVENTURIA - Stories &amp; Legends'!BJ112</f>
        <v>229701</v>
      </c>
      <c r="AD16" s="240">
        <f>'AVENTURIA - Stories &amp; Legends'!BK112</f>
        <v>1011</v>
      </c>
      <c r="AE16" s="240">
        <v>149744</v>
      </c>
      <c r="AF16" s="240">
        <v>624</v>
      </c>
      <c r="AG16" s="3">
        <f>'AVENTURIA - Stories &amp; Legends'!AC112</f>
        <v>68017.914554279385</v>
      </c>
      <c r="AH16" s="3">
        <f>'AVENTURIA - Stories &amp; Legends'!AD112</f>
        <v>339</v>
      </c>
      <c r="AI16" s="9">
        <f>Tabelle3[[#This Row],[Nedime (€)]]/C$24</f>
        <v>0.60476381425936321</v>
      </c>
      <c r="AJ16" s="9">
        <f>Tabelle3[[#This Row],[Nedime (Backer)]]/D$24</f>
        <v>0.56772334293948123</v>
      </c>
      <c r="AK16" s="9"/>
      <c r="AL16" s="9"/>
      <c r="AM16" s="9">
        <f>Tabelle3[[#This Row],[Werkzeuge (€)]]/S$24</f>
        <v>0.5222321904996452</v>
      </c>
      <c r="AN16" s="9">
        <f>Tabelle3[[#This Row],[Werkzeuge (Backer)]]/T$24</f>
        <v>0.51058201058201058</v>
      </c>
      <c r="AO16" s="9"/>
      <c r="AP16" s="9"/>
      <c r="AS16" s="8"/>
      <c r="AU16" s="8"/>
      <c r="AW16" s="20"/>
      <c r="AY16" s="8"/>
      <c r="BA16" s="8"/>
      <c r="BC16" s="8"/>
      <c r="BE16" s="8"/>
      <c r="BG16" s="8"/>
    </row>
    <row r="17" spans="2:63" x14ac:dyDescent="0.25">
      <c r="B17">
        <v>14</v>
      </c>
      <c r="C17" s="3">
        <v>38541</v>
      </c>
      <c r="D17" s="3">
        <v>205</v>
      </c>
      <c r="E17" s="11">
        <f t="shared" si="8"/>
        <v>39193.159744366945</v>
      </c>
      <c r="F17" s="11">
        <f t="shared" si="9"/>
        <v>243.16488549618322</v>
      </c>
      <c r="G17" s="4">
        <f>Tabelle3[[#This Row],[Werkzeuge (€)]]/$S$24*$G$24</f>
        <v>34038.035457749167</v>
      </c>
      <c r="H17" s="4">
        <f>Tabelle3[[#This Row],[Werkzeuge (Backer)]]/$T$24*$H$24</f>
        <v>184.97486772486772</v>
      </c>
      <c r="I17" s="11">
        <f>Tabelle3[[#This Row],[Mythos (€)]]/$U$24*$I$24</f>
        <v>47442.483441397053</v>
      </c>
      <c r="J17" s="11">
        <f>Tabelle3[[#This Row],[Mythos (Backer)]]/$V$24*$J$24</f>
        <v>268.99413970932949</v>
      </c>
      <c r="K17" s="4">
        <f>Tabelle3[[#This Row],[DSK (€)]]/$W$24*$I$24</f>
        <v>37955.717336196598</v>
      </c>
      <c r="L17" s="4">
        <f>Tabelle3[[#This Row],[DSK (Backer)]]/$X$24*$L$24</f>
        <v>220.57774390243901</v>
      </c>
      <c r="M17" s="4">
        <f>Tabelle3[[#This Row],[Mythen (€)]]/$Y$24*$M$24</f>
        <v>39940.534105176608</v>
      </c>
      <c r="N17" s="4">
        <f>Tabelle3[[#This Row],[Mythen (Backer)]]/$Z$24*$N$24</f>
        <v>230.86693548387095</v>
      </c>
      <c r="O17" s="4">
        <f>Tabelle3[[#This Row],[SOK (€)]]/$AA$24*$M$24</f>
        <v>46038.82721959296</v>
      </c>
      <c r="P17" s="4">
        <f>Tabelle3[[#This Row],[SOK (Backer)]]/$AB$24*$N$24</f>
        <v>256.91346153846155</v>
      </c>
      <c r="Q17" s="10">
        <f t="shared" si="10"/>
        <v>167372.30000000002</v>
      </c>
      <c r="R17" s="10">
        <f t="shared" si="11"/>
        <v>1101.6000000000001</v>
      </c>
      <c r="S17" s="3">
        <v>93109</v>
      </c>
      <c r="T17" s="3">
        <v>403</v>
      </c>
      <c r="U17" s="10">
        <f t="shared" si="4"/>
        <v>90839.666666666642</v>
      </c>
      <c r="V17" s="10">
        <f t="shared" si="5"/>
        <v>551.16666666666652</v>
      </c>
      <c r="W17" s="3">
        <v>75411</v>
      </c>
      <c r="X17" s="3">
        <v>417</v>
      </c>
      <c r="Y17" s="3">
        <v>57658</v>
      </c>
      <c r="Z17" s="3">
        <v>330</v>
      </c>
      <c r="AA17" s="3">
        <v>176629</v>
      </c>
      <c r="AB17" s="3">
        <v>1232</v>
      </c>
      <c r="AC17" s="240">
        <f>'AVENTURIA - Stories &amp; Legends'!BJ113</f>
        <v>240791</v>
      </c>
      <c r="AD17" s="240">
        <f>'AVENTURIA - Stories &amp; Legends'!BK113</f>
        <v>1060</v>
      </c>
      <c r="AE17" s="240">
        <v>155980</v>
      </c>
      <c r="AF17" s="240">
        <v>650</v>
      </c>
      <c r="AG17" s="3">
        <f>'AVENTURIA - Stories &amp; Legends'!AC113</f>
        <v>69314.071401696739</v>
      </c>
      <c r="AH17" s="3">
        <f>'AVENTURIA - Stories &amp; Legends'!AD113</f>
        <v>345</v>
      </c>
      <c r="AI17" s="9">
        <f>Tabelle3[[#This Row],[Nedime (€)]]/C$24</f>
        <v>0.61818910899029589</v>
      </c>
      <c r="AJ17" s="9">
        <f>Tabelle3[[#This Row],[Nedime (Backer)]]/D$24</f>
        <v>0.59077809798270897</v>
      </c>
      <c r="AK17" s="9"/>
      <c r="AL17" s="9"/>
      <c r="AM17" s="9">
        <f>Tabelle3[[#This Row],[Werkzeuge (€)]]/S$24</f>
        <v>0.54596255445904507</v>
      </c>
      <c r="AN17" s="9">
        <f>Tabelle3[[#This Row],[Werkzeuge (Backer)]]/T$24</f>
        <v>0.53306878306878303</v>
      </c>
      <c r="AO17" s="9"/>
      <c r="AP17" s="9"/>
      <c r="AR17" s="25" t="s">
        <v>134</v>
      </c>
      <c r="AS17" s="31" t="s">
        <v>134</v>
      </c>
      <c r="AT17" s="52"/>
      <c r="AU17" s="53"/>
      <c r="AV17" s="48" t="s">
        <v>134</v>
      </c>
      <c r="AW17" s="49" t="s">
        <v>134</v>
      </c>
      <c r="AX17" s="32" t="s">
        <v>134</v>
      </c>
      <c r="AY17" s="26" t="s">
        <v>134</v>
      </c>
      <c r="AZ17" s="32" t="s">
        <v>134</v>
      </c>
      <c r="BA17" s="26" t="s">
        <v>134</v>
      </c>
      <c r="BB17" s="32" t="s">
        <v>134</v>
      </c>
      <c r="BC17" s="26" t="s">
        <v>134</v>
      </c>
      <c r="BD17" s="32" t="s">
        <v>134</v>
      </c>
      <c r="BE17" s="26" t="s">
        <v>134</v>
      </c>
      <c r="BF17" s="32" t="s">
        <v>134</v>
      </c>
      <c r="BG17" s="26" t="s">
        <v>134</v>
      </c>
    </row>
    <row r="18" spans="2:63" x14ac:dyDescent="0.25">
      <c r="B18">
        <v>15</v>
      </c>
      <c r="C18" s="3">
        <v>40401</v>
      </c>
      <c r="D18" s="3">
        <v>214</v>
      </c>
      <c r="E18" s="11">
        <f t="shared" si="8"/>
        <v>42500.565495171664</v>
      </c>
      <c r="F18" s="11">
        <f t="shared" si="9"/>
        <v>257.99847328244277</v>
      </c>
      <c r="G18" s="4">
        <f>Tabelle3[[#This Row],[Werkzeuge (€)]]/$S$24*$G$24</f>
        <v>35630.832292527899</v>
      </c>
      <c r="H18" s="4">
        <f>Tabelle3[[#This Row],[Werkzeuge (Backer)]]/$T$24*$H$24</f>
        <v>193.69576719576722</v>
      </c>
      <c r="I18" s="11">
        <f>Tabelle3[[#This Row],[Mythos (€)]]/$U$24*$I$24</f>
        <v>49571.414378340327</v>
      </c>
      <c r="J18" s="11">
        <f>Tabelle3[[#This Row],[Mythos (Backer)]]/$V$24*$J$24</f>
        <v>280.13783403656817</v>
      </c>
      <c r="K18" s="4">
        <f>Tabelle3[[#This Row],[DSK (€)]]/$W$24*$I$24</f>
        <v>38763.542803629673</v>
      </c>
      <c r="L18" s="4">
        <f>Tabelle3[[#This Row],[DSK (Backer)]]/$X$24*$L$24</f>
        <v>225.86737804878047</v>
      </c>
      <c r="M18" s="4">
        <f>Tabelle3[[#This Row],[Mythen (€)]]/$Y$24*$M$24</f>
        <v>40976.835035166274</v>
      </c>
      <c r="N18" s="4">
        <f>Tabelle3[[#This Row],[Mythen (Backer)]]/$Z$24*$N$24</f>
        <v>235.76411290322582</v>
      </c>
      <c r="O18" s="4">
        <f>Tabelle3[[#This Row],[SOK (€)]]/$AA$24*$M$24</f>
        <v>49073.867355385722</v>
      </c>
      <c r="P18" s="4">
        <f>Tabelle3[[#This Row],[SOK (Backer)]]/$AB$24*$N$24</f>
        <v>273.8046875</v>
      </c>
      <c r="Q18" s="10">
        <f t="shared" si="10"/>
        <v>181496.40000000002</v>
      </c>
      <c r="R18" s="10">
        <f t="shared" si="11"/>
        <v>1168.8000000000002</v>
      </c>
      <c r="S18" s="3">
        <v>97466</v>
      </c>
      <c r="T18" s="3">
        <v>422</v>
      </c>
      <c r="U18" s="10">
        <f t="shared" si="4"/>
        <v>94915.999999999971</v>
      </c>
      <c r="V18" s="10">
        <f t="shared" si="5"/>
        <v>573.99999999999989</v>
      </c>
      <c r="W18" s="3">
        <v>77016</v>
      </c>
      <c r="X18" s="3">
        <v>427</v>
      </c>
      <c r="Y18" s="3">
        <v>59154</v>
      </c>
      <c r="Z18" s="3">
        <v>337</v>
      </c>
      <c r="AA18" s="3">
        <v>188273</v>
      </c>
      <c r="AB18" s="3">
        <v>1313</v>
      </c>
      <c r="AC18" s="240">
        <f>'AVENTURIA - Stories &amp; Legends'!BJ114</f>
        <v>249000</v>
      </c>
      <c r="AD18" s="240">
        <f>'AVENTURIA - Stories &amp; Legends'!BK114</f>
        <v>1096</v>
      </c>
      <c r="AE18" s="240">
        <v>165152</v>
      </c>
      <c r="AF18" s="240">
        <v>690</v>
      </c>
      <c r="AG18" s="3">
        <f>'AVENTURIA - Stories &amp; Legends'!AC114</f>
        <v>71278.575547334302</v>
      </c>
      <c r="AH18" s="3">
        <f>'AVENTURIA - Stories &amp; Legends'!AD114</f>
        <v>354</v>
      </c>
      <c r="AI18" s="9">
        <f>Tabelle3[[#This Row],[Nedime (€)]]/C$24</f>
        <v>0.64802309728125751</v>
      </c>
      <c r="AJ18" s="9">
        <f>Tabelle3[[#This Row],[Nedime (Backer)]]/D$24</f>
        <v>0.61671469740634011</v>
      </c>
      <c r="AK18" s="9"/>
      <c r="AL18" s="9"/>
      <c r="AM18" s="9">
        <f>Tabelle3[[#This Row],[Werkzeuge (€)]]/S$24</f>
        <v>0.57151066312499632</v>
      </c>
      <c r="AN18" s="9">
        <f>Tabelle3[[#This Row],[Werkzeuge (Backer)]]/T$24</f>
        <v>0.55820105820105825</v>
      </c>
      <c r="AO18" s="9"/>
      <c r="AP18" s="9"/>
      <c r="AR18" s="27" t="s">
        <v>65</v>
      </c>
      <c r="AS18" s="8" t="s">
        <v>66</v>
      </c>
      <c r="AT18" s="46"/>
      <c r="AU18" s="54"/>
      <c r="AV18" s="5" t="s">
        <v>103</v>
      </c>
      <c r="AW18" s="8" t="s">
        <v>104</v>
      </c>
      <c r="AX18" s="5" t="s">
        <v>71</v>
      </c>
      <c r="AY18" s="28" t="s">
        <v>72</v>
      </c>
      <c r="AZ18" s="5" t="s">
        <v>130</v>
      </c>
      <c r="BA18" s="28" t="s">
        <v>131</v>
      </c>
      <c r="BB18" s="5" t="s">
        <v>151</v>
      </c>
      <c r="BC18" s="28" t="s">
        <v>152</v>
      </c>
      <c r="BD18" s="5" t="s">
        <v>163</v>
      </c>
      <c r="BE18" s="28" t="s">
        <v>164</v>
      </c>
      <c r="BF18" s="5" t="s">
        <v>171</v>
      </c>
      <c r="BG18" s="28" t="s">
        <v>172</v>
      </c>
      <c r="BH18" s="16" t="s">
        <v>74</v>
      </c>
      <c r="BI18" s="23">
        <f>MIN(AR19,AT19,AV19,AX19,AZ19,BB19,BD19,BF19)</f>
        <v>1.9522523037243202</v>
      </c>
      <c r="BJ18" s="23">
        <f>MIN(AS19,AU19,AW19,AY19,BA19,BC19,BE19,BG19)</f>
        <v>1.9530516431924883</v>
      </c>
    </row>
    <row r="19" spans="2:63" x14ac:dyDescent="0.25">
      <c r="B19">
        <v>16</v>
      </c>
      <c r="C19" s="3">
        <v>42277</v>
      </c>
      <c r="D19" s="3">
        <v>224</v>
      </c>
      <c r="E19" s="11">
        <f t="shared" si="8"/>
        <v>45807.971245976383</v>
      </c>
      <c r="F19" s="11">
        <f t="shared" si="9"/>
        <v>272.83206106870233</v>
      </c>
      <c r="G19" s="4">
        <f>Tabelle3[[#This Row],[Werkzeuge (€)]]/$S$24*$G$24</f>
        <v>37819.145777261772</v>
      </c>
      <c r="H19" s="4">
        <f>Tabelle3[[#This Row],[Werkzeuge (Backer)]]/$T$24*$H$24</f>
        <v>204.25264550264549</v>
      </c>
      <c r="I19" s="11">
        <f>Tabelle3[[#This Row],[Mythos (€)]]/$U$24*$I$24</f>
        <v>51700.345315283601</v>
      </c>
      <c r="J19" s="11">
        <f>Tabelle3[[#This Row],[Mythos (Backer)]]/$V$24*$J$24</f>
        <v>291.28152836380679</v>
      </c>
      <c r="K19" s="4">
        <f>Tabelle3[[#This Row],[DSK (€)]]/$W$24*$I$24</f>
        <v>40290.106443956465</v>
      </c>
      <c r="L19" s="4">
        <f>Tabelle3[[#This Row],[DSK (Backer)]]/$X$24*$L$24</f>
        <v>234.85975609756099</v>
      </c>
      <c r="M19" s="4">
        <f>Tabelle3[[#This Row],[Mythen (€)]]/$Y$24*$M$24</f>
        <v>42838.851679425781</v>
      </c>
      <c r="N19" s="4">
        <f>Tabelle3[[#This Row],[Mythen (Backer)]]/$Z$24*$N$24</f>
        <v>244.15927419354838</v>
      </c>
      <c r="O19" s="4">
        <f>Tabelle3[[#This Row],[SOK (€)]]/$AA$24*$M$24</f>
        <v>50374.785022659999</v>
      </c>
      <c r="P19" s="4">
        <f>Tabelle3[[#This Row],[SOK (Backer)]]/$AB$24*$N$24</f>
        <v>281.52043269230768</v>
      </c>
      <c r="Q19" s="10">
        <f t="shared" si="10"/>
        <v>195620.50000000003</v>
      </c>
      <c r="R19" s="10">
        <f t="shared" si="11"/>
        <v>1236.0000000000002</v>
      </c>
      <c r="S19" s="3">
        <v>103452</v>
      </c>
      <c r="T19" s="3">
        <v>445</v>
      </c>
      <c r="U19" s="10">
        <f t="shared" si="4"/>
        <v>98992.333333333299</v>
      </c>
      <c r="V19" s="10">
        <f t="shared" si="5"/>
        <v>596.83333333333326</v>
      </c>
      <c r="W19" s="3">
        <v>80049</v>
      </c>
      <c r="X19" s="3">
        <v>444</v>
      </c>
      <c r="Y19" s="3">
        <v>61842</v>
      </c>
      <c r="Z19" s="3">
        <v>349</v>
      </c>
      <c r="AA19" s="3">
        <v>193264</v>
      </c>
      <c r="AB19" s="3">
        <v>1350</v>
      </c>
      <c r="AC19" s="240">
        <f>'AVENTURIA - Stories &amp; Legends'!BJ115</f>
        <v>257666</v>
      </c>
      <c r="AD19" s="240">
        <f>'AVENTURIA - Stories &amp; Legends'!BK115</f>
        <v>1134</v>
      </c>
      <c r="AE19" s="240">
        <v>174081</v>
      </c>
      <c r="AF19" s="240">
        <v>729</v>
      </c>
      <c r="AG19" s="3">
        <f>'AVENTURIA - Stories &amp; Legends'!AC115</f>
        <v>74576.689351552996</v>
      </c>
      <c r="AH19" s="3">
        <f>'AVENTURIA - Stories &amp; Legends'!AD115</f>
        <v>369</v>
      </c>
      <c r="AI19" s="9">
        <f>Tabelle3[[#This Row],[Nedime (€)]]/C$24</f>
        <v>0.67811372203063602</v>
      </c>
      <c r="AJ19" s="9">
        <f>Tabelle3[[#This Row],[Nedime (Backer)]]/D$24</f>
        <v>0.64553314121037464</v>
      </c>
      <c r="AK19" s="9"/>
      <c r="AL19" s="9"/>
      <c r="AM19" s="9">
        <f>Tabelle3[[#This Row],[Werkzeuge (€)]]/S$24</f>
        <v>0.60661072703924568</v>
      </c>
      <c r="AN19" s="9">
        <f>Tabelle3[[#This Row],[Werkzeuge (Backer)]]/T$24</f>
        <v>0.58862433862433861</v>
      </c>
      <c r="AO19" s="9"/>
      <c r="AP19" s="9"/>
      <c r="AR19" s="27">
        <f>C24/C6</f>
        <v>3.5274980196899399</v>
      </c>
      <c r="AS19" s="8">
        <f>D24/D6</f>
        <v>3.8555555555555556</v>
      </c>
      <c r="AT19" s="46"/>
      <c r="AU19" s="54"/>
      <c r="AV19" s="19">
        <f>S24/S6</f>
        <v>3.1639672733344466</v>
      </c>
      <c r="AW19" s="20">
        <f>T24/T6</f>
        <v>3.375</v>
      </c>
      <c r="AX19" s="19">
        <f t="shared" ref="AX19:BG19" si="12">W24/W6</f>
        <v>2.7360236785722174</v>
      </c>
      <c r="AY19" s="47">
        <f t="shared" si="12"/>
        <v>2.6451612903225805</v>
      </c>
      <c r="AZ19" s="19">
        <f t="shared" si="12"/>
        <v>3.252538758989556</v>
      </c>
      <c r="BA19" s="47">
        <f t="shared" si="12"/>
        <v>3.0617283950617282</v>
      </c>
      <c r="BB19" s="19">
        <f t="shared" si="12"/>
        <v>1.9522523037243202</v>
      </c>
      <c r="BC19" s="47">
        <f t="shared" si="12"/>
        <v>1.9530516431924883</v>
      </c>
      <c r="BD19" s="19">
        <f t="shared" si="12"/>
        <v>3.3803399133281804</v>
      </c>
      <c r="BE19" s="47">
        <f t="shared" si="12"/>
        <v>3.45</v>
      </c>
      <c r="BF19" s="19">
        <f t="shared" si="12"/>
        <v>2.097033161972341</v>
      </c>
      <c r="BG19" s="47">
        <f t="shared" si="12"/>
        <v>2.1222707423580784</v>
      </c>
      <c r="BH19" t="s">
        <v>75</v>
      </c>
      <c r="BI19" s="24">
        <f>MAX(AR19,AT19,AV19,AX19,AZ19,BB19,BD19,BF19)</f>
        <v>3.5274980196899399</v>
      </c>
      <c r="BJ19" s="24">
        <f>MAX(AS19,AU19,AW19,AY19,BA19,BC19,BE19,BG19)</f>
        <v>3.8555555555555556</v>
      </c>
    </row>
    <row r="20" spans="2:63" ht="15.75" thickBot="1" x14ac:dyDescent="0.3">
      <c r="B20">
        <v>17</v>
      </c>
      <c r="C20" s="3">
        <v>44039</v>
      </c>
      <c r="D20" s="3">
        <v>233</v>
      </c>
      <c r="E20" s="11">
        <f t="shared" si="8"/>
        <v>49115.376996781102</v>
      </c>
      <c r="F20" s="11">
        <f t="shared" si="9"/>
        <v>287.66564885496189</v>
      </c>
      <c r="G20" s="12">
        <f>Tabelle3[[#This Row],[Werkzeuge (€)]]/$S$24*$G$24</f>
        <v>40047.306600758762</v>
      </c>
      <c r="H20" s="4">
        <f>Tabelle3[[#This Row],[Werkzeuge (Backer)]]/$T$24*$H$24</f>
        <v>216.18650793650795</v>
      </c>
      <c r="I20" s="11">
        <f>Tabelle3[[#This Row],[Mythos (€)]]/$U$24*$I$24</f>
        <v>53829.276252226875</v>
      </c>
      <c r="J20" s="11">
        <f>Tabelle3[[#This Row],[Mythos (Backer)]]/$V$24*$J$24</f>
        <v>302.42522269104546</v>
      </c>
      <c r="K20" s="4">
        <f>Tabelle3[[#This Row],[DSK (€)]]/$W$24*$I$24</f>
        <v>43704.616083249915</v>
      </c>
      <c r="L20" s="4">
        <f>Tabelle3[[#This Row],[DSK (Backer)]]/$X$24*$L$24</f>
        <v>257.60518292682929</v>
      </c>
      <c r="M20" s="4">
        <f>Tabelle3[[#This Row],[Mythen (€)]]/$Y$24*$M$24</f>
        <v>44512.449972778079</v>
      </c>
      <c r="N20" s="4">
        <f>Tabelle3[[#This Row],[Mythen (Backer)]]/$Z$24*$N$24</f>
        <v>253.95362903225805</v>
      </c>
      <c r="O20" s="4">
        <f>Tabelle3[[#This Row],[SOK (€)]]/$AA$24*$M$24</f>
        <v>51677.266606184254</v>
      </c>
      <c r="P20" s="4">
        <f>Tabelle3[[#This Row],[SOK (Backer)]]/$AB$24*$N$24</f>
        <v>288.61057692307696</v>
      </c>
      <c r="Q20" s="10">
        <f t="shared" si="10"/>
        <v>209744.60000000003</v>
      </c>
      <c r="R20" s="10">
        <f t="shared" si="11"/>
        <v>1303.2000000000003</v>
      </c>
      <c r="S20" s="13">
        <v>109547</v>
      </c>
      <c r="T20" s="13">
        <v>471</v>
      </c>
      <c r="U20" s="10">
        <f t="shared" si="4"/>
        <v>103068.66666666663</v>
      </c>
      <c r="V20" s="10">
        <f t="shared" si="5"/>
        <v>619.66666666666663</v>
      </c>
      <c r="W20" s="3">
        <v>86833</v>
      </c>
      <c r="X20" s="3">
        <v>487</v>
      </c>
      <c r="Y20" s="3">
        <v>64258</v>
      </c>
      <c r="Z20" s="3">
        <v>363</v>
      </c>
      <c r="AA20" s="3">
        <v>198261</v>
      </c>
      <c r="AB20" s="3">
        <v>1384</v>
      </c>
      <c r="AC20" s="240">
        <f>'AVENTURIA - Stories &amp; Legends'!BJ116</f>
        <v>268894</v>
      </c>
      <c r="AD20" s="240">
        <f>'AVENTURIA - Stories &amp; Legends'!BK116</f>
        <v>1160</v>
      </c>
      <c r="AE20" s="240">
        <v>181054</v>
      </c>
      <c r="AF20" s="240">
        <v>757</v>
      </c>
      <c r="AG20" s="3">
        <f>'AVENTURIA - Stories &amp; Legends'!AC116</f>
        <v>82742.115372951026</v>
      </c>
      <c r="AH20" s="3">
        <f>'AVENTURIA - Stories &amp; Legends'!AD116</f>
        <v>406</v>
      </c>
      <c r="AI20" s="14">
        <f>Tabelle3[[#This Row],[Nedime (€)]]/C$24</f>
        <v>0.70637581201379418</v>
      </c>
      <c r="AJ20" s="9">
        <f>Tabelle3[[#This Row],[Nedime (Backer)]]/D$24</f>
        <v>0.67146974063400577</v>
      </c>
      <c r="AK20" s="9"/>
      <c r="AL20" s="9"/>
      <c r="AM20" s="14">
        <f>Tabelle3[[#This Row],[Werkzeuge (€)]]/S$24</f>
        <v>0.64234993344708902</v>
      </c>
      <c r="AN20" s="14">
        <f>Tabelle3[[#This Row],[Werkzeuge (Backer)]]/T$24</f>
        <v>0.62301587301587302</v>
      </c>
      <c r="AO20" s="15"/>
      <c r="AP20" s="15"/>
      <c r="AR20" s="29"/>
      <c r="AS20" s="33">
        <f>AR19-AS19</f>
        <v>-0.3280575358656157</v>
      </c>
      <c r="AT20" s="55"/>
      <c r="AU20" s="56"/>
      <c r="AV20" s="50"/>
      <c r="AW20" s="51">
        <f>AV19-AW19</f>
        <v>-0.21103272666555339</v>
      </c>
      <c r="AX20" s="34"/>
      <c r="AY20" s="30">
        <f>AX19-AY19</f>
        <v>9.0862388249636883E-2</v>
      </c>
      <c r="AZ20" s="34"/>
      <c r="BA20" s="30">
        <f>AZ19-BA19</f>
        <v>0.1908103639278278</v>
      </c>
      <c r="BB20" s="34"/>
      <c r="BC20" s="30">
        <f>BB19-BC19</f>
        <v>-7.9933946816801438E-4</v>
      </c>
      <c r="BD20" s="34"/>
      <c r="BE20" s="30">
        <f>BD19-BE19</f>
        <v>-6.9660086671819776E-2</v>
      </c>
      <c r="BF20" s="34"/>
      <c r="BG20" s="30">
        <f>BF19-BG19</f>
        <v>-2.5237580385737424E-2</v>
      </c>
    </row>
    <row r="21" spans="2:63" ht="15.75" thickBot="1" x14ac:dyDescent="0.3">
      <c r="B21">
        <v>18</v>
      </c>
      <c r="C21" s="3">
        <v>46661</v>
      </c>
      <c r="D21" s="3">
        <v>250</v>
      </c>
      <c r="E21" s="11">
        <f t="shared" si="8"/>
        <v>52422.782747585821</v>
      </c>
      <c r="F21" s="11">
        <f t="shared" si="9"/>
        <v>302.49923664122144</v>
      </c>
      <c r="G21" s="12">
        <f>Tabelle3[[#This Row],[Werkzeuge (€)]]/$S$24*$G$24</f>
        <v>42194.310459068496</v>
      </c>
      <c r="H21" s="4">
        <f>Tabelle3[[#This Row],[Werkzeuge (Backer)]]/$T$24*$H$24</f>
        <v>229.95634920634919</v>
      </c>
      <c r="I21" s="11">
        <f>Tabelle3[[#This Row],[Mythos (€)]]/$U$24*$I$24</f>
        <v>55958.207189170149</v>
      </c>
      <c r="J21" s="11">
        <f>Tabelle3[[#This Row],[Mythos (Backer)]]/$V$24*$J$24</f>
        <v>313.56891701828408</v>
      </c>
      <c r="K21" s="4">
        <f>Tabelle3[[#This Row],[DSK (€)]]/$W$24*$I$24</f>
        <v>46292.174169276972</v>
      </c>
      <c r="L21" s="4">
        <f>Tabelle3[[#This Row],[DSK (Backer)]]/$X$24*$L$24</f>
        <v>271.88719512195121</v>
      </c>
      <c r="M21" s="4">
        <f>Tabelle3[[#This Row],[Mythen (€)]]/$Y$24*$M$24</f>
        <v>46238.001855534945</v>
      </c>
      <c r="N21" s="4">
        <f>Tabelle3[[#This Row],[Mythen (Backer)]]/$Z$24*$N$24</f>
        <v>263.74798387096774</v>
      </c>
      <c r="O21" s="4">
        <f>Tabelle3[[#This Row],[SOK (€)]]/$AA$24*$M$24</f>
        <v>52943.517463250668</v>
      </c>
      <c r="P21" s="4">
        <f>Tabelle3[[#This Row],[SOK (Backer)]]/$AB$24*$N$24</f>
        <v>295.90925480769232</v>
      </c>
      <c r="Q21" s="10">
        <f t="shared" si="10"/>
        <v>223868.70000000004</v>
      </c>
      <c r="R21" s="10">
        <f t="shared" si="11"/>
        <v>1370.4000000000003</v>
      </c>
      <c r="S21" s="13">
        <v>115420</v>
      </c>
      <c r="T21" s="13">
        <v>501</v>
      </c>
      <c r="U21" s="10">
        <f t="shared" si="4"/>
        <v>107144.99999999996</v>
      </c>
      <c r="V21" s="10">
        <f t="shared" si="5"/>
        <v>642.5</v>
      </c>
      <c r="W21" s="3">
        <v>91974</v>
      </c>
      <c r="X21" s="3">
        <v>514</v>
      </c>
      <c r="Y21" s="3">
        <v>66749</v>
      </c>
      <c r="Z21" s="3">
        <v>377</v>
      </c>
      <c r="AA21" s="3">
        <v>203119</v>
      </c>
      <c r="AB21" s="3">
        <v>1419</v>
      </c>
      <c r="AC21" s="240">
        <f>'AVENTURIA - Stories &amp; Legends'!BJ117</f>
        <v>280832</v>
      </c>
      <c r="AD21" s="240">
        <f>'AVENTURIA - Stories &amp; Legends'!BK117</f>
        <v>1210</v>
      </c>
      <c r="AE21" s="240">
        <v>187527</v>
      </c>
      <c r="AF21" s="240">
        <v>781</v>
      </c>
      <c r="AG21" s="3">
        <f>'AVENTURIA - Stories &amp; Legends'!AC117</f>
        <v>87817.345103875152</v>
      </c>
      <c r="AH21" s="3">
        <f>'AVENTURIA - Stories &amp; Legends'!AD117</f>
        <v>429</v>
      </c>
      <c r="AI21" s="14">
        <f>Tabelle3[[#This Row],[Nedime (€)]]/C$24</f>
        <v>0.74843211163685941</v>
      </c>
      <c r="AJ21" s="9">
        <f>Tabelle3[[#This Row],[Nedime (Backer)]]/D$24</f>
        <v>0.72046109510086453</v>
      </c>
      <c r="AK21" s="9"/>
      <c r="AL21" s="9"/>
      <c r="AM21" s="14">
        <f>Tabelle3[[#This Row],[Werkzeuge (€)]]/S$24</f>
        <v>0.67678740009733729</v>
      </c>
      <c r="AN21" s="14">
        <f>Tabelle3[[#This Row],[Werkzeuge (Backer)]]/T$24</f>
        <v>0.66269841269841268</v>
      </c>
      <c r="AO21" s="15"/>
      <c r="AP21" s="15"/>
    </row>
    <row r="22" spans="2:63" x14ac:dyDescent="0.25">
      <c r="B22">
        <v>19</v>
      </c>
      <c r="C22" s="3">
        <v>49576</v>
      </c>
      <c r="D22" s="3">
        <v>267</v>
      </c>
      <c r="E22" s="11">
        <f t="shared" si="8"/>
        <v>55730.18849839054</v>
      </c>
      <c r="F22" s="11">
        <f t="shared" si="9"/>
        <v>317.332824427481</v>
      </c>
      <c r="G22" s="12">
        <f>Tabelle3[[#This Row],[Werkzeuge (€)]]/$S$24*$G$24</f>
        <v>45163.485554793275</v>
      </c>
      <c r="H22" s="4">
        <f>Tabelle3[[#This Row],[Werkzeuge (Backer)]]/$T$24*$H$24</f>
        <v>246.48015873015873</v>
      </c>
      <c r="I22" s="11">
        <f>Tabelle3[[#This Row],[Mythos (€)]]/$U$24*$I$24</f>
        <v>58087.138126113423</v>
      </c>
      <c r="J22" s="11">
        <f>Tabelle3[[#This Row],[Mythos (Backer)]]/$V$24*$J$24</f>
        <v>324.71261134552276</v>
      </c>
      <c r="K22" s="4">
        <f>Tabelle3[[#This Row],[DSK (€)]]/$W$24*$I$24</f>
        <v>50920.686940937128</v>
      </c>
      <c r="L22" s="4">
        <f>Tabelle3[[#This Row],[DSK (Backer)]]/$X$24*$L$24</f>
        <v>290.40091463414637</v>
      </c>
      <c r="M22" s="4">
        <f>Tabelle3[[#This Row],[Mythen (€)]]/$Y$24*$M$24</f>
        <v>49482.676692481196</v>
      </c>
      <c r="N22" s="4">
        <f>Tabelle3[[#This Row],[Mythen (Backer)]]/$Z$24*$N$24</f>
        <v>280.53830645161293</v>
      </c>
      <c r="O22" s="4">
        <f>Tabelle3[[#This Row],[SOK (€)]]/$AA$24*$M$24</f>
        <v>55306.855569677406</v>
      </c>
      <c r="P22" s="4">
        <f>Tabelle3[[#This Row],[SOK (Backer)]]/$AB$24*$N$24</f>
        <v>309.25540865384619</v>
      </c>
      <c r="Q22" s="10">
        <f t="shared" si="10"/>
        <v>237992.80000000005</v>
      </c>
      <c r="R22" s="10">
        <f t="shared" si="11"/>
        <v>1437.6000000000004</v>
      </c>
      <c r="S22" s="13">
        <v>123542</v>
      </c>
      <c r="T22" s="13">
        <v>537</v>
      </c>
      <c r="U22" s="10">
        <f t="shared" si="4"/>
        <v>111221.33333333328</v>
      </c>
      <c r="V22" s="10">
        <f t="shared" si="5"/>
        <v>665.33333333333337</v>
      </c>
      <c r="W22" s="3">
        <v>101170</v>
      </c>
      <c r="X22" s="3">
        <v>549</v>
      </c>
      <c r="Y22" s="3">
        <v>71433</v>
      </c>
      <c r="Z22" s="3">
        <v>401</v>
      </c>
      <c r="AA22" s="3">
        <v>212186</v>
      </c>
      <c r="AB22" s="3">
        <v>1483</v>
      </c>
      <c r="AC22" s="240">
        <f>'AVENTURIA - Stories &amp; Legends'!BJ118</f>
        <v>299641</v>
      </c>
      <c r="AD22" s="240">
        <f>'AVENTURIA - Stories &amp; Legends'!BK118</f>
        <v>1290</v>
      </c>
      <c r="AE22" s="240">
        <v>197700</v>
      </c>
      <c r="AF22" s="240">
        <v>827</v>
      </c>
      <c r="AG22" s="3">
        <f>'AVENTURIA - Stories &amp; Legends'!AC118</f>
        <v>94417.155287073736</v>
      </c>
      <c r="AH22" s="3">
        <f>'AVENTURIA - Stories &amp; Legends'!AD118</f>
        <v>459</v>
      </c>
      <c r="AI22" s="14">
        <f>Tabelle3[[#This Row],[Nedime (€)]]/C$24</f>
        <v>0.79518806640468365</v>
      </c>
      <c r="AJ22" s="9">
        <f>Tabelle3[[#This Row],[Nedime (Backer)]]/D$24</f>
        <v>0.7694524495677233</v>
      </c>
      <c r="AK22" s="9"/>
      <c r="AL22" s="9"/>
      <c r="AM22" s="14">
        <f>Tabelle3[[#This Row],[Werkzeuge (€)]]/S$24</f>
        <v>0.72441231140898665</v>
      </c>
      <c r="AN22" s="14">
        <f>Tabelle3[[#This Row],[Werkzeuge (Backer)]]/T$24</f>
        <v>0.71031746031746035</v>
      </c>
      <c r="AO22" s="15"/>
      <c r="AP22" s="15"/>
      <c r="AR22" s="25" t="s">
        <v>135</v>
      </c>
      <c r="AS22" s="31" t="s">
        <v>135</v>
      </c>
      <c r="AT22" s="52"/>
      <c r="AU22" s="53"/>
      <c r="AV22" s="48" t="s">
        <v>135</v>
      </c>
      <c r="AW22" s="49" t="s">
        <v>135</v>
      </c>
      <c r="AX22" s="32" t="s">
        <v>135</v>
      </c>
      <c r="AY22" s="26" t="s">
        <v>135</v>
      </c>
      <c r="AZ22" s="32" t="s">
        <v>135</v>
      </c>
      <c r="BA22" s="26" t="s">
        <v>135</v>
      </c>
      <c r="BB22" s="32" t="s">
        <v>135</v>
      </c>
      <c r="BC22" s="26" t="s">
        <v>135</v>
      </c>
      <c r="BD22" s="32" t="s">
        <v>135</v>
      </c>
      <c r="BE22" s="26" t="s">
        <v>135</v>
      </c>
      <c r="BF22" s="32" t="s">
        <v>135</v>
      </c>
      <c r="BG22" s="26" t="s">
        <v>135</v>
      </c>
    </row>
    <row r="23" spans="2:63" s="16" customFormat="1" x14ac:dyDescent="0.25">
      <c r="B23" s="16">
        <v>20</v>
      </c>
      <c r="C23" s="13">
        <v>54612</v>
      </c>
      <c r="D23" s="13">
        <v>300</v>
      </c>
      <c r="E23" s="17">
        <f t="shared" si="8"/>
        <v>59037.594249195259</v>
      </c>
      <c r="F23" s="17">
        <f t="shared" si="9"/>
        <v>332.16641221374056</v>
      </c>
      <c r="G23" s="12">
        <f>Tabelle3[[#This Row],[Werkzeuge (€)]]/$S$24*$G$24</f>
        <v>47642.79428407245</v>
      </c>
      <c r="H23" s="12">
        <f>Tabelle3[[#This Row],[Werkzeuge (Backer)]]/$T$24*$H$24</f>
        <v>264.38095238095235</v>
      </c>
      <c r="I23" s="17">
        <f>Tabelle3[[#This Row],[Mythos (€)]]/$U$24*$I$24</f>
        <v>60216.069063056697</v>
      </c>
      <c r="J23" s="17">
        <f>Tabelle3[[#This Row],[Mythos (Backer)]]/$V$24*$J$24</f>
        <v>335.85630567276144</v>
      </c>
      <c r="K23" s="4">
        <f>Tabelle3[[#This Row],[DSK (€)]]/$W$24*$I$24</f>
        <v>54792.209368036936</v>
      </c>
      <c r="L23" s="4">
        <f>Tabelle3[[#This Row],[DSK (Backer)]]/$X$24*$L$24</f>
        <v>308.91463414634148</v>
      </c>
      <c r="M23" s="4">
        <f>Tabelle3[[#This Row],[Mythen (€)]]/$Y$24*$M$24</f>
        <v>54719.598504461064</v>
      </c>
      <c r="N23" s="4">
        <f>Tabelle3[[#This Row],[Mythen (Backer)]]/$Z$24*$N$24</f>
        <v>307.82258064516128</v>
      </c>
      <c r="O23" s="4">
        <f>Tabelle3[[#This Row],[SOK (€)]]/$AA$24*$M$24</f>
        <v>57577.401311938731</v>
      </c>
      <c r="P23" s="4">
        <f>Tabelle3[[#This Row],[SOK (Backer)]]/$AB$24*$N$24</f>
        <v>322.18449519230768</v>
      </c>
      <c r="Q23" s="18">
        <f t="shared" si="10"/>
        <v>252116.90000000005</v>
      </c>
      <c r="R23" s="18">
        <f t="shared" si="11"/>
        <v>1504.8000000000004</v>
      </c>
      <c r="S23" s="13">
        <v>130324</v>
      </c>
      <c r="T23" s="13">
        <v>576</v>
      </c>
      <c r="U23" s="18">
        <f t="shared" si="4"/>
        <v>115297.66666666661</v>
      </c>
      <c r="V23" s="18">
        <f t="shared" si="5"/>
        <v>688.16666666666674</v>
      </c>
      <c r="W23" s="13">
        <v>108862</v>
      </c>
      <c r="X23" s="13">
        <v>584</v>
      </c>
      <c r="Y23" s="3">
        <v>78993</v>
      </c>
      <c r="Z23" s="3">
        <v>440</v>
      </c>
      <c r="AA23" s="3">
        <v>220897</v>
      </c>
      <c r="AB23" s="3">
        <v>1545</v>
      </c>
      <c r="AC23" s="240">
        <f>'AVENTURIA - Stories &amp; Legends'!BJ119</f>
        <v>330836</v>
      </c>
      <c r="AD23" s="240">
        <f>'AVENTURIA - Stories &amp; Legends'!BK119</f>
        <v>1421</v>
      </c>
      <c r="AE23" s="240">
        <v>205967</v>
      </c>
      <c r="AF23" s="240">
        <v>863</v>
      </c>
      <c r="AG23" s="3">
        <f>'AVENTURIA - Stories &amp; Legends'!AC119</f>
        <v>101023.2299937519</v>
      </c>
      <c r="AH23" s="3">
        <f>'AVENTURIA - Stories &amp; Legends'!AD119</f>
        <v>489</v>
      </c>
      <c r="AI23" s="14">
        <f>Tabelle3[[#This Row],[Nedime (€)]]/C$24</f>
        <v>0.87596439169139462</v>
      </c>
      <c r="AJ23" s="14">
        <f>Tabelle3[[#This Row],[Nedime (Backer)]]/D$24</f>
        <v>0.86455331412103742</v>
      </c>
      <c r="AK23" s="14"/>
      <c r="AL23" s="14"/>
      <c r="AM23" s="14">
        <f>Tabelle3[[#This Row],[Werkzeuge (€)]]/S$24</f>
        <v>0.76417987463425219</v>
      </c>
      <c r="AN23" s="14">
        <f>Tabelle3[[#This Row],[Werkzeuge (Backer)]]/T$24</f>
        <v>0.76190476190476186</v>
      </c>
      <c r="AO23" s="14"/>
      <c r="AP23" s="14"/>
      <c r="AR23" s="27" t="s">
        <v>65</v>
      </c>
      <c r="AS23" s="8" t="s">
        <v>66</v>
      </c>
      <c r="AT23" s="46"/>
      <c r="AU23" s="54"/>
      <c r="AV23" s="5" t="s">
        <v>103</v>
      </c>
      <c r="AW23" s="8" t="s">
        <v>104</v>
      </c>
      <c r="AX23" s="5" t="s">
        <v>71</v>
      </c>
      <c r="AY23" s="28" t="s">
        <v>72</v>
      </c>
      <c r="AZ23" s="5" t="s">
        <v>130</v>
      </c>
      <c r="BA23" s="28" t="s">
        <v>131</v>
      </c>
      <c r="BB23" s="5" t="s">
        <v>151</v>
      </c>
      <c r="BC23" s="28" t="s">
        <v>152</v>
      </c>
      <c r="BD23" s="5" t="s">
        <v>163</v>
      </c>
      <c r="BE23" s="28" t="s">
        <v>164</v>
      </c>
      <c r="BF23" s="5" t="s">
        <v>171</v>
      </c>
      <c r="BG23" s="28" t="s">
        <v>172</v>
      </c>
      <c r="BH23" s="16" t="s">
        <v>74</v>
      </c>
      <c r="BI23" s="23">
        <f>MIN(AR24,AT24,AV24,AX24,AZ24,BB24,BD24,BF24)</f>
        <v>1.874455346227391</v>
      </c>
      <c r="BJ23" s="23">
        <f>MIN(AS24,AU24,AW24,AY24,BA24,BC24,BE24,BG24)</f>
        <v>1.8675645342312008</v>
      </c>
      <c r="BK23"/>
    </row>
    <row r="24" spans="2:63" x14ac:dyDescent="0.25">
      <c r="B24">
        <v>21</v>
      </c>
      <c r="C24" s="3">
        <v>62345</v>
      </c>
      <c r="D24" s="3">
        <v>347</v>
      </c>
      <c r="E24" s="4">
        <f>Tabelle3[[#This Row],[Nedime (€)]]</f>
        <v>62345</v>
      </c>
      <c r="F24" s="4">
        <f>Tabelle3[[#This Row],[Nedime (Backer)]]</f>
        <v>347</v>
      </c>
      <c r="G24" s="12">
        <f>Tabelle3[[#This Row],[Nedime (€)]]</f>
        <v>62345</v>
      </c>
      <c r="H24" s="12">
        <f>Tabelle3[[#This Row],[Nedime (Backer)]]</f>
        <v>347</v>
      </c>
      <c r="I24" s="12">
        <f>Tabelle3[[#This Row],[Nedime (€)]]</f>
        <v>62345</v>
      </c>
      <c r="J24" s="12">
        <f>Tabelle3[[#This Row],[Nedime (Backer)]]</f>
        <v>347</v>
      </c>
      <c r="K24" s="12">
        <f>Tabelle3[[#This Row],[Nedime (€)]]</f>
        <v>62345</v>
      </c>
      <c r="L24" s="12">
        <f>Tabelle3[[#This Row],[Nedime (Backer)]]</f>
        <v>347</v>
      </c>
      <c r="M24" s="12">
        <f>Tabelle3[[#This Row],[Nedime (€)]]</f>
        <v>62345</v>
      </c>
      <c r="N24" s="12">
        <f>Tabelle3[[#This Row],[Nedime (Backer)]]</f>
        <v>347</v>
      </c>
      <c r="O24" s="4">
        <f>Tabelle3[[#This Row],[SOK (€)]]/$AA$24*$M$24</f>
        <v>62345</v>
      </c>
      <c r="P24" s="4">
        <f>Tabelle3[[#This Row],[SOK (Backer)]]/$AB$24*$N$24</f>
        <v>347</v>
      </c>
      <c r="Q24" s="3">
        <v>266241</v>
      </c>
      <c r="R24" s="3">
        <v>1572</v>
      </c>
      <c r="S24" s="13">
        <v>170541</v>
      </c>
      <c r="T24" s="13">
        <v>756</v>
      </c>
      <c r="U24" s="13">
        <v>119374</v>
      </c>
      <c r="V24" s="13">
        <v>711</v>
      </c>
      <c r="W24" s="13">
        <v>123868</v>
      </c>
      <c r="X24" s="13">
        <v>656</v>
      </c>
      <c r="Y24" s="3">
        <v>90001</v>
      </c>
      <c r="Z24" s="3">
        <v>496</v>
      </c>
      <c r="AA24" s="3">
        <v>239188</v>
      </c>
      <c r="AB24" s="3">
        <v>1664</v>
      </c>
      <c r="AC24" s="240">
        <f>'AVENTURIA - Stories &amp; Legends'!BJ120</f>
        <v>389236</v>
      </c>
      <c r="AD24" s="240">
        <f>'AVENTURIA - Stories &amp; Legends'!BK120</f>
        <v>1656</v>
      </c>
      <c r="AE24" s="240">
        <v>231697</v>
      </c>
      <c r="AF24" s="240">
        <v>972</v>
      </c>
      <c r="AG24" s="3">
        <f>'AVENTURIA - Stories &amp; Legends'!AC120</f>
        <v>114243.07641438194</v>
      </c>
      <c r="AH24" s="3">
        <f>'AVENTURIA - Stories &amp; Legends'!AD120</f>
        <v>549</v>
      </c>
      <c r="AI24" s="14">
        <f>Tabelle3[[#This Row],[Nedime (€)]]/C$24</f>
        <v>1</v>
      </c>
      <c r="AJ24" s="14">
        <f>Tabelle3[[#This Row],[Nedime (Backer)]]/D$24</f>
        <v>1</v>
      </c>
      <c r="AK24" s="9">
        <f>Tabelle3[[#This Row],[Thorwal (€)]]/Q$24</f>
        <v>1</v>
      </c>
      <c r="AL24" s="9">
        <f>Tabelle3[[#This Row],[Thorwal (Backer)]]/R$24</f>
        <v>1</v>
      </c>
      <c r="AM24" s="14">
        <f>Tabelle3[[#This Row],[Werkzeuge (€)]]/S$24</f>
        <v>1</v>
      </c>
      <c r="AN24" s="14">
        <f>Tabelle3[[#This Row],[Werkzeuge (Backer)]]/T$24</f>
        <v>1</v>
      </c>
      <c r="AO24" s="14">
        <f>Tabelle3[[#This Row],[Mythos (€)]]/U$24</f>
        <v>1</v>
      </c>
      <c r="AP24" s="14">
        <f>Tabelle3[[#This Row],[Mythos (Backer)]]/V$24</f>
        <v>1</v>
      </c>
      <c r="AR24" s="27">
        <f>C24/C7</f>
        <v>3.301996716275621</v>
      </c>
      <c r="AS24" s="8">
        <f>D24/D7</f>
        <v>3.6526315789473682</v>
      </c>
      <c r="AT24" s="46"/>
      <c r="AU24" s="54"/>
      <c r="AV24" s="19">
        <f>S24/S7</f>
        <v>2.8441038640494973</v>
      </c>
      <c r="AW24" s="20">
        <f>T24/T7</f>
        <v>3.0607287449392713</v>
      </c>
      <c r="AX24" s="19">
        <f t="shared" ref="AX24:BG24" si="13">W24/W7</f>
        <v>2.5828971787226056</v>
      </c>
      <c r="AY24" s="47">
        <f t="shared" si="13"/>
        <v>2.4848484848484849</v>
      </c>
      <c r="AZ24" s="19">
        <f t="shared" si="13"/>
        <v>2.9679791584223718</v>
      </c>
      <c r="BA24" s="47">
        <f t="shared" si="13"/>
        <v>2.7865168539325844</v>
      </c>
      <c r="BB24" s="19">
        <f t="shared" si="13"/>
        <v>1.874455346227391</v>
      </c>
      <c r="BC24" s="47">
        <f t="shared" si="13"/>
        <v>1.8675645342312008</v>
      </c>
      <c r="BD24" s="19">
        <f t="shared" si="13"/>
        <v>3.1432078427572394</v>
      </c>
      <c r="BE24" s="47">
        <f t="shared" si="13"/>
        <v>3.1846153846153844</v>
      </c>
      <c r="BF24" s="19">
        <f t="shared" si="13"/>
        <v>1.9748305987641168</v>
      </c>
      <c r="BG24" s="47">
        <f t="shared" si="13"/>
        <v>2</v>
      </c>
      <c r="BH24" t="s">
        <v>75</v>
      </c>
      <c r="BI24" s="24">
        <f>MAX(AR24,AT24,AV24,AX24,AZ24,BB24,BD24,BF24)</f>
        <v>3.301996716275621</v>
      </c>
      <c r="BJ24" s="24">
        <f>MAX(AS24,AU24,AW24,AY24,BA24,BC24,BE24,BG24)</f>
        <v>3.6526315789473682</v>
      </c>
    </row>
    <row r="25" spans="2:63" ht="15.75" thickBot="1" x14ac:dyDescent="0.3">
      <c r="G25" s="12"/>
      <c r="H25" s="12"/>
      <c r="I25" s="12"/>
      <c r="J25" s="12"/>
      <c r="K25" s="12"/>
      <c r="L25" s="12"/>
      <c r="M25" s="12"/>
      <c r="N25" s="12"/>
      <c r="O25" s="12"/>
      <c r="P25" s="12"/>
      <c r="AR25" s="29"/>
      <c r="AS25" s="33">
        <f>AR24-AS24</f>
        <v>-0.35063486267174726</v>
      </c>
      <c r="AT25" s="55"/>
      <c r="AU25" s="56"/>
      <c r="AV25" s="50"/>
      <c r="AW25" s="51">
        <f>AV24-AW24</f>
        <v>-0.21662488088977394</v>
      </c>
      <c r="AX25" s="34"/>
      <c r="AY25" s="30">
        <f>AX24-AY24</f>
        <v>9.804869387412074E-2</v>
      </c>
      <c r="AZ25" s="34"/>
      <c r="BA25" s="30">
        <f>AZ24-BA24</f>
        <v>0.1814623044897874</v>
      </c>
      <c r="BB25" s="34"/>
      <c r="BC25" s="30">
        <f>BB24-BC24</f>
        <v>6.8908119961901271E-3</v>
      </c>
      <c r="BD25" s="34"/>
      <c r="BE25" s="30">
        <f>BD24-BE24</f>
        <v>-4.1407541858144992E-2</v>
      </c>
      <c r="BF25" s="34"/>
      <c r="BG25" s="30">
        <f>BF24-BG24</f>
        <v>-2.5169401235883182E-2</v>
      </c>
    </row>
    <row r="26" spans="2:63" ht="15.75" thickBot="1" x14ac:dyDescent="0.3">
      <c r="V26"/>
      <c r="W26"/>
      <c r="X26"/>
      <c r="AE26" s="274" t="s">
        <v>105</v>
      </c>
      <c r="AF26" s="275" t="s">
        <v>107</v>
      </c>
      <c r="AG26" s="60">
        <f>$AG$4*BI8</f>
        <v>86628.517300941661</v>
      </c>
      <c r="AH26" s="60">
        <f>$AH$4*BJ8</f>
        <v>452.608</v>
      </c>
      <c r="AK26" s="36">
        <f>AG26/AH26</f>
        <v>191.39855526402906</v>
      </c>
      <c r="AL26" s="36"/>
    </row>
    <row r="27" spans="2:63" x14ac:dyDescent="0.25">
      <c r="V27"/>
      <c r="W27"/>
      <c r="X27"/>
      <c r="AE27" s="274"/>
      <c r="AF27" s="274" t="s">
        <v>108</v>
      </c>
      <c r="AG27" s="60">
        <f>$AG$4*BI9</f>
        <v>152474.14603572545</v>
      </c>
      <c r="AH27" s="60">
        <f>$AH$4*BJ9</f>
        <v>825.57184750733143</v>
      </c>
      <c r="AI27" s="36"/>
      <c r="AJ27" s="36"/>
      <c r="AK27" s="36">
        <f>AG27/AH27</f>
        <v>184.68912971789706</v>
      </c>
      <c r="AL27" s="36"/>
      <c r="AR27" s="25" t="s">
        <v>136</v>
      </c>
      <c r="AS27" s="31" t="s">
        <v>136</v>
      </c>
      <c r="AT27" s="52"/>
      <c r="AU27" s="53"/>
      <c r="AV27" s="48" t="s">
        <v>136</v>
      </c>
      <c r="AW27" s="49" t="s">
        <v>136</v>
      </c>
      <c r="AX27" s="32" t="s">
        <v>136</v>
      </c>
      <c r="AY27" s="26" t="s">
        <v>136</v>
      </c>
      <c r="AZ27" s="32" t="s">
        <v>136</v>
      </c>
      <c r="BA27" s="26" t="s">
        <v>136</v>
      </c>
      <c r="BB27" s="32" t="s">
        <v>136</v>
      </c>
      <c r="BC27" s="26" t="s">
        <v>136</v>
      </c>
      <c r="BD27" s="32" t="s">
        <v>136</v>
      </c>
      <c r="BE27" s="26" t="s">
        <v>136</v>
      </c>
      <c r="BF27" s="32" t="s">
        <v>136</v>
      </c>
      <c r="BG27" s="26" t="s">
        <v>136</v>
      </c>
    </row>
    <row r="28" spans="2:63" x14ac:dyDescent="0.25">
      <c r="AE28" s="274"/>
      <c r="AF28" s="274"/>
      <c r="AI28" s="3">
        <f>AVERAGE(AG26:AG27)</f>
        <v>119551.33166833356</v>
      </c>
      <c r="AJ28" s="3">
        <f>AVERAGE(AH26:AH27)</f>
        <v>639.08992375366574</v>
      </c>
      <c r="AK28" s="36"/>
      <c r="AL28" s="36">
        <f>AI28/AJ28</f>
        <v>187.06496100917101</v>
      </c>
      <c r="AR28" s="27" t="s">
        <v>65</v>
      </c>
      <c r="AS28" s="8" t="s">
        <v>66</v>
      </c>
      <c r="AT28" s="46"/>
      <c r="AU28" s="54"/>
      <c r="AV28" s="5" t="s">
        <v>103</v>
      </c>
      <c r="AW28" s="8" t="s">
        <v>104</v>
      </c>
      <c r="AX28" s="5" t="s">
        <v>71</v>
      </c>
      <c r="AY28" s="28" t="s">
        <v>72</v>
      </c>
      <c r="AZ28" s="5" t="s">
        <v>130</v>
      </c>
      <c r="BA28" s="28" t="s">
        <v>131</v>
      </c>
      <c r="BB28" s="5" t="s">
        <v>151</v>
      </c>
      <c r="BC28" s="28" t="s">
        <v>152</v>
      </c>
      <c r="BD28" s="5" t="s">
        <v>163</v>
      </c>
      <c r="BE28" s="28" t="s">
        <v>164</v>
      </c>
      <c r="BF28" s="5" t="s">
        <v>171</v>
      </c>
      <c r="BG28" s="28" t="s">
        <v>172</v>
      </c>
      <c r="BH28" s="16" t="s">
        <v>74</v>
      </c>
      <c r="BI28" s="23">
        <f>MIN(AR29,AT29,AV29,AX29,AZ29,BB29,BD29,BF29)</f>
        <v>1.8220515867574691</v>
      </c>
      <c r="BJ28" s="23">
        <f>MIN(AS29,AU29,AW29,AY29,BA29,BC29,BE29,BG29)</f>
        <v>1.812636165577342</v>
      </c>
    </row>
    <row r="29" spans="2:63" x14ac:dyDescent="0.25">
      <c r="AE29" s="274" t="s">
        <v>106</v>
      </c>
      <c r="AF29" s="274" t="s">
        <v>107</v>
      </c>
      <c r="AG29" s="60">
        <f>$AG$5*BI13</f>
        <v>68777.328912397046</v>
      </c>
      <c r="AH29" s="60">
        <f>$AH$5*BJ13</f>
        <v>409.14575411913819</v>
      </c>
      <c r="AI29" s="35"/>
      <c r="AJ29" s="35"/>
      <c r="AK29" s="36">
        <f>AG29/AH29</f>
        <v>168.09982315585739</v>
      </c>
      <c r="AL29" s="36"/>
      <c r="AR29" s="27">
        <f>C24/C8</f>
        <v>2.8486246915836606</v>
      </c>
      <c r="AS29" s="8">
        <f>D24/D8</f>
        <v>3.1261261261261262</v>
      </c>
      <c r="AT29" s="46"/>
      <c r="AU29" s="54"/>
      <c r="AV29" s="19">
        <f>S24/S8</f>
        <v>2.7020676542818665</v>
      </c>
      <c r="AW29" s="20">
        <f>T24/T8</f>
        <v>2.8636363636363638</v>
      </c>
      <c r="AX29" s="19">
        <f t="shared" ref="AX29:BG29" si="14">W24/W8</f>
        <v>2.4401237121525519</v>
      </c>
      <c r="AY29" s="47">
        <f t="shared" si="14"/>
        <v>2.342857142857143</v>
      </c>
      <c r="AZ29" s="19">
        <f t="shared" si="14"/>
        <v>2.7589896079212779</v>
      </c>
      <c r="BA29" s="47">
        <f t="shared" si="14"/>
        <v>2.5968586387434556</v>
      </c>
      <c r="BB29" s="19">
        <f t="shared" si="14"/>
        <v>1.8220515867574691</v>
      </c>
      <c r="BC29" s="47">
        <f t="shared" si="14"/>
        <v>1.812636165577342</v>
      </c>
      <c r="BD29" s="19">
        <f t="shared" si="14"/>
        <v>2.9487128982894197</v>
      </c>
      <c r="BE29" s="47">
        <f t="shared" si="14"/>
        <v>2.9361702127659575</v>
      </c>
      <c r="BF29" s="19">
        <f t="shared" si="14"/>
        <v>1.9249052904426425</v>
      </c>
      <c r="BG29" s="47">
        <f t="shared" si="14"/>
        <v>1.9557344064386317</v>
      </c>
      <c r="BH29" t="s">
        <v>75</v>
      </c>
      <c r="BI29" s="24">
        <f>MAX(AR29,AT29,AV29,AX29,AZ29,BB29,BD29,BF29)</f>
        <v>2.9487128982894197</v>
      </c>
      <c r="BJ29" s="24">
        <f>MAX(AS29,AU29,AW29,AY29,BA29,BC29,BE29,BG29)</f>
        <v>3.1261261261261262</v>
      </c>
    </row>
    <row r="30" spans="2:63" ht="15.75" thickBot="1" x14ac:dyDescent="0.3">
      <c r="V30"/>
      <c r="W30"/>
      <c r="X30"/>
      <c r="AE30" s="274"/>
      <c r="AF30" s="274" t="s">
        <v>108</v>
      </c>
      <c r="AG30" s="60">
        <f>$AG$5*BI14</f>
        <v>132459.3608919525</v>
      </c>
      <c r="AH30" s="60">
        <f>$AH$5*BJ14</f>
        <v>820.95121951219505</v>
      </c>
      <c r="AI30" s="36"/>
      <c r="AJ30" s="36"/>
      <c r="AK30" s="36">
        <f>AG30/AH30</f>
        <v>161.34863770670705</v>
      </c>
      <c r="AL30" s="36"/>
      <c r="AR30" s="29"/>
      <c r="AS30" s="33">
        <f>AR29-AS29</f>
        <v>-0.27750143454246556</v>
      </c>
      <c r="AT30" s="55"/>
      <c r="AU30" s="56"/>
      <c r="AV30" s="50"/>
      <c r="AW30" s="51">
        <f>AV29-AW29</f>
        <v>-0.1615687093544973</v>
      </c>
      <c r="AX30" s="34"/>
      <c r="AY30" s="30">
        <f>AX29-AY29</f>
        <v>9.7266569295408889E-2</v>
      </c>
      <c r="AZ30" s="34"/>
      <c r="BA30" s="30">
        <f>AZ29-BA29</f>
        <v>0.16213096917782233</v>
      </c>
      <c r="BB30" s="34"/>
      <c r="BC30" s="30">
        <f>BB29-BC29</f>
        <v>9.4154211801271703E-3</v>
      </c>
      <c r="BD30" s="34"/>
      <c r="BE30" s="30">
        <f>BD29-BE29</f>
        <v>1.2542685523462271E-2</v>
      </c>
      <c r="BF30" s="34"/>
      <c r="BG30" s="30">
        <f>BF29-BG29</f>
        <v>-3.0829115995989254E-2</v>
      </c>
    </row>
    <row r="31" spans="2:63" ht="15.75" thickBot="1" x14ac:dyDescent="0.3">
      <c r="V31"/>
      <c r="W31"/>
      <c r="X31"/>
      <c r="AE31" s="274"/>
      <c r="AF31" s="274"/>
      <c r="AI31" s="3">
        <f>AVERAGE(AG29:AG30)</f>
        <v>100618.34490217478</v>
      </c>
      <c r="AJ31" s="3">
        <f>AVERAGE(AH29:AH30)</f>
        <v>615.04848681566659</v>
      </c>
      <c r="AK31" s="36"/>
      <c r="AL31" s="36">
        <f t="shared" ref="AL31" si="15">AI31/AJ31</f>
        <v>163.59416706008523</v>
      </c>
    </row>
    <row r="32" spans="2:63" x14ac:dyDescent="0.25">
      <c r="AE32" s="274" t="s">
        <v>128</v>
      </c>
      <c r="AF32" s="274" t="s">
        <v>107</v>
      </c>
      <c r="AG32" s="60">
        <f>$AG$6*BI18</f>
        <v>74558.467731535507</v>
      </c>
      <c r="AH32" s="60">
        <f>$AH$6*BJ18</f>
        <v>388.65727699530515</v>
      </c>
      <c r="AI32" s="35"/>
      <c r="AJ32" s="35"/>
      <c r="AK32" s="36">
        <f>AG32/AH32</f>
        <v>191.83602660921269</v>
      </c>
      <c r="AL32" s="36"/>
      <c r="AR32" s="25" t="s">
        <v>139</v>
      </c>
      <c r="AS32" s="31" t="s">
        <v>139</v>
      </c>
      <c r="AT32" s="52"/>
      <c r="AU32" s="53"/>
      <c r="AV32" s="48" t="s">
        <v>139</v>
      </c>
      <c r="AW32" s="49" t="s">
        <v>139</v>
      </c>
      <c r="AX32" s="32" t="s">
        <v>139</v>
      </c>
      <c r="AY32" s="26" t="s">
        <v>139</v>
      </c>
      <c r="AZ32" s="32" t="s">
        <v>139</v>
      </c>
      <c r="BA32" s="26" t="s">
        <v>139</v>
      </c>
      <c r="BB32" s="32" t="s">
        <v>139</v>
      </c>
      <c r="BC32" s="26" t="s">
        <v>139</v>
      </c>
      <c r="BD32" s="32" t="s">
        <v>139</v>
      </c>
      <c r="BE32" s="26" t="s">
        <v>139</v>
      </c>
      <c r="BF32" s="32" t="s">
        <v>139</v>
      </c>
      <c r="BG32" s="26" t="s">
        <v>139</v>
      </c>
    </row>
    <row r="33" spans="25:62" x14ac:dyDescent="0.25">
      <c r="AE33" s="274"/>
      <c r="AF33" s="274" t="s">
        <v>108</v>
      </c>
      <c r="AG33" s="60">
        <f>$AG$6*BI19</f>
        <v>134718.67686997849</v>
      </c>
      <c r="AH33" s="60">
        <f>$AH$6*BJ19</f>
        <v>767.25555555555559</v>
      </c>
      <c r="AK33" s="36">
        <f>AG33/AH33</f>
        <v>175.58514356071515</v>
      </c>
      <c r="AL33" s="36"/>
      <c r="AR33" s="27" t="s">
        <v>65</v>
      </c>
      <c r="AS33" s="8" t="s">
        <v>66</v>
      </c>
      <c r="AT33" s="46"/>
      <c r="AU33" s="54"/>
      <c r="AV33" s="5" t="s">
        <v>103</v>
      </c>
      <c r="AW33" s="8" t="s">
        <v>104</v>
      </c>
      <c r="AX33" s="5" t="s">
        <v>71</v>
      </c>
      <c r="AY33" s="28" t="s">
        <v>72</v>
      </c>
      <c r="AZ33" s="5" t="s">
        <v>130</v>
      </c>
      <c r="BA33" s="28" t="s">
        <v>131</v>
      </c>
      <c r="BB33" s="5" t="s">
        <v>151</v>
      </c>
      <c r="BC33" s="28" t="s">
        <v>152</v>
      </c>
      <c r="BD33" s="5" t="s">
        <v>163</v>
      </c>
      <c r="BE33" s="28" t="s">
        <v>164</v>
      </c>
      <c r="BF33" s="5" t="s">
        <v>171</v>
      </c>
      <c r="BG33" s="28" t="s">
        <v>172</v>
      </c>
      <c r="BH33" s="16" t="s">
        <v>74</v>
      </c>
      <c r="BI33" s="23">
        <f>MIN(AR34,AT34,AV34,AX34,AZ34,BB34,BD34,BF34)</f>
        <v>1.7640143665233456</v>
      </c>
      <c r="BJ33" s="23">
        <f>MIN(AS34,AU34,AW34,AY34,BA34,BC34,BE34,BG34)</f>
        <v>1.746065057712487</v>
      </c>
    </row>
    <row r="34" spans="25:62" x14ac:dyDescent="0.25">
      <c r="AE34" s="35"/>
      <c r="AF34" s="35"/>
      <c r="AI34" s="3">
        <f>AVERAGE(AG32:AG33)</f>
        <v>104638.57230075699</v>
      </c>
      <c r="AJ34" s="3">
        <f>AVERAGE(AH32:AH33)</f>
        <v>577.95641627543034</v>
      </c>
      <c r="AK34" s="36"/>
      <c r="AL34" s="36">
        <f t="shared" ref="AL34" si="16">AI34/AJ34</f>
        <v>181.04924411963017</v>
      </c>
      <c r="AR34" s="27">
        <f>C24/C9</f>
        <v>2.7621726994816358</v>
      </c>
      <c r="AS34" s="8">
        <f>D24/D9</f>
        <v>3.0173913043478264</v>
      </c>
      <c r="AT34" s="46"/>
      <c r="AU34" s="54"/>
      <c r="AV34" s="19">
        <f>S24/S9</f>
        <v>2.6177472831092281</v>
      </c>
      <c r="AW34" s="20">
        <f>T24/T9</f>
        <v>2.7591240875912408</v>
      </c>
      <c r="AX34" s="19">
        <f t="shared" ref="AX34:BG34" si="17">W24/W9</f>
        <v>2.3011387913578183</v>
      </c>
      <c r="AY34" s="47">
        <f t="shared" si="17"/>
        <v>2.2312925170068025</v>
      </c>
      <c r="AZ34" s="19">
        <f t="shared" si="17"/>
        <v>2.4012432966036124</v>
      </c>
      <c r="BA34" s="47">
        <f t="shared" si="17"/>
        <v>2.2545454545454544</v>
      </c>
      <c r="BB34" s="19">
        <f t="shared" si="17"/>
        <v>1.7640143665233456</v>
      </c>
      <c r="BC34" s="47">
        <f t="shared" si="17"/>
        <v>1.746065057712487</v>
      </c>
      <c r="BD34" s="19">
        <f t="shared" si="17"/>
        <v>2.5784561166424877</v>
      </c>
      <c r="BE34" s="47">
        <f t="shared" si="17"/>
        <v>2.5398773006134969</v>
      </c>
      <c r="BF34" s="19">
        <f t="shared" si="17"/>
        <v>1.8806879981817886</v>
      </c>
      <c r="BG34" s="47">
        <f t="shared" si="17"/>
        <v>1.9133858267716535</v>
      </c>
      <c r="BH34" t="s">
        <v>75</v>
      </c>
      <c r="BI34" s="24">
        <f>MAX(AR34,AT34,AV34,AX34,AZ34,BB34,BD34,BF34)</f>
        <v>2.7621726994816358</v>
      </c>
      <c r="BJ34" s="24">
        <f>MAX(AS34,AU34,AW34,AY34,BA34,BC34,BE34,BG34)</f>
        <v>3.0173913043478264</v>
      </c>
    </row>
    <row r="35" spans="25:62" ht="15.75" thickBot="1" x14ac:dyDescent="0.3">
      <c r="AE35" s="35" t="s">
        <v>137</v>
      </c>
      <c r="AF35" s="35" t="s">
        <v>107</v>
      </c>
      <c r="AG35" s="60">
        <f>$AG$7*BI23</f>
        <v>76623.618287512931</v>
      </c>
      <c r="AH35" s="60">
        <f>$AH$7*BJ23</f>
        <v>397.79124579124579</v>
      </c>
      <c r="AK35" s="36">
        <f>AG35/AH35</f>
        <v>192.62268614056865</v>
      </c>
      <c r="AL35" s="36"/>
      <c r="AR35" s="29"/>
      <c r="AS35" s="33">
        <f>AR34-AS34</f>
        <v>-0.25521860486619063</v>
      </c>
      <c r="AT35" s="55"/>
      <c r="AU35" s="56"/>
      <c r="AV35" s="50"/>
      <c r="AW35" s="51">
        <f>AV34-AW34</f>
        <v>-0.14137680448201273</v>
      </c>
      <c r="AX35" s="34"/>
      <c r="AY35" s="30">
        <f>AX34-AY34</f>
        <v>6.9846274351015758E-2</v>
      </c>
      <c r="AZ35" s="34"/>
      <c r="BA35" s="30">
        <f>AZ34-BA34</f>
        <v>0.14669784205815795</v>
      </c>
      <c r="BB35" s="34"/>
      <c r="BC35" s="30">
        <f>BB34-BC34</f>
        <v>1.7949308810858655E-2</v>
      </c>
      <c r="BD35" s="34"/>
      <c r="BE35" s="30">
        <f>BD34-BE34</f>
        <v>3.8578816028990826E-2</v>
      </c>
      <c r="BF35" s="34"/>
      <c r="BG35" s="30">
        <f>BF34-BG34</f>
        <v>-3.2697828589864919E-2</v>
      </c>
    </row>
    <row r="36" spans="25:62" ht="15.75" thickBot="1" x14ac:dyDescent="0.3">
      <c r="AE36" s="35"/>
      <c r="AF36" s="35" t="s">
        <v>108</v>
      </c>
      <c r="AG36" s="60">
        <f>$AG$7*BI24</f>
        <v>134978.37464293026</v>
      </c>
      <c r="AH36" s="60">
        <f>$AH$7*BJ24</f>
        <v>778.01052631578943</v>
      </c>
      <c r="AK36" s="36">
        <f>AG36/AH36</f>
        <v>173.49170747356109</v>
      </c>
      <c r="AL36" s="36"/>
    </row>
    <row r="37" spans="25:62" x14ac:dyDescent="0.25">
      <c r="AE37" s="35"/>
      <c r="AF37" s="35"/>
      <c r="AI37" s="3">
        <f>AVERAGE(AG35:AG36)</f>
        <v>105800.9964652216</v>
      </c>
      <c r="AJ37" s="3">
        <f>AVERAGE(AH35:AH36)</f>
        <v>587.90088605351764</v>
      </c>
      <c r="AK37" s="36"/>
      <c r="AL37" s="36">
        <f t="shared" ref="AL37" si="18">AI37/AJ37</f>
        <v>179.96400239408783</v>
      </c>
      <c r="AR37" s="25" t="s">
        <v>142</v>
      </c>
      <c r="AS37" s="31" t="s">
        <v>142</v>
      </c>
      <c r="AT37" s="52"/>
      <c r="AU37" s="53"/>
      <c r="AV37" s="48" t="s">
        <v>142</v>
      </c>
      <c r="AW37" s="49" t="s">
        <v>142</v>
      </c>
      <c r="AX37" s="32" t="s">
        <v>142</v>
      </c>
      <c r="AY37" s="26" t="s">
        <v>142</v>
      </c>
      <c r="AZ37" s="32" t="s">
        <v>142</v>
      </c>
      <c r="BA37" s="26" t="s">
        <v>142</v>
      </c>
      <c r="BB37" s="32" t="s">
        <v>142</v>
      </c>
      <c r="BC37" s="26" t="s">
        <v>142</v>
      </c>
      <c r="BD37" s="32" t="s">
        <v>142</v>
      </c>
      <c r="BE37" s="26" t="s">
        <v>142</v>
      </c>
      <c r="BF37" s="32" t="s">
        <v>142</v>
      </c>
      <c r="BG37" s="26" t="s">
        <v>142</v>
      </c>
    </row>
    <row r="38" spans="25:62" x14ac:dyDescent="0.25">
      <c r="AE38" s="35" t="s">
        <v>138</v>
      </c>
      <c r="AF38" s="35" t="s">
        <v>107</v>
      </c>
      <c r="AG38" s="60">
        <f>$AG$8*BI28</f>
        <v>79376.963206115455</v>
      </c>
      <c r="AH38" s="60">
        <f>$AH$8*BJ28</f>
        <v>411.46840958605662</v>
      </c>
      <c r="AK38" s="36">
        <f>AG38/AH38</f>
        <v>192.91143950994893</v>
      </c>
      <c r="AL38" s="36"/>
      <c r="AR38" s="27" t="s">
        <v>65</v>
      </c>
      <c r="AS38" s="8" t="s">
        <v>66</v>
      </c>
      <c r="AT38" s="46"/>
      <c r="AU38" s="54"/>
      <c r="AV38" s="5" t="s">
        <v>103</v>
      </c>
      <c r="AW38" s="8" t="s">
        <v>104</v>
      </c>
      <c r="AX38" s="5" t="s">
        <v>71</v>
      </c>
      <c r="AY38" s="28" t="s">
        <v>72</v>
      </c>
      <c r="AZ38" s="5" t="s">
        <v>130</v>
      </c>
      <c r="BA38" s="28" t="s">
        <v>131</v>
      </c>
      <c r="BB38" s="5" t="s">
        <v>151</v>
      </c>
      <c r="BC38" s="28" t="s">
        <v>152</v>
      </c>
      <c r="BD38" s="5" t="s">
        <v>163</v>
      </c>
      <c r="BE38" s="28" t="s">
        <v>164</v>
      </c>
      <c r="BF38" s="5" t="s">
        <v>171</v>
      </c>
      <c r="BG38" s="28" t="s">
        <v>172</v>
      </c>
      <c r="BH38" s="16" t="s">
        <v>74</v>
      </c>
      <c r="BI38" s="23">
        <f>MIN(AR39,AT39,AV39,AX39,AZ39,BB39,BD39,BF39)</f>
        <v>1.6238484151068928</v>
      </c>
      <c r="BJ38" s="23">
        <f>MIN(AS39,AU39,AW39,AY39,BA39,BC39,BE39,BG39)</f>
        <v>1.5938697318007662</v>
      </c>
    </row>
    <row r="39" spans="25:62" x14ac:dyDescent="0.25">
      <c r="AE39" s="35"/>
      <c r="AF39" s="35" t="s">
        <v>108</v>
      </c>
      <c r="AG39" s="60">
        <f>$AG$8*BI29</f>
        <v>128459.52163706368</v>
      </c>
      <c r="AH39" s="60">
        <f>$AH$8*BJ29</f>
        <v>709.63063063063066</v>
      </c>
      <c r="AK39" s="36">
        <f>AG39/AH39</f>
        <v>181.02307889796833</v>
      </c>
      <c r="AL39" s="36"/>
      <c r="AR39" s="27">
        <f>C24/C10</f>
        <v>2.5783705541770057</v>
      </c>
      <c r="AS39" s="8">
        <f>D24/D10</f>
        <v>2.7983870967741935</v>
      </c>
      <c r="AT39" s="46"/>
      <c r="AU39" s="54"/>
      <c r="AV39" s="19">
        <f>S24/S10</f>
        <v>2.4494922654869797</v>
      </c>
      <c r="AW39" s="20">
        <f>T24/T10</f>
        <v>2.5627118644067797</v>
      </c>
      <c r="AX39" s="19">
        <f t="shared" ref="AX39:BG39" si="19">W24/W10</f>
        <v>2.2126793019060038</v>
      </c>
      <c r="AY39" s="47">
        <f t="shared" si="19"/>
        <v>2.1298701298701297</v>
      </c>
      <c r="AZ39" s="19">
        <f t="shared" si="19"/>
        <v>2.2375506550978295</v>
      </c>
      <c r="BA39" s="47">
        <f t="shared" si="19"/>
        <v>2.1016949152542375</v>
      </c>
      <c r="BB39" s="19">
        <f t="shared" si="19"/>
        <v>1.6238484151068928</v>
      </c>
      <c r="BC39" s="47">
        <f t="shared" si="19"/>
        <v>1.5938697318007662</v>
      </c>
      <c r="BD39" s="19">
        <f t="shared" si="19"/>
        <v>2.366305755330079</v>
      </c>
      <c r="BE39" s="47">
        <f t="shared" si="19"/>
        <v>2.3356840620592383</v>
      </c>
      <c r="BF39" s="19">
        <f t="shared" si="19"/>
        <v>1.8285179894722721</v>
      </c>
      <c r="BG39" s="47">
        <f t="shared" si="19"/>
        <v>1.8585086042065009</v>
      </c>
      <c r="BH39" t="s">
        <v>75</v>
      </c>
      <c r="BI39" s="24">
        <f>MAX(AR39,AT39,AV39,AX39,AZ39,BB39,BD39,BF39)</f>
        <v>2.5783705541770057</v>
      </c>
      <c r="BJ39" s="24">
        <f>MAX(AS39,AU39,AW39,AY39,BA39,BC39,BE39,BG39)</f>
        <v>2.7983870967741935</v>
      </c>
    </row>
    <row r="40" spans="25:62" ht="15.75" thickBot="1" x14ac:dyDescent="0.3">
      <c r="AE40" s="35"/>
      <c r="AF40" s="35"/>
      <c r="AI40" s="3">
        <f>AVERAGE(AG38:AG39)</f>
        <v>103918.24242158956</v>
      </c>
      <c r="AJ40" s="3">
        <f>AVERAGE(AH38:AH39)</f>
        <v>560.54952010834359</v>
      </c>
      <c r="AK40" s="36"/>
      <c r="AL40" s="36">
        <f t="shared" ref="AL40" si="20">AI40/AJ40</f>
        <v>185.38637300323464</v>
      </c>
      <c r="AR40" s="29"/>
      <c r="AS40" s="33">
        <f>AR39-AS39</f>
        <v>-0.22001654259718784</v>
      </c>
      <c r="AT40" s="55"/>
      <c r="AU40" s="56"/>
      <c r="AV40" s="50"/>
      <c r="AW40" s="51">
        <f>AV39-AW39</f>
        <v>-0.11321959891979994</v>
      </c>
      <c r="AX40" s="34"/>
      <c r="AY40" s="30">
        <f>AX39-AY39</f>
        <v>8.2809172035874123E-2</v>
      </c>
      <c r="AZ40" s="34"/>
      <c r="BA40" s="30">
        <f>AZ39-BA39</f>
        <v>0.135855739843592</v>
      </c>
      <c r="BB40" s="34"/>
      <c r="BC40" s="30">
        <f>BB39-BC39</f>
        <v>2.997868330612663E-2</v>
      </c>
      <c r="BD40" s="34"/>
      <c r="BE40" s="30">
        <f>BD39-BE39</f>
        <v>3.0621693270840744E-2</v>
      </c>
      <c r="BF40" s="34"/>
      <c r="BG40" s="30">
        <f>BF39-BG39</f>
        <v>-2.9990614734228815E-2</v>
      </c>
    </row>
    <row r="41" spans="25:62" x14ac:dyDescent="0.25">
      <c r="AE41" s="35" t="s">
        <v>140</v>
      </c>
      <c r="AF41" s="35" t="s">
        <v>107</v>
      </c>
      <c r="AG41" s="60">
        <f>$AG$9*BI33</f>
        <v>80911.075219007296</v>
      </c>
      <c r="AH41" s="60">
        <f>$AH$9*BJ33</f>
        <v>417.30954879328436</v>
      </c>
      <c r="AK41" s="36">
        <f>AG41/AH41</f>
        <v>193.88742829627139</v>
      </c>
      <c r="AL41" s="36"/>
    </row>
    <row r="42" spans="25:62" x14ac:dyDescent="0.25">
      <c r="AE42" s="35"/>
      <c r="AF42" s="35" t="s">
        <v>108</v>
      </c>
      <c r="AG42" s="60">
        <f>$AG$9*BI34</f>
        <v>126694.1853178435</v>
      </c>
      <c r="AH42" s="60">
        <f>$AH$9*BJ34</f>
        <v>721.15652173913054</v>
      </c>
      <c r="AK42" s="36">
        <f>AG42/AH42</f>
        <v>175.68195183524048</v>
      </c>
      <c r="AL42" s="36"/>
    </row>
    <row r="43" spans="25:62" x14ac:dyDescent="0.25">
      <c r="AE43" s="35"/>
      <c r="AF43" s="35"/>
      <c r="AI43" s="3">
        <f>AVERAGE(AG41:AG42)</f>
        <v>103802.63026842539</v>
      </c>
      <c r="AJ43" s="3">
        <f>AVERAGE(AH41:AH42)</f>
        <v>569.23303526620748</v>
      </c>
      <c r="AK43" s="36"/>
      <c r="AL43" s="36">
        <f t="shared" ref="AL43" si="21">AI43/AJ43</f>
        <v>182.35524616009164</v>
      </c>
    </row>
    <row r="44" spans="25:62" x14ac:dyDescent="0.25">
      <c r="AE44" s="35" t="s">
        <v>141</v>
      </c>
      <c r="AF44" s="35" t="s">
        <v>107</v>
      </c>
      <c r="AG44" s="60">
        <f>$AG$10*BI38</f>
        <v>78257.119790985176</v>
      </c>
      <c r="AH44" s="60">
        <f>$AH$10*BJ38</f>
        <v>400.06130268199229</v>
      </c>
      <c r="AK44" s="36">
        <f>AG44/AH44</f>
        <v>195.61282050114096</v>
      </c>
      <c r="AL44" s="36"/>
    </row>
    <row r="45" spans="25:62" x14ac:dyDescent="0.25">
      <c r="AE45" s="35"/>
      <c r="AF45" s="35" t="s">
        <v>108</v>
      </c>
      <c r="AG45" s="60">
        <f>$AG$10*BI39</f>
        <v>124257.81338124254</v>
      </c>
      <c r="AH45" s="60">
        <f>$AH$10*BJ39</f>
        <v>702.39516129032256</v>
      </c>
      <c r="AK45" s="36">
        <f>AG45/AH45</f>
        <v>176.90585048020111</v>
      </c>
      <c r="AL45" s="36"/>
    </row>
    <row r="46" spans="25:62" x14ac:dyDescent="0.25">
      <c r="AE46" s="35"/>
      <c r="AF46" s="35"/>
      <c r="AI46" s="3">
        <f>AVERAGE(AG44:AG45)</f>
        <v>101257.46658611385</v>
      </c>
      <c r="AJ46" s="3">
        <f>AVERAGE(AH44:AH45)</f>
        <v>551.22823198615743</v>
      </c>
      <c r="AK46" s="36"/>
      <c r="AL46" s="36">
        <f t="shared" ref="AL46" si="22">AI46/AJ46</f>
        <v>183.69426801901659</v>
      </c>
    </row>
    <row r="47" spans="25:62" x14ac:dyDescent="0.25">
      <c r="Y47" s="35"/>
      <c r="Z47" s="35"/>
      <c r="AE47" s="35"/>
      <c r="AF47" s="35"/>
      <c r="AG47" s="35"/>
      <c r="AH47" s="35"/>
      <c r="AK47" s="36"/>
      <c r="AL47" s="36"/>
    </row>
    <row r="48" spans="25:62" x14ac:dyDescent="0.25">
      <c r="AK48" s="36"/>
      <c r="AL48" s="36"/>
    </row>
    <row r="49" spans="33:36" x14ac:dyDescent="0.25">
      <c r="AG49" s="3">
        <f>AVERAGE(AG26:AG45)</f>
        <v>105655.36923037366</v>
      </c>
      <c r="AH49" s="3">
        <f>AVERAGE(AH26:AH45)</f>
        <v>585.85807146556976</v>
      </c>
      <c r="AI49" s="3"/>
      <c r="AJ49" s="3"/>
    </row>
    <row r="50" spans="33:36" x14ac:dyDescent="0.25">
      <c r="AG50" s="21">
        <f>AG49/AH49</f>
        <v>180.34294375439515</v>
      </c>
      <c r="AI50" s="21"/>
      <c r="AJ50" s="21"/>
    </row>
    <row r="51" spans="33:36" x14ac:dyDescent="0.25">
      <c r="AI51" s="21"/>
      <c r="AJ51" s="21"/>
    </row>
    <row r="52" spans="33:36" x14ac:dyDescent="0.25">
      <c r="AI52" s="21"/>
      <c r="AJ52" s="21"/>
    </row>
  </sheetData>
  <phoneticPr fontId="5" type="noConversion"/>
  <conditionalFormatting sqref="AI3:AP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:BG1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:BG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9:BG1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4:BG2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9:BG2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:BG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9:BG3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H45">
    <cfRule type="colorScale" priority="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AVENTURIA - Stories &amp; Legends</vt:lpstr>
      <vt:lpstr>Vergleich</vt:lpstr>
      <vt:lpstr>'AVENTURIA - Stories &amp; Legends'!Druckbereich</vt:lpstr>
      <vt:lpstr>'AVENTURIA - Stories &amp; Legends'!Drucktitel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HdA-Zentrale</cp:lastModifiedBy>
  <cp:lastPrinted>2023-03-14T23:42:32Z</cp:lastPrinted>
  <dcterms:created xsi:type="dcterms:W3CDTF">2021-01-19T21:15:58Z</dcterms:created>
  <dcterms:modified xsi:type="dcterms:W3CDTF">2023-03-14T23:43:00Z</dcterms:modified>
</cp:coreProperties>
</file>