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L:\DSA\CFs\DSK\DSK Refurbished\"/>
    </mc:Choice>
  </mc:AlternateContent>
  <xr:revisionPtr revIDLastSave="0" documentId="13_ncr:1_{8FA7C3B4-F34B-45F1-ABF8-877577C38709}" xr6:coauthVersionLast="47" xr6:coauthVersionMax="47" xr10:uidLastSave="{00000000-0000-0000-0000-000000000000}"/>
  <bookViews>
    <workbookView xWindow="2595" yWindow="-120" windowWidth="35925" windowHeight="21840" xr2:uid="{3C0DC3EB-12BA-4DE2-BE53-BC5B92B614A4}"/>
  </bookViews>
  <sheets>
    <sheet name="Übersicht &amp; Anleitung" sheetId="4" r:id="rId1"/>
    <sheet name="CF-Guide" sheetId="1" r:id="rId2"/>
    <sheet name="Vergleich" sheetId="2" state="hidden" r:id="rId3"/>
  </sheets>
  <definedNames>
    <definedName name="_xlnm.Print_Area" localSheetId="1">'CF-Guide'!$A$1:$S$114</definedName>
    <definedName name="_xlnm.Print_Area" localSheetId="0">'Übersicht &amp; Anleitung'!$A$1:$O$123</definedName>
    <definedName name="_xlnm.Print_Titles" localSheetId="1">'CF-Guide'!$1:$6</definedName>
    <definedName name="_xlnm.Print_Titles" localSheetId="0">'Übersicht &amp; Anleitung'!$1:$24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Z80" i="4"/>
  <c r="AE79" i="4"/>
  <c r="AF79" i="4"/>
  <c r="AG79" i="4"/>
  <c r="AH79" i="4"/>
  <c r="Z79" i="4"/>
  <c r="AE78" i="4"/>
  <c r="AF78" i="4"/>
  <c r="AG78" i="4"/>
  <c r="AH78" i="4"/>
  <c r="Z78" i="4"/>
  <c r="AE70" i="4"/>
  <c r="AF70" i="4"/>
  <c r="AG70" i="4"/>
  <c r="AH70" i="4"/>
  <c r="AE71" i="4"/>
  <c r="AF71" i="4"/>
  <c r="AG71" i="4"/>
  <c r="AH71" i="4"/>
  <c r="AE72" i="4"/>
  <c r="AF72" i="4"/>
  <c r="AG72" i="4"/>
  <c r="AH72" i="4"/>
  <c r="AE73" i="4"/>
  <c r="AF73" i="4"/>
  <c r="AG73" i="4"/>
  <c r="AH73" i="4"/>
  <c r="AE74" i="4"/>
  <c r="AF74" i="4"/>
  <c r="AG74" i="4"/>
  <c r="AH74" i="4"/>
  <c r="AE75" i="4"/>
  <c r="AF75" i="4"/>
  <c r="AG75" i="4"/>
  <c r="AH75" i="4"/>
  <c r="AE76" i="4"/>
  <c r="AF76" i="4"/>
  <c r="AG76" i="4"/>
  <c r="AH76" i="4"/>
  <c r="AE77" i="4"/>
  <c r="AF77" i="4"/>
  <c r="AG77" i="4"/>
  <c r="AH77" i="4"/>
  <c r="Z77" i="4"/>
  <c r="Z76" i="4"/>
  <c r="Z75" i="4"/>
  <c r="Z74" i="4"/>
  <c r="Z73" i="4"/>
  <c r="Z72" i="4"/>
  <c r="Z71" i="4"/>
  <c r="Z70" i="4"/>
  <c r="AE68" i="4"/>
  <c r="AF68" i="4"/>
  <c r="AG68" i="4"/>
  <c r="AH68" i="4"/>
  <c r="AE69" i="4"/>
  <c r="AF69" i="4"/>
  <c r="AG69" i="4"/>
  <c r="AH69" i="4"/>
  <c r="Z68" i="4"/>
  <c r="Z69" i="4"/>
  <c r="AE67" i="4"/>
  <c r="AF67" i="4"/>
  <c r="AG67" i="4"/>
  <c r="AH67" i="4"/>
  <c r="Z67" i="4"/>
  <c r="B1" i="1"/>
  <c r="AE63" i="4"/>
  <c r="AF63" i="4"/>
  <c r="AG63" i="4"/>
  <c r="AH63" i="4"/>
  <c r="AE64" i="4"/>
  <c r="AF64" i="4"/>
  <c r="AG64" i="4"/>
  <c r="AH64" i="4"/>
  <c r="AE65" i="4"/>
  <c r="AF65" i="4"/>
  <c r="AG65" i="4"/>
  <c r="AH65" i="4"/>
  <c r="AE66" i="4"/>
  <c r="AF66" i="4"/>
  <c r="AG66" i="4"/>
  <c r="AH66" i="4"/>
  <c r="Z66" i="4"/>
  <c r="Z65" i="4"/>
  <c r="Z64" i="4"/>
  <c r="Z63" i="4"/>
  <c r="CI80" i="4"/>
  <c r="CI79" i="4"/>
  <c r="CI78" i="4"/>
  <c r="CI77" i="4"/>
  <c r="CI76" i="4"/>
  <c r="CI75" i="4"/>
  <c r="CI74" i="4"/>
  <c r="CI73" i="4"/>
  <c r="CI72" i="4"/>
  <c r="CI71" i="4"/>
  <c r="CI70" i="4"/>
  <c r="CI69" i="4"/>
  <c r="CI68" i="4"/>
  <c r="CI67" i="4"/>
  <c r="CI66" i="4"/>
  <c r="CI65" i="4"/>
  <c r="CI64" i="4"/>
  <c r="CI63" i="4"/>
  <c r="CI62" i="4"/>
  <c r="CI61" i="4"/>
  <c r="CI60" i="4"/>
  <c r="CN80" i="4"/>
  <c r="CN79" i="4"/>
  <c r="CN78" i="4"/>
  <c r="CN77" i="4"/>
  <c r="CN76" i="4"/>
  <c r="CN75" i="4"/>
  <c r="CN74" i="4"/>
  <c r="CN73" i="4"/>
  <c r="CN72" i="4"/>
  <c r="CN71" i="4"/>
  <c r="CN70" i="4"/>
  <c r="CN69" i="4"/>
  <c r="CN68" i="4"/>
  <c r="CN67" i="4"/>
  <c r="CN66" i="4"/>
  <c r="CN65" i="4"/>
  <c r="CN64" i="4"/>
  <c r="CN63" i="4"/>
  <c r="CN62" i="4"/>
  <c r="CN61" i="4"/>
  <c r="CN59" i="4"/>
  <c r="CN60" i="4"/>
  <c r="AE62" i="4"/>
  <c r="AF62" i="4"/>
  <c r="AG62" i="4"/>
  <c r="AH62" i="4"/>
  <c r="Z62" i="4"/>
  <c r="P24" i="4"/>
  <c r="P23" i="4"/>
  <c r="P22" i="4"/>
  <c r="P21" i="4"/>
  <c r="P20" i="4"/>
  <c r="P18" i="4"/>
  <c r="P17" i="4"/>
  <c r="P16" i="4"/>
  <c r="P15" i="4"/>
  <c r="P5" i="1"/>
  <c r="O5" i="1"/>
  <c r="N5" i="1"/>
  <c r="M5" i="1"/>
  <c r="L5" i="1"/>
  <c r="K5" i="1"/>
  <c r="J5" i="1"/>
  <c r="I5" i="1"/>
  <c r="D23" i="4"/>
  <c r="D22" i="4"/>
  <c r="B20" i="4"/>
  <c r="AJ5" i="2"/>
  <c r="AJ4" i="2"/>
  <c r="AI5" i="2"/>
  <c r="AI4" i="2"/>
  <c r="E33" i="4"/>
  <c r="E34" i="4" s="1"/>
  <c r="E35" i="4" s="1"/>
  <c r="E36" i="4" s="1"/>
  <c r="E37" i="4" s="1"/>
  <c r="E38" i="4" s="1"/>
  <c r="E39" i="4" s="1"/>
  <c r="E40" i="4" s="1"/>
  <c r="E41" i="4" s="1"/>
  <c r="E42" i="4" s="1"/>
  <c r="E43" i="4" s="1"/>
  <c r="E44" i="4" s="1"/>
  <c r="E45" i="4" s="1"/>
  <c r="E46" i="4" s="1"/>
  <c r="E47" i="4" s="1"/>
  <c r="E48" i="4" s="1"/>
  <c r="E49" i="4" s="1"/>
  <c r="E50" i="4" s="1"/>
  <c r="E51" i="4" s="1"/>
  <c r="E52" i="4" s="1"/>
  <c r="E53" i="4" s="1"/>
  <c r="E54" i="4" s="1"/>
  <c r="CO109" i="4"/>
  <c r="CM109" i="4"/>
  <c r="CJ109" i="4"/>
  <c r="CH109" i="4"/>
  <c r="CE109" i="4"/>
  <c r="CC109" i="4"/>
  <c r="CA109" i="4"/>
  <c r="BY109" i="4"/>
  <c r="CO108" i="4"/>
  <c r="CM108" i="4"/>
  <c r="CJ108" i="4"/>
  <c r="CH108" i="4"/>
  <c r="CE108" i="4"/>
  <c r="CC108" i="4"/>
  <c r="CA108" i="4"/>
  <c r="BY108" i="4"/>
  <c r="CO107" i="4"/>
  <c r="CM107" i="4"/>
  <c r="CJ107" i="4"/>
  <c r="CH107" i="4"/>
  <c r="CE107" i="4"/>
  <c r="CC107" i="4"/>
  <c r="CA107" i="4"/>
  <c r="BY107" i="4"/>
  <c r="CO106" i="4"/>
  <c r="CM106" i="4"/>
  <c r="CJ106" i="4"/>
  <c r="CH106" i="4"/>
  <c r="CE106" i="4"/>
  <c r="CC106" i="4"/>
  <c r="CA106" i="4"/>
  <c r="BY106" i="4"/>
  <c r="CO105" i="4"/>
  <c r="CM105" i="4"/>
  <c r="CJ105" i="4"/>
  <c r="CH105" i="4"/>
  <c r="CE105" i="4"/>
  <c r="CC105" i="4"/>
  <c r="CA105" i="4"/>
  <c r="BY105" i="4"/>
  <c r="CO104" i="4"/>
  <c r="CM104" i="4"/>
  <c r="CJ104" i="4"/>
  <c r="CH104" i="4"/>
  <c r="CE104" i="4"/>
  <c r="CC104" i="4"/>
  <c r="CA104" i="4"/>
  <c r="BY104" i="4"/>
  <c r="CO103" i="4"/>
  <c r="CM103" i="4"/>
  <c r="CJ103" i="4"/>
  <c r="CH103" i="4"/>
  <c r="CE103" i="4"/>
  <c r="CC103" i="4"/>
  <c r="CA103" i="4"/>
  <c r="BY103" i="4"/>
  <c r="CO102" i="4"/>
  <c r="CM102" i="4"/>
  <c r="CJ102" i="4"/>
  <c r="CH102" i="4"/>
  <c r="CE102" i="4"/>
  <c r="CC102" i="4"/>
  <c r="CA102" i="4"/>
  <c r="BY102" i="4"/>
  <c r="CO101" i="4"/>
  <c r="CM101" i="4"/>
  <c r="CJ101" i="4"/>
  <c r="CH101" i="4"/>
  <c r="CE101" i="4"/>
  <c r="CC101" i="4"/>
  <c r="CA101" i="4"/>
  <c r="BY101" i="4"/>
  <c r="CO100" i="4"/>
  <c r="CM100" i="4"/>
  <c r="CJ100" i="4"/>
  <c r="CH100" i="4"/>
  <c r="CE100" i="4"/>
  <c r="CC100" i="4"/>
  <c r="CA100" i="4"/>
  <c r="BY100" i="4"/>
  <c r="CO99" i="4"/>
  <c r="CM99" i="4"/>
  <c r="CJ99" i="4"/>
  <c r="CH99" i="4"/>
  <c r="CE99" i="4"/>
  <c r="CC99" i="4"/>
  <c r="CA99" i="4"/>
  <c r="BY99" i="4"/>
  <c r="CO98" i="4"/>
  <c r="CM98" i="4"/>
  <c r="CJ98" i="4"/>
  <c r="CH98" i="4"/>
  <c r="CE98" i="4"/>
  <c r="CC98" i="4"/>
  <c r="CA98" i="4"/>
  <c r="BY98" i="4"/>
  <c r="CO97" i="4"/>
  <c r="CM97" i="4"/>
  <c r="CJ97" i="4"/>
  <c r="CH97" i="4"/>
  <c r="CE97" i="4"/>
  <c r="CC97" i="4"/>
  <c r="CA97" i="4"/>
  <c r="BY97" i="4"/>
  <c r="CO96" i="4"/>
  <c r="CM96" i="4"/>
  <c r="CJ96" i="4"/>
  <c r="CH96" i="4"/>
  <c r="CE96" i="4"/>
  <c r="CC96" i="4"/>
  <c r="CA96" i="4"/>
  <c r="BY96" i="4"/>
  <c r="CO95" i="4"/>
  <c r="CM95" i="4"/>
  <c r="CJ95" i="4"/>
  <c r="CH95" i="4"/>
  <c r="CE95" i="4"/>
  <c r="CC95" i="4"/>
  <c r="CA95" i="4"/>
  <c r="BY95" i="4"/>
  <c r="CO94" i="4"/>
  <c r="CM94" i="4"/>
  <c r="CJ94" i="4"/>
  <c r="CH94" i="4"/>
  <c r="CE94" i="4"/>
  <c r="CC94" i="4"/>
  <c r="CA94" i="4"/>
  <c r="BY94" i="4"/>
  <c r="CO93" i="4"/>
  <c r="CM93" i="4"/>
  <c r="CJ93" i="4"/>
  <c r="CH93" i="4"/>
  <c r="CE93" i="4"/>
  <c r="CC93" i="4"/>
  <c r="CA93" i="4"/>
  <c r="BY93" i="4"/>
  <c r="CO92" i="4"/>
  <c r="CM92" i="4"/>
  <c r="CJ92" i="4"/>
  <c r="CH92" i="4"/>
  <c r="CE92" i="4"/>
  <c r="CC92" i="4"/>
  <c r="CA92" i="4"/>
  <c r="BY92" i="4"/>
  <c r="CO91" i="4"/>
  <c r="CP91" i="4" s="1"/>
  <c r="CM91" i="4"/>
  <c r="CN91" i="4" s="1"/>
  <c r="CJ91" i="4"/>
  <c r="CK91" i="4" s="1"/>
  <c r="CH91" i="4"/>
  <c r="CI91" i="4" s="1"/>
  <c r="CE91" i="4"/>
  <c r="CF91" i="4" s="1"/>
  <c r="CC91" i="4"/>
  <c r="CD91" i="4" s="1"/>
  <c r="CA91" i="4"/>
  <c r="CB91" i="4" s="1"/>
  <c r="BY91" i="4"/>
  <c r="BZ91" i="4" s="1"/>
  <c r="AO90" i="4"/>
  <c r="AK90" i="4"/>
  <c r="I90" i="4"/>
  <c r="AO89" i="4"/>
  <c r="AK89" i="4"/>
  <c r="I89" i="4"/>
  <c r="M88" i="4"/>
  <c r="L88" i="4"/>
  <c r="I88" i="4"/>
  <c r="O87" i="4"/>
  <c r="N87" i="4"/>
  <c r="M87" i="4"/>
  <c r="L87" i="4"/>
  <c r="K87" i="4"/>
  <c r="J87" i="4"/>
  <c r="I87" i="4"/>
  <c r="CP80" i="4"/>
  <c r="CL80" i="4"/>
  <c r="BV80" i="4"/>
  <c r="BW80" i="4" s="1"/>
  <c r="BU80" i="4"/>
  <c r="BS80" i="4"/>
  <c r="BT80" i="4" s="1"/>
  <c r="BN80" i="4"/>
  <c r="BO80" i="4" s="1"/>
  <c r="BM80" i="4"/>
  <c r="BK80" i="4"/>
  <c r="BL80" i="4" s="1"/>
  <c r="BF80" i="4"/>
  <c r="BG80" i="4" s="1"/>
  <c r="BC80" i="4"/>
  <c r="BD80" i="4" s="1"/>
  <c r="CP79" i="4"/>
  <c r="CL79" i="4"/>
  <c r="BV79" i="4"/>
  <c r="BW79" i="4" s="1"/>
  <c r="BU79" i="4"/>
  <c r="BS79" i="4"/>
  <c r="BT79" i="4" s="1"/>
  <c r="BN79" i="4"/>
  <c r="BO79" i="4" s="1"/>
  <c r="BM79" i="4"/>
  <c r="BK79" i="4"/>
  <c r="BL79" i="4" s="1"/>
  <c r="BF79" i="4"/>
  <c r="BG79" i="4" s="1"/>
  <c r="BC79" i="4"/>
  <c r="BD79" i="4" s="1"/>
  <c r="CP78" i="4"/>
  <c r="CL78" i="4"/>
  <c r="BV78" i="4"/>
  <c r="BW78" i="4" s="1"/>
  <c r="BU78" i="4"/>
  <c r="BS78" i="4"/>
  <c r="BT78" i="4" s="1"/>
  <c r="BN78" i="4"/>
  <c r="BO78" i="4" s="1"/>
  <c r="BM78" i="4"/>
  <c r="BK78" i="4"/>
  <c r="BL78" i="4" s="1"/>
  <c r="BF78" i="4"/>
  <c r="BG78" i="4" s="1"/>
  <c r="BC78" i="4"/>
  <c r="BD78" i="4" s="1"/>
  <c r="CP77" i="4"/>
  <c r="CL77" i="4"/>
  <c r="BV77" i="4"/>
  <c r="BW77" i="4" s="1"/>
  <c r="BU77" i="4"/>
  <c r="BS77" i="4"/>
  <c r="BT77" i="4" s="1"/>
  <c r="BN77" i="4"/>
  <c r="BO77" i="4" s="1"/>
  <c r="BM77" i="4"/>
  <c r="BK77" i="4"/>
  <c r="BL77" i="4" s="1"/>
  <c r="BF77" i="4"/>
  <c r="BG77" i="4" s="1"/>
  <c r="BC77" i="4"/>
  <c r="BD77" i="4" s="1"/>
  <c r="CP76" i="4"/>
  <c r="CL76" i="4"/>
  <c r="CK76" i="4"/>
  <c r="BV76" i="4"/>
  <c r="BW76" i="4" s="1"/>
  <c r="BU76" i="4"/>
  <c r="BS76" i="4"/>
  <c r="BT76" i="4" s="1"/>
  <c r="BN76" i="4"/>
  <c r="BO76" i="4" s="1"/>
  <c r="BM76" i="4"/>
  <c r="BK76" i="4"/>
  <c r="BL76" i="4" s="1"/>
  <c r="BF76" i="4"/>
  <c r="BG76" i="4" s="1"/>
  <c r="BC76" i="4"/>
  <c r="BD76" i="4" s="1"/>
  <c r="CP75" i="4"/>
  <c r="CL75" i="4"/>
  <c r="BV75" i="4"/>
  <c r="BW75" i="4" s="1"/>
  <c r="BU75" i="4"/>
  <c r="BS75" i="4"/>
  <c r="BT75" i="4" s="1"/>
  <c r="BN75" i="4"/>
  <c r="BO75" i="4" s="1"/>
  <c r="BM75" i="4"/>
  <c r="BK75" i="4"/>
  <c r="BL75" i="4" s="1"/>
  <c r="BF75" i="4"/>
  <c r="BG75" i="4" s="1"/>
  <c r="BC75" i="4"/>
  <c r="BD75" i="4" s="1"/>
  <c r="CP74" i="4"/>
  <c r="CL74" i="4"/>
  <c r="BV74" i="4"/>
  <c r="BW74" i="4" s="1"/>
  <c r="BU74" i="4"/>
  <c r="BS74" i="4"/>
  <c r="BT74" i="4" s="1"/>
  <c r="BN74" i="4"/>
  <c r="BO74" i="4" s="1"/>
  <c r="BM74" i="4"/>
  <c r="BK74" i="4"/>
  <c r="BL74" i="4" s="1"/>
  <c r="BF74" i="4"/>
  <c r="BG74" i="4" s="1"/>
  <c r="BC74" i="4"/>
  <c r="BD74" i="4" s="1"/>
  <c r="CP73" i="4"/>
  <c r="CL73" i="4"/>
  <c r="BV73" i="4"/>
  <c r="BW73" i="4" s="1"/>
  <c r="BU73" i="4"/>
  <c r="BS73" i="4"/>
  <c r="BT73" i="4" s="1"/>
  <c r="BN73" i="4"/>
  <c r="BO73" i="4" s="1"/>
  <c r="BM73" i="4"/>
  <c r="BK73" i="4"/>
  <c r="BL73" i="4" s="1"/>
  <c r="BF73" i="4"/>
  <c r="BG73" i="4" s="1"/>
  <c r="BC73" i="4"/>
  <c r="BD73" i="4" s="1"/>
  <c r="CP72" i="4"/>
  <c r="CL72" i="4"/>
  <c r="BV72" i="4"/>
  <c r="BW72" i="4" s="1"/>
  <c r="BU72" i="4"/>
  <c r="BS72" i="4"/>
  <c r="BT72" i="4" s="1"/>
  <c r="BN72" i="4"/>
  <c r="BO72" i="4" s="1"/>
  <c r="BM72" i="4"/>
  <c r="BK72" i="4"/>
  <c r="BL72" i="4" s="1"/>
  <c r="BF72" i="4"/>
  <c r="BG72" i="4" s="1"/>
  <c r="BC72" i="4"/>
  <c r="BD72" i="4" s="1"/>
  <c r="CP71" i="4"/>
  <c r="CL71" i="4"/>
  <c r="BV71" i="4"/>
  <c r="BW71" i="4" s="1"/>
  <c r="BU71" i="4"/>
  <c r="BS71" i="4"/>
  <c r="BT71" i="4" s="1"/>
  <c r="BN71" i="4"/>
  <c r="BO71" i="4" s="1"/>
  <c r="BM71" i="4"/>
  <c r="BK71" i="4"/>
  <c r="BL71" i="4" s="1"/>
  <c r="BF71" i="4"/>
  <c r="BG71" i="4" s="1"/>
  <c r="BC71" i="4"/>
  <c r="BD71" i="4" s="1"/>
  <c r="CP70" i="4"/>
  <c r="CL70" i="4"/>
  <c r="BV70" i="4"/>
  <c r="BW70" i="4" s="1"/>
  <c r="BU70" i="4"/>
  <c r="BS70" i="4"/>
  <c r="BT70" i="4" s="1"/>
  <c r="BN70" i="4"/>
  <c r="BO70" i="4" s="1"/>
  <c r="BM70" i="4"/>
  <c r="BK70" i="4"/>
  <c r="BL70" i="4" s="1"/>
  <c r="BF70" i="4"/>
  <c r="BG70" i="4" s="1"/>
  <c r="BC70" i="4"/>
  <c r="BD70" i="4" s="1"/>
  <c r="CP69" i="4"/>
  <c r="CL69" i="4"/>
  <c r="BV69" i="4"/>
  <c r="BW69" i="4" s="1"/>
  <c r="BU69" i="4"/>
  <c r="BS69" i="4"/>
  <c r="BT69" i="4" s="1"/>
  <c r="BN69" i="4"/>
  <c r="BO69" i="4" s="1"/>
  <c r="BM69" i="4"/>
  <c r="BK69" i="4"/>
  <c r="BL69" i="4" s="1"/>
  <c r="BF69" i="4"/>
  <c r="BG69" i="4" s="1"/>
  <c r="BC69" i="4"/>
  <c r="BD69" i="4" s="1"/>
  <c r="CP68" i="4"/>
  <c r="CL68" i="4"/>
  <c r="BV68" i="4"/>
  <c r="BW68" i="4" s="1"/>
  <c r="BU68" i="4"/>
  <c r="BS68" i="4"/>
  <c r="BT68" i="4" s="1"/>
  <c r="BN68" i="4"/>
  <c r="BO68" i="4" s="1"/>
  <c r="BM68" i="4"/>
  <c r="BK68" i="4"/>
  <c r="BL68" i="4" s="1"/>
  <c r="BF68" i="4"/>
  <c r="BG68" i="4" s="1"/>
  <c r="BC68" i="4"/>
  <c r="BD68" i="4" s="1"/>
  <c r="CP67" i="4"/>
  <c r="CL67" i="4"/>
  <c r="BV67" i="4"/>
  <c r="BW67" i="4" s="1"/>
  <c r="BU67" i="4"/>
  <c r="BS67" i="4"/>
  <c r="BT67" i="4" s="1"/>
  <c r="BN67" i="4"/>
  <c r="BO67" i="4" s="1"/>
  <c r="BM67" i="4"/>
  <c r="BK67" i="4"/>
  <c r="BL67" i="4" s="1"/>
  <c r="BF67" i="4"/>
  <c r="BG67" i="4" s="1"/>
  <c r="BC67" i="4"/>
  <c r="BD67" i="4" s="1"/>
  <c r="CP66" i="4"/>
  <c r="CL66" i="4"/>
  <c r="BV66" i="4"/>
  <c r="BW66" i="4" s="1"/>
  <c r="BU66" i="4"/>
  <c r="BS66" i="4"/>
  <c r="BT66" i="4" s="1"/>
  <c r="BN66" i="4"/>
  <c r="BO66" i="4" s="1"/>
  <c r="BM66" i="4"/>
  <c r="BK66" i="4"/>
  <c r="BL66" i="4" s="1"/>
  <c r="BF66" i="4"/>
  <c r="BG66" i="4" s="1"/>
  <c r="BC66" i="4"/>
  <c r="BD66" i="4" s="1"/>
  <c r="CP65" i="4"/>
  <c r="CL65" i="4"/>
  <c r="BV65" i="4"/>
  <c r="BW65" i="4" s="1"/>
  <c r="BU65" i="4"/>
  <c r="BS65" i="4"/>
  <c r="BT65" i="4" s="1"/>
  <c r="BN65" i="4"/>
  <c r="BO65" i="4" s="1"/>
  <c r="BM65" i="4"/>
  <c r="BK65" i="4"/>
  <c r="BL65" i="4" s="1"/>
  <c r="BF65" i="4"/>
  <c r="BG65" i="4" s="1"/>
  <c r="BC65" i="4"/>
  <c r="BD65" i="4" s="1"/>
  <c r="CP64" i="4"/>
  <c r="CL64" i="4"/>
  <c r="BV64" i="4"/>
  <c r="BW64" i="4" s="1"/>
  <c r="BU64" i="4"/>
  <c r="BS64" i="4"/>
  <c r="BT64" i="4" s="1"/>
  <c r="BN64" i="4"/>
  <c r="BO64" i="4" s="1"/>
  <c r="BM64" i="4"/>
  <c r="BK64" i="4"/>
  <c r="BL64" i="4" s="1"/>
  <c r="BF64" i="4"/>
  <c r="BG64" i="4" s="1"/>
  <c r="BC64" i="4"/>
  <c r="BD64" i="4" s="1"/>
  <c r="CP63" i="4"/>
  <c r="CL63" i="4"/>
  <c r="BV63" i="4"/>
  <c r="BW63" i="4" s="1"/>
  <c r="BU63" i="4"/>
  <c r="BS63" i="4"/>
  <c r="BT63" i="4" s="1"/>
  <c r="BN63" i="4"/>
  <c r="BO63" i="4" s="1"/>
  <c r="BM63" i="4"/>
  <c r="BK63" i="4"/>
  <c r="BL63" i="4" s="1"/>
  <c r="BF63" i="4"/>
  <c r="BG63" i="4" s="1"/>
  <c r="BC63" i="4"/>
  <c r="BD63" i="4" s="1"/>
  <c r="CP62" i="4"/>
  <c r="CL62" i="4"/>
  <c r="BV62" i="4"/>
  <c r="BW62" i="4" s="1"/>
  <c r="BU62" i="4"/>
  <c r="BS62" i="4"/>
  <c r="BT62" i="4" s="1"/>
  <c r="BN62" i="4"/>
  <c r="BO62" i="4" s="1"/>
  <c r="BM62" i="4"/>
  <c r="BK62" i="4"/>
  <c r="BL62" i="4" s="1"/>
  <c r="BF62" i="4"/>
  <c r="BG62" i="4" s="1"/>
  <c r="BC62" i="4"/>
  <c r="BD62" i="4" s="1"/>
  <c r="CP61" i="4"/>
  <c r="CL61" i="4"/>
  <c r="BV61" i="4"/>
  <c r="BW61" i="4" s="1"/>
  <c r="BU61" i="4"/>
  <c r="BS61" i="4"/>
  <c r="BT61" i="4" s="1"/>
  <c r="BN61" i="4"/>
  <c r="BO61" i="4" s="1"/>
  <c r="BM61" i="4"/>
  <c r="BK61" i="4"/>
  <c r="BL61" i="4" s="1"/>
  <c r="BF61" i="4"/>
  <c r="BG61" i="4" s="1"/>
  <c r="BC61" i="4"/>
  <c r="BD61" i="4" s="1"/>
  <c r="AT61" i="4"/>
  <c r="AS61" i="4"/>
  <c r="AH61" i="4"/>
  <c r="AO61" i="4" s="1"/>
  <c r="AG61" i="4"/>
  <c r="AM61" i="4" s="1"/>
  <c r="AM90" i="4" s="1"/>
  <c r="AF61" i="4"/>
  <c r="J90" i="4" s="1"/>
  <c r="AE61" i="4"/>
  <c r="J61" i="4" s="1"/>
  <c r="AB61" i="4"/>
  <c r="AA61" i="4"/>
  <c r="AV61" i="4" s="1"/>
  <c r="Z61" i="4"/>
  <c r="AB7" i="4" s="1"/>
  <c r="I61" i="4"/>
  <c r="CP60" i="4"/>
  <c r="CL60" i="4"/>
  <c r="BV60" i="4"/>
  <c r="BW60" i="4" s="1"/>
  <c r="BX60" i="4" s="1"/>
  <c r="BU60" i="4"/>
  <c r="BS60" i="4"/>
  <c r="BT60" i="4" s="1"/>
  <c r="BN60" i="4"/>
  <c r="BO60" i="4" s="1"/>
  <c r="BP60" i="4" s="1"/>
  <c r="BM60" i="4"/>
  <c r="BK60" i="4"/>
  <c r="BL60" i="4" s="1"/>
  <c r="BF60" i="4"/>
  <c r="BG60" i="4" s="1"/>
  <c r="BH60" i="4" s="1"/>
  <c r="BC60" i="4"/>
  <c r="BD60" i="4" s="1"/>
  <c r="BE60" i="4" s="1"/>
  <c r="AT60" i="4"/>
  <c r="AS60" i="4"/>
  <c r="AI60" i="4"/>
  <c r="AI89" i="4" s="1"/>
  <c r="AH60" i="4"/>
  <c r="K89" i="4" s="1"/>
  <c r="AG60" i="4"/>
  <c r="K60" i="4" s="1"/>
  <c r="AF60" i="4"/>
  <c r="J89" i="4" s="1"/>
  <c r="AE60" i="4"/>
  <c r="J60" i="4" s="1"/>
  <c r="AB60" i="4"/>
  <c r="AA60" i="4"/>
  <c r="AA4" i="4" s="1"/>
  <c r="Z60" i="4"/>
  <c r="AK60" i="4" s="1"/>
  <c r="L89" i="4" s="1"/>
  <c r="S60" i="4"/>
  <c r="U60" i="4" s="1"/>
  <c r="H60" i="4" s="1"/>
  <c r="H89" i="4" s="1"/>
  <c r="I60" i="4"/>
  <c r="M59" i="4"/>
  <c r="I59" i="4"/>
  <c r="CL59" i="4"/>
  <c r="AI59" i="4"/>
  <c r="L59" i="4" s="1"/>
  <c r="AH59" i="4"/>
  <c r="K88" i="4" s="1"/>
  <c r="AG59" i="4"/>
  <c r="K59" i="4" s="1"/>
  <c r="AF59" i="4"/>
  <c r="J88" i="4" s="1"/>
  <c r="AE59" i="4"/>
  <c r="J59" i="4" s="1"/>
  <c r="U59" i="4"/>
  <c r="H59" i="4" s="1"/>
  <c r="H88" i="4" s="1"/>
  <c r="R59" i="4"/>
  <c r="Q11" i="4"/>
  <c r="D20" i="4" s="1"/>
  <c r="Q12" i="4" l="1"/>
  <c r="P6" i="1" s="1"/>
  <c r="BP61" i="4"/>
  <c r="BP62" i="4" s="1"/>
  <c r="BP63" i="4" s="1"/>
  <c r="BP64" i="4" s="1"/>
  <c r="BP65" i="4" s="1"/>
  <c r="BP66" i="4" s="1"/>
  <c r="BP67" i="4" s="1"/>
  <c r="BP68" i="4" s="1"/>
  <c r="BP69" i="4" s="1"/>
  <c r="BP70" i="4" s="1"/>
  <c r="BP71" i="4" s="1"/>
  <c r="BP72" i="4" s="1"/>
  <c r="BP73" i="4" s="1"/>
  <c r="BP74" i="4" s="1"/>
  <c r="BP75" i="4" s="1"/>
  <c r="BP76" i="4" s="1"/>
  <c r="BP77" i="4" s="1"/>
  <c r="BP78" i="4" s="1"/>
  <c r="BP79" i="4" s="1"/>
  <c r="BP80" i="4" s="1"/>
  <c r="CH115" i="4"/>
  <c r="AU61" i="4"/>
  <c r="CF92" i="4"/>
  <c r="CF93" i="4" s="1"/>
  <c r="CF94" i="4" s="1"/>
  <c r="CF95" i="4" s="1"/>
  <c r="CF96" i="4" s="1"/>
  <c r="CF97" i="4" s="1"/>
  <c r="CF98" i="4" s="1"/>
  <c r="CF99" i="4" s="1"/>
  <c r="CF100" i="4" s="1"/>
  <c r="CF101" i="4" s="1"/>
  <c r="CF102" i="4" s="1"/>
  <c r="CF103" i="4" s="1"/>
  <c r="CF104" i="4" s="1"/>
  <c r="CF105" i="4" s="1"/>
  <c r="CF106" i="4" s="1"/>
  <c r="CF107" i="4" s="1"/>
  <c r="CF108" i="4" s="1"/>
  <c r="CF109" i="4" s="1"/>
  <c r="AA7" i="4"/>
  <c r="AC7" i="4" s="1"/>
  <c r="CI92" i="4"/>
  <c r="CI93" i="4" s="1"/>
  <c r="CI94" i="4" s="1"/>
  <c r="CI95" i="4" s="1"/>
  <c r="CI96" i="4" s="1"/>
  <c r="CI97" i="4" s="1"/>
  <c r="CI98" i="4" s="1"/>
  <c r="CI99" i="4" s="1"/>
  <c r="CI100" i="4" s="1"/>
  <c r="CI101" i="4" s="1"/>
  <c r="CI102" i="4" s="1"/>
  <c r="CI103" i="4" s="1"/>
  <c r="CI104" i="4" s="1"/>
  <c r="CI105" i="4" s="1"/>
  <c r="CI106" i="4" s="1"/>
  <c r="CI107" i="4" s="1"/>
  <c r="CI108" i="4" s="1"/>
  <c r="CI109" i="4" s="1"/>
  <c r="AB4" i="4"/>
  <c r="AC4" i="4" s="1"/>
  <c r="CA115" i="4"/>
  <c r="AK94" i="4"/>
  <c r="K61" i="4"/>
  <c r="AO94" i="4"/>
  <c r="AD60" i="4"/>
  <c r="CK92" i="4"/>
  <c r="CK93" i="4" s="1"/>
  <c r="CK94" i="4" s="1"/>
  <c r="CK95" i="4" s="1"/>
  <c r="CK96" i="4" s="1"/>
  <c r="CK97" i="4" s="1"/>
  <c r="CK98" i="4" s="1"/>
  <c r="CK99" i="4" s="1"/>
  <c r="CK100" i="4" s="1"/>
  <c r="CK101" i="4" s="1"/>
  <c r="CK102" i="4" s="1"/>
  <c r="CK103" i="4" s="1"/>
  <c r="CK104" i="4" s="1"/>
  <c r="CK105" i="4" s="1"/>
  <c r="CK106" i="4" s="1"/>
  <c r="CK107" i="4" s="1"/>
  <c r="CK108" i="4" s="1"/>
  <c r="CK109" i="4" s="1"/>
  <c r="S61" i="4"/>
  <c r="R61" i="4" s="1"/>
  <c r="CP92" i="4"/>
  <c r="CP93" i="4" s="1"/>
  <c r="CP94" i="4" s="1"/>
  <c r="CP95" i="4" s="1"/>
  <c r="CP96" i="4" s="1"/>
  <c r="CP97" i="4" s="1"/>
  <c r="CP98" i="4" s="1"/>
  <c r="CP99" i="4" s="1"/>
  <c r="CP100" i="4" s="1"/>
  <c r="CP101" i="4" s="1"/>
  <c r="CP102" i="4" s="1"/>
  <c r="CP103" i="4" s="1"/>
  <c r="CP104" i="4" s="1"/>
  <c r="CP105" i="4" s="1"/>
  <c r="CP106" i="4" s="1"/>
  <c r="CP107" i="4" s="1"/>
  <c r="CP108" i="4" s="1"/>
  <c r="CP109" i="4" s="1"/>
  <c r="AD61" i="4"/>
  <c r="AV60" i="4"/>
  <c r="BG108" i="4"/>
  <c r="BG93" i="4"/>
  <c r="BW97" i="4"/>
  <c r="BL103" i="4"/>
  <c r="CM115" i="4"/>
  <c r="CO115" i="4"/>
  <c r="BE61" i="4"/>
  <c r="BE62" i="4" s="1"/>
  <c r="BE63" i="4" s="1"/>
  <c r="BE64" i="4" s="1"/>
  <c r="BE65" i="4" s="1"/>
  <c r="BE66" i="4" s="1"/>
  <c r="BE67" i="4" s="1"/>
  <c r="BE68" i="4" s="1"/>
  <c r="BE69" i="4" s="1"/>
  <c r="BE70" i="4" s="1"/>
  <c r="BE71" i="4" s="1"/>
  <c r="BE72" i="4" s="1"/>
  <c r="BE73" i="4" s="1"/>
  <c r="BE74" i="4" s="1"/>
  <c r="BE75" i="4" s="1"/>
  <c r="BE76" i="4" s="1"/>
  <c r="BE77" i="4" s="1"/>
  <c r="BE78" i="4" s="1"/>
  <c r="BE79" i="4" s="1"/>
  <c r="BE80" i="4" s="1"/>
  <c r="CN92" i="4"/>
  <c r="CN93" i="4" s="1"/>
  <c r="CN94" i="4" s="1"/>
  <c r="CN95" i="4" s="1"/>
  <c r="CN96" i="4" s="1"/>
  <c r="CN97" i="4" s="1"/>
  <c r="CN98" i="4" s="1"/>
  <c r="CN99" i="4" s="1"/>
  <c r="CN100" i="4" s="1"/>
  <c r="CN101" i="4" s="1"/>
  <c r="CN102" i="4" s="1"/>
  <c r="CN103" i="4" s="1"/>
  <c r="CN104" i="4" s="1"/>
  <c r="CN105" i="4" s="1"/>
  <c r="CN106" i="4" s="1"/>
  <c r="CN107" i="4" s="1"/>
  <c r="CN108" i="4" s="1"/>
  <c r="CN109" i="4" s="1"/>
  <c r="BL104" i="4"/>
  <c r="BH61" i="4"/>
  <c r="BH62" i="4" s="1"/>
  <c r="BH63" i="4" s="1"/>
  <c r="BH64" i="4" s="1"/>
  <c r="BH65" i="4" s="1"/>
  <c r="BH66" i="4" s="1"/>
  <c r="BH67" i="4" s="1"/>
  <c r="BH68" i="4" s="1"/>
  <c r="BH69" i="4" s="1"/>
  <c r="BH70" i="4" s="1"/>
  <c r="BH71" i="4" s="1"/>
  <c r="BH72" i="4" s="1"/>
  <c r="BH73" i="4" s="1"/>
  <c r="BH74" i="4" s="1"/>
  <c r="BH75" i="4" s="1"/>
  <c r="BH76" i="4" s="1"/>
  <c r="BH77" i="4" s="1"/>
  <c r="BH78" i="4" s="1"/>
  <c r="BH79" i="4" s="1"/>
  <c r="BH80" i="4" s="1"/>
  <c r="AK61" i="4"/>
  <c r="L90" i="4" s="1"/>
  <c r="AC60" i="4"/>
  <c r="BO99" i="4"/>
  <c r="CJ115" i="4"/>
  <c r="AL60" i="4"/>
  <c r="AC61" i="4"/>
  <c r="CB92" i="4"/>
  <c r="CB93" i="4" s="1"/>
  <c r="CB94" i="4" s="1"/>
  <c r="CB95" i="4" s="1"/>
  <c r="CB96" i="4" s="1"/>
  <c r="CB97" i="4" s="1"/>
  <c r="CB98" i="4" s="1"/>
  <c r="CB99" i="4" s="1"/>
  <c r="CB100" i="4" s="1"/>
  <c r="CB101" i="4" s="1"/>
  <c r="CB102" i="4" s="1"/>
  <c r="CB103" i="4" s="1"/>
  <c r="CB104" i="4" s="1"/>
  <c r="CB105" i="4" s="1"/>
  <c r="CB106" i="4" s="1"/>
  <c r="CB107" i="4" s="1"/>
  <c r="CB108" i="4" s="1"/>
  <c r="CB109" i="4" s="1"/>
  <c r="BD105" i="4"/>
  <c r="BY115" i="4"/>
  <c r="BG96" i="4"/>
  <c r="BW94" i="4"/>
  <c r="BT91" i="4"/>
  <c r="BU91" i="4" s="1"/>
  <c r="BT106" i="4"/>
  <c r="BT105" i="4"/>
  <c r="BT99" i="4"/>
  <c r="BT101" i="4"/>
  <c r="BO103" i="4"/>
  <c r="BW91" i="4"/>
  <c r="BX91" i="4" s="1"/>
  <c r="BW100" i="4"/>
  <c r="BG98" i="4"/>
  <c r="BT103" i="4"/>
  <c r="BD95" i="4"/>
  <c r="BT96" i="4"/>
  <c r="BG100" i="4"/>
  <c r="BL100" i="4"/>
  <c r="BL95" i="4"/>
  <c r="BO95" i="4"/>
  <c r="BT100" i="4"/>
  <c r="BL102" i="4"/>
  <c r="BW98" i="4"/>
  <c r="BO107" i="4"/>
  <c r="BG94" i="4"/>
  <c r="BT95" i="4"/>
  <c r="BD97" i="4"/>
  <c r="BO102" i="4"/>
  <c r="BD106" i="4"/>
  <c r="BL109" i="4"/>
  <c r="BW99" i="4"/>
  <c r="BT93" i="4"/>
  <c r="BD102" i="4"/>
  <c r="BO92" i="4"/>
  <c r="BT92" i="4"/>
  <c r="BG97" i="4"/>
  <c r="BT102" i="4"/>
  <c r="BT107" i="4"/>
  <c r="AP61" i="4"/>
  <c r="M90" i="4"/>
  <c r="BL94" i="4"/>
  <c r="BD99" i="4"/>
  <c r="BO104" i="4"/>
  <c r="BG106" i="4"/>
  <c r="BO109" i="4"/>
  <c r="BW103" i="4"/>
  <c r="BD100" i="4"/>
  <c r="BW108" i="4"/>
  <c r="BL107" i="4"/>
  <c r="BW92" i="4"/>
  <c r="BL97" i="4"/>
  <c r="BD107" i="4"/>
  <c r="BO94" i="4"/>
  <c r="BD101" i="4"/>
  <c r="BL106" i="4"/>
  <c r="BT109" i="4"/>
  <c r="BO91" i="4"/>
  <c r="BP91" i="4" s="1"/>
  <c r="BO106" i="4"/>
  <c r="BO100" i="4"/>
  <c r="BO101" i="4"/>
  <c r="BL93" i="4"/>
  <c r="BW106" i="4"/>
  <c r="BD98" i="4"/>
  <c r="BO108" i="4"/>
  <c r="BO93" i="4"/>
  <c r="BW101" i="4"/>
  <c r="BT108" i="4"/>
  <c r="BL98" i="4"/>
  <c r="BD92" i="4"/>
  <c r="BD103" i="4"/>
  <c r="BO98" i="4"/>
  <c r="BW105" i="4"/>
  <c r="BT98" i="4"/>
  <c r="BW95" i="4"/>
  <c r="BG99" i="4"/>
  <c r="BW102" i="4"/>
  <c r="BT104" i="4"/>
  <c r="BW107" i="4"/>
  <c r="BG91" i="4"/>
  <c r="BH91" i="4" s="1"/>
  <c r="BG109" i="4"/>
  <c r="BG103" i="4"/>
  <c r="BG102" i="4"/>
  <c r="BO97" i="4"/>
  <c r="BL99" i="4"/>
  <c r="BW104" i="4"/>
  <c r="BG105" i="4"/>
  <c r="BL96" i="4"/>
  <c r="BL105" i="4"/>
  <c r="BO96" i="4"/>
  <c r="BO105" i="4"/>
  <c r="BG95" i="4"/>
  <c r="BW93" i="4"/>
  <c r="BG107" i="4"/>
  <c r="BW96" i="4"/>
  <c r="BD104" i="4"/>
  <c r="BD109" i="4"/>
  <c r="BL92" i="4"/>
  <c r="BL91" i="4"/>
  <c r="BM91" i="4" s="1"/>
  <c r="BL101" i="4"/>
  <c r="BG104" i="4"/>
  <c r="BX61" i="4"/>
  <c r="BX62" i="4" s="1"/>
  <c r="BX63" i="4" s="1"/>
  <c r="BX64" i="4" s="1"/>
  <c r="BX65" i="4" s="1"/>
  <c r="BX66" i="4" s="1"/>
  <c r="BX67" i="4" s="1"/>
  <c r="BX68" i="4" s="1"/>
  <c r="BX69" i="4" s="1"/>
  <c r="BX70" i="4" s="1"/>
  <c r="BX71" i="4" s="1"/>
  <c r="BX72" i="4" s="1"/>
  <c r="BX73" i="4" s="1"/>
  <c r="BX74" i="4" s="1"/>
  <c r="BX75" i="4" s="1"/>
  <c r="BX76" i="4" s="1"/>
  <c r="BX77" i="4" s="1"/>
  <c r="BX78" i="4" s="1"/>
  <c r="BX79" i="4" s="1"/>
  <c r="BX80" i="4" s="1"/>
  <c r="BT94" i="4"/>
  <c r="BT97" i="4"/>
  <c r="BG101" i="4"/>
  <c r="BD108" i="4"/>
  <c r="BW109" i="4"/>
  <c r="BD94" i="4"/>
  <c r="AJ60" i="4"/>
  <c r="AI61" i="4"/>
  <c r="BD91" i="4"/>
  <c r="BE91" i="4" s="1"/>
  <c r="AM60" i="4"/>
  <c r="L60" i="4"/>
  <c r="K90" i="4"/>
  <c r="AO60" i="4"/>
  <c r="M61" i="4"/>
  <c r="AN61" i="4"/>
  <c r="BD93" i="4"/>
  <c r="V60" i="4"/>
  <c r="BG92" i="4"/>
  <c r="BD96" i="4"/>
  <c r="BZ92" i="4"/>
  <c r="BZ93" i="4" s="1"/>
  <c r="BZ94" i="4" s="1"/>
  <c r="BZ95" i="4" s="1"/>
  <c r="BZ96" i="4" s="1"/>
  <c r="BZ97" i="4" s="1"/>
  <c r="BZ98" i="4" s="1"/>
  <c r="BZ99" i="4" s="1"/>
  <c r="BZ100" i="4" s="1"/>
  <c r="BZ101" i="4" s="1"/>
  <c r="BZ102" i="4" s="1"/>
  <c r="BZ103" i="4" s="1"/>
  <c r="BZ104" i="4" s="1"/>
  <c r="BZ105" i="4" s="1"/>
  <c r="BZ106" i="4" s="1"/>
  <c r="BZ107" i="4" s="1"/>
  <c r="BZ108" i="4" s="1"/>
  <c r="BZ109" i="4" s="1"/>
  <c r="AU60" i="4"/>
  <c r="CC115" i="4"/>
  <c r="BL108" i="4"/>
  <c r="CD92" i="4"/>
  <c r="CD93" i="4" s="1"/>
  <c r="CD94" i="4" s="1"/>
  <c r="CD95" i="4" s="1"/>
  <c r="CD96" i="4" s="1"/>
  <c r="CD97" i="4" s="1"/>
  <c r="CD98" i="4" s="1"/>
  <c r="CD99" i="4" s="1"/>
  <c r="CD100" i="4" s="1"/>
  <c r="CD101" i="4" s="1"/>
  <c r="CD102" i="4" s="1"/>
  <c r="CD103" i="4" s="1"/>
  <c r="CD104" i="4" s="1"/>
  <c r="CD105" i="4" s="1"/>
  <c r="CD106" i="4" s="1"/>
  <c r="CD107" i="4" s="1"/>
  <c r="CD108" i="4" s="1"/>
  <c r="CD109" i="4" s="1"/>
  <c r="CE115" i="4"/>
  <c r="Q13" i="4" l="1"/>
  <c r="K6" i="1"/>
  <c r="N6" i="1"/>
  <c r="O6" i="1"/>
  <c r="M6" i="1"/>
  <c r="I6" i="1"/>
  <c r="S62" i="4"/>
  <c r="S63" i="4" s="1"/>
  <c r="U63" i="4" s="1"/>
  <c r="H63" i="4" s="1"/>
  <c r="H92" i="4" s="1"/>
  <c r="L6" i="1"/>
  <c r="J6" i="1"/>
  <c r="H6" i="1"/>
  <c r="Y92" i="4"/>
  <c r="CJ59" i="4" s="1"/>
  <c r="CK65" i="4" s="1"/>
  <c r="R62" i="4"/>
  <c r="S64" i="4"/>
  <c r="R64" i="4" s="1"/>
  <c r="R63" i="4"/>
  <c r="BM92" i="4"/>
  <c r="BM93" i="4" s="1"/>
  <c r="BM94" i="4" s="1"/>
  <c r="BM95" i="4" s="1"/>
  <c r="BM96" i="4" s="1"/>
  <c r="BM97" i="4" s="1"/>
  <c r="BM98" i="4" s="1"/>
  <c r="BM99" i="4" s="1"/>
  <c r="BM100" i="4" s="1"/>
  <c r="BM101" i="4" s="1"/>
  <c r="BM102" i="4" s="1"/>
  <c r="BM103" i="4" s="1"/>
  <c r="BM104" i="4" s="1"/>
  <c r="BM105" i="4" s="1"/>
  <c r="BM106" i="4" s="1"/>
  <c r="BM107" i="4" s="1"/>
  <c r="BM108" i="4" s="1"/>
  <c r="BM109" i="4" s="1"/>
  <c r="U62" i="4"/>
  <c r="V62" i="4" s="1"/>
  <c r="U61" i="4"/>
  <c r="V61" i="4" s="1"/>
  <c r="AL61" i="4"/>
  <c r="BO115" i="4"/>
  <c r="BE92" i="4"/>
  <c r="BE93" i="4" s="1"/>
  <c r="BE94" i="4" s="1"/>
  <c r="BE95" i="4" s="1"/>
  <c r="BE96" i="4" s="1"/>
  <c r="BE97" i="4" s="1"/>
  <c r="BE98" i="4" s="1"/>
  <c r="BE99" i="4" s="1"/>
  <c r="BE100" i="4" s="1"/>
  <c r="BE101" i="4" s="1"/>
  <c r="BE102" i="4" s="1"/>
  <c r="BE103" i="4" s="1"/>
  <c r="BE104" i="4" s="1"/>
  <c r="BE105" i="4" s="1"/>
  <c r="BE106" i="4" s="1"/>
  <c r="BE107" i="4" s="1"/>
  <c r="BE108" i="4" s="1"/>
  <c r="BE109" i="4" s="1"/>
  <c r="BH92" i="4"/>
  <c r="BH93" i="4" s="1"/>
  <c r="BH94" i="4" s="1"/>
  <c r="BH95" i="4" s="1"/>
  <c r="BH96" i="4" s="1"/>
  <c r="BH97" i="4" s="1"/>
  <c r="BH98" i="4" s="1"/>
  <c r="BH99" i="4" s="1"/>
  <c r="BH100" i="4" s="1"/>
  <c r="BH101" i="4" s="1"/>
  <c r="BH102" i="4" s="1"/>
  <c r="BH103" i="4" s="1"/>
  <c r="BH104" i="4" s="1"/>
  <c r="BH105" i="4" s="1"/>
  <c r="BH106" i="4" s="1"/>
  <c r="BH107" i="4" s="1"/>
  <c r="BH108" i="4" s="1"/>
  <c r="BH109" i="4" s="1"/>
  <c r="BP92" i="4"/>
  <c r="BP93" i="4" s="1"/>
  <c r="BP94" i="4" s="1"/>
  <c r="BP95" i="4" s="1"/>
  <c r="BP96" i="4" s="1"/>
  <c r="BP97" i="4" s="1"/>
  <c r="BP98" i="4" s="1"/>
  <c r="BP99" i="4" s="1"/>
  <c r="BP100" i="4" s="1"/>
  <c r="BP101" i="4" s="1"/>
  <c r="BP102" i="4" s="1"/>
  <c r="BP103" i="4" s="1"/>
  <c r="BP104" i="4" s="1"/>
  <c r="BP105" i="4" s="1"/>
  <c r="BP106" i="4" s="1"/>
  <c r="BP107" i="4" s="1"/>
  <c r="BP108" i="4" s="1"/>
  <c r="BP109" i="4" s="1"/>
  <c r="BT115" i="4"/>
  <c r="AP60" i="4"/>
  <c r="M89" i="4"/>
  <c r="W60" i="4"/>
  <c r="AQ60" i="4" s="1"/>
  <c r="AR60" i="4"/>
  <c r="BW115" i="4"/>
  <c r="AM89" i="4"/>
  <c r="AM94" i="4" s="1"/>
  <c r="M60" i="4"/>
  <c r="AN60" i="4"/>
  <c r="AK62" i="4"/>
  <c r="BG115" i="4"/>
  <c r="AO62" i="4"/>
  <c r="BL115" i="4"/>
  <c r="BD115" i="4"/>
  <c r="BX92" i="4"/>
  <c r="BX93" i="4" s="1"/>
  <c r="BX94" i="4" s="1"/>
  <c r="BX95" i="4" s="1"/>
  <c r="BX96" i="4" s="1"/>
  <c r="BX97" i="4" s="1"/>
  <c r="BX98" i="4" s="1"/>
  <c r="BX99" i="4" s="1"/>
  <c r="BX100" i="4" s="1"/>
  <c r="BX101" i="4" s="1"/>
  <c r="BX102" i="4" s="1"/>
  <c r="BX103" i="4" s="1"/>
  <c r="BX104" i="4" s="1"/>
  <c r="BX105" i="4" s="1"/>
  <c r="BX106" i="4" s="1"/>
  <c r="BX107" i="4" s="1"/>
  <c r="BX108" i="4" s="1"/>
  <c r="BX109" i="4" s="1"/>
  <c r="BU92" i="4"/>
  <c r="BU93" i="4" s="1"/>
  <c r="BU94" i="4" s="1"/>
  <c r="BU95" i="4" s="1"/>
  <c r="BU96" i="4" s="1"/>
  <c r="BU97" i="4" s="1"/>
  <c r="BU98" i="4" s="1"/>
  <c r="BU99" i="4" s="1"/>
  <c r="BU100" i="4" s="1"/>
  <c r="BU101" i="4" s="1"/>
  <c r="BU102" i="4" s="1"/>
  <c r="BU103" i="4" s="1"/>
  <c r="BU104" i="4" s="1"/>
  <c r="BU105" i="4" s="1"/>
  <c r="BU106" i="4" s="1"/>
  <c r="BU107" i="4" s="1"/>
  <c r="BU108" i="4" s="1"/>
  <c r="BU109" i="4" s="1"/>
  <c r="AI90" i="4"/>
  <c r="AI94" i="4" s="1"/>
  <c r="AI62" i="4" s="1"/>
  <c r="L61" i="4"/>
  <c r="AJ61" i="4"/>
  <c r="CK78" i="4" l="1"/>
  <c r="V63" i="4"/>
  <c r="CK73" i="4"/>
  <c r="CK72" i="4"/>
  <c r="H62" i="4"/>
  <c r="H91" i="4" s="1"/>
  <c r="CK70" i="4"/>
  <c r="CK80" i="4"/>
  <c r="CK74" i="4"/>
  <c r="CK68" i="4"/>
  <c r="CK77" i="4"/>
  <c r="CK71" i="4"/>
  <c r="CK60" i="4"/>
  <c r="CK61" i="4"/>
  <c r="H61" i="4"/>
  <c r="H90" i="4" s="1"/>
  <c r="W62" i="4"/>
  <c r="CK62" i="4"/>
  <c r="CK69" i="4"/>
  <c r="CK75" i="4"/>
  <c r="CK63" i="4"/>
  <c r="CK64" i="4"/>
  <c r="CK66" i="4"/>
  <c r="CK67" i="4"/>
  <c r="U64" i="4"/>
  <c r="H64" i="4" s="1"/>
  <c r="H93" i="4" s="1"/>
  <c r="S65" i="4"/>
  <c r="R65" i="4" s="1"/>
  <c r="CK79" i="4"/>
  <c r="W63" i="4"/>
  <c r="W61" i="4"/>
  <c r="AQ61" i="4" s="1"/>
  <c r="AR61" i="4"/>
  <c r="AM95" i="4"/>
  <c r="AM62" i="4"/>
  <c r="AI91" i="4"/>
  <c r="AI63" i="4"/>
  <c r="L62" i="4"/>
  <c r="L80" i="4"/>
  <c r="AI95" i="4"/>
  <c r="AO63" i="4"/>
  <c r="M91" i="4"/>
  <c r="L91" i="4"/>
  <c r="AK63" i="4"/>
  <c r="O82" i="1"/>
  <c r="J82" i="1"/>
  <c r="I82" i="1"/>
  <c r="H82" i="1"/>
  <c r="J81" i="1"/>
  <c r="I81" i="1"/>
  <c r="H81" i="1"/>
  <c r="V64" i="4" l="1"/>
  <c r="W64" i="4" s="1"/>
  <c r="U65" i="4"/>
  <c r="S66" i="4"/>
  <c r="U66" i="4" s="1"/>
  <c r="AB8" i="4"/>
  <c r="J91" i="4"/>
  <c r="H65" i="4"/>
  <c r="H94" i="4" s="1"/>
  <c r="V65" i="4"/>
  <c r="M92" i="4"/>
  <c r="AO64" i="4"/>
  <c r="K91" i="4"/>
  <c r="AI64" i="4"/>
  <c r="L63" i="4"/>
  <c r="AI92" i="4"/>
  <c r="AM91" i="4"/>
  <c r="AM63" i="4"/>
  <c r="M62" i="4"/>
  <c r="L92" i="4"/>
  <c r="AK64" i="4"/>
  <c r="AB13" i="4"/>
  <c r="J62" i="4"/>
  <c r="AI6" i="2"/>
  <c r="AU62" i="4"/>
  <c r="AJ6" i="2"/>
  <c r="AH32" i="2"/>
  <c r="AH31" i="2" s="1"/>
  <c r="AH30" i="2"/>
  <c r="AG28" i="2"/>
  <c r="AG26" i="2"/>
  <c r="AG27" i="2" s="1"/>
  <c r="AT40" i="2"/>
  <c r="AS40" i="2"/>
  <c r="AT35" i="2"/>
  <c r="AS35" i="2"/>
  <c r="AT30" i="2"/>
  <c r="AS30" i="2"/>
  <c r="AT25" i="2"/>
  <c r="AS25" i="2"/>
  <c r="AT20" i="2"/>
  <c r="AS20" i="2"/>
  <c r="AT15" i="2"/>
  <c r="AS15" i="2"/>
  <c r="AT10" i="2"/>
  <c r="AS10" i="2"/>
  <c r="AT39" i="2"/>
  <c r="AS39" i="2"/>
  <c r="AT38" i="2"/>
  <c r="AS38" i="2"/>
  <c r="AT34" i="2"/>
  <c r="AS34" i="2"/>
  <c r="AT33" i="2"/>
  <c r="AS33" i="2"/>
  <c r="AT29" i="2"/>
  <c r="AS29" i="2"/>
  <c r="AT28" i="2"/>
  <c r="AS28" i="2"/>
  <c r="AT24" i="2"/>
  <c r="AS24" i="2"/>
  <c r="AT23" i="2"/>
  <c r="AS23" i="2"/>
  <c r="AT19" i="2"/>
  <c r="AS19" i="2"/>
  <c r="AT18" i="2"/>
  <c r="AS18" i="2"/>
  <c r="AT14" i="2"/>
  <c r="AS14" i="2"/>
  <c r="AT13" i="2"/>
  <c r="AS13" i="2"/>
  <c r="AT9" i="2"/>
  <c r="AT8" i="2"/>
  <c r="AS9" i="2"/>
  <c r="AS8" i="2"/>
  <c r="BN39" i="2"/>
  <c r="BM39" i="2"/>
  <c r="BN40" i="2" s="1"/>
  <c r="BN34" i="2"/>
  <c r="BM34" i="2"/>
  <c r="BN35" i="2" s="1"/>
  <c r="BN30" i="2"/>
  <c r="BN29" i="2"/>
  <c r="BM29" i="2"/>
  <c r="BN24" i="2"/>
  <c r="BM24" i="2"/>
  <c r="BN25" i="2" s="1"/>
  <c r="BN19" i="2"/>
  <c r="BM19" i="2"/>
  <c r="BN20" i="2" s="1"/>
  <c r="BN14" i="2"/>
  <c r="BM14" i="2"/>
  <c r="BN15" i="2" s="1"/>
  <c r="BN9" i="2"/>
  <c r="BN10" i="2" s="1"/>
  <c r="BM9" i="2"/>
  <c r="R66" i="4" l="1"/>
  <c r="S67" i="4"/>
  <c r="S68" i="4" s="1"/>
  <c r="W65" i="4"/>
  <c r="AU63" i="4"/>
  <c r="M93" i="4"/>
  <c r="AO65" i="4"/>
  <c r="K62" i="4"/>
  <c r="H66" i="4"/>
  <c r="H95" i="4" s="1"/>
  <c r="V66" i="4"/>
  <c r="W66" i="4" s="1"/>
  <c r="K92" i="4"/>
  <c r="M63" i="4"/>
  <c r="AM92" i="4"/>
  <c r="AM64" i="4"/>
  <c r="L64" i="4"/>
  <c r="AI93" i="4"/>
  <c r="AI65" i="4"/>
  <c r="J63" i="4"/>
  <c r="AK65" i="4"/>
  <c r="L93" i="4"/>
  <c r="AB18" i="4"/>
  <c r="AR62" i="4"/>
  <c r="AN62" i="4"/>
  <c r="AJ62" i="4"/>
  <c r="I62" i="4"/>
  <c r="AB62" i="4"/>
  <c r="AA62" i="4"/>
  <c r="AA8" i="4" s="1"/>
  <c r="AC8" i="4" s="1"/>
  <c r="AS62" i="4"/>
  <c r="J92" i="4"/>
  <c r="I91" i="4"/>
  <c r="AP62" i="4"/>
  <c r="AL62" i="4"/>
  <c r="AJ7" i="2"/>
  <c r="AO91" i="4"/>
  <c r="AK91" i="4"/>
  <c r="AT62" i="4"/>
  <c r="L73" i="1"/>
  <c r="AF32" i="2"/>
  <c r="AF30" i="2"/>
  <c r="AD32" i="2"/>
  <c r="AD30" i="2"/>
  <c r="AB32" i="2"/>
  <c r="AB30" i="2"/>
  <c r="Z32" i="2"/>
  <c r="Z30" i="2"/>
  <c r="X32" i="2"/>
  <c r="X30" i="2"/>
  <c r="V32" i="2"/>
  <c r="V30" i="2"/>
  <c r="T32" i="2"/>
  <c r="T30" i="2"/>
  <c r="D31" i="2"/>
  <c r="D32" i="2"/>
  <c r="D30" i="2"/>
  <c r="AE28" i="2"/>
  <c r="AC28" i="2"/>
  <c r="AA28" i="2"/>
  <c r="Y28" i="2"/>
  <c r="W28" i="2"/>
  <c r="U28" i="2"/>
  <c r="S28" i="2"/>
  <c r="C28" i="2"/>
  <c r="S26" i="2"/>
  <c r="U26" i="2"/>
  <c r="W26" i="2"/>
  <c r="Y26" i="2"/>
  <c r="AA26" i="2"/>
  <c r="AC26" i="2"/>
  <c r="AE26" i="2"/>
  <c r="AE27" i="2" s="1"/>
  <c r="C26" i="2"/>
  <c r="L75" i="1"/>
  <c r="R67" i="4" l="1"/>
  <c r="U67" i="4"/>
  <c r="H67" i="4" s="1"/>
  <c r="H96" i="4" s="1"/>
  <c r="AK92" i="4"/>
  <c r="AL63" i="4"/>
  <c r="AO92" i="4"/>
  <c r="I92" i="4"/>
  <c r="AJ8" i="2"/>
  <c r="AT63" i="4"/>
  <c r="AP63" i="4"/>
  <c r="J93" i="4"/>
  <c r="U68" i="4"/>
  <c r="R68" i="4"/>
  <c r="S69" i="4"/>
  <c r="M64" i="4"/>
  <c r="AM93" i="4"/>
  <c r="AM65" i="4"/>
  <c r="AQ62" i="4"/>
  <c r="AD62" i="4"/>
  <c r="AI7" i="2" s="1"/>
  <c r="AC62" i="4"/>
  <c r="AV62" i="4"/>
  <c r="AO66" i="4"/>
  <c r="M94" i="4"/>
  <c r="L65" i="4"/>
  <c r="AI66" i="4"/>
  <c r="K63" i="4"/>
  <c r="L94" i="4"/>
  <c r="AK66" i="4"/>
  <c r="AB11" i="4"/>
  <c r="K93" i="4"/>
  <c r="AU64" i="4"/>
  <c r="J64" i="4"/>
  <c r="AF31" i="2"/>
  <c r="X31" i="2"/>
  <c r="V31" i="2"/>
  <c r="AD31" i="2"/>
  <c r="C27" i="2"/>
  <c r="T31" i="2"/>
  <c r="AB31" i="2"/>
  <c r="Z31" i="2"/>
  <c r="S27" i="2"/>
  <c r="W27" i="2"/>
  <c r="Y27" i="2"/>
  <c r="U27" i="2"/>
  <c r="AC27" i="2"/>
  <c r="AA27" i="2"/>
  <c r="L90" i="1"/>
  <c r="L91" i="1" s="1"/>
  <c r="V67" i="4" l="1"/>
  <c r="W67" i="4" s="1"/>
  <c r="AM66" i="4"/>
  <c r="M65" i="4"/>
  <c r="M95" i="4"/>
  <c r="AO67" i="4"/>
  <c r="AI67" i="4"/>
  <c r="L66" i="4"/>
  <c r="J65" i="4"/>
  <c r="AK67" i="4"/>
  <c r="AB21" i="4"/>
  <c r="L95" i="4"/>
  <c r="H68" i="4"/>
  <c r="H97" i="4" s="1"/>
  <c r="V68" i="4"/>
  <c r="W68" i="4" s="1"/>
  <c r="AN63" i="4"/>
  <c r="AJ63" i="4"/>
  <c r="I63" i="4"/>
  <c r="AB63" i="4"/>
  <c r="AA63" i="4"/>
  <c r="AA13" i="4" s="1"/>
  <c r="AC13" i="4" s="1"/>
  <c r="AS63" i="4"/>
  <c r="AR63" i="4"/>
  <c r="AU65" i="4"/>
  <c r="R69" i="4"/>
  <c r="S70" i="4"/>
  <c r="U69" i="4"/>
  <c r="K64" i="4"/>
  <c r="J94" i="4"/>
  <c r="AO93" i="4"/>
  <c r="I93" i="4"/>
  <c r="AL64" i="4"/>
  <c r="AK93" i="4"/>
  <c r="AJ9" i="2"/>
  <c r="AT64" i="4"/>
  <c r="AP64" i="4"/>
  <c r="K94" i="4"/>
  <c r="BL39" i="2"/>
  <c r="BK39" i="2"/>
  <c r="BL34" i="2"/>
  <c r="BK34" i="2"/>
  <c r="BL35" i="2" s="1"/>
  <c r="BL29" i="2"/>
  <c r="BK29" i="2"/>
  <c r="BL30" i="2" s="1"/>
  <c r="BL24" i="2"/>
  <c r="BK24" i="2"/>
  <c r="BL19" i="2"/>
  <c r="BK19" i="2"/>
  <c r="BL14" i="2"/>
  <c r="BK14" i="2"/>
  <c r="BL9" i="2"/>
  <c r="BK9" i="2"/>
  <c r="BJ39" i="2"/>
  <c r="BI39" i="2"/>
  <c r="BJ34" i="2"/>
  <c r="BI34" i="2"/>
  <c r="BJ29" i="2"/>
  <c r="BI29" i="2"/>
  <c r="BJ24" i="2"/>
  <c r="BI24" i="2"/>
  <c r="BJ19" i="2"/>
  <c r="BI19" i="2"/>
  <c r="BJ20" i="2" s="1"/>
  <c r="BJ14" i="2"/>
  <c r="BI14" i="2"/>
  <c r="BJ9" i="2"/>
  <c r="BI9" i="2"/>
  <c r="I94" i="4" l="1"/>
  <c r="AL65" i="4"/>
  <c r="AJ10" i="2"/>
  <c r="AT65" i="4"/>
  <c r="AP65" i="4"/>
  <c r="J95" i="4"/>
  <c r="H69" i="4"/>
  <c r="H98" i="4" s="1"/>
  <c r="V69" i="4"/>
  <c r="W69" i="4" s="1"/>
  <c r="J66" i="4"/>
  <c r="U70" i="4"/>
  <c r="R70" i="4"/>
  <c r="S71" i="4"/>
  <c r="AC63" i="4"/>
  <c r="AV63" i="4"/>
  <c r="AQ63" i="4"/>
  <c r="AD63" i="4"/>
  <c r="AI8" i="2" s="1"/>
  <c r="AK68" i="4"/>
  <c r="AB17" i="4"/>
  <c r="L96" i="4"/>
  <c r="L67" i="4"/>
  <c r="AI68" i="4"/>
  <c r="M96" i="4"/>
  <c r="AO68" i="4"/>
  <c r="AU66" i="4"/>
  <c r="K65" i="4"/>
  <c r="K95" i="4"/>
  <c r="M66" i="4"/>
  <c r="AM67" i="4"/>
  <c r="BL25" i="2"/>
  <c r="BJ40" i="2"/>
  <c r="BJ35" i="2"/>
  <c r="BL20" i="2"/>
  <c r="BJ25" i="2"/>
  <c r="BL40" i="2"/>
  <c r="BL15" i="2"/>
  <c r="BJ15" i="2"/>
  <c r="BJ30" i="2"/>
  <c r="BL10" i="2"/>
  <c r="BJ10" i="2"/>
  <c r="P7" i="2"/>
  <c r="P8" i="2" s="1"/>
  <c r="P9" i="2" s="1"/>
  <c r="P10" i="2" s="1"/>
  <c r="P11" i="2" s="1"/>
  <c r="P12" i="2" s="1"/>
  <c r="P13" i="2" s="1"/>
  <c r="P14" i="2" s="1"/>
  <c r="P15" i="2" s="1"/>
  <c r="P16" i="2" s="1"/>
  <c r="P17" i="2" s="1"/>
  <c r="P18" i="2" s="1"/>
  <c r="P19" i="2" s="1"/>
  <c r="P20" i="2" s="1"/>
  <c r="P21" i="2" s="1"/>
  <c r="P22" i="2" s="1"/>
  <c r="P23" i="2" s="1"/>
  <c r="O7" i="2"/>
  <c r="O8" i="2" s="1"/>
  <c r="O9" i="2" s="1"/>
  <c r="O10" i="2" s="1"/>
  <c r="O11" i="2" s="1"/>
  <c r="O12" i="2" s="1"/>
  <c r="O13" i="2" s="1"/>
  <c r="O14" i="2" s="1"/>
  <c r="O15" i="2" s="1"/>
  <c r="O16" i="2" s="1"/>
  <c r="O17" i="2" s="1"/>
  <c r="O18" i="2" s="1"/>
  <c r="O19" i="2" s="1"/>
  <c r="O20" i="2" s="1"/>
  <c r="O21" i="2" s="1"/>
  <c r="O22" i="2" s="1"/>
  <c r="O23" i="2" s="1"/>
  <c r="P4" i="2"/>
  <c r="P5" i="2" s="1"/>
  <c r="O4" i="2"/>
  <c r="O5" i="2" s="1"/>
  <c r="K66" i="4" l="1"/>
  <c r="S72" i="4"/>
  <c r="U71" i="4"/>
  <c r="R71" i="4"/>
  <c r="AU67" i="4"/>
  <c r="H70" i="4"/>
  <c r="H99" i="4" s="1"/>
  <c r="V70" i="4"/>
  <c r="W70" i="4" s="1"/>
  <c r="K96" i="4"/>
  <c r="J67" i="4"/>
  <c r="AK69" i="4"/>
  <c r="AB23" i="4"/>
  <c r="L97" i="4"/>
  <c r="AR64" i="4"/>
  <c r="AJ64" i="4"/>
  <c r="I64" i="4"/>
  <c r="AB64" i="4"/>
  <c r="AA64" i="4"/>
  <c r="AA18" i="4" s="1"/>
  <c r="AC18" i="4" s="1"/>
  <c r="AS64" i="4"/>
  <c r="AN64" i="4"/>
  <c r="AO69" i="4"/>
  <c r="M97" i="4"/>
  <c r="AI69" i="4"/>
  <c r="L68" i="4"/>
  <c r="J96" i="4"/>
  <c r="I95" i="4"/>
  <c r="AL66" i="4"/>
  <c r="AJ11" i="2"/>
  <c r="AT66" i="4"/>
  <c r="AP66" i="4"/>
  <c r="AM68" i="4"/>
  <c r="M67" i="4"/>
  <c r="J83" i="1"/>
  <c r="I83" i="1"/>
  <c r="H83" i="1"/>
  <c r="J78" i="1"/>
  <c r="I78" i="1"/>
  <c r="H78" i="1"/>
  <c r="J77" i="1"/>
  <c r="I77" i="1"/>
  <c r="H77" i="1"/>
  <c r="AK70" i="4" l="1"/>
  <c r="L98" i="4"/>
  <c r="AB20" i="4"/>
  <c r="AM69" i="4"/>
  <c r="M68" i="4"/>
  <c r="J68" i="4"/>
  <c r="J97" i="4"/>
  <c r="AU68" i="4"/>
  <c r="M98" i="4"/>
  <c r="AO70" i="4"/>
  <c r="V71" i="4"/>
  <c r="W71" i="4" s="1"/>
  <c r="H71" i="4"/>
  <c r="H100" i="4" s="1"/>
  <c r="AC64" i="4"/>
  <c r="AV64" i="4"/>
  <c r="AQ64" i="4"/>
  <c r="AD64" i="4"/>
  <c r="AI9" i="2" s="1"/>
  <c r="K67" i="4"/>
  <c r="I96" i="4"/>
  <c r="AL67" i="4"/>
  <c r="AJ12" i="2"/>
  <c r="AT67" i="4"/>
  <c r="AP67" i="4"/>
  <c r="K97" i="4"/>
  <c r="L69" i="4"/>
  <c r="AI70" i="4"/>
  <c r="U72" i="4"/>
  <c r="R72" i="4"/>
  <c r="S73" i="4"/>
  <c r="K98" i="4" l="1"/>
  <c r="I97" i="4"/>
  <c r="AL68" i="4"/>
  <c r="AT68" i="4"/>
  <c r="AJ13" i="2"/>
  <c r="AP68" i="4"/>
  <c r="M99" i="4"/>
  <c r="AO71" i="4"/>
  <c r="K68" i="4"/>
  <c r="L70" i="4"/>
  <c r="AI71" i="4"/>
  <c r="V72" i="4"/>
  <c r="W72" i="4" s="1"/>
  <c r="H72" i="4"/>
  <c r="H101" i="4" s="1"/>
  <c r="J69" i="4"/>
  <c r="AU69" i="4"/>
  <c r="J98" i="4"/>
  <c r="AJ65" i="4"/>
  <c r="I65" i="4"/>
  <c r="AB65" i="4"/>
  <c r="AA65" i="4"/>
  <c r="AA11" i="4" s="1"/>
  <c r="AC11" i="4" s="1"/>
  <c r="AS65" i="4"/>
  <c r="AR65" i="4"/>
  <c r="AN65" i="4"/>
  <c r="M69" i="4"/>
  <c r="AM70" i="4"/>
  <c r="U73" i="4"/>
  <c r="R73" i="4"/>
  <c r="S74" i="4"/>
  <c r="AB15" i="4"/>
  <c r="L99" i="4"/>
  <c r="AK71" i="4"/>
  <c r="H93" i="1"/>
  <c r="I93" i="1"/>
  <c r="I75" i="1"/>
  <c r="H75" i="1"/>
  <c r="H73" i="1"/>
  <c r="J70" i="4" l="1"/>
  <c r="V73" i="4"/>
  <c r="W73" i="4" s="1"/>
  <c r="H73" i="4"/>
  <c r="H102" i="4" s="1"/>
  <c r="AB14" i="4"/>
  <c r="L100" i="4"/>
  <c r="AK72" i="4"/>
  <c r="M70" i="4"/>
  <c r="AM71" i="4"/>
  <c r="M100" i="4"/>
  <c r="AO72" i="4"/>
  <c r="K99" i="4"/>
  <c r="AU70" i="4"/>
  <c r="U74" i="4"/>
  <c r="R74" i="4"/>
  <c r="S75" i="4"/>
  <c r="L71" i="4"/>
  <c r="AI72" i="4"/>
  <c r="K69" i="4"/>
  <c r="AC65" i="4"/>
  <c r="AV65" i="4"/>
  <c r="AQ65" i="4"/>
  <c r="AD65" i="4"/>
  <c r="AI10" i="2" s="1"/>
  <c r="I98" i="4"/>
  <c r="AL69" i="4"/>
  <c r="AT69" i="4"/>
  <c r="AJ14" i="2"/>
  <c r="AP69" i="4"/>
  <c r="J99" i="4"/>
  <c r="I95" i="1"/>
  <c r="H99" i="1"/>
  <c r="I99" i="1"/>
  <c r="H96" i="1"/>
  <c r="H109" i="1"/>
  <c r="I99" i="4" l="1"/>
  <c r="AT70" i="4"/>
  <c r="AJ15" i="2"/>
  <c r="AP70" i="4"/>
  <c r="AL70" i="4"/>
  <c r="AJ66" i="4"/>
  <c r="I66" i="4"/>
  <c r="AB66" i="4"/>
  <c r="AA66" i="4"/>
  <c r="AA21" i="4" s="1"/>
  <c r="AC21" i="4" s="1"/>
  <c r="AS66" i="4"/>
  <c r="AR66" i="4"/>
  <c r="AN66" i="4"/>
  <c r="K100" i="4"/>
  <c r="AK73" i="4"/>
  <c r="AB24" i="4"/>
  <c r="L101" i="4"/>
  <c r="K70" i="4"/>
  <c r="J71" i="4"/>
  <c r="U75" i="4"/>
  <c r="R75" i="4"/>
  <c r="S76" i="4"/>
  <c r="V74" i="4"/>
  <c r="W74" i="4" s="1"/>
  <c r="H74" i="4"/>
  <c r="H103" i="4" s="1"/>
  <c r="M101" i="4"/>
  <c r="AO73" i="4"/>
  <c r="M71" i="4"/>
  <c r="AM72" i="4"/>
  <c r="AU71" i="4"/>
  <c r="J100" i="4"/>
  <c r="AI73" i="4"/>
  <c r="L72" i="4"/>
  <c r="I90" i="1"/>
  <c r="H90" i="1"/>
  <c r="H91" i="1" s="1"/>
  <c r="J101" i="4" l="1"/>
  <c r="M72" i="4"/>
  <c r="AM73" i="4"/>
  <c r="K101" i="4"/>
  <c r="R76" i="4"/>
  <c r="S77" i="4"/>
  <c r="U76" i="4"/>
  <c r="L102" i="4"/>
  <c r="AB19" i="4"/>
  <c r="AK74" i="4"/>
  <c r="M102" i="4"/>
  <c r="AO74" i="4"/>
  <c r="AU72" i="4"/>
  <c r="I100" i="4"/>
  <c r="AT71" i="4"/>
  <c r="AJ16" i="2"/>
  <c r="AP71" i="4"/>
  <c r="AL71" i="4"/>
  <c r="K71" i="4"/>
  <c r="L73" i="4"/>
  <c r="AI74" i="4"/>
  <c r="AC66" i="4"/>
  <c r="AV66" i="4"/>
  <c r="AQ66" i="4"/>
  <c r="AD66" i="4"/>
  <c r="AI11" i="2" s="1"/>
  <c r="H75" i="4"/>
  <c r="H104" i="4" s="1"/>
  <c r="V75" i="4"/>
  <c r="W75" i="4" s="1"/>
  <c r="J72" i="4"/>
  <c r="AJ67" i="4" l="1"/>
  <c r="I67" i="4"/>
  <c r="AB67" i="4"/>
  <c r="AA67" i="4"/>
  <c r="AA17" i="4" s="1"/>
  <c r="AC17" i="4" s="1"/>
  <c r="AS67" i="4"/>
  <c r="AR67" i="4"/>
  <c r="AN67" i="4"/>
  <c r="M103" i="4"/>
  <c r="AO75" i="4"/>
  <c r="J73" i="4"/>
  <c r="L103" i="4"/>
  <c r="AK75" i="4"/>
  <c r="AB12" i="4"/>
  <c r="S78" i="4"/>
  <c r="U77" i="4"/>
  <c r="R77" i="4"/>
  <c r="K72" i="4"/>
  <c r="M73" i="4"/>
  <c r="AM74" i="4"/>
  <c r="J102" i="4"/>
  <c r="AU73" i="4"/>
  <c r="H76" i="4"/>
  <c r="H105" i="4" s="1"/>
  <c r="V76" i="4"/>
  <c r="W76" i="4" s="1"/>
  <c r="AI75" i="4"/>
  <c r="L74" i="4"/>
  <c r="K102" i="4"/>
  <c r="I101" i="4"/>
  <c r="AL72" i="4"/>
  <c r="AT72" i="4"/>
  <c r="AJ17" i="2"/>
  <c r="AP72" i="4"/>
  <c r="K103" i="4" l="1"/>
  <c r="M104" i="4"/>
  <c r="AO76" i="4"/>
  <c r="AC67" i="4"/>
  <c r="AV67" i="4"/>
  <c r="AQ67" i="4"/>
  <c r="AD67" i="4"/>
  <c r="AI12" i="2" s="1"/>
  <c r="I102" i="4"/>
  <c r="AT73" i="4"/>
  <c r="AJ18" i="2"/>
  <c r="AP73" i="4"/>
  <c r="AL73" i="4"/>
  <c r="AI76" i="4"/>
  <c r="L75" i="4"/>
  <c r="V77" i="4"/>
  <c r="W77" i="4" s="1"/>
  <c r="H77" i="4"/>
  <c r="H106" i="4" s="1"/>
  <c r="AU74" i="4"/>
  <c r="U78" i="4"/>
  <c r="R78" i="4"/>
  <c r="S79" i="4"/>
  <c r="AK76" i="4"/>
  <c r="AB16" i="4"/>
  <c r="L104" i="4"/>
  <c r="J74" i="4"/>
  <c r="J103" i="4"/>
  <c r="M74" i="4"/>
  <c r="AM75" i="4"/>
  <c r="K73" i="4"/>
  <c r="BG9" i="2"/>
  <c r="BH39" i="2"/>
  <c r="BH9" i="2"/>
  <c r="BH14" i="2"/>
  <c r="BG19" i="2"/>
  <c r="BH19" i="2"/>
  <c r="BG24" i="2"/>
  <c r="BH34" i="2"/>
  <c r="BG14" i="2"/>
  <c r="BH24" i="2"/>
  <c r="BG29" i="2"/>
  <c r="BH29" i="2"/>
  <c r="BG34" i="2"/>
  <c r="BG39" i="2"/>
  <c r="K74" i="4" l="1"/>
  <c r="AU75" i="4"/>
  <c r="L76" i="4"/>
  <c r="AI77" i="4"/>
  <c r="I103" i="4"/>
  <c r="AT74" i="4"/>
  <c r="AJ19" i="2"/>
  <c r="AP74" i="4"/>
  <c r="AL74" i="4"/>
  <c r="AB22" i="4"/>
  <c r="AK77" i="4"/>
  <c r="L105" i="4"/>
  <c r="AM76" i="4"/>
  <c r="M75" i="4"/>
  <c r="J75" i="4"/>
  <c r="J104" i="4"/>
  <c r="V78" i="4"/>
  <c r="W78" i="4" s="1"/>
  <c r="H78" i="4"/>
  <c r="H107" i="4" s="1"/>
  <c r="AO77" i="4"/>
  <c r="M105" i="4"/>
  <c r="K104" i="4"/>
  <c r="AJ68" i="4"/>
  <c r="I68" i="4"/>
  <c r="AB68" i="4"/>
  <c r="AA68" i="4"/>
  <c r="AA23" i="4" s="1"/>
  <c r="AC23" i="4" s="1"/>
  <c r="AS68" i="4"/>
  <c r="AR68" i="4"/>
  <c r="AN68" i="4"/>
  <c r="U79" i="4"/>
  <c r="R79" i="4"/>
  <c r="S80" i="4"/>
  <c r="BH10" i="2"/>
  <c r="BH15" i="2"/>
  <c r="BH25" i="2"/>
  <c r="BH40" i="2"/>
  <c r="BH35" i="2"/>
  <c r="BH30" i="2"/>
  <c r="BH20" i="2"/>
  <c r="AU76" i="4" l="1"/>
  <c r="R80" i="4"/>
  <c r="U80" i="4"/>
  <c r="M76" i="4"/>
  <c r="AM77" i="4"/>
  <c r="AB10" i="4"/>
  <c r="AK78" i="4"/>
  <c r="L106" i="4"/>
  <c r="AC68" i="4"/>
  <c r="AV68" i="4"/>
  <c r="AQ68" i="4"/>
  <c r="AD68" i="4"/>
  <c r="AI13" i="2" s="1"/>
  <c r="I104" i="4"/>
  <c r="AL75" i="4"/>
  <c r="AT75" i="4"/>
  <c r="AJ20" i="2"/>
  <c r="AP75" i="4"/>
  <c r="K105" i="4"/>
  <c r="M106" i="4"/>
  <c r="AO78" i="4"/>
  <c r="J76" i="4"/>
  <c r="H79" i="4"/>
  <c r="H108" i="4" s="1"/>
  <c r="V79" i="4"/>
  <c r="W79" i="4" s="1"/>
  <c r="AI131" i="4"/>
  <c r="AI132" i="4" s="1"/>
  <c r="L77" i="4"/>
  <c r="AI78" i="4"/>
  <c r="J105" i="4"/>
  <c r="K75" i="4"/>
  <c r="Q73" i="1"/>
  <c r="P73" i="1"/>
  <c r="O73" i="1"/>
  <c r="N73" i="1"/>
  <c r="M73" i="1"/>
  <c r="J73" i="1"/>
  <c r="G73" i="1"/>
  <c r="J75" i="1"/>
  <c r="K75" i="1"/>
  <c r="M75" i="1"/>
  <c r="N75" i="1"/>
  <c r="O75" i="1"/>
  <c r="P75" i="1"/>
  <c r="G90" i="1"/>
  <c r="Q90" i="1"/>
  <c r="P93" i="1"/>
  <c r="AA69" i="4" l="1"/>
  <c r="AA20" i="4" s="1"/>
  <c r="AC20" i="4" s="1"/>
  <c r="AN69" i="4"/>
  <c r="AJ69" i="4"/>
  <c r="I69" i="4"/>
  <c r="AB69" i="4"/>
  <c r="AS69" i="4"/>
  <c r="AR69" i="4"/>
  <c r="J77" i="4"/>
  <c r="K76" i="4"/>
  <c r="J106" i="4"/>
  <c r="AK79" i="4"/>
  <c r="AB9" i="4"/>
  <c r="L107" i="4"/>
  <c r="M77" i="4"/>
  <c r="AM78" i="4"/>
  <c r="AI79" i="4"/>
  <c r="L78" i="4"/>
  <c r="AU77" i="4"/>
  <c r="K106" i="4"/>
  <c r="H80" i="4"/>
  <c r="H109" i="4" s="1"/>
  <c r="V80" i="4"/>
  <c r="W80" i="4" s="1"/>
  <c r="AJ21" i="2"/>
  <c r="AT76" i="4"/>
  <c r="AP76" i="4"/>
  <c r="AL76" i="4"/>
  <c r="I105" i="4"/>
  <c r="AO79" i="4"/>
  <c r="M107" i="4"/>
  <c r="P99" i="1"/>
  <c r="I103" i="1"/>
  <c r="H103" i="1"/>
  <c r="P95" i="1"/>
  <c r="P96" i="1"/>
  <c r="I100" i="1"/>
  <c r="P100" i="1"/>
  <c r="H100" i="1"/>
  <c r="O93" i="1"/>
  <c r="M90" i="1"/>
  <c r="M91" i="1" s="1"/>
  <c r="R73" i="1"/>
  <c r="I73" i="1"/>
  <c r="I91" i="1" s="1"/>
  <c r="I109" i="1"/>
  <c r="G93" i="1"/>
  <c r="P90" i="1"/>
  <c r="P91" i="1" s="1"/>
  <c r="R90" i="1"/>
  <c r="K73" i="1"/>
  <c r="K93" i="1"/>
  <c r="J93" i="1"/>
  <c r="Q91" i="1"/>
  <c r="G91" i="1"/>
  <c r="O90" i="1"/>
  <c r="O91" i="1" s="1"/>
  <c r="N90" i="1"/>
  <c r="N91" i="1" s="1"/>
  <c r="AU78" i="4" l="1"/>
  <c r="J78" i="4"/>
  <c r="J107" i="4"/>
  <c r="M108" i="4"/>
  <c r="AO80" i="4"/>
  <c r="M109" i="4" s="1"/>
  <c r="K107" i="4"/>
  <c r="AM79" i="4"/>
  <c r="M78" i="4"/>
  <c r="K77" i="4"/>
  <c r="AK131" i="4"/>
  <c r="AK132" i="4" s="1"/>
  <c r="I106" i="4"/>
  <c r="AT77" i="4"/>
  <c r="AP77" i="4"/>
  <c r="AJ22" i="2"/>
  <c r="AL77" i="4"/>
  <c r="AC69" i="4"/>
  <c r="AV69" i="4"/>
  <c r="AQ69" i="4"/>
  <c r="AD69" i="4"/>
  <c r="AI14" i="2" s="1"/>
  <c r="AK80" i="4"/>
  <c r="AB6" i="4"/>
  <c r="L108" i="4"/>
  <c r="L79" i="4"/>
  <c r="AI80" i="4"/>
  <c r="O99" i="1"/>
  <c r="G102" i="1"/>
  <c r="O95" i="1"/>
  <c r="G101" i="1"/>
  <c r="I94" i="1"/>
  <c r="J94" i="1"/>
  <c r="K94" i="1"/>
  <c r="O94" i="1"/>
  <c r="G99" i="1"/>
  <c r="G100" i="1"/>
  <c r="H94" i="1"/>
  <c r="G96" i="1"/>
  <c r="G95" i="1"/>
  <c r="G97" i="1"/>
  <c r="J95" i="1"/>
  <c r="G98" i="1"/>
  <c r="K95" i="1"/>
  <c r="G103" i="1"/>
  <c r="P94" i="1"/>
  <c r="K99" i="1"/>
  <c r="J99" i="1"/>
  <c r="K100" i="1"/>
  <c r="O100" i="1"/>
  <c r="I97" i="1"/>
  <c r="O97" i="1"/>
  <c r="H97" i="1"/>
  <c r="P97" i="1"/>
  <c r="K97" i="1"/>
  <c r="J96" i="1"/>
  <c r="P98" i="1"/>
  <c r="O98" i="1"/>
  <c r="H98" i="1"/>
  <c r="I98" i="1"/>
  <c r="J98" i="1"/>
  <c r="K96" i="1"/>
  <c r="J100" i="1"/>
  <c r="K103" i="1"/>
  <c r="J103" i="1"/>
  <c r="H101" i="1"/>
  <c r="I101" i="1"/>
  <c r="O101" i="1"/>
  <c r="J101" i="1"/>
  <c r="K101" i="1"/>
  <c r="P101" i="1"/>
  <c r="H102" i="1"/>
  <c r="I102" i="1"/>
  <c r="K102" i="1"/>
  <c r="J102" i="1"/>
  <c r="P102" i="1"/>
  <c r="O96" i="1"/>
  <c r="O103" i="1"/>
  <c r="R91" i="1"/>
  <c r="K90" i="1"/>
  <c r="K91" i="1" s="1"/>
  <c r="J90" i="1"/>
  <c r="J91" i="1" s="1"/>
  <c r="AU79" i="4" l="1"/>
  <c r="I107" i="4"/>
  <c r="AP78" i="4"/>
  <c r="AT78" i="4"/>
  <c r="AJ23" i="2"/>
  <c r="AL78" i="4"/>
  <c r="K78" i="4"/>
  <c r="AB5" i="4"/>
  <c r="L109" i="4"/>
  <c r="AF80" i="4"/>
  <c r="J109" i="4" s="1"/>
  <c r="J108" i="4"/>
  <c r="AE80" i="4"/>
  <c r="J80" i="4" s="1"/>
  <c r="J79" i="4"/>
  <c r="AM80" i="4"/>
  <c r="M80" i="4" s="1"/>
  <c r="M79" i="4"/>
  <c r="K108" i="4"/>
  <c r="AH80" i="4"/>
  <c r="K109" i="4" s="1"/>
  <c r="AR70" i="4"/>
  <c r="AN70" i="4"/>
  <c r="AJ70" i="4"/>
  <c r="I70" i="4"/>
  <c r="AB70" i="4"/>
  <c r="AA70" i="4"/>
  <c r="AA15" i="4" s="1"/>
  <c r="AC15" i="4" s="1"/>
  <c r="AS70" i="4"/>
  <c r="AG80" i="4" l="1"/>
  <c r="K80" i="4" s="1"/>
  <c r="K79" i="4"/>
  <c r="I108" i="4"/>
  <c r="AT79" i="4"/>
  <c r="AJ24" i="2"/>
  <c r="AP79" i="4"/>
  <c r="AL79" i="4"/>
  <c r="AU80" i="4"/>
  <c r="Z86" i="4"/>
  <c r="AQ70" i="4"/>
  <c r="AC70" i="4"/>
  <c r="AV70" i="4"/>
  <c r="AD70" i="4"/>
  <c r="AI15" i="2" s="1"/>
  <c r="BF39" i="2"/>
  <c r="BE39" i="2"/>
  <c r="BF34" i="2"/>
  <c r="BE34" i="2"/>
  <c r="BF35" i="2" s="1"/>
  <c r="BF29" i="2"/>
  <c r="BE29" i="2"/>
  <c r="BF24" i="2"/>
  <c r="BE24" i="2"/>
  <c r="BF19" i="2"/>
  <c r="BE19" i="2"/>
  <c r="BF14" i="2"/>
  <c r="BE14" i="2"/>
  <c r="BF9" i="2"/>
  <c r="BE9" i="2"/>
  <c r="BF10" i="2" s="1"/>
  <c r="F9" i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AS71" i="4" l="1"/>
  <c r="AR71" i="4"/>
  <c r="AN71" i="4"/>
  <c r="AJ71" i="4"/>
  <c r="I71" i="4"/>
  <c r="AA71" i="4"/>
  <c r="AA14" i="4" s="1"/>
  <c r="AC14" i="4" s="1"/>
  <c r="AB71" i="4"/>
  <c r="AL80" i="4"/>
  <c r="I109" i="4"/>
  <c r="AP80" i="4"/>
  <c r="AT80" i="4"/>
  <c r="BF30" i="2"/>
  <c r="BF20" i="2"/>
  <c r="BF15" i="2"/>
  <c r="BF25" i="2"/>
  <c r="BF40" i="2"/>
  <c r="BD39" i="2"/>
  <c r="BC39" i="2"/>
  <c r="BB39" i="2"/>
  <c r="BA39" i="2"/>
  <c r="AZ39" i="2"/>
  <c r="AY39" i="2"/>
  <c r="AZ40" i="2" s="1"/>
  <c r="AV39" i="2"/>
  <c r="AU39" i="2"/>
  <c r="AY61" i="4" l="1"/>
  <c r="AY60" i="4"/>
  <c r="AZ60" i="4" s="1"/>
  <c r="AY62" i="4"/>
  <c r="AY63" i="4"/>
  <c r="AY64" i="4"/>
  <c r="AY65" i="4"/>
  <c r="AY66" i="4"/>
  <c r="AY67" i="4"/>
  <c r="AY68" i="4"/>
  <c r="AY69" i="4"/>
  <c r="AY70" i="4"/>
  <c r="AY71" i="4"/>
  <c r="AY72" i="4"/>
  <c r="AY73" i="4"/>
  <c r="AY74" i="4"/>
  <c r="AY75" i="4"/>
  <c r="AY76" i="4"/>
  <c r="AY77" i="4"/>
  <c r="AY78" i="4"/>
  <c r="AY79" i="4"/>
  <c r="AY80" i="4"/>
  <c r="AQ71" i="4"/>
  <c r="AV71" i="4"/>
  <c r="AC71" i="4"/>
  <c r="AD71" i="4"/>
  <c r="AI16" i="2" s="1"/>
  <c r="BD40" i="2"/>
  <c r="BB40" i="2"/>
  <c r="AV40" i="2"/>
  <c r="AY108" i="4" l="1"/>
  <c r="AY107" i="4"/>
  <c r="AZ61" i="4"/>
  <c r="AZ62" i="4" s="1"/>
  <c r="AZ63" i="4" s="1"/>
  <c r="AZ64" i="4" s="1"/>
  <c r="AZ65" i="4" s="1"/>
  <c r="AZ66" i="4" s="1"/>
  <c r="AZ67" i="4" s="1"/>
  <c r="AZ68" i="4" s="1"/>
  <c r="AZ69" i="4" s="1"/>
  <c r="AZ70" i="4" s="1"/>
  <c r="AZ71" i="4" s="1"/>
  <c r="AZ72" i="4" s="1"/>
  <c r="AZ73" i="4" s="1"/>
  <c r="AZ74" i="4" s="1"/>
  <c r="AZ75" i="4" s="1"/>
  <c r="AZ76" i="4" s="1"/>
  <c r="AZ77" i="4" s="1"/>
  <c r="AZ78" i="4" s="1"/>
  <c r="AZ79" i="4" s="1"/>
  <c r="AZ80" i="4" s="1"/>
  <c r="AY103" i="4"/>
  <c r="AY100" i="4"/>
  <c r="AY97" i="4"/>
  <c r="AN72" i="4"/>
  <c r="AB72" i="4"/>
  <c r="AA72" i="4"/>
  <c r="AA24" i="4" s="1"/>
  <c r="AC24" i="4" s="1"/>
  <c r="AS72" i="4"/>
  <c r="AR72" i="4"/>
  <c r="AJ72" i="4"/>
  <c r="I72" i="4"/>
  <c r="AY105" i="4"/>
  <c r="AY101" i="4"/>
  <c r="AY98" i="4"/>
  <c r="AY95" i="4"/>
  <c r="AY115" i="4" s="1"/>
  <c r="AY93" i="4"/>
  <c r="AY91" i="4"/>
  <c r="AZ91" i="4" s="1"/>
  <c r="AZ92" i="4" s="1"/>
  <c r="AY106" i="4"/>
  <c r="AY102" i="4"/>
  <c r="AY104" i="4"/>
  <c r="AY99" i="4"/>
  <c r="AY96" i="4"/>
  <c r="AY94" i="4"/>
  <c r="AY92" i="4"/>
  <c r="AY109" i="4"/>
  <c r="BD34" i="2"/>
  <c r="BC34" i="2"/>
  <c r="BB34" i="2"/>
  <c r="BA34" i="2"/>
  <c r="AZ34" i="2"/>
  <c r="AY34" i="2"/>
  <c r="AV34" i="2"/>
  <c r="AU34" i="2"/>
  <c r="BD29" i="2"/>
  <c r="BC29" i="2"/>
  <c r="BB29" i="2"/>
  <c r="BA29" i="2"/>
  <c r="AZ29" i="2"/>
  <c r="AY29" i="2"/>
  <c r="AV29" i="2"/>
  <c r="AU29" i="2"/>
  <c r="BD24" i="2"/>
  <c r="BC24" i="2"/>
  <c r="BB24" i="2"/>
  <c r="BA24" i="2"/>
  <c r="AZ24" i="2"/>
  <c r="AY24" i="2"/>
  <c r="AV24" i="2"/>
  <c r="AU24" i="2"/>
  <c r="BD19" i="2"/>
  <c r="BC19" i="2"/>
  <c r="BD14" i="2"/>
  <c r="BC14" i="2"/>
  <c r="BD9" i="2"/>
  <c r="BC9" i="2"/>
  <c r="BD10" i="2" s="1"/>
  <c r="AZ93" i="4" l="1"/>
  <c r="AZ94" i="4" s="1"/>
  <c r="AZ95" i="4" s="1"/>
  <c r="AZ96" i="4" s="1"/>
  <c r="AZ97" i="4" s="1"/>
  <c r="AZ98" i="4" s="1"/>
  <c r="AZ99" i="4" s="1"/>
  <c r="AZ100" i="4" s="1"/>
  <c r="AZ101" i="4" s="1"/>
  <c r="AZ102" i="4" s="1"/>
  <c r="AZ103" i="4" s="1"/>
  <c r="AZ104" i="4" s="1"/>
  <c r="AZ105" i="4" s="1"/>
  <c r="AZ106" i="4" s="1"/>
  <c r="AZ107" i="4" s="1"/>
  <c r="AZ108" i="4" s="1"/>
  <c r="AZ109" i="4" s="1"/>
  <c r="AV72" i="4"/>
  <c r="AQ72" i="4"/>
  <c r="AC72" i="4"/>
  <c r="AD72" i="4"/>
  <c r="AI17" i="2" s="1"/>
  <c r="BB35" i="2"/>
  <c r="BD25" i="2"/>
  <c r="BB30" i="2"/>
  <c r="AV30" i="2"/>
  <c r="AV25" i="2"/>
  <c r="BD35" i="2"/>
  <c r="AZ30" i="2"/>
  <c r="BD30" i="2"/>
  <c r="BD15" i="2"/>
  <c r="AZ35" i="2"/>
  <c r="BB25" i="2"/>
  <c r="AV35" i="2"/>
  <c r="AZ25" i="2"/>
  <c r="BD20" i="2"/>
  <c r="AB73" i="4" l="1"/>
  <c r="AA73" i="4"/>
  <c r="AA19" i="4" s="1"/>
  <c r="AC19" i="4" s="1"/>
  <c r="AS73" i="4"/>
  <c r="AR73" i="4"/>
  <c r="AN73" i="4"/>
  <c r="I73" i="4"/>
  <c r="AJ73" i="4"/>
  <c r="AC73" i="4" l="1"/>
  <c r="AV73" i="4"/>
  <c r="AQ73" i="4"/>
  <c r="AD73" i="4"/>
  <c r="AI18" i="2" s="1"/>
  <c r="BB19" i="2"/>
  <c r="BA19" i="2"/>
  <c r="AZ19" i="2"/>
  <c r="AY19" i="2"/>
  <c r="AV19" i="2"/>
  <c r="AU19" i="2"/>
  <c r="I74" i="4" l="1"/>
  <c r="AB74" i="4"/>
  <c r="AA74" i="4"/>
  <c r="AA12" i="4" s="1"/>
  <c r="AC12" i="4" s="1"/>
  <c r="AS74" i="4"/>
  <c r="AR74" i="4"/>
  <c r="AN74" i="4"/>
  <c r="AJ74" i="4"/>
  <c r="BB20" i="2"/>
  <c r="AZ20" i="2"/>
  <c r="AV20" i="2"/>
  <c r="BB14" i="2"/>
  <c r="BA14" i="2"/>
  <c r="AZ14" i="2"/>
  <c r="AY14" i="2"/>
  <c r="AV14" i="2"/>
  <c r="AU14" i="2"/>
  <c r="AV9" i="2"/>
  <c r="AU9" i="2"/>
  <c r="BB9" i="2"/>
  <c r="BA9" i="2"/>
  <c r="AC74" i="4" l="1"/>
  <c r="AV74" i="4"/>
  <c r="AQ74" i="4"/>
  <c r="AD74" i="4"/>
  <c r="AI19" i="2" s="1"/>
  <c r="AV10" i="2"/>
  <c r="AJ75" i="4" l="1"/>
  <c r="I75" i="4"/>
  <c r="AB75" i="4"/>
  <c r="AA75" i="4"/>
  <c r="AA16" i="4" s="1"/>
  <c r="AC16" i="4" s="1"/>
  <c r="AS75" i="4"/>
  <c r="AR75" i="4"/>
  <c r="AN75" i="4"/>
  <c r="J24" i="2"/>
  <c r="I24" i="2"/>
  <c r="L24" i="2"/>
  <c r="K24" i="2"/>
  <c r="AC75" i="4" l="1"/>
  <c r="AV75" i="4"/>
  <c r="AQ75" i="4"/>
  <c r="AD75" i="4"/>
  <c r="AI20" i="2" s="1"/>
  <c r="I5" i="2"/>
  <c r="I12" i="2"/>
  <c r="I16" i="2"/>
  <c r="I21" i="2"/>
  <c r="I4" i="2"/>
  <c r="I6" i="2"/>
  <c r="I14" i="2"/>
  <c r="I18" i="2"/>
  <c r="I23" i="2"/>
  <c r="I7" i="2"/>
  <c r="I8" i="2"/>
  <c r="I9" i="2"/>
  <c r="I10" i="2"/>
  <c r="I11" i="2"/>
  <c r="I13" i="2"/>
  <c r="I15" i="2"/>
  <c r="I17" i="2"/>
  <c r="I20" i="2"/>
  <c r="I22" i="2"/>
  <c r="I19" i="2"/>
  <c r="M21" i="2"/>
  <c r="M17" i="2"/>
  <c r="M13" i="2"/>
  <c r="M9" i="2"/>
  <c r="M5" i="2"/>
  <c r="M18" i="2"/>
  <c r="M14" i="2"/>
  <c r="M6" i="2"/>
  <c r="M24" i="2"/>
  <c r="M20" i="2"/>
  <c r="M16" i="2"/>
  <c r="M12" i="2"/>
  <c r="M8" i="2"/>
  <c r="M4" i="2"/>
  <c r="M22" i="2"/>
  <c r="M10" i="2"/>
  <c r="M23" i="2"/>
  <c r="M19" i="2"/>
  <c r="M15" i="2"/>
  <c r="M11" i="2"/>
  <c r="M7" i="2"/>
  <c r="N8" i="2"/>
  <c r="N5" i="2"/>
  <c r="N9" i="2"/>
  <c r="N13" i="2"/>
  <c r="N17" i="2"/>
  <c r="N21" i="2"/>
  <c r="N4" i="2"/>
  <c r="N16" i="2"/>
  <c r="N24" i="2"/>
  <c r="N6" i="2"/>
  <c r="N10" i="2"/>
  <c r="N14" i="2"/>
  <c r="N18" i="2"/>
  <c r="N22" i="2"/>
  <c r="N12" i="2"/>
  <c r="N20" i="2"/>
  <c r="N7" i="2"/>
  <c r="N11" i="2"/>
  <c r="N15" i="2"/>
  <c r="N19" i="2"/>
  <c r="N23" i="2"/>
  <c r="AB76" i="4" l="1"/>
  <c r="AN76" i="4"/>
  <c r="I76" i="4"/>
  <c r="AJ76" i="4"/>
  <c r="AA76" i="4"/>
  <c r="AA22" i="4" s="1"/>
  <c r="AC22" i="4" s="1"/>
  <c r="AS76" i="4"/>
  <c r="AR76" i="4"/>
  <c r="AV76" i="4" l="1"/>
  <c r="AC76" i="4"/>
  <c r="AQ76" i="4"/>
  <c r="AD76" i="4"/>
  <c r="AI21" i="2" s="1"/>
  <c r="AZ9" i="2"/>
  <c r="AY9" i="2"/>
  <c r="AX9" i="2"/>
  <c r="AW9" i="2"/>
  <c r="AO24" i="2"/>
  <c r="AN24" i="2"/>
  <c r="AM24" i="2"/>
  <c r="AL24" i="2"/>
  <c r="AK24" i="2"/>
  <c r="H24" i="2"/>
  <c r="H18" i="2" s="1"/>
  <c r="G24" i="2"/>
  <c r="G18" i="2" s="1"/>
  <c r="F24" i="2"/>
  <c r="F14" i="2" s="1"/>
  <c r="F15" i="2" s="1"/>
  <c r="F16" i="2" s="1"/>
  <c r="F17" i="2" s="1"/>
  <c r="F18" i="2" s="1"/>
  <c r="F19" i="2" s="1"/>
  <c r="F20" i="2" s="1"/>
  <c r="F21" i="2" s="1"/>
  <c r="F22" i="2" s="1"/>
  <c r="E24" i="2"/>
  <c r="E14" i="2" s="1"/>
  <c r="E15" i="2" s="1"/>
  <c r="E16" i="2" s="1"/>
  <c r="E17" i="2" s="1"/>
  <c r="E18" i="2" s="1"/>
  <c r="E19" i="2" s="1"/>
  <c r="E20" i="2" s="1"/>
  <c r="E21" i="2" s="1"/>
  <c r="E22" i="2" s="1"/>
  <c r="AP23" i="2"/>
  <c r="AL23" i="2"/>
  <c r="AK23" i="2"/>
  <c r="AP22" i="2"/>
  <c r="AL22" i="2"/>
  <c r="AK22" i="2"/>
  <c r="AP21" i="2"/>
  <c r="AL21" i="2"/>
  <c r="AK21" i="2"/>
  <c r="AP20" i="2"/>
  <c r="AL20" i="2"/>
  <c r="AK20" i="2"/>
  <c r="AP19" i="2"/>
  <c r="AL19" i="2"/>
  <c r="AK19" i="2"/>
  <c r="AO19" i="2"/>
  <c r="AP18" i="2"/>
  <c r="AO18" i="2"/>
  <c r="AL18" i="2"/>
  <c r="AK18" i="2"/>
  <c r="AO17" i="2"/>
  <c r="AL17" i="2"/>
  <c r="AK17" i="2"/>
  <c r="AP16" i="2"/>
  <c r="AO16" i="2"/>
  <c r="AL16" i="2"/>
  <c r="AK16" i="2"/>
  <c r="AO15" i="2"/>
  <c r="AL15" i="2"/>
  <c r="AK15" i="2"/>
  <c r="R15" i="2"/>
  <c r="R16" i="2" s="1"/>
  <c r="R17" i="2" s="1"/>
  <c r="R18" i="2" s="1"/>
  <c r="R19" i="2" s="1"/>
  <c r="R20" i="2" s="1"/>
  <c r="R21" i="2" s="1"/>
  <c r="R22" i="2" s="1"/>
  <c r="R23" i="2" s="1"/>
  <c r="Q15" i="2"/>
  <c r="Q16" i="2" s="1"/>
  <c r="Q17" i="2" s="1"/>
  <c r="Q18" i="2" s="1"/>
  <c r="Q19" i="2" s="1"/>
  <c r="Q20" i="2" s="1"/>
  <c r="Q21" i="2" s="1"/>
  <c r="Q22" i="2" s="1"/>
  <c r="Q23" i="2" s="1"/>
  <c r="AP14" i="2"/>
  <c r="AO14" i="2"/>
  <c r="AN14" i="2"/>
  <c r="AM14" i="2"/>
  <c r="AL14" i="2"/>
  <c r="AK14" i="2"/>
  <c r="AO13" i="2"/>
  <c r="AL13" i="2"/>
  <c r="AK13" i="2"/>
  <c r="AP12" i="2"/>
  <c r="AO12" i="2"/>
  <c r="AL12" i="2"/>
  <c r="AK12" i="2"/>
  <c r="AO11" i="2"/>
  <c r="AL11" i="2"/>
  <c r="AK11" i="2"/>
  <c r="AP10" i="2"/>
  <c r="AO10" i="2"/>
  <c r="AL10" i="2"/>
  <c r="AK10" i="2"/>
  <c r="AO9" i="2"/>
  <c r="AL9" i="2"/>
  <c r="AK9" i="2"/>
  <c r="AP8" i="2"/>
  <c r="AO8" i="2"/>
  <c r="AL8" i="2"/>
  <c r="AK8" i="2"/>
  <c r="AO7" i="2"/>
  <c r="AL7" i="2"/>
  <c r="AK7" i="2"/>
  <c r="AO6" i="2"/>
  <c r="AL6" i="2"/>
  <c r="AK6" i="2"/>
  <c r="AO5" i="2"/>
  <c r="AL5" i="2"/>
  <c r="AK5" i="2"/>
  <c r="R5" i="2"/>
  <c r="R6" i="2" s="1"/>
  <c r="R7" i="2" s="1"/>
  <c r="R8" i="2" s="1"/>
  <c r="R9" i="2" s="1"/>
  <c r="R10" i="2" s="1"/>
  <c r="R11" i="2" s="1"/>
  <c r="R12" i="2" s="1"/>
  <c r="R13" i="2" s="1"/>
  <c r="Q5" i="2"/>
  <c r="Q6" i="2" s="1"/>
  <c r="Q7" i="2" s="1"/>
  <c r="Q8" i="2" s="1"/>
  <c r="Q9" i="2" s="1"/>
  <c r="Q10" i="2" s="1"/>
  <c r="Q11" i="2" s="1"/>
  <c r="Q12" i="2" s="1"/>
  <c r="Q13" i="2" s="1"/>
  <c r="AP4" i="2"/>
  <c r="AO4" i="2"/>
  <c r="AN4" i="2"/>
  <c r="AM4" i="2"/>
  <c r="AL4" i="2"/>
  <c r="AK4" i="2"/>
  <c r="AZ15" i="2"/>
  <c r="AP3" i="2"/>
  <c r="AO3" i="2"/>
  <c r="AN3" i="2"/>
  <c r="AM3" i="2"/>
  <c r="AL3" i="2"/>
  <c r="AK3" i="2"/>
  <c r="AA77" i="4" l="1"/>
  <c r="AA10" i="4" s="1"/>
  <c r="AC10" i="4" s="1"/>
  <c r="AS77" i="4"/>
  <c r="AR77" i="4"/>
  <c r="AN77" i="4"/>
  <c r="I77" i="4"/>
  <c r="AJ77" i="4"/>
  <c r="AB77" i="4"/>
  <c r="E23" i="2"/>
  <c r="F23" i="2"/>
  <c r="AJ34" i="2"/>
  <c r="AI35" i="2"/>
  <c r="AJ35" i="2"/>
  <c r="G19" i="2"/>
  <c r="H19" i="2"/>
  <c r="H15" i="2"/>
  <c r="F4" i="2"/>
  <c r="F5" i="2" s="1"/>
  <c r="E4" i="2"/>
  <c r="E5" i="2" s="1"/>
  <c r="H7" i="2"/>
  <c r="H9" i="2"/>
  <c r="H20" i="2"/>
  <c r="H21" i="2"/>
  <c r="H22" i="2"/>
  <c r="H23" i="2"/>
  <c r="H5" i="2"/>
  <c r="H11" i="2"/>
  <c r="H13" i="2"/>
  <c r="H17" i="2"/>
  <c r="AX10" i="2"/>
  <c r="G5" i="2"/>
  <c r="G8" i="2"/>
  <c r="G16" i="2"/>
  <c r="G4" i="2"/>
  <c r="G11" i="2"/>
  <c r="G15" i="2"/>
  <c r="G17" i="2"/>
  <c r="G6" i="2"/>
  <c r="G9" i="2"/>
  <c r="G12" i="2"/>
  <c r="G14" i="2"/>
  <c r="AZ10" i="2"/>
  <c r="G7" i="2"/>
  <c r="G10" i="2"/>
  <c r="G13" i="2"/>
  <c r="AO20" i="2"/>
  <c r="G20" i="2"/>
  <c r="AO21" i="2"/>
  <c r="G21" i="2"/>
  <c r="AO22" i="2"/>
  <c r="G22" i="2"/>
  <c r="AO23" i="2"/>
  <c r="G23" i="2"/>
  <c r="AP24" i="2"/>
  <c r="H4" i="2"/>
  <c r="AP5" i="2"/>
  <c r="H6" i="2"/>
  <c r="AP6" i="2"/>
  <c r="AP7" i="2"/>
  <c r="H8" i="2"/>
  <c r="AP9" i="2"/>
  <c r="H10" i="2"/>
  <c r="AP11" i="2"/>
  <c r="H12" i="2"/>
  <c r="AP13" i="2"/>
  <c r="H14" i="2"/>
  <c r="AP15" i="2"/>
  <c r="H16" i="2"/>
  <c r="AP17" i="2"/>
  <c r="AQ77" i="4" l="1"/>
  <c r="AV77" i="4"/>
  <c r="AC77" i="4"/>
  <c r="AD77" i="4"/>
  <c r="AI22" i="2" s="1"/>
  <c r="AI34" i="2"/>
  <c r="E6" i="2"/>
  <c r="E7" i="2" s="1"/>
  <c r="E8" i="2" s="1"/>
  <c r="E9" i="2" s="1"/>
  <c r="E10" i="2" s="1"/>
  <c r="E11" i="2" s="1"/>
  <c r="E12" i="2" s="1"/>
  <c r="E13" i="2" s="1"/>
  <c r="F6" i="2"/>
  <c r="F7" i="2" s="1"/>
  <c r="F8" i="2" s="1"/>
  <c r="F9" i="2" s="1"/>
  <c r="F10" i="2" s="1"/>
  <c r="F11" i="2" s="1"/>
  <c r="F12" i="2" s="1"/>
  <c r="F13" i="2" s="1"/>
  <c r="AM35" i="2"/>
  <c r="AV15" i="2"/>
  <c r="AR78" i="4" l="1"/>
  <c r="AN78" i="4"/>
  <c r="AB78" i="4"/>
  <c r="AA78" i="4"/>
  <c r="AA9" i="4" s="1"/>
  <c r="AC9" i="4" s="1"/>
  <c r="AS78" i="4"/>
  <c r="I78" i="4"/>
  <c r="AJ78" i="4"/>
  <c r="AL36" i="2"/>
  <c r="AM34" i="2"/>
  <c r="AK36" i="2"/>
  <c r="AC78" i="4" l="1"/>
  <c r="AV78" i="4"/>
  <c r="AQ78" i="4"/>
  <c r="AD78" i="4"/>
  <c r="AI23" i="2" s="1"/>
  <c r="AN36" i="2"/>
  <c r="AJ79" i="4" l="1"/>
  <c r="AB79" i="4"/>
  <c r="AA79" i="4"/>
  <c r="AA6" i="4" s="1"/>
  <c r="AC6" i="4" s="1"/>
  <c r="AS79" i="4"/>
  <c r="AR79" i="4"/>
  <c r="AN79" i="4"/>
  <c r="I79" i="4"/>
  <c r="AC79" i="4" l="1"/>
  <c r="AV79" i="4"/>
  <c r="AQ79" i="4"/>
  <c r="AD79" i="4"/>
  <c r="AI24" i="2" s="1"/>
  <c r="G105" i="1"/>
  <c r="AJ80" i="4" l="1"/>
  <c r="I80" i="4"/>
  <c r="AN80" i="4"/>
  <c r="CH59" i="4"/>
  <c r="CI59" i="4" s="1"/>
  <c r="AB80" i="4"/>
  <c r="AA80" i="4"/>
  <c r="AA5" i="4" s="1"/>
  <c r="AC5" i="4" s="1"/>
  <c r="AR80" i="4"/>
  <c r="AS80" i="4"/>
  <c r="AW79" i="4" s="1"/>
  <c r="I106" i="1"/>
  <c r="I107" i="1" s="1"/>
  <c r="H106" i="1"/>
  <c r="H107" i="1" s="1"/>
  <c r="H110" i="1"/>
  <c r="H111" i="1" s="1"/>
  <c r="H112" i="1" s="1"/>
  <c r="I110" i="1"/>
  <c r="I111" i="1" s="1"/>
  <c r="I112" i="1" s="1"/>
  <c r="J106" i="1"/>
  <c r="J107" i="1" s="1"/>
  <c r="O106" i="1"/>
  <c r="O107" i="1" s="1"/>
  <c r="P106" i="1"/>
  <c r="P107" i="1" s="1"/>
  <c r="G106" i="1"/>
  <c r="G107" i="1" s="1"/>
  <c r="AX80" i="4" l="1"/>
  <c r="AX61" i="4"/>
  <c r="AW60" i="4"/>
  <c r="AX60" i="4"/>
  <c r="AW61" i="4"/>
  <c r="AX62" i="4"/>
  <c r="AW62" i="4"/>
  <c r="AX63" i="4"/>
  <c r="AW63" i="4"/>
  <c r="AX64" i="4"/>
  <c r="AW64" i="4"/>
  <c r="AX65" i="4"/>
  <c r="AW65" i="4"/>
  <c r="AX66" i="4"/>
  <c r="AW66" i="4"/>
  <c r="AX67" i="4"/>
  <c r="AW67" i="4"/>
  <c r="AX68" i="4"/>
  <c r="AW68" i="4"/>
  <c r="AX69" i="4"/>
  <c r="AW69" i="4"/>
  <c r="AX70" i="4"/>
  <c r="AW70" i="4"/>
  <c r="AX71" i="4"/>
  <c r="AW71" i="4"/>
  <c r="AX72" i="4"/>
  <c r="AW72" i="4"/>
  <c r="AX73" i="4"/>
  <c r="AW73" i="4"/>
  <c r="AX74" i="4"/>
  <c r="AW74" i="4"/>
  <c r="AX75" i="4"/>
  <c r="AW75" i="4"/>
  <c r="AX76" i="4"/>
  <c r="AW76" i="4"/>
  <c r="AX77" i="4"/>
  <c r="AW77" i="4"/>
  <c r="AX78" i="4"/>
  <c r="AW78" i="4"/>
  <c r="AX79" i="4"/>
  <c r="AQ80" i="4"/>
  <c r="AC80" i="4"/>
  <c r="AV80" i="4"/>
  <c r="AW80" i="4" s="1"/>
  <c r="AA86" i="4"/>
  <c r="AC86" i="4" s="1"/>
  <c r="AD80" i="4"/>
  <c r="K106" i="1"/>
  <c r="K107" i="1" s="1"/>
  <c r="AW107" i="4" l="1"/>
  <c r="AW97" i="4"/>
  <c r="AW106" i="4"/>
  <c r="AW104" i="4"/>
  <c r="AW101" i="4"/>
  <c r="AW96" i="4"/>
  <c r="AW93" i="4"/>
  <c r="AW95" i="4"/>
  <c r="AW103" i="4"/>
  <c r="AW102" i="4"/>
  <c r="AW105" i="4"/>
  <c r="AW98" i="4"/>
  <c r="AW94" i="4"/>
  <c r="AW92" i="4"/>
  <c r="AW91" i="4"/>
  <c r="AX91" i="4" s="1"/>
  <c r="AW100" i="4"/>
  <c r="AW109" i="4"/>
  <c r="AW99" i="4"/>
  <c r="AW108" i="4"/>
  <c r="AX92" i="4" l="1"/>
  <c r="AX93" i="4" s="1"/>
  <c r="AX94" i="4" s="1"/>
  <c r="AX95" i="4" s="1"/>
  <c r="AX96" i="4" s="1"/>
  <c r="AX97" i="4" s="1"/>
  <c r="AX98" i="4" s="1"/>
  <c r="AX99" i="4" s="1"/>
  <c r="AX100" i="4" s="1"/>
  <c r="AX101" i="4" s="1"/>
  <c r="AX102" i="4" s="1"/>
  <c r="AX103" i="4" s="1"/>
  <c r="AX104" i="4" s="1"/>
  <c r="AX105" i="4" s="1"/>
  <c r="AX106" i="4" s="1"/>
  <c r="AX107" i="4" s="1"/>
  <c r="AX108" i="4" s="1"/>
  <c r="AX109" i="4" s="1"/>
  <c r="AW115" i="4"/>
  <c r="BB10" i="2" l="1"/>
  <c r="BB15" i="2"/>
  <c r="L9" i="1" l="1"/>
  <c r="K9" i="1"/>
  <c r="J20" i="2"/>
  <c r="J19" i="2"/>
  <c r="J22" i="2"/>
  <c r="J10" i="2"/>
  <c r="J5" i="2"/>
  <c r="J13" i="2"/>
  <c r="J21" i="2"/>
  <c r="J8" i="2"/>
  <c r="J4" i="2"/>
  <c r="J6" i="2"/>
  <c r="J11" i="2"/>
  <c r="J12" i="2"/>
  <c r="J7" i="2"/>
  <c r="J15" i="2"/>
  <c r="J23" i="2"/>
  <c r="J14" i="2"/>
  <c r="J16" i="2"/>
  <c r="J9" i="2"/>
  <c r="J17" i="2"/>
  <c r="J18" i="2"/>
  <c r="M9" i="1" l="1"/>
  <c r="L4" i="2"/>
  <c r="L6" i="2"/>
  <c r="L5" i="2"/>
  <c r="L7" i="2"/>
  <c r="L8" i="2" l="1"/>
  <c r="L9" i="2" l="1"/>
  <c r="L10" i="2" l="1"/>
  <c r="L11" i="2" l="1"/>
  <c r="L12" i="2" l="1"/>
  <c r="L13" i="2" l="1"/>
  <c r="L14" i="2" l="1"/>
  <c r="L15" i="2" l="1"/>
  <c r="L16" i="2" l="1"/>
  <c r="L17" i="2" l="1"/>
  <c r="L18" i="2" l="1"/>
  <c r="L19" i="2" l="1"/>
  <c r="L20" i="2" l="1"/>
  <c r="L21" i="2" l="1"/>
  <c r="L22" i="2" l="1"/>
  <c r="L23" i="2" l="1"/>
  <c r="K4" i="2" l="1"/>
  <c r="K6" i="2"/>
  <c r="K5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G109" i="1" l="1"/>
  <c r="G110" i="1" s="1"/>
  <c r="G111" i="1" s="1"/>
  <c r="G112" i="1" s="1"/>
  <c r="K109" i="1"/>
  <c r="K110" i="1" s="1"/>
  <c r="K111" i="1" s="1"/>
  <c r="K112" i="1" s="1"/>
  <c r="O109" i="1"/>
  <c r="P109" i="1"/>
  <c r="P110" i="1" s="1"/>
  <c r="P111" i="1" s="1"/>
  <c r="P112" i="1" s="1"/>
  <c r="J109" i="1"/>
  <c r="J110" i="1" s="1"/>
  <c r="J111" i="1" s="1"/>
  <c r="J112" i="1" s="1"/>
  <c r="O110" i="1" l="1"/>
  <c r="O111" i="1" s="1"/>
  <c r="O112" i="1" s="1"/>
  <c r="L11" i="1" l="1"/>
  <c r="K11" i="1" l="1"/>
  <c r="M11" i="1" s="1"/>
  <c r="AI37" i="2"/>
  <c r="AI38" i="2"/>
  <c r="AJ37" i="2"/>
  <c r="AJ38" i="2"/>
  <c r="AM38" i="2" l="1"/>
  <c r="AL39" i="2"/>
  <c r="AK39" i="2"/>
  <c r="AM37" i="2"/>
  <c r="L16" i="1" l="1"/>
  <c r="AN39" i="2"/>
  <c r="L19" i="1" l="1"/>
  <c r="AI40" i="2"/>
  <c r="AI41" i="2"/>
  <c r="K16" i="1"/>
  <c r="M16" i="1" s="1"/>
  <c r="AJ40" i="2" l="1"/>
  <c r="AM40" i="2" s="1"/>
  <c r="AJ41" i="2"/>
  <c r="AM41" i="2" s="1"/>
  <c r="L27" i="1"/>
  <c r="AK42" i="2"/>
  <c r="AL42" i="2" l="1"/>
  <c r="AN42" i="2" s="1"/>
  <c r="L24" i="1"/>
  <c r="AJ43" i="2"/>
  <c r="AJ44" i="2"/>
  <c r="K19" i="1"/>
  <c r="M19" i="1" s="1"/>
  <c r="AI43" i="2"/>
  <c r="AI44" i="2"/>
  <c r="AL45" i="2" l="1"/>
  <c r="AM44" i="2"/>
  <c r="L12" i="1"/>
  <c r="AJ47" i="2"/>
  <c r="AJ46" i="2"/>
  <c r="AK45" i="2"/>
  <c r="AM43" i="2"/>
  <c r="AN45" i="2" l="1"/>
  <c r="AJ50" i="2"/>
  <c r="AJ49" i="2"/>
  <c r="L18" i="1"/>
  <c r="AL48" i="2"/>
  <c r="AI47" i="2"/>
  <c r="AM47" i="2" s="1"/>
  <c r="AI46" i="2"/>
  <c r="K27" i="1"/>
  <c r="M27" i="1" s="1"/>
  <c r="AL51" i="2" l="1"/>
  <c r="AJ53" i="2"/>
  <c r="AJ52" i="2"/>
  <c r="L22" i="1"/>
  <c r="AM46" i="2"/>
  <c r="AK48" i="2"/>
  <c r="AN48" i="2" s="1"/>
  <c r="AJ57" i="2" l="1"/>
  <c r="AL54" i="2"/>
  <c r="L26" i="1"/>
  <c r="K24" i="1"/>
  <c r="M24" i="1" s="1"/>
  <c r="AI49" i="2"/>
  <c r="AI50" i="2"/>
  <c r="AM50" i="2" s="1"/>
  <c r="L28" i="1" l="1"/>
  <c r="AM49" i="2"/>
  <c r="AK51" i="2"/>
  <c r="AN51" i="2" s="1"/>
  <c r="L25" i="1" l="1"/>
  <c r="AI53" i="2"/>
  <c r="AM53" i="2" s="1"/>
  <c r="AI52" i="2"/>
  <c r="K12" i="1"/>
  <c r="M12" i="1" s="1"/>
  <c r="L29" i="1" l="1"/>
  <c r="AM52" i="2"/>
  <c r="AK54" i="2"/>
  <c r="AN54" i="2" s="1"/>
  <c r="AI57" i="2"/>
  <c r="AI58" i="2" s="1"/>
  <c r="L23" i="1" l="1"/>
  <c r="K18" i="1"/>
  <c r="M18" i="1" s="1"/>
  <c r="L13" i="1" l="1"/>
  <c r="L20" i="1" l="1"/>
  <c r="K22" i="1"/>
  <c r="M22" i="1" s="1"/>
  <c r="L17" i="1" l="1"/>
  <c r="L21" i="1" l="1"/>
  <c r="K26" i="1"/>
  <c r="M26" i="1" s="1"/>
  <c r="L15" i="1" l="1"/>
  <c r="L14" i="1" l="1"/>
  <c r="K28" i="1"/>
  <c r="M28" i="1" s="1"/>
  <c r="L10" i="1" l="1"/>
  <c r="K25" i="1" l="1"/>
  <c r="M25" i="1" s="1"/>
  <c r="AJ30" i="2" l="1"/>
  <c r="AJ32" i="2"/>
  <c r="AP32" i="2" l="1"/>
  <c r="AL32" i="2"/>
  <c r="AN32" i="2"/>
  <c r="AJ31" i="2"/>
  <c r="AL30" i="2"/>
  <c r="AP30" i="2"/>
  <c r="AN30" i="2"/>
  <c r="K29" i="1"/>
  <c r="M29" i="1" s="1"/>
  <c r="AP31" i="2" l="1"/>
  <c r="AN31" i="2"/>
  <c r="AL31" i="2"/>
  <c r="K23" i="1" l="1"/>
  <c r="M23" i="1" s="1"/>
  <c r="K13" i="1" l="1"/>
  <c r="M13" i="1" s="1"/>
  <c r="K20" i="1" l="1"/>
  <c r="M20" i="1" s="1"/>
  <c r="K17" i="1" l="1"/>
  <c r="M17" i="1" s="1"/>
  <c r="K21" i="1" l="1"/>
  <c r="M21" i="1" s="1"/>
  <c r="K15" i="1" l="1"/>
  <c r="M15" i="1" s="1"/>
  <c r="K14" i="1" l="1"/>
  <c r="M14" i="1" s="1"/>
  <c r="AI26" i="2" l="1"/>
  <c r="AI28" i="2"/>
  <c r="K10" i="1"/>
  <c r="M10" i="1" s="1"/>
  <c r="AN28" i="2" l="1"/>
  <c r="AI27" i="2"/>
  <c r="AL28" i="2"/>
  <c r="AP28" i="2"/>
  <c r="AP26" i="2"/>
  <c r="AN26" i="2"/>
  <c r="AL26" i="2"/>
  <c r="AN27" i="2" l="1"/>
  <c r="AP27" i="2"/>
  <c r="AL2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Gernot</author>
  </authors>
  <commentList>
    <comment ref="AD64" authorId="0" shapeId="0" xr:uid="{B550EC9F-B4FD-4F50-A3E5-2663D3E485A3}">
      <text>
        <r>
          <rPr>
            <b/>
            <sz val="9"/>
            <color indexed="81"/>
            <rFont val="Segoe UI"/>
            <family val="2"/>
          </rPr>
          <t>Gernot:</t>
        </r>
        <r>
          <rPr>
            <sz val="9"/>
            <color indexed="81"/>
            <rFont val="Segoe UI"/>
            <family val="2"/>
          </rPr>
          <t xml:space="preserve">
bis hier weniger als 5 Tage</t>
        </r>
      </text>
    </comment>
    <comment ref="CB76" authorId="0" shapeId="0" xr:uid="{A6F396BC-32BB-42E3-9BD0-17441975DECC}">
      <text>
        <r>
          <rPr>
            <b/>
            <sz val="9"/>
            <color indexed="81"/>
            <rFont val="Segoe UI"/>
            <family val="2"/>
          </rPr>
          <t>Gernot:</t>
        </r>
        <r>
          <rPr>
            <sz val="9"/>
            <color indexed="81"/>
            <rFont val="Segoe UI"/>
            <family val="2"/>
          </rPr>
          <t xml:space="preserve">
ohne Tag 1!</t>
        </r>
      </text>
    </comment>
    <comment ref="CF76" authorId="0" shapeId="0" xr:uid="{7E5C5A07-6FA0-481F-BD11-29809A28875E}">
      <text>
        <r>
          <rPr>
            <b/>
            <sz val="9"/>
            <color indexed="81"/>
            <rFont val="Segoe UI"/>
            <family val="2"/>
          </rPr>
          <t>Gernot:</t>
        </r>
        <r>
          <rPr>
            <sz val="9"/>
            <color indexed="81"/>
            <rFont val="Segoe UI"/>
            <family val="2"/>
          </rPr>
          <t xml:space="preserve">
ohne Tag 1!</t>
        </r>
      </text>
    </comment>
    <comment ref="CK76" authorId="0" shapeId="0" xr:uid="{2B68C2F1-2E39-4A52-99F1-5CAB95131CDD}">
      <text>
        <r>
          <rPr>
            <b/>
            <sz val="9"/>
            <color indexed="81"/>
            <rFont val="Segoe UI"/>
            <family val="2"/>
          </rPr>
          <t>Gernot:</t>
        </r>
        <r>
          <rPr>
            <sz val="9"/>
            <color indexed="81"/>
            <rFont val="Segoe UI"/>
            <family val="2"/>
          </rPr>
          <t xml:space="preserve">
ohne Tag 1!</t>
        </r>
      </text>
    </comment>
    <comment ref="CP76" authorId="0" shapeId="0" xr:uid="{1BB3AE4D-2D8F-469C-A27B-2B455B5F4AAB}">
      <text>
        <r>
          <rPr>
            <b/>
            <sz val="9"/>
            <color indexed="81"/>
            <rFont val="Segoe UI"/>
            <family val="2"/>
          </rPr>
          <t>Gernot:</t>
        </r>
        <r>
          <rPr>
            <sz val="9"/>
            <color indexed="81"/>
            <rFont val="Segoe UI"/>
            <family val="2"/>
          </rPr>
          <t xml:space="preserve">
ohne Tag 1!</t>
        </r>
      </text>
    </comment>
  </commentList>
</comments>
</file>

<file path=xl/sharedStrings.xml><?xml version="1.0" encoding="utf-8"?>
<sst xmlns="http://schemas.openxmlformats.org/spreadsheetml/2006/main" count="1366" uniqueCount="359">
  <si>
    <t>Die grün markierten Produkte hast du bei dem entsprechenden Paket inklusive.</t>
  </si>
  <si>
    <t>↓</t>
  </si>
  <si>
    <t>Format</t>
  </si>
  <si>
    <t>UVP-Preis
im F-Shop</t>
  </si>
  <si>
    <t>µ</t>
  </si>
  <si>
    <t>-</t>
  </si>
  <si>
    <t>Schätzpreis, Preis nach CF ist unbekannt</t>
  </si>
  <si>
    <t>Deine Kosten</t>
  </si>
  <si>
    <t>/</t>
  </si>
  <si>
    <t>Deine Ersparnis</t>
  </si>
  <si>
    <t>Deine zusätzlichen Produkte</t>
  </si>
  <si>
    <t>x</t>
  </si>
  <si>
    <t>Preis als
Zusatz-produkt</t>
  </si>
  <si>
    <t>Kein Paket</t>
  </si>
  <si>
    <t>Donnerstag</t>
  </si>
  <si>
    <t>Datum</t>
  </si>
  <si>
    <t>Backer</t>
  </si>
  <si>
    <t>€</t>
  </si>
  <si>
    <t>erreichte Ziele</t>
  </si>
  <si>
    <t>nächste Stufe</t>
  </si>
  <si>
    <t>1.</t>
  </si>
  <si>
    <t>2.</t>
  </si>
  <si>
    <t>5.</t>
  </si>
  <si>
    <t>3.</t>
  </si>
  <si>
    <t>7.</t>
  </si>
  <si>
    <t>10.</t>
  </si>
  <si>
    <t>9.</t>
  </si>
  <si>
    <t>11.</t>
  </si>
  <si>
    <t>(alle Angaben ohne Gewähr!)</t>
  </si>
  <si>
    <t>Anzahl Unterstützer je Dankeschön</t>
  </si>
  <si>
    <t>13.</t>
  </si>
  <si>
    <t>15.</t>
  </si>
  <si>
    <t>Tag</t>
  </si>
  <si>
    <t>Wochentag</t>
  </si>
  <si>
    <t>Timecode</t>
  </si>
  <si>
    <t>Uhrzeit</t>
  </si>
  <si>
    <t>h ges.</t>
  </si>
  <si>
    <t>h Diff.</t>
  </si>
  <si>
    <t>€ ges. Ist</t>
  </si>
  <si>
    <t>Abw.</t>
  </si>
  <si>
    <t>€ Diff.</t>
  </si>
  <si>
    <t>Backer ges.</t>
  </si>
  <si>
    <t>€/Backer</t>
  </si>
  <si>
    <t>€/Tag</t>
  </si>
  <si>
    <t>€/Tag ges.</t>
  </si>
  <si>
    <t>Backer Diff.</t>
  </si>
  <si>
    <t>Schnitt l. 5 Tage</t>
  </si>
  <si>
    <t>€/Backer NEU</t>
  </si>
  <si>
    <t>DSK:Fasar</t>
  </si>
  <si>
    <t>AVENTURIA:Nedime</t>
  </si>
  <si>
    <t>DSA:Werkzeuge</t>
  </si>
  <si>
    <t>Original</t>
  </si>
  <si>
    <t>Normiert</t>
  </si>
  <si>
    <t>Tag 1 mal X</t>
  </si>
  <si>
    <t>Thorwal norm (€)</t>
  </si>
  <si>
    <t>Thorwal norm (Backer)</t>
  </si>
  <si>
    <t>Werkzeuge norm (€)</t>
  </si>
  <si>
    <t>Werkzeuge norm (Backer)</t>
  </si>
  <si>
    <t>Thorwal (€)</t>
  </si>
  <si>
    <t>Thorwal (Backer)</t>
  </si>
  <si>
    <t>Werkzeuge (€)</t>
  </si>
  <si>
    <t>Werkzeuge (Backer)</t>
  </si>
  <si>
    <t>Mythos (€)</t>
  </si>
  <si>
    <t>Mythos (Backer)</t>
  </si>
  <si>
    <t>Aventuria (€) %</t>
  </si>
  <si>
    <t>Aventuria (Backer) %</t>
  </si>
  <si>
    <t>Thorwal (€) %</t>
  </si>
  <si>
    <t>Thorwal (Backer) %</t>
  </si>
  <si>
    <t>Werkzeuge (€) %</t>
  </si>
  <si>
    <t>Werkzeuge (Backer) %</t>
  </si>
  <si>
    <t>MP TW (€)</t>
  </si>
  <si>
    <t>MP TW (B)</t>
  </si>
  <si>
    <t>DSK (€)</t>
  </si>
  <si>
    <t>DSK norm (€)</t>
  </si>
  <si>
    <t>DSK norm (Backer)</t>
  </si>
  <si>
    <t>Tag 2 mal X</t>
  </si>
  <si>
    <t>Min:</t>
  </si>
  <si>
    <t>Max:</t>
  </si>
  <si>
    <t>B</t>
  </si>
  <si>
    <t>€ kum.</t>
  </si>
  <si>
    <t>Backer kum</t>
  </si>
  <si>
    <t>Min. Schätzung</t>
  </si>
  <si>
    <t>Max. Schätzung</t>
  </si>
  <si>
    <t>Stand Ist/HR</t>
  </si>
  <si>
    <t>Anmerkungen</t>
  </si>
  <si>
    <t>Summe</t>
  </si>
  <si>
    <t>4.</t>
  </si>
  <si>
    <t>6.</t>
  </si>
  <si>
    <t>8.</t>
  </si>
  <si>
    <t>12.</t>
  </si>
  <si>
    <t>14.</t>
  </si>
  <si>
    <t>16.</t>
  </si>
  <si>
    <t>17.</t>
  </si>
  <si>
    <t>18.</t>
  </si>
  <si>
    <t>20.</t>
  </si>
  <si>
    <t>21.</t>
  </si>
  <si>
    <t>19.</t>
  </si>
  <si>
    <t>Nedime (€)</t>
  </si>
  <si>
    <t>Nedime (Backer)</t>
  </si>
  <si>
    <t>Mythen (€)</t>
  </si>
  <si>
    <t>Mythen (Backer)</t>
  </si>
  <si>
    <t>Mythen norm (€)</t>
  </si>
  <si>
    <t>Mythen norm (Backer)</t>
  </si>
  <si>
    <t>Aventuria:Mythen&amp;Legenden</t>
  </si>
  <si>
    <t>€ Summe</t>
  </si>
  <si>
    <t>Tag 1</t>
  </si>
  <si>
    <t>Tag 2</t>
  </si>
  <si>
    <t>Min.</t>
  </si>
  <si>
    <t>Max.</t>
  </si>
  <si>
    <t>Kalkulation min.</t>
  </si>
  <si>
    <t>Kalkulation max.</t>
  </si>
  <si>
    <t>€ ges.</t>
  </si>
  <si>
    <t>Prognose</t>
  </si>
  <si>
    <t>DSK (B)</t>
  </si>
  <si>
    <t>WM (€)</t>
  </si>
  <si>
    <t>WM (B)</t>
  </si>
  <si>
    <t>AML (€)</t>
  </si>
  <si>
    <t>AML (B)</t>
  </si>
  <si>
    <t>ANB (€)</t>
  </si>
  <si>
    <t>ANB (B)</t>
  </si>
  <si>
    <t>AML (€/kum)</t>
  </si>
  <si>
    <t>AML (B/kum)</t>
  </si>
  <si>
    <t>DSK (€/kum)</t>
  </si>
  <si>
    <t>DSK (B/kum)</t>
  </si>
  <si>
    <t>WM (€/kum)</t>
  </si>
  <si>
    <t>WM (B/kum)</t>
  </si>
  <si>
    <t>ANB (€/kum)</t>
  </si>
  <si>
    <t>ANB (B/kum)</t>
  </si>
  <si>
    <t>Tag 3</t>
  </si>
  <si>
    <t>Schnitt</t>
  </si>
  <si>
    <t>PDF</t>
  </si>
  <si>
    <t>MP AML (€)</t>
  </si>
  <si>
    <t>MP AML (B)</t>
  </si>
  <si>
    <t>SOK (€)</t>
  </si>
  <si>
    <t>SOK (Backer)</t>
  </si>
  <si>
    <t>Tag 3 mal X</t>
  </si>
  <si>
    <t>Tag 4 mal X</t>
  </si>
  <si>
    <t>Tag 5 mal X</t>
  </si>
  <si>
    <t>Tag 4</t>
  </si>
  <si>
    <t>Tag 5</t>
  </si>
  <si>
    <t>Tag 6 mal X</t>
  </si>
  <si>
    <t>Tag 6</t>
  </si>
  <si>
    <t>Tag 7</t>
  </si>
  <si>
    <t>Tag 7 mal X</t>
  </si>
  <si>
    <t>Diverse</t>
  </si>
  <si>
    <r>
      <rPr>
        <b/>
        <sz val="10"/>
        <color rgb="FFFF0000"/>
        <rFont val="Book Antiqua"/>
        <family val="1"/>
      </rPr>
      <t xml:space="preserve">Kein Paket </t>
    </r>
    <r>
      <rPr>
        <b/>
        <sz val="10"/>
        <rFont val="Book Antiqua"/>
        <family val="1"/>
      </rPr>
      <t>(Kauf im F-Shop, nach dem CF)</t>
    </r>
  </si>
  <si>
    <t>Die Sonnenküste</t>
  </si>
  <si>
    <t>Crowdfunding-Paket</t>
  </si>
  <si>
    <t>UVP-Preis
im ebook-Shop</t>
  </si>
  <si>
    <t>SOK (€/kum)</t>
  </si>
  <si>
    <t>SOK (B)</t>
  </si>
  <si>
    <t>SOK (B/kum)</t>
  </si>
  <si>
    <t>RE (€)</t>
  </si>
  <si>
    <t>RE (Backer)</t>
  </si>
  <si>
    <t>SOK norm (€)</t>
  </si>
  <si>
    <t>SOK norm (Backer)</t>
  </si>
  <si>
    <t>MP SOK (€)</t>
  </si>
  <si>
    <t>MP SOK (B)</t>
  </si>
  <si>
    <t>Rohals Erben</t>
  </si>
  <si>
    <t>Zusatzprodukt</t>
  </si>
  <si>
    <t>In %</t>
  </si>
  <si>
    <t>Dein Gesamtrabatt</t>
  </si>
  <si>
    <t>Schätzpreis; nicht als Zusatzprodukt erhältlich!</t>
  </si>
  <si>
    <t>Kauf nach CF</t>
  </si>
  <si>
    <r>
      <rPr>
        <b/>
        <u/>
        <sz val="14"/>
        <color theme="1"/>
        <rFont val="Book Antiqua"/>
        <family val="1"/>
      </rPr>
      <t>Physische</t>
    </r>
    <r>
      <rPr>
        <b/>
        <sz val="14"/>
        <color theme="1"/>
        <rFont val="Book Antiqua"/>
        <family val="1"/>
      </rPr>
      <t xml:space="preserve"> Produkte des Crowdfundings</t>
    </r>
  </si>
  <si>
    <r>
      <rPr>
        <b/>
        <u/>
        <sz val="14"/>
        <color theme="1"/>
        <rFont val="Book Antiqua"/>
        <family val="1"/>
      </rPr>
      <t>Digitale/Sonstige</t>
    </r>
    <r>
      <rPr>
        <b/>
        <sz val="14"/>
        <color theme="1"/>
        <rFont val="Book Antiqua"/>
        <family val="1"/>
      </rPr>
      <t xml:space="preserve"> Produkte des Crowdfundings</t>
    </r>
    <r>
      <rPr>
        <b/>
        <sz val="11"/>
        <color rgb="FFFF0000"/>
        <rFont val="Book Antiqua"/>
        <family val="1"/>
      </rPr>
      <t/>
    </r>
  </si>
  <si>
    <t>Mein Wunschpaket umfasst ("x" setzen)</t>
  </si>
  <si>
    <t>Physische Produkte</t>
  </si>
  <si>
    <t>Digitale Produkte</t>
  </si>
  <si>
    <t>Alle Produkte</t>
  </si>
  <si>
    <t>Anteil Unterstützer je Dankeschön</t>
  </si>
  <si>
    <t>im Kompendium enthalten</t>
  </si>
  <si>
    <t>s.o.</t>
  </si>
  <si>
    <t>RE (€/kum)</t>
  </si>
  <si>
    <t>RE (B)</t>
  </si>
  <si>
    <t>RE (B/kum)</t>
  </si>
  <si>
    <t>DGG (€)</t>
  </si>
  <si>
    <t>MP RE (€)</t>
  </si>
  <si>
    <t>MP RE (B)</t>
  </si>
  <si>
    <t>DGG (Backer)</t>
  </si>
  <si>
    <t>https://hinter-dem-schwarzen-auge.de/links/</t>
  </si>
  <si>
    <t>max. 6 - ausverkauft</t>
  </si>
  <si>
    <r>
      <rPr>
        <strike/>
        <sz val="10"/>
        <color theme="1"/>
        <rFont val="Book Antiqua"/>
        <family val="1"/>
      </rPr>
      <t xml:space="preserve">Dein Held im Belhankaner Beobachter </t>
    </r>
    <r>
      <rPr>
        <b/>
        <sz val="10"/>
        <color rgb="FF00B050"/>
        <rFont val="Book Antiqua"/>
        <family val="1"/>
      </rPr>
      <t>(exklusiv im Crowdfunding!)</t>
    </r>
  </si>
  <si>
    <t>Prognose min</t>
  </si>
  <si>
    <t>Prognose max</t>
  </si>
  <si>
    <t>Heldenbögen</t>
  </si>
  <si>
    <t>Hochrechnung (könnte passen, oder auch nicht ;) )</t>
  </si>
  <si>
    <t>€ max.</t>
  </si>
  <si>
    <t>€ min.</t>
  </si>
  <si>
    <t>Backer min.</t>
  </si>
  <si>
    <t>Backer max.</t>
  </si>
  <si>
    <t>…</t>
  </si>
  <si>
    <t>A4, Hardcover + PDF</t>
  </si>
  <si>
    <t>Umfang</t>
  </si>
  <si>
    <t>s.u.</t>
  </si>
  <si>
    <t>1 Stoffkarte</t>
  </si>
  <si>
    <t>A4, Softcover + PDF</t>
  </si>
  <si>
    <t>Einsteigerbox</t>
  </si>
  <si>
    <t>F</t>
  </si>
  <si>
    <t>F/C</t>
  </si>
  <si>
    <t>C</t>
  </si>
  <si>
    <t>k.A.</t>
  </si>
  <si>
    <t>Unterstützen kannst Du uns hier:</t>
  </si>
  <si>
    <t>https://hinter-dem-schwarzen-auge.de/support</t>
  </si>
  <si>
    <r>
      <t xml:space="preserve">Art
</t>
    </r>
    <r>
      <rPr>
        <b/>
        <sz val="8"/>
        <color theme="1"/>
        <rFont val="Book Antiqua"/>
        <family val="1"/>
      </rPr>
      <t>(Fluff/
Crunch/
Regeln)</t>
    </r>
  </si>
  <si>
    <t>Alle Links zum Projekt findest du hier:</t>
  </si>
  <si>
    <t>Teil des Kompendiums - Nicht als Einzelprodukt erhältlich!</t>
  </si>
  <si>
    <t>Teil des CF-Pakets - Nicht als Einzelprodukt erhältlich!</t>
  </si>
  <si>
    <t>4 Seiten</t>
  </si>
  <si>
    <t>im CF-Paket enthalten</t>
  </si>
  <si>
    <r>
      <t xml:space="preserve">Das sparst Du </t>
    </r>
    <r>
      <rPr>
        <b/>
        <sz val="20"/>
        <color rgb="FF00B050"/>
        <rFont val="Book Antiqua"/>
        <family val="1"/>
      </rPr>
      <t xml:space="preserve">(grüner Betrag)
</t>
    </r>
    <r>
      <rPr>
        <b/>
        <sz val="20"/>
        <color theme="1"/>
        <rFont val="Book Antiqua"/>
        <family val="1"/>
      </rPr>
      <t>oder das zahlst Du mehr (</t>
    </r>
    <r>
      <rPr>
        <b/>
        <sz val="20"/>
        <color rgb="FFFF0000"/>
        <rFont val="Book Antiqua"/>
        <family val="1"/>
      </rPr>
      <t>roter Betrag</t>
    </r>
    <r>
      <rPr>
        <b/>
        <sz val="20"/>
        <color theme="1"/>
        <rFont val="Book Antiqua"/>
        <family val="1"/>
      </rPr>
      <t>),
wenn du stattdessen folgendes Dankeschön wählst…</t>
    </r>
  </si>
  <si>
    <t>Das sind die physischen Bestandteile des jeweiligen Dankeschöns(!) wert</t>
  </si>
  <si>
    <t>Das sind die digitalen Bestandteile des jeweiligen Dankeschöns(!) wert</t>
  </si>
  <si>
    <t>Das sind die physichen &amp; digitalen Bestandteile des jeweiligen Dankeschöns(!) wert</t>
  </si>
  <si>
    <r>
      <t xml:space="preserve">Das zahlst du insgesamt für </t>
    </r>
    <r>
      <rPr>
        <b/>
        <sz val="10"/>
        <color rgb="FFFF0000"/>
        <rFont val="Book Antiqua"/>
        <family val="1"/>
      </rPr>
      <t>dein Wunschpaket</t>
    </r>
    <r>
      <rPr>
        <b/>
        <sz val="10"/>
        <color theme="1"/>
        <rFont val="Book Antiqua"/>
        <family val="1"/>
      </rPr>
      <t xml:space="preserve"> inkl. der Zusatzprodukte</t>
    </r>
  </si>
  <si>
    <r>
      <t xml:space="preserve">Das kostet </t>
    </r>
    <r>
      <rPr>
        <b/>
        <i/>
        <sz val="10"/>
        <color rgb="FFFF0000"/>
        <rFont val="Book Antiqua"/>
        <family val="1"/>
      </rPr>
      <t>dein Wunschpaket</t>
    </r>
    <r>
      <rPr>
        <b/>
        <i/>
        <sz val="10"/>
        <color theme="1"/>
        <rFont val="Book Antiqua"/>
        <family val="1"/>
      </rPr>
      <t>(nach dem Crowdfunding) (voraussichtlich) im F-Shop/ulisses-ebook-Shop</t>
    </r>
  </si>
  <si>
    <r>
      <t xml:space="preserve">Diesen Rabatt gewährt </t>
    </r>
    <r>
      <rPr>
        <b/>
        <i/>
        <sz val="10"/>
        <color rgb="FFFF0000"/>
        <rFont val="Book Antiqua"/>
        <family val="1"/>
      </rPr>
      <t xml:space="preserve">dein Wunschpaket </t>
    </r>
    <r>
      <rPr>
        <b/>
        <i/>
        <sz val="10"/>
        <rFont val="Book Antiqua"/>
        <family val="1"/>
      </rPr>
      <t xml:space="preserve">somit gegenüber dem Einkauf </t>
    </r>
    <r>
      <rPr>
        <b/>
        <i/>
        <sz val="10"/>
        <color theme="1"/>
        <rFont val="Book Antiqua"/>
        <family val="1"/>
      </rPr>
      <t>(nach dem Crowdfunding) im  F-Shop/ulisses-ebook-Shop</t>
    </r>
  </si>
  <si>
    <r>
      <t xml:space="preserve">Die zusätzlichen Produkte, die du </t>
    </r>
    <r>
      <rPr>
        <b/>
        <i/>
        <sz val="10"/>
        <color rgb="FF0070C0"/>
        <rFont val="Book Antiqua"/>
        <family val="1"/>
      </rPr>
      <t>bei deiner Kombination</t>
    </r>
    <r>
      <rPr>
        <b/>
        <i/>
        <sz val="10"/>
        <color theme="1"/>
        <rFont val="Book Antiqua"/>
        <family val="1"/>
      </rPr>
      <t xml:space="preserve"> erhältst, die </t>
    </r>
    <r>
      <rPr>
        <b/>
        <i/>
        <sz val="10"/>
        <color rgb="FFFF0000"/>
        <rFont val="Book Antiqua"/>
        <family val="1"/>
      </rPr>
      <t>nicht Teil deines Wunschpakets</t>
    </r>
    <r>
      <rPr>
        <b/>
        <i/>
        <sz val="10"/>
        <color theme="1"/>
        <rFont val="Book Antiqua"/>
        <family val="1"/>
      </rPr>
      <t xml:space="preserve"> sind, haben folgenden Wert</t>
    </r>
  </si>
  <si>
    <r>
      <t xml:space="preserve">Diesen Gesamtrabatt gewährt </t>
    </r>
    <r>
      <rPr>
        <b/>
        <i/>
        <sz val="10"/>
        <color rgb="FFFF0000"/>
        <rFont val="Book Antiqua"/>
        <family val="1"/>
      </rPr>
      <t xml:space="preserve">dein Wunschpaket inkl.zusätzlicher Produkte </t>
    </r>
    <r>
      <rPr>
        <b/>
        <i/>
        <sz val="10"/>
        <color theme="1"/>
        <rFont val="Book Antiqua"/>
        <family val="1"/>
      </rPr>
      <t>somit gegenüber dem Einkauf (nach dem Crowdfunding) insgesamt</t>
    </r>
  </si>
  <si>
    <t>DSK SV (€)</t>
  </si>
  <si>
    <t>DSK SV (Backer)</t>
  </si>
  <si>
    <t>WW (€)</t>
  </si>
  <si>
    <t>WW (Backer)</t>
  </si>
  <si>
    <t>DSK Fasar (€)</t>
  </si>
  <si>
    <t>DSK Fasar (Backer)</t>
  </si>
  <si>
    <t>MP ANB (€)</t>
  </si>
  <si>
    <t>MP ANB (B)</t>
  </si>
  <si>
    <t>MP DSKF (€)</t>
  </si>
  <si>
    <t>MP DSKF (B)</t>
  </si>
  <si>
    <t>MP WdM (€)</t>
  </si>
  <si>
    <t>MP WdM (B)</t>
  </si>
  <si>
    <t>MP DGG (€)</t>
  </si>
  <si>
    <t>MP DGG (B)</t>
  </si>
  <si>
    <t>MP DSKSV (€)</t>
  </si>
  <si>
    <t>MP DSKSV (B)</t>
  </si>
  <si>
    <t>Kauf nach dem CF</t>
  </si>
  <si>
    <r>
      <t xml:space="preserve">Das kostet </t>
    </r>
    <r>
      <rPr>
        <b/>
        <i/>
        <sz val="10"/>
        <color rgb="FFFF0000"/>
        <rFont val="Book Antiqua"/>
        <family val="1"/>
      </rPr>
      <t xml:space="preserve">dein Wunschpaket inkl.zusätzlicher Produkte </t>
    </r>
    <r>
      <rPr>
        <b/>
        <i/>
        <sz val="10"/>
        <rFont val="Book Antiqua"/>
        <family val="1"/>
      </rPr>
      <t xml:space="preserve">(nach dem Crowdfunding) im </t>
    </r>
    <r>
      <rPr>
        <b/>
        <i/>
        <sz val="10"/>
        <color theme="1"/>
        <rFont val="Book Antiqua"/>
        <family val="1"/>
      </rPr>
      <t>F-Shop/ulisses-ebook-Shop (voraussichtlich) insgesamt</t>
    </r>
  </si>
  <si>
    <t>Anteil Tag 20/21</t>
  </si>
  <si>
    <t>Anteil Tag 1/2</t>
  </si>
  <si>
    <t>dazwischen</t>
  </si>
  <si>
    <t>Min</t>
  </si>
  <si>
    <t>Max</t>
  </si>
  <si>
    <t>Mittel</t>
  </si>
  <si>
    <t>Der "Die Schwarze Katze Refurbished"-Crowdfunding-Guide       von       Hinter dem Schwarzen Auge</t>
  </si>
  <si>
    <t>DSK Fasar</t>
  </si>
  <si>
    <t>Schleichender Verfall</t>
  </si>
  <si>
    <t>DSK R (Backer)</t>
  </si>
  <si>
    <t>DSK R (€)</t>
  </si>
  <si>
    <t>MP WW (€)</t>
  </si>
  <si>
    <t>MP WW (B)</t>
  </si>
  <si>
    <t>Schnitt:</t>
  </si>
  <si>
    <t>Sehr flach</t>
  </si>
  <si>
    <t>Sehr steil</t>
  </si>
  <si>
    <t>https://www.gameontabletop.com/cf2211/die-schwarze-katze-refurbished.html</t>
  </si>
  <si>
    <t>Alte Katze</t>
  </si>
  <si>
    <t>Kleiner Milchtreter</t>
  </si>
  <si>
    <t>Freches Kätzchen</t>
  </si>
  <si>
    <t>Verspielter Welpe</t>
  </si>
  <si>
    <t>Schmuse-katze</t>
  </si>
  <si>
    <t>Bester Freund</t>
  </si>
  <si>
    <t>Finanziert</t>
  </si>
  <si>
    <t>Alte Bekannte in neuem Gewand</t>
  </si>
  <si>
    <t>Die sehen übel aus</t>
  </si>
  <si>
    <t>Langbeiner, schnell weg!</t>
  </si>
  <si>
    <t>232 Seiten</t>
  </si>
  <si>
    <t>R/C/F</t>
  </si>
  <si>
    <t>144 Seiten</t>
  </si>
  <si>
    <r>
      <t xml:space="preserve">Ausbauregeln </t>
    </r>
    <r>
      <rPr>
        <sz val="8"/>
        <color theme="1"/>
        <rFont val="Book Antiqua"/>
        <family val="1"/>
      </rPr>
      <t>(Spielleitungsband)</t>
    </r>
    <r>
      <rPr>
        <sz val="10"/>
        <color theme="1"/>
        <rFont val="Book Antiqua"/>
        <family val="1"/>
      </rPr>
      <t/>
    </r>
  </si>
  <si>
    <r>
      <t xml:space="preserve">Grundregeln </t>
    </r>
    <r>
      <rPr>
        <sz val="8"/>
        <color theme="1"/>
        <rFont val="Book Antiqua"/>
        <family val="1"/>
      </rPr>
      <t>(Spieler-/Regelband)</t>
    </r>
    <r>
      <rPr>
        <sz val="10"/>
        <color theme="1"/>
        <rFont val="Book Antiqua"/>
        <family val="1"/>
      </rPr>
      <t/>
    </r>
  </si>
  <si>
    <t>Spieler-Kompendium</t>
  </si>
  <si>
    <t>C/F</t>
  </si>
  <si>
    <t>120 Seiten</t>
  </si>
  <si>
    <r>
      <t xml:space="preserve">Puppentanz </t>
    </r>
    <r>
      <rPr>
        <sz val="8"/>
        <color theme="1"/>
        <rFont val="Book Antiqua"/>
        <family val="1"/>
      </rPr>
      <t>(Abenteuer-Anthologie)</t>
    </r>
  </si>
  <si>
    <t>48 Seiten</t>
  </si>
  <si>
    <r>
      <t>Stoffkarte von Havena</t>
    </r>
    <r>
      <rPr>
        <sz val="8"/>
        <color theme="1"/>
        <rFont val="Book Antiqua"/>
        <family val="1"/>
      </rPr>
      <t xml:space="preserve"> (neue Version)</t>
    </r>
  </si>
  <si>
    <t>A?? Stoffkarte</t>
  </si>
  <si>
    <r>
      <t>Sammelschuber</t>
    </r>
    <r>
      <rPr>
        <sz val="8"/>
        <color theme="1"/>
        <rFont val="Book Antiqua"/>
        <family val="1"/>
      </rPr>
      <t xml:space="preserve"> (für die 3 Hardcover-Bände)</t>
    </r>
  </si>
  <si>
    <t>1 Schuber</t>
  </si>
  <si>
    <t>Pappe</t>
  </si>
  <si>
    <t>?? Seiten</t>
  </si>
  <si>
    <t>Erweiterung</t>
  </si>
  <si>
    <t>Teil der Ausbauregeln - Nicht als Einzelprodukt erhältlich!</t>
  </si>
  <si>
    <t>Katzendokumente</t>
  </si>
  <si>
    <t>Papierbögen</t>
  </si>
  <si>
    <t>Bereits erhältliche Produkte</t>
  </si>
  <si>
    <t>Softcover</t>
  </si>
  <si>
    <t>Samtpfoten</t>
  </si>
  <si>
    <t>Notizbuch der Wanderkatze</t>
  </si>
  <si>
    <t>Hardcover</t>
  </si>
  <si>
    <t>Bestiarium - Fasar</t>
  </si>
  <si>
    <r>
      <t>Die Drachen von Wolldorf</t>
    </r>
    <r>
      <rPr>
        <sz val="8"/>
        <color theme="1"/>
        <rFont val="Book Antiqua"/>
        <family val="1"/>
      </rPr>
      <t xml:space="preserve"> (DSK-Einsteigerbox)</t>
    </r>
  </si>
  <si>
    <t>Fasar - Brüchiger Frieden</t>
  </si>
  <si>
    <t>Mondglöckchen</t>
  </si>
  <si>
    <t>Metallglöckchen</t>
  </si>
  <si>
    <t>Crowdfunding Pack - Die Schwarze Katze</t>
  </si>
  <si>
    <t>Schicksalspunkte</t>
  </si>
  <si>
    <t>20 Acryl-Pokerchips</t>
  </si>
  <si>
    <t>Katzenmusik</t>
  </si>
  <si>
    <t>CD</t>
  </si>
  <si>
    <t>Kampf &amp; Abenteuer Spielkartenset</t>
  </si>
  <si>
    <t>Spielkartenset</t>
  </si>
  <si>
    <t>Stoffkarte</t>
  </si>
  <si>
    <t>Kara Federglanz - DSK Plüschi</t>
  </si>
  <si>
    <t>Plüschtier</t>
  </si>
  <si>
    <t>Donnerbach-Kompendium</t>
  </si>
  <si>
    <r>
      <t>Hundstage</t>
    </r>
    <r>
      <rPr>
        <sz val="8"/>
        <color theme="1"/>
        <rFont val="Book Antiqua"/>
        <family val="1"/>
      </rPr>
      <t xml:space="preserve"> (Abenteueranthologie Fasar)</t>
    </r>
  </si>
  <si>
    <r>
      <t>Nachtgeheul</t>
    </r>
    <r>
      <rPr>
        <sz val="8"/>
        <color theme="1"/>
        <rFont val="Book Antiqua"/>
        <family val="1"/>
      </rPr>
      <t xml:space="preserve"> (3. überarb. Auflage)</t>
    </r>
  </si>
  <si>
    <t>Bestiarium - Schleichender Verfall</t>
  </si>
  <si>
    <r>
      <t xml:space="preserve">Aphasmas Boten </t>
    </r>
    <r>
      <rPr>
        <sz val="8"/>
        <color theme="1"/>
        <rFont val="Book Antiqua"/>
        <family val="1"/>
      </rPr>
      <t>(Abenteueranthologie Donnerbach)</t>
    </r>
  </si>
  <si>
    <r>
      <t>Spuren im Sand</t>
    </r>
    <r>
      <rPr>
        <sz val="8"/>
        <color theme="1"/>
        <rFont val="Book Antiqua"/>
        <family val="1"/>
      </rPr>
      <t xml:space="preserve"> (Heldenbrevier - Fasar)</t>
    </r>
  </si>
  <si>
    <r>
      <t>Spurlos Verschwunden</t>
    </r>
    <r>
      <rPr>
        <sz val="8"/>
        <color theme="1"/>
        <rFont val="Book Antiqua"/>
        <family val="1"/>
      </rPr>
      <t xml:space="preserve"> (Heldenbrevier - Donnerbach)</t>
    </r>
  </si>
  <si>
    <t>Klänge von Donnerbach</t>
  </si>
  <si>
    <r>
      <t xml:space="preserve">Jenseits des Wasserfalls </t>
    </r>
    <r>
      <rPr>
        <sz val="8"/>
        <color theme="1"/>
        <rFont val="Book Antiqua"/>
        <family val="1"/>
      </rPr>
      <t>(Donnerbach)</t>
    </r>
  </si>
  <si>
    <r>
      <t>Jenseits der Türme</t>
    </r>
    <r>
      <rPr>
        <sz val="8"/>
        <color theme="1"/>
        <rFont val="Book Antiqua"/>
        <family val="1"/>
      </rPr>
      <t xml:space="preserve"> (Fasar)</t>
    </r>
  </si>
  <si>
    <r>
      <t xml:space="preserve">Bereits erhältliche Produkte; </t>
    </r>
    <r>
      <rPr>
        <sz val="10"/>
        <color rgb="FFFF0000"/>
        <rFont val="Book Antiqua"/>
        <family val="1"/>
      </rPr>
      <t>enthalten in Ausbauregeln</t>
    </r>
  </si>
  <si>
    <r>
      <t xml:space="preserve">Bereits erhältliche Produkte; </t>
    </r>
    <r>
      <rPr>
        <sz val="10"/>
        <color rgb="FFFF0000"/>
        <rFont val="Book Antiqua"/>
        <family val="1"/>
      </rPr>
      <t>ent. in Spieler-Kompendium</t>
    </r>
  </si>
  <si>
    <r>
      <t>Meisterschirmset Brüchiger Frieden</t>
    </r>
    <r>
      <rPr>
        <sz val="8"/>
        <color theme="1"/>
        <rFont val="Book Antiqua"/>
        <family val="1"/>
      </rPr>
      <t xml:space="preserve"> (Fasar)</t>
    </r>
  </si>
  <si>
    <r>
      <t>Flötenspiel</t>
    </r>
    <r>
      <rPr>
        <sz val="10"/>
        <color rgb="FFFF0000"/>
        <rFont val="Book Antiqua"/>
        <family val="1"/>
      </rPr>
      <t xml:space="preserve"> </t>
    </r>
    <r>
      <rPr>
        <sz val="8"/>
        <color rgb="FFFF0000"/>
        <rFont val="Book Antiqua"/>
        <family val="1"/>
      </rPr>
      <t>(Abenteueranthologie Havena)</t>
    </r>
  </si>
  <si>
    <r>
      <t>Jenseits der Mauern</t>
    </r>
    <r>
      <rPr>
        <sz val="8"/>
        <color rgb="FFFF0000"/>
        <rFont val="Book Antiqua"/>
        <family val="1"/>
      </rPr>
      <t xml:space="preserve"> (Havena)</t>
    </r>
  </si>
  <si>
    <t>Donnerbach - Schleichender Verfall</t>
  </si>
  <si>
    <t>Stoffkarte von Fasar</t>
  </si>
  <si>
    <r>
      <t xml:space="preserve">Bereits erhältliche Produkte (max. 20 Stück); </t>
    </r>
    <r>
      <rPr>
        <sz val="10"/>
        <color rgb="FF00B050"/>
        <rFont val="Book Antiqua"/>
        <family val="1"/>
      </rPr>
      <t>RABATT!</t>
    </r>
  </si>
  <si>
    <r>
      <t xml:space="preserve">Bereits erhältliche Produkte (max. 50 Stück); </t>
    </r>
    <r>
      <rPr>
        <sz val="10"/>
        <color rgb="FF00B050"/>
        <rFont val="Book Antiqua"/>
        <family val="1"/>
      </rPr>
      <t>RABATT!</t>
    </r>
  </si>
  <si>
    <t>0 €</t>
  </si>
  <si>
    <t>Schmusekatze</t>
  </si>
  <si>
    <t>DSK Refurbished</t>
  </si>
  <si>
    <t>DSK: Schleichender Verfall</t>
  </si>
  <si>
    <t>DSKSV (€)</t>
  </si>
  <si>
    <t>DSKSV (€/kum)</t>
  </si>
  <si>
    <t>DSKSV (B)</t>
  </si>
  <si>
    <t>DSKSV (B/kum)</t>
  </si>
  <si>
    <t>DSK R (€/kum)</t>
  </si>
  <si>
    <t>DSK R (B/kum)</t>
  </si>
  <si>
    <t>DSK R (B)</t>
  </si>
  <si>
    <t>Min/Max 1-2</t>
  </si>
  <si>
    <t>Bitte setze hier deine "x" für deine Wunschprodukte</t>
  </si>
  <si>
    <t xml:space="preserve">© 2023 Bild by Ulisses Spiele GmbH               </t>
  </si>
  <si>
    <t>Links</t>
  </si>
  <si>
    <t>Zum Crowdfunding kommst du hier (oder mit Klick auf das Bild):</t>
  </si>
  <si>
    <t>Anleitung</t>
  </si>
  <si>
    <r>
      <t xml:space="preserve">Die orange markierten Produkte musst du bei dem entsprechenden Paket als Zusatzprodukt ("Zusatzprodukt") im CF hinzubuchen
</t>
    </r>
    <r>
      <rPr>
        <b/>
        <sz val="10"/>
        <color rgb="FFFF0000"/>
        <rFont val="Book Antiqua"/>
        <family val="1"/>
      </rPr>
      <t>ODER</t>
    </r>
    <r>
      <rPr>
        <b/>
        <sz val="10"/>
        <color theme="1"/>
        <rFont val="Book Antiqua"/>
        <family val="1"/>
      </rPr>
      <t xml:space="preserve"> diese sind beim physischen Produkt bereits enthalten ("enthalten")
</t>
    </r>
    <r>
      <rPr>
        <b/>
        <sz val="10"/>
        <color rgb="FFFF0000"/>
        <rFont val="Book Antiqua"/>
        <family val="1"/>
      </rPr>
      <t>ODER</t>
    </r>
    <r>
      <rPr>
        <b/>
        <sz val="10"/>
        <color theme="1"/>
        <rFont val="Book Antiqua"/>
        <family val="1"/>
      </rPr>
      <t xml:space="preserve"> du musst sie nach dem CF im F-Shop bzw. Ulisses-ebook-Shop erwerben ("Kauf nach CF")</t>
    </r>
  </si>
  <si>
    <r>
      <t xml:space="preserve">made with </t>
    </r>
    <r>
      <rPr>
        <b/>
        <sz val="10"/>
        <color rgb="FFC00000"/>
        <rFont val="Book Antiqua"/>
        <family val="1"/>
      </rPr>
      <t>Auge</t>
    </r>
    <r>
      <rPr>
        <b/>
        <sz val="10"/>
        <color theme="1"/>
        <rFont val="Book Antiqua"/>
        <family val="1"/>
      </rPr>
      <t xml:space="preserve"> by Hinter dem Schwarzen Auge!</t>
    </r>
  </si>
  <si>
    <t>A1:CQ150</t>
  </si>
  <si>
    <r>
      <t>- 4 Archetypen auf Deluxe-Charakterbögen</t>
    </r>
    <r>
      <rPr>
        <b/>
        <i/>
        <sz val="10"/>
        <color theme="1"/>
        <rFont val="Book Antiqua"/>
        <family val="1"/>
      </rPr>
      <t xml:space="preserve"> (1. Ziel, bei 15.000 €)</t>
    </r>
  </si>
  <si>
    <r>
      <t xml:space="preserve">Wähle im Register "CF-Guide" deine </t>
    </r>
    <r>
      <rPr>
        <b/>
        <sz val="10"/>
        <color rgb="FFFF0000"/>
        <rFont val="Book Antiqua"/>
        <family val="1"/>
      </rPr>
      <t>Wunschprodukte (setze dafür ein "x" in der ersten Spalte)</t>
    </r>
    <r>
      <rPr>
        <b/>
        <sz val="10"/>
        <color theme="1"/>
        <rFont val="Book Antiqua"/>
        <family val="1"/>
      </rPr>
      <t xml:space="preserve"> und lass dir anzeigen, welches Paket bzw. welche Kombination für dich am besten ist!</t>
    </r>
  </si>
  <si>
    <t>Aktuelle Hochrechnung</t>
  </si>
  <si>
    <t>1. Schätzung</t>
  </si>
  <si>
    <t>Vorherige CF</t>
  </si>
  <si>
    <r>
      <rPr>
        <b/>
        <sz val="19"/>
        <color rgb="FFFF0000"/>
        <rFont val="Book Antiqua"/>
        <family val="1"/>
      </rPr>
      <t>DSA, DSK &amp; AVENTURIA</t>
    </r>
    <r>
      <rPr>
        <b/>
        <sz val="19"/>
        <color theme="1"/>
        <rFont val="Book Antiqua"/>
        <family val="1"/>
      </rPr>
      <t xml:space="preserve">
</t>
    </r>
    <r>
      <rPr>
        <b/>
        <sz val="19"/>
        <color rgb="FF00B050"/>
        <rFont val="Book Antiqua"/>
        <family val="1"/>
      </rPr>
      <t>Nachrichten, Fantalks, Community-Talks, Let's Plays u.v.m.</t>
    </r>
    <r>
      <rPr>
        <b/>
        <sz val="19"/>
        <color theme="1"/>
        <rFont val="Book Antiqua"/>
        <family val="1"/>
      </rPr>
      <t xml:space="preserve">
</t>
    </r>
    <r>
      <rPr>
        <b/>
        <sz val="19"/>
        <color rgb="FF0070C0"/>
        <rFont val="Book Antiqua"/>
        <family val="1"/>
      </rPr>
      <t>auf Twitch, YouTube, Discord, Blog, Facebook, Instagram etc.</t>
    </r>
  </si>
  <si>
    <t>Alte Bekannte in neuem Gewand II</t>
  </si>
  <si>
    <t>Neue Bekannte</t>
  </si>
  <si>
    <t>A1:T150</t>
  </si>
  <si>
    <r>
      <t>- 4 Katzen-Archetypen auf Deluxe-Charakterbögen</t>
    </r>
    <r>
      <rPr>
        <b/>
        <i/>
        <sz val="10"/>
        <color theme="1"/>
        <rFont val="Book Antiqua"/>
        <family val="1"/>
      </rPr>
      <t xml:space="preserve"> (1. Ziel)</t>
    </r>
  </si>
  <si>
    <r>
      <rPr>
        <i/>
        <strike/>
        <sz val="10"/>
        <color theme="1"/>
        <rFont val="Book Antiqua"/>
        <family val="1"/>
      </rPr>
      <t>- 4 Katzen-Archetypen auf Deluxe-Charakterbögen</t>
    </r>
    <r>
      <rPr>
        <b/>
        <i/>
        <sz val="10"/>
        <color theme="1"/>
        <rFont val="Book Antiqua"/>
        <family val="1"/>
      </rPr>
      <t xml:space="preserve"> (4. Ziel, bei 30.000 €)</t>
    </r>
  </si>
  <si>
    <r>
      <rPr>
        <i/>
        <strike/>
        <sz val="10"/>
        <color theme="1"/>
        <rFont val="Book Antiqua"/>
        <family val="1"/>
      </rPr>
      <t>- 4 Hunde-Archetypen auf Deluxe-Charakterbögen</t>
    </r>
    <r>
      <rPr>
        <b/>
        <i/>
        <sz val="10"/>
        <color theme="1"/>
        <rFont val="Book Antiqua"/>
        <family val="1"/>
      </rPr>
      <t xml:space="preserve"> (5. Ziel, bei 35.000 €)</t>
    </r>
  </si>
  <si>
    <r>
      <t>- Straßenkämpfer-Hund &amp; Straßenkämpferin-Katze</t>
    </r>
    <r>
      <rPr>
        <b/>
        <i/>
        <sz val="10"/>
        <color theme="1"/>
        <rFont val="Book Antiqua"/>
        <family val="1"/>
      </rPr>
      <t xml:space="preserve"> (2. Ziel)</t>
    </r>
  </si>
  <si>
    <r>
      <t>- Stadtwache</t>
    </r>
    <r>
      <rPr>
        <b/>
        <i/>
        <sz val="10"/>
        <color theme="1"/>
        <rFont val="Book Antiqua"/>
        <family val="1"/>
      </rPr>
      <t xml:space="preserve"> (3. Ziel)</t>
    </r>
  </si>
  <si>
    <r>
      <t>- 4 Katzen-Archetypen auf Deluxe-Charakterbögen</t>
    </r>
    <r>
      <rPr>
        <b/>
        <i/>
        <sz val="10"/>
        <color theme="1"/>
        <rFont val="Book Antiqua"/>
        <family val="1"/>
      </rPr>
      <t xml:space="preserve"> (4. Ziel)</t>
    </r>
  </si>
  <si>
    <r>
      <t>- 4 Hunde-Archetypen auf Deluxe-Charakterbögen</t>
    </r>
    <r>
      <rPr>
        <b/>
        <i/>
        <sz val="10"/>
        <color theme="1"/>
        <rFont val="Book Antiqua"/>
        <family val="1"/>
      </rPr>
      <t xml:space="preserve"> (5. Ziel)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</si>
</sst>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#,##0\ &quot;€&quot;"/>
    <numFmt numFmtId="165" formatCode="#,##0.00\ &quot;€&quot;"/>
    <numFmt numFmtId="166" formatCode="[$£-809]#,##0"/>
    <numFmt numFmtId="167" formatCode="0.0%"/>
    <numFmt numFmtId="168" formatCode="dddd"/>
    <numFmt numFmtId="169" formatCode="h:mm;@"/>
    <numFmt numFmtId="170" formatCode="[h]:mm"/>
    <numFmt numFmtId="171" formatCode="0&quot;. Tag&quot;"/>
    <numFmt numFmtId="172" formatCode="dd/mm/yy"/>
    <numFmt numFmtId="173" formatCode="dd/mm/yy\,\ hh:mm"/>
  </numFmts>
  <fonts count="7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Book Antiqua"/>
      <family val="1"/>
    </font>
    <font>
      <b/>
      <i/>
      <sz val="10"/>
      <color rgb="FFFF0000"/>
      <name val="Book Antiqua"/>
      <family val="1"/>
    </font>
    <font>
      <i/>
      <sz val="10"/>
      <color theme="1"/>
      <name val="Book Antiqua"/>
      <family val="1"/>
    </font>
    <font>
      <b/>
      <i/>
      <sz val="10"/>
      <name val="Book Antiqua"/>
      <family val="1"/>
    </font>
    <font>
      <b/>
      <i/>
      <sz val="10"/>
      <color theme="1"/>
      <name val="Book Antiqua"/>
      <family val="1"/>
    </font>
    <font>
      <b/>
      <i/>
      <sz val="10"/>
      <color rgb="FF0070C0"/>
      <name val="Book Antiqua"/>
      <family val="1"/>
    </font>
    <font>
      <sz val="10"/>
      <color rgb="FFFF0000"/>
      <name val="Book Antiqua"/>
      <family val="1"/>
    </font>
    <font>
      <u/>
      <sz val="11"/>
      <color theme="10"/>
      <name val="Calibri"/>
      <family val="2"/>
      <scheme val="minor"/>
    </font>
    <font>
      <sz val="10"/>
      <color theme="1"/>
      <name val="Book Antiqua"/>
      <family val="1"/>
    </font>
    <font>
      <b/>
      <sz val="10"/>
      <color rgb="FFFF0000"/>
      <name val="Book Antiqua"/>
      <family val="1"/>
    </font>
    <font>
      <b/>
      <sz val="12"/>
      <color theme="1"/>
      <name val="Book Antiqua"/>
      <family val="1"/>
    </font>
    <font>
      <i/>
      <sz val="11"/>
      <color rgb="FFFF000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i/>
      <sz val="11"/>
      <name val="Calibri"/>
      <family val="2"/>
      <scheme val="minor"/>
    </font>
    <font>
      <b/>
      <sz val="10"/>
      <name val="Book Antiqua"/>
      <family val="1"/>
    </font>
    <font>
      <b/>
      <sz val="12"/>
      <color rgb="FFFF0000"/>
      <name val="Book Antiqua"/>
      <family val="1"/>
    </font>
    <font>
      <b/>
      <sz val="10"/>
      <color rgb="FF00B050"/>
      <name val="Book Antiqua"/>
      <family val="1"/>
    </font>
    <font>
      <i/>
      <sz val="10"/>
      <color rgb="FFFF0000"/>
      <name val="Book Antiqua"/>
      <family val="1"/>
    </font>
    <font>
      <b/>
      <sz val="10"/>
      <color theme="1"/>
      <name val="Book Antiqua"/>
      <family val="1"/>
    </font>
    <font>
      <b/>
      <sz val="10"/>
      <color rgb="FFC00000"/>
      <name val="Book Antiqua"/>
      <family val="1"/>
    </font>
    <font>
      <sz val="10"/>
      <color rgb="FF00B050"/>
      <name val="Book Antiqua"/>
      <family val="1"/>
    </font>
    <font>
      <sz val="10"/>
      <name val="Book Antiqua"/>
      <family val="1"/>
    </font>
    <font>
      <strike/>
      <sz val="10"/>
      <color theme="1"/>
      <name val="Book Antiqua"/>
      <family val="1"/>
    </font>
    <font>
      <i/>
      <sz val="10"/>
      <color rgb="FF00B050"/>
      <name val="Book Antiqua"/>
      <family val="1"/>
    </font>
    <font>
      <i/>
      <strike/>
      <sz val="10"/>
      <color theme="1"/>
      <name val="Book Antiqua"/>
      <family val="1"/>
    </font>
    <font>
      <i/>
      <strike/>
      <sz val="10"/>
      <color rgb="FFFF0000"/>
      <name val="Book Antiqua"/>
      <family val="1"/>
    </font>
    <font>
      <i/>
      <sz val="10"/>
      <name val="Book Antiqua"/>
      <family val="1"/>
    </font>
    <font>
      <sz val="14"/>
      <color theme="1"/>
      <name val="Wingdings"/>
      <charset val="2"/>
    </font>
    <font>
      <sz val="13"/>
      <color rgb="FFFF0000"/>
      <name val="Book Antiqua"/>
      <family val="1"/>
    </font>
    <font>
      <i/>
      <sz val="13"/>
      <color rgb="FFFF0000"/>
      <name val="Book Antiqua"/>
      <family val="1"/>
    </font>
    <font>
      <sz val="8"/>
      <color theme="1"/>
      <name val="Book Antiqua"/>
      <family val="1"/>
    </font>
    <font>
      <b/>
      <sz val="10"/>
      <color rgb="FF7030A0"/>
      <name val="Book Antiqua"/>
      <family val="1"/>
    </font>
    <font>
      <b/>
      <sz val="9"/>
      <color rgb="FF00B050"/>
      <name val="Book Antiqua"/>
      <family val="1"/>
    </font>
    <font>
      <b/>
      <sz val="9"/>
      <name val="Book Antiqua"/>
      <family val="1"/>
    </font>
    <font>
      <b/>
      <sz val="14"/>
      <color rgb="FFFF0000"/>
      <name val="Book Antiqua"/>
      <family val="1"/>
    </font>
    <font>
      <b/>
      <sz val="10"/>
      <color theme="5"/>
      <name val="Book Antiqua"/>
      <family val="1"/>
    </font>
    <font>
      <sz val="8"/>
      <color theme="0"/>
      <name val="Book Antiqua"/>
      <family val="1"/>
    </font>
    <font>
      <b/>
      <sz val="14"/>
      <color theme="1"/>
      <name val="Book Antiqua"/>
      <family val="1"/>
    </font>
    <font>
      <b/>
      <u/>
      <sz val="14"/>
      <color theme="1"/>
      <name val="Book Antiqua"/>
      <family val="1"/>
    </font>
    <font>
      <sz val="8"/>
      <name val="Book Antiqua"/>
      <family val="1"/>
    </font>
    <font>
      <strike/>
      <sz val="8"/>
      <color theme="0"/>
      <name val="Book Antiqua"/>
      <family val="1"/>
    </font>
    <font>
      <b/>
      <i/>
      <strike/>
      <sz val="10"/>
      <color theme="1"/>
      <name val="Book Antiqua"/>
      <family val="1"/>
    </font>
    <font>
      <b/>
      <sz val="10"/>
      <color rgb="FFFD23ED"/>
      <name val="Book Antiqua"/>
      <family val="1"/>
    </font>
    <font>
      <i/>
      <strike/>
      <sz val="10"/>
      <color theme="9" tint="0.79998168889431442"/>
      <name val="Book Antiqua"/>
      <family val="1"/>
    </font>
    <font>
      <b/>
      <sz val="8"/>
      <color theme="1"/>
      <name val="Book Antiqua"/>
      <family val="1"/>
    </font>
    <font>
      <b/>
      <u/>
      <sz val="14"/>
      <color theme="10"/>
      <name val="Book Antiqua"/>
      <family val="1"/>
    </font>
    <font>
      <b/>
      <sz val="20"/>
      <color theme="1"/>
      <name val="Book Antiqua"/>
      <family val="1"/>
    </font>
    <font>
      <b/>
      <sz val="20"/>
      <color rgb="FF00B050"/>
      <name val="Book Antiqua"/>
      <family val="1"/>
    </font>
    <font>
      <b/>
      <sz val="20"/>
      <color rgb="FFFF0000"/>
      <name val="Book Antiqua"/>
      <family val="1"/>
    </font>
    <font>
      <b/>
      <sz val="10"/>
      <color rgb="FF00B0F0"/>
      <name val="Book Antiqua"/>
      <family val="1"/>
    </font>
    <font>
      <b/>
      <sz val="11"/>
      <color theme="0"/>
      <name val="Calibri"/>
      <family val="2"/>
      <scheme val="minor"/>
    </font>
    <font>
      <b/>
      <sz val="10"/>
      <color theme="5" tint="-0.499984740745262"/>
      <name val="Book Antiqua"/>
      <family val="1"/>
    </font>
    <font>
      <b/>
      <sz val="10"/>
      <color theme="9" tint="-0.249977111117893"/>
      <name val="Book Antiqua"/>
      <family val="1"/>
    </font>
    <font>
      <i/>
      <sz val="11"/>
      <color theme="0"/>
      <name val="Calibri"/>
      <family val="2"/>
      <scheme val="minor"/>
    </font>
    <font>
      <b/>
      <u/>
      <sz val="13"/>
      <color theme="10"/>
      <name val="Calibri"/>
      <family val="2"/>
      <scheme val="minor"/>
    </font>
    <font>
      <sz val="8"/>
      <color rgb="FFFF0000"/>
      <name val="Book Antiqua"/>
      <family val="1"/>
    </font>
    <font>
      <b/>
      <sz val="30"/>
      <color rgb="FFFF0000"/>
      <name val="Book Antiqua"/>
      <family val="1"/>
    </font>
    <font>
      <b/>
      <sz val="18"/>
      <color theme="1"/>
      <name val="Book Antiqua"/>
      <family val="1"/>
    </font>
    <font>
      <b/>
      <sz val="14"/>
      <name val="Book Antiqua"/>
      <family val="1"/>
    </font>
    <font>
      <b/>
      <sz val="16"/>
      <name val="Book Antiqua"/>
      <family val="1"/>
    </font>
    <font>
      <sz val="14"/>
      <color theme="1"/>
      <name val="Book Antiqua"/>
      <family val="1"/>
    </font>
    <font>
      <b/>
      <i/>
      <sz val="10"/>
      <color rgb="FF00B050"/>
      <name val="Book Antiqua"/>
      <family val="1"/>
    </font>
    <font>
      <b/>
      <sz val="19"/>
      <color theme="1"/>
      <name val="Book Antiqua"/>
      <family val="1"/>
    </font>
    <font>
      <b/>
      <sz val="19"/>
      <color rgb="FFFF0000"/>
      <name val="Book Antiqua"/>
      <family val="1"/>
    </font>
    <font>
      <b/>
      <sz val="19"/>
      <color rgb="FF00B050"/>
      <name val="Book Antiqua"/>
      <family val="1"/>
    </font>
    <font>
      <b/>
      <sz val="19"/>
      <color rgb="FF0070C0"/>
      <name val="Book Antiqua"/>
      <family val="1"/>
    </font>
    <font>
      <b/>
      <u/>
      <sz val="12"/>
      <color theme="10"/>
      <name val="Book Antiqua"/>
      <family val="1"/>
    </font>
    <font>
      <b/>
      <sz val="25"/>
      <color rgb="FFFF0000"/>
      <name val="Book Antiqua"/>
      <family val="1"/>
    </font>
    <font>
      <b/>
      <sz val="12"/>
      <name val="Book Antiqua"/>
      <family val="1"/>
    </font>
  </fonts>
  <fills count="2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thin">
        <color indexed="64"/>
      </bottom>
      <diagonal/>
    </border>
    <border diagonalUp="1" diagonalDown="1">
      <left style="medium">
        <color rgb="FFFF0000"/>
      </left>
      <right style="medium">
        <color rgb="FFFF0000"/>
      </right>
      <top style="thin">
        <color indexed="64"/>
      </top>
      <bottom style="thin">
        <color indexed="64"/>
      </bottom>
      <diagonal style="medium">
        <color rgb="FFFF0000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rgb="FFFF0000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medium">
        <color indexed="64"/>
      </left>
      <right style="thin">
        <color indexed="64"/>
      </right>
      <top style="medium">
        <color rgb="FFFF0000"/>
      </top>
      <bottom style="medium">
        <color indexed="64"/>
      </bottom>
      <diagonal/>
    </border>
    <border diagonalUp="1" diagonalDown="1">
      <left style="medium">
        <color rgb="FFFF0000"/>
      </left>
      <right style="medium">
        <color rgb="FFFF0000"/>
      </right>
      <top style="thin">
        <color indexed="64"/>
      </top>
      <bottom/>
      <diagonal style="medium">
        <color rgb="FFFF0000"/>
      </diagonal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581">
    <xf numFmtId="0" fontId="0" fillId="0" borderId="0" xfId="0"/>
    <xf numFmtId="0" fontId="10" fillId="3" borderId="0" xfId="0" applyFont="1" applyFill="1"/>
    <xf numFmtId="0" fontId="15" fillId="3" borderId="0" xfId="0" applyFont="1" applyFill="1"/>
    <xf numFmtId="3" fontId="1" fillId="0" borderId="0" xfId="0" applyNumberFormat="1" applyFont="1"/>
    <xf numFmtId="3" fontId="6" fillId="0" borderId="0" xfId="0" applyNumberFormat="1" applyFont="1"/>
    <xf numFmtId="2" fontId="1" fillId="0" borderId="0" xfId="0" applyNumberFormat="1" applyFont="1"/>
    <xf numFmtId="0" fontId="6" fillId="0" borderId="0" xfId="0" applyFont="1"/>
    <xf numFmtId="3" fontId="0" fillId="0" borderId="0" xfId="0" applyNumberFormat="1"/>
    <xf numFmtId="2" fontId="6" fillId="0" borderId="0" xfId="0" applyNumberFormat="1" applyFont="1"/>
    <xf numFmtId="167" fontId="0" fillId="0" borderId="0" xfId="0" applyNumberFormat="1"/>
    <xf numFmtId="3" fontId="1" fillId="6" borderId="0" xfId="0" applyNumberFormat="1" applyFont="1" applyFill="1"/>
    <xf numFmtId="3" fontId="6" fillId="6" borderId="0" xfId="0" applyNumberFormat="1" applyFont="1" applyFill="1"/>
    <xf numFmtId="3" fontId="21" fillId="0" borderId="0" xfId="0" applyNumberFormat="1" applyFont="1"/>
    <xf numFmtId="3" fontId="3" fillId="0" borderId="0" xfId="0" applyNumberFormat="1" applyFont="1"/>
    <xf numFmtId="167" fontId="4" fillId="0" borderId="0" xfId="0" applyNumberFormat="1" applyFont="1"/>
    <xf numFmtId="0" fontId="4" fillId="0" borderId="0" xfId="0" applyFont="1"/>
    <xf numFmtId="3" fontId="21" fillId="6" borderId="0" xfId="0" applyNumberFormat="1" applyFont="1" applyFill="1"/>
    <xf numFmtId="3" fontId="3" fillId="6" borderId="0" xfId="0" applyNumberFormat="1" applyFont="1" applyFill="1"/>
    <xf numFmtId="2" fontId="3" fillId="0" borderId="0" xfId="0" applyNumberFormat="1" applyFont="1"/>
    <xf numFmtId="2" fontId="21" fillId="0" borderId="0" xfId="0" applyNumberFormat="1" applyFont="1"/>
    <xf numFmtId="0" fontId="1" fillId="0" borderId="0" xfId="0" applyFont="1"/>
    <xf numFmtId="0" fontId="21" fillId="0" borderId="0" xfId="0" applyFont="1"/>
    <xf numFmtId="2" fontId="4" fillId="0" borderId="0" xfId="0" applyNumberFormat="1" applyFont="1"/>
    <xf numFmtId="2" fontId="0" fillId="0" borderId="0" xfId="0" applyNumberFormat="1"/>
    <xf numFmtId="2" fontId="1" fillId="0" borderId="33" xfId="0" applyNumberFormat="1" applyFont="1" applyBorder="1"/>
    <xf numFmtId="0" fontId="6" fillId="0" borderId="34" xfId="0" applyFont="1" applyBorder="1"/>
    <xf numFmtId="2" fontId="1" fillId="0" borderId="35" xfId="0" applyNumberFormat="1" applyFont="1" applyBorder="1"/>
    <xf numFmtId="2" fontId="6" fillId="0" borderId="36" xfId="0" applyNumberFormat="1" applyFont="1" applyBorder="1"/>
    <xf numFmtId="2" fontId="1" fillId="0" borderId="37" xfId="0" applyNumberFormat="1" applyFont="1" applyBorder="1"/>
    <xf numFmtId="2" fontId="6" fillId="0" borderId="38" xfId="0" applyNumberFormat="1" applyFont="1" applyBorder="1"/>
    <xf numFmtId="0" fontId="6" fillId="0" borderId="39" xfId="0" applyFont="1" applyBorder="1"/>
    <xf numFmtId="2" fontId="1" fillId="0" borderId="39" xfId="0" applyNumberFormat="1" applyFont="1" applyBorder="1"/>
    <xf numFmtId="2" fontId="6" fillId="0" borderId="40" xfId="0" applyNumberFormat="1" applyFont="1" applyBorder="1"/>
    <xf numFmtId="2" fontId="1" fillId="0" borderId="40" xfId="0" applyNumberFormat="1" applyFont="1" applyBorder="1"/>
    <xf numFmtId="4" fontId="1" fillId="0" borderId="0" xfId="0" applyNumberFormat="1" applyFont="1"/>
    <xf numFmtId="4" fontId="0" fillId="0" borderId="0" xfId="0" applyNumberFormat="1"/>
    <xf numFmtId="1" fontId="1" fillId="0" borderId="0" xfId="0" applyNumberFormat="1" applyFont="1"/>
    <xf numFmtId="0" fontId="10" fillId="7" borderId="0" xfId="0" applyFont="1" applyFill="1"/>
    <xf numFmtId="0" fontId="22" fillId="7" borderId="0" xfId="0" applyFont="1" applyFill="1"/>
    <xf numFmtId="0" fontId="15" fillId="7" borderId="0" xfId="0" applyFont="1" applyFill="1"/>
    <xf numFmtId="0" fontId="9" fillId="7" borderId="0" xfId="0" applyFont="1" applyFill="1"/>
    <xf numFmtId="2" fontId="2" fillId="0" borderId="0" xfId="0" applyNumberFormat="1" applyFont="1"/>
    <xf numFmtId="2" fontId="21" fillId="0" borderId="36" xfId="0" applyNumberFormat="1" applyFont="1" applyBorder="1"/>
    <xf numFmtId="2" fontId="3" fillId="0" borderId="39" xfId="0" applyNumberFormat="1" applyFont="1" applyBorder="1"/>
    <xf numFmtId="0" fontId="21" fillId="0" borderId="39" xfId="0" applyFont="1" applyBorder="1"/>
    <xf numFmtId="2" fontId="3" fillId="0" borderId="40" xfId="0" applyNumberFormat="1" applyFont="1" applyBorder="1"/>
    <xf numFmtId="2" fontId="21" fillId="0" borderId="40" xfId="0" applyNumberFormat="1" applyFont="1" applyBorder="1"/>
    <xf numFmtId="2" fontId="2" fillId="0" borderId="39" xfId="0" applyNumberFormat="1" applyFont="1" applyBorder="1"/>
    <xf numFmtId="0" fontId="18" fillId="0" borderId="39" xfId="0" applyFont="1" applyBorder="1"/>
    <xf numFmtId="2" fontId="18" fillId="0" borderId="0" xfId="0" applyNumberFormat="1" applyFont="1"/>
    <xf numFmtId="2" fontId="2" fillId="0" borderId="40" xfId="0" applyNumberFormat="1" applyFont="1" applyBorder="1"/>
    <xf numFmtId="2" fontId="18" fillId="0" borderId="40" xfId="0" applyNumberFormat="1" applyFont="1" applyBorder="1"/>
    <xf numFmtId="0" fontId="13" fillId="7" borderId="0" xfId="0" applyFont="1" applyFill="1"/>
    <xf numFmtId="3" fontId="0" fillId="0" borderId="45" xfId="0" applyNumberFormat="1" applyBorder="1"/>
    <xf numFmtId="0" fontId="25" fillId="7" borderId="0" xfId="0" applyFont="1" applyFill="1"/>
    <xf numFmtId="0" fontId="26" fillId="7" borderId="0" xfId="0" applyFont="1" applyFill="1" applyAlignment="1">
      <alignment horizontal="center" vertical="center"/>
    </xf>
    <xf numFmtId="3" fontId="24" fillId="7" borderId="28" xfId="0" applyNumberFormat="1" applyFont="1" applyFill="1" applyBorder="1" applyAlignment="1">
      <alignment horizontal="center" vertical="center"/>
    </xf>
    <xf numFmtId="3" fontId="28" fillId="7" borderId="5" xfId="0" applyNumberFormat="1" applyFont="1" applyFill="1" applyBorder="1" applyAlignment="1">
      <alignment vertical="center"/>
    </xf>
    <xf numFmtId="3" fontId="24" fillId="7" borderId="11" xfId="0" applyNumberFormat="1" applyFont="1" applyFill="1" applyBorder="1" applyAlignment="1">
      <alignment horizontal="center" vertical="center"/>
    </xf>
    <xf numFmtId="0" fontId="15" fillId="7" borderId="0" xfId="0" applyFont="1" applyFill="1" applyAlignment="1">
      <alignment horizontal="center"/>
    </xf>
    <xf numFmtId="2" fontId="24" fillId="7" borderId="0" xfId="0" applyNumberFormat="1" applyFont="1" applyFill="1" applyAlignment="1">
      <alignment horizontal="center" vertical="center"/>
    </xf>
    <xf numFmtId="3" fontId="15" fillId="7" borderId="0" xfId="0" applyNumberFormat="1" applyFont="1" applyFill="1"/>
    <xf numFmtId="0" fontId="15" fillId="3" borderId="0" xfId="0" applyFont="1" applyFill="1" applyAlignment="1">
      <alignment vertical="center"/>
    </xf>
    <xf numFmtId="167" fontId="15" fillId="7" borderId="0" xfId="0" applyNumberFormat="1" applyFont="1" applyFill="1" applyAlignment="1">
      <alignment vertical="center"/>
    </xf>
    <xf numFmtId="3" fontId="29" fillId="7" borderId="5" xfId="0" applyNumberFormat="1" applyFont="1" applyFill="1" applyBorder="1" applyAlignment="1">
      <alignment vertical="center"/>
    </xf>
    <xf numFmtId="167" fontId="15" fillId="7" borderId="0" xfId="0" applyNumberFormat="1" applyFont="1" applyFill="1"/>
    <xf numFmtId="0" fontId="15" fillId="3" borderId="0" xfId="0" applyFont="1" applyFill="1" applyAlignment="1">
      <alignment horizontal="center" vertical="center"/>
    </xf>
    <xf numFmtId="3" fontId="26" fillId="7" borderId="0" xfId="0" applyNumberFormat="1" applyFont="1" applyFill="1" applyAlignment="1">
      <alignment horizontal="center" vertical="center"/>
    </xf>
    <xf numFmtId="0" fontId="15" fillId="0" borderId="0" xfId="0" applyFont="1" applyAlignment="1">
      <alignment vertical="center"/>
    </xf>
    <xf numFmtId="0" fontId="24" fillId="7" borderId="0" xfId="0" applyFont="1" applyFill="1" applyAlignment="1">
      <alignment horizontal="right" vertical="center"/>
    </xf>
    <xf numFmtId="3" fontId="13" fillId="7" borderId="0" xfId="0" applyNumberFormat="1" applyFont="1" applyFill="1" applyAlignment="1">
      <alignment horizontal="center" vertical="center"/>
    </xf>
    <xf numFmtId="0" fontId="28" fillId="7" borderId="0" xfId="0" applyFont="1" applyFill="1" applyAlignment="1">
      <alignment vertical="center"/>
    </xf>
    <xf numFmtId="0" fontId="15" fillId="0" borderId="4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165" fontId="13" fillId="0" borderId="7" xfId="0" quotePrefix="1" applyNumberFormat="1" applyFont="1" applyBorder="1" applyAlignment="1">
      <alignment horizontal="right" vertical="center"/>
    </xf>
    <xf numFmtId="165" fontId="15" fillId="0" borderId="7" xfId="0" applyNumberFormat="1" applyFont="1" applyBorder="1" applyAlignment="1">
      <alignment horizontal="right" vertical="center"/>
    </xf>
    <xf numFmtId="0" fontId="30" fillId="0" borderId="0" xfId="0" applyFont="1" applyAlignment="1">
      <alignment vertical="center"/>
    </xf>
    <xf numFmtId="165" fontId="15" fillId="0" borderId="7" xfId="0" quotePrefix="1" applyNumberFormat="1" applyFont="1" applyBorder="1" applyAlignment="1">
      <alignment horizontal="right" vertical="center"/>
    </xf>
    <xf numFmtId="165" fontId="15" fillId="0" borderId="7" xfId="0" quotePrefix="1" applyNumberFormat="1" applyFont="1" applyBorder="1" applyAlignment="1">
      <alignment horizontal="left" vertical="center"/>
    </xf>
    <xf numFmtId="0" fontId="15" fillId="0" borderId="0" xfId="0" applyFont="1"/>
    <xf numFmtId="0" fontId="13" fillId="7" borderId="0" xfId="0" applyFont="1" applyFill="1" applyAlignment="1">
      <alignment vertical="center"/>
    </xf>
    <xf numFmtId="165" fontId="25" fillId="0" borderId="7" xfId="0" quotePrefix="1" applyNumberFormat="1" applyFont="1" applyBorder="1" applyAlignment="1">
      <alignment horizontal="right" vertical="center"/>
    </xf>
    <xf numFmtId="0" fontId="9" fillId="0" borderId="0" xfId="0" applyFont="1"/>
    <xf numFmtId="0" fontId="22" fillId="7" borderId="5" xfId="0" applyFont="1" applyFill="1" applyBorder="1" applyAlignment="1">
      <alignment horizontal="center"/>
    </xf>
    <xf numFmtId="0" fontId="10" fillId="7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22" fillId="3" borderId="0" xfId="0" applyFont="1" applyFill="1" applyAlignment="1">
      <alignment horizontal="center"/>
    </xf>
    <xf numFmtId="0" fontId="22" fillId="7" borderId="0" xfId="0" applyFont="1" applyFill="1" applyAlignment="1">
      <alignment horizontal="center"/>
    </xf>
    <xf numFmtId="168" fontId="28" fillId="7" borderId="0" xfId="0" applyNumberFormat="1" applyFont="1" applyFill="1" applyAlignment="1">
      <alignment horizontal="right" vertical="center"/>
    </xf>
    <xf numFmtId="172" fontId="28" fillId="7" borderId="0" xfId="0" applyNumberFormat="1" applyFont="1" applyFill="1" applyAlignment="1">
      <alignment horizontal="center" vertical="center"/>
    </xf>
    <xf numFmtId="20" fontId="28" fillId="7" borderId="0" xfId="0" applyNumberFormat="1" applyFont="1" applyFill="1" applyAlignment="1">
      <alignment horizontal="center" vertical="center"/>
    </xf>
    <xf numFmtId="169" fontId="28" fillId="7" borderId="0" xfId="0" applyNumberFormat="1" applyFont="1" applyFill="1" applyAlignment="1">
      <alignment vertical="center"/>
    </xf>
    <xf numFmtId="170" fontId="28" fillId="7" borderId="0" xfId="0" applyNumberFormat="1" applyFont="1" applyFill="1" applyAlignment="1">
      <alignment vertical="center"/>
    </xf>
    <xf numFmtId="164" fontId="28" fillId="7" borderId="5" xfId="0" applyNumberFormat="1" applyFont="1" applyFill="1" applyBorder="1" applyAlignment="1">
      <alignment vertical="center"/>
    </xf>
    <xf numFmtId="1" fontId="28" fillId="7" borderId="5" xfId="0" applyNumberFormat="1" applyFont="1" applyFill="1" applyBorder="1" applyAlignment="1">
      <alignment vertical="center"/>
    </xf>
    <xf numFmtId="164" fontId="28" fillId="7" borderId="0" xfId="0" applyNumberFormat="1" applyFont="1" applyFill="1" applyAlignment="1">
      <alignment vertical="center"/>
    </xf>
    <xf numFmtId="165" fontId="31" fillId="7" borderId="0" xfId="0" applyNumberFormat="1" applyFont="1" applyFill="1" applyAlignment="1">
      <alignment vertical="center"/>
    </xf>
    <xf numFmtId="165" fontId="28" fillId="7" borderId="0" xfId="0" applyNumberFormat="1" applyFont="1" applyFill="1" applyAlignment="1">
      <alignment vertical="center"/>
    </xf>
    <xf numFmtId="164" fontId="13" fillId="7" borderId="0" xfId="0" applyNumberFormat="1" applyFont="1" applyFill="1" applyAlignment="1">
      <alignment vertical="center"/>
    </xf>
    <xf numFmtId="167" fontId="28" fillId="7" borderId="0" xfId="0" applyNumberFormat="1" applyFont="1" applyFill="1" applyAlignment="1">
      <alignment vertical="center"/>
    </xf>
    <xf numFmtId="167" fontId="31" fillId="7" borderId="0" xfId="0" applyNumberFormat="1" applyFont="1" applyFill="1" applyAlignment="1">
      <alignment vertical="center"/>
    </xf>
    <xf numFmtId="0" fontId="28" fillId="3" borderId="0" xfId="0" applyFont="1" applyFill="1"/>
    <xf numFmtId="164" fontId="24" fillId="7" borderId="5" xfId="0" applyNumberFormat="1" applyFont="1" applyFill="1" applyBorder="1" applyAlignment="1">
      <alignment vertical="center"/>
    </xf>
    <xf numFmtId="3" fontId="24" fillId="7" borderId="5" xfId="0" applyNumberFormat="1" applyFont="1" applyFill="1" applyBorder="1" applyAlignment="1">
      <alignment vertical="center"/>
    </xf>
    <xf numFmtId="1" fontId="24" fillId="7" borderId="5" xfId="0" applyNumberFormat="1" applyFont="1" applyFill="1" applyBorder="1" applyAlignment="1">
      <alignment vertical="center"/>
    </xf>
    <xf numFmtId="3" fontId="28" fillId="7" borderId="0" xfId="0" applyNumberFormat="1" applyFont="1" applyFill="1" applyAlignment="1">
      <alignment vertical="center"/>
    </xf>
    <xf numFmtId="0" fontId="28" fillId="7" borderId="0" xfId="0" applyFont="1" applyFill="1" applyAlignment="1">
      <alignment horizontal="center" vertical="center"/>
    </xf>
    <xf numFmtId="0" fontId="22" fillId="7" borderId="0" xfId="0" applyFont="1" applyFill="1" applyAlignment="1">
      <alignment horizontal="right" vertical="center"/>
    </xf>
    <xf numFmtId="0" fontId="29" fillId="7" borderId="0" xfId="0" applyFont="1" applyFill="1" applyAlignment="1">
      <alignment horizontal="center" vertical="center"/>
    </xf>
    <xf numFmtId="168" fontId="29" fillId="7" borderId="0" xfId="0" applyNumberFormat="1" applyFont="1" applyFill="1" applyAlignment="1">
      <alignment vertical="center"/>
    </xf>
    <xf numFmtId="172" fontId="29" fillId="7" borderId="0" xfId="0" applyNumberFormat="1" applyFont="1" applyFill="1" applyAlignment="1">
      <alignment horizontal="center" vertical="center"/>
    </xf>
    <xf numFmtId="20" fontId="29" fillId="7" borderId="0" xfId="0" applyNumberFormat="1" applyFont="1" applyFill="1" applyAlignment="1">
      <alignment horizontal="center" vertical="center"/>
    </xf>
    <xf numFmtId="169" fontId="29" fillId="7" borderId="0" xfId="0" applyNumberFormat="1" applyFont="1" applyFill="1" applyAlignment="1">
      <alignment vertical="center"/>
    </xf>
    <xf numFmtId="170" fontId="29" fillId="7" borderId="0" xfId="0" applyNumberFormat="1" applyFont="1" applyFill="1" applyAlignment="1">
      <alignment vertical="center"/>
    </xf>
    <xf numFmtId="165" fontId="34" fillId="7" borderId="0" xfId="0" applyNumberFormat="1" applyFont="1" applyFill="1" applyAlignment="1">
      <alignment vertical="center"/>
    </xf>
    <xf numFmtId="165" fontId="29" fillId="7" borderId="0" xfId="0" applyNumberFormat="1" applyFont="1" applyFill="1" applyAlignment="1">
      <alignment vertical="center"/>
    </xf>
    <xf numFmtId="164" fontId="29" fillId="7" borderId="0" xfId="0" applyNumberFormat="1" applyFont="1" applyFill="1" applyAlignment="1">
      <alignment vertical="center"/>
    </xf>
    <xf numFmtId="3" fontId="29" fillId="7" borderId="0" xfId="0" applyNumberFormat="1" applyFont="1" applyFill="1" applyAlignment="1">
      <alignment vertical="center"/>
    </xf>
    <xf numFmtId="167" fontId="29" fillId="7" borderId="0" xfId="0" applyNumberFormat="1" applyFont="1" applyFill="1" applyAlignment="1">
      <alignment vertical="center"/>
    </xf>
    <xf numFmtId="167" fontId="34" fillId="7" borderId="0" xfId="0" applyNumberFormat="1" applyFont="1" applyFill="1" applyAlignment="1">
      <alignment vertical="center"/>
    </xf>
    <xf numFmtId="4" fontId="29" fillId="7" borderId="0" xfId="0" applyNumberFormat="1" applyFont="1" applyFill="1" applyAlignment="1">
      <alignment vertical="center"/>
    </xf>
    <xf numFmtId="0" fontId="29" fillId="3" borderId="0" xfId="0" applyFont="1" applyFill="1"/>
    <xf numFmtId="0" fontId="29" fillId="7" borderId="0" xfId="0" applyFont="1" applyFill="1"/>
    <xf numFmtId="0" fontId="22" fillId="7" borderId="0" xfId="0" applyFont="1" applyFill="1" applyAlignment="1">
      <alignment horizontal="center" vertical="center"/>
    </xf>
    <xf numFmtId="164" fontId="22" fillId="7" borderId="0" xfId="0" applyNumberFormat="1" applyFont="1" applyFill="1" applyAlignment="1">
      <alignment vertical="center"/>
    </xf>
    <xf numFmtId="165" fontId="29" fillId="7" borderId="5" xfId="0" applyNumberFormat="1" applyFont="1" applyFill="1" applyBorder="1" applyAlignment="1">
      <alignment vertical="center"/>
    </xf>
    <xf numFmtId="3" fontId="22" fillId="7" borderId="0" xfId="0" applyNumberFormat="1" applyFont="1" applyFill="1" applyAlignment="1">
      <alignment horizontal="center" vertical="center"/>
    </xf>
    <xf numFmtId="0" fontId="29" fillId="7" borderId="0" xfId="0" applyFont="1" applyFill="1" applyAlignment="1">
      <alignment horizontal="center"/>
    </xf>
    <xf numFmtId="0" fontId="13" fillId="7" borderId="0" xfId="0" applyFont="1" applyFill="1" applyAlignment="1">
      <alignment horizontal="center"/>
    </xf>
    <xf numFmtId="3" fontId="22" fillId="7" borderId="0" xfId="0" applyNumberFormat="1" applyFont="1" applyFill="1" applyAlignment="1">
      <alignment vertical="center"/>
    </xf>
    <xf numFmtId="167" fontId="29" fillId="7" borderId="0" xfId="0" applyNumberFormat="1" applyFont="1" applyFill="1"/>
    <xf numFmtId="167" fontId="13" fillId="7" borderId="0" xfId="0" applyNumberFormat="1" applyFont="1" applyFill="1"/>
    <xf numFmtId="167" fontId="28" fillId="7" borderId="0" xfId="0" applyNumberFormat="1" applyFont="1" applyFill="1"/>
    <xf numFmtId="3" fontId="13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165" fontId="16" fillId="0" borderId="0" xfId="0" applyNumberFormat="1" applyFont="1" applyAlignment="1">
      <alignment horizontal="right"/>
    </xf>
    <xf numFmtId="165" fontId="15" fillId="0" borderId="0" xfId="0" applyNumberFormat="1" applyFont="1" applyAlignment="1">
      <alignment horizontal="right"/>
    </xf>
    <xf numFmtId="0" fontId="15" fillId="4" borderId="0" xfId="0" applyFont="1" applyFill="1"/>
    <xf numFmtId="165" fontId="15" fillId="7" borderId="0" xfId="0" applyNumberFormat="1" applyFont="1" applyFill="1"/>
    <xf numFmtId="165" fontId="13" fillId="7" borderId="0" xfId="0" applyNumberFormat="1" applyFont="1" applyFill="1"/>
    <xf numFmtId="0" fontId="35" fillId="0" borderId="4" xfId="0" applyFont="1" applyBorder="1" applyAlignment="1">
      <alignment horizontal="center" vertical="center"/>
    </xf>
    <xf numFmtId="0" fontId="36" fillId="0" borderId="8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3" fontId="22" fillId="7" borderId="5" xfId="0" applyNumberFormat="1" applyFont="1" applyFill="1" applyBorder="1"/>
    <xf numFmtId="0" fontId="15" fillId="10" borderId="0" xfId="0" applyFont="1" applyFill="1"/>
    <xf numFmtId="0" fontId="15" fillId="10" borderId="0" xfId="0" applyFont="1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30" fillId="10" borderId="0" xfId="0" applyFont="1" applyFill="1" applyAlignment="1">
      <alignment vertical="center"/>
    </xf>
    <xf numFmtId="0" fontId="9" fillId="10" borderId="0" xfId="0" applyFont="1" applyFill="1"/>
    <xf numFmtId="0" fontId="10" fillId="10" borderId="0" xfId="0" applyFont="1" applyFill="1"/>
    <xf numFmtId="3" fontId="13" fillId="10" borderId="0" xfId="0" applyNumberFormat="1" applyFont="1" applyFill="1" applyAlignment="1">
      <alignment horizontal="center"/>
    </xf>
    <xf numFmtId="3" fontId="22" fillId="10" borderId="0" xfId="0" applyNumberFormat="1" applyFont="1" applyFill="1" applyAlignment="1">
      <alignment horizontal="center"/>
    </xf>
    <xf numFmtId="14" fontId="28" fillId="10" borderId="0" xfId="0" applyNumberFormat="1" applyFont="1" applyFill="1" applyAlignment="1">
      <alignment horizontal="center"/>
    </xf>
    <xf numFmtId="14" fontId="29" fillId="10" borderId="0" xfId="0" applyNumberFormat="1" applyFont="1" applyFill="1" applyAlignment="1">
      <alignment horizontal="center"/>
    </xf>
    <xf numFmtId="0" fontId="29" fillId="10" borderId="0" xfId="0" applyFont="1" applyFill="1"/>
    <xf numFmtId="4" fontId="16" fillId="10" borderId="0" xfId="0" applyNumberFormat="1" applyFont="1" applyFill="1" applyAlignment="1">
      <alignment horizontal="center" vertical="center"/>
    </xf>
    <xf numFmtId="0" fontId="24" fillId="10" borderId="0" xfId="0" applyFont="1" applyFill="1" applyAlignment="1">
      <alignment horizontal="center"/>
    </xf>
    <xf numFmtId="165" fontId="16" fillId="10" borderId="0" xfId="0" applyNumberFormat="1" applyFont="1" applyFill="1" applyAlignment="1">
      <alignment horizontal="right"/>
    </xf>
    <xf numFmtId="165" fontId="15" fillId="10" borderId="0" xfId="0" applyNumberFormat="1" applyFont="1" applyFill="1" applyAlignment="1">
      <alignment horizontal="right"/>
    </xf>
    <xf numFmtId="0" fontId="22" fillId="10" borderId="0" xfId="0" applyFont="1" applyFill="1" applyAlignment="1">
      <alignment horizontal="center"/>
    </xf>
    <xf numFmtId="0" fontId="28" fillId="10" borderId="0" xfId="0" applyFont="1" applyFill="1"/>
    <xf numFmtId="0" fontId="15" fillId="10" borderId="0" xfId="0" applyFont="1" applyFill="1" applyAlignment="1">
      <alignment horizontal="center"/>
    </xf>
    <xf numFmtId="164" fontId="15" fillId="10" borderId="0" xfId="0" applyNumberFormat="1" applyFont="1" applyFill="1" applyAlignment="1">
      <alignment horizontal="center"/>
    </xf>
    <xf numFmtId="165" fontId="15" fillId="10" borderId="0" xfId="0" applyNumberFormat="1" applyFont="1" applyFill="1" applyAlignment="1">
      <alignment horizontal="left"/>
    </xf>
    <xf numFmtId="3" fontId="16" fillId="10" borderId="0" xfId="0" applyNumberFormat="1" applyFont="1" applyFill="1" applyAlignment="1">
      <alignment horizontal="center" vertical="center"/>
    </xf>
    <xf numFmtId="164" fontId="26" fillId="10" borderId="0" xfId="0" applyNumberFormat="1" applyFont="1" applyFill="1" applyAlignment="1">
      <alignment vertical="center"/>
    </xf>
    <xf numFmtId="164" fontId="15" fillId="10" borderId="0" xfId="0" applyNumberFormat="1" applyFont="1" applyFill="1" applyAlignment="1">
      <alignment horizontal="center" vertical="center"/>
    </xf>
    <xf numFmtId="165" fontId="16" fillId="10" borderId="0" xfId="0" applyNumberFormat="1" applyFont="1" applyFill="1" applyAlignment="1">
      <alignment horizontal="right" vertical="center"/>
    </xf>
    <xf numFmtId="165" fontId="26" fillId="10" borderId="0" xfId="0" applyNumberFormat="1" applyFont="1" applyFill="1" applyAlignment="1">
      <alignment horizontal="right" vertical="center"/>
    </xf>
    <xf numFmtId="165" fontId="8" fillId="10" borderId="0" xfId="0" applyNumberFormat="1" applyFont="1" applyFill="1" applyAlignment="1">
      <alignment horizontal="right"/>
    </xf>
    <xf numFmtId="165" fontId="9" fillId="10" borderId="0" xfId="0" applyNumberFormat="1" applyFont="1" applyFill="1" applyAlignment="1">
      <alignment horizontal="right"/>
    </xf>
    <xf numFmtId="165" fontId="15" fillId="10" borderId="0" xfId="0" applyNumberFormat="1" applyFont="1" applyFill="1"/>
    <xf numFmtId="166" fontId="15" fillId="10" borderId="0" xfId="0" applyNumberFormat="1" applyFont="1" applyFill="1"/>
    <xf numFmtId="3" fontId="13" fillId="10" borderId="0" xfId="0" applyNumberFormat="1" applyFont="1" applyFill="1" applyAlignment="1">
      <alignment horizontal="left"/>
    </xf>
    <xf numFmtId="164" fontId="16" fillId="10" borderId="0" xfId="0" applyNumberFormat="1" applyFont="1" applyFill="1" applyAlignment="1">
      <alignment horizontal="right"/>
    </xf>
    <xf numFmtId="3" fontId="29" fillId="10" borderId="0" xfId="0" applyNumberFormat="1" applyFont="1" applyFill="1" applyAlignment="1">
      <alignment horizontal="center"/>
    </xf>
    <xf numFmtId="3" fontId="13" fillId="10" borderId="1" xfId="0" applyNumberFormat="1" applyFont="1" applyFill="1" applyBorder="1" applyAlignment="1">
      <alignment horizontal="center"/>
    </xf>
    <xf numFmtId="0" fontId="22" fillId="11" borderId="41" xfId="0" applyFont="1" applyFill="1" applyBorder="1" applyAlignment="1">
      <alignment horizontal="center" vertical="center" wrapText="1"/>
    </xf>
    <xf numFmtId="0" fontId="22" fillId="11" borderId="5" xfId="0" applyFont="1" applyFill="1" applyBorder="1" applyAlignment="1">
      <alignment horizontal="right" vertical="center"/>
    </xf>
    <xf numFmtId="0" fontId="16" fillId="11" borderId="3" xfId="0" applyFont="1" applyFill="1" applyBorder="1" applyAlignment="1">
      <alignment horizontal="center" vertical="center" wrapText="1"/>
    </xf>
    <xf numFmtId="165" fontId="16" fillId="11" borderId="7" xfId="0" applyNumberFormat="1" applyFont="1" applyFill="1" applyBorder="1" applyAlignment="1">
      <alignment horizontal="center" vertical="center" wrapText="1"/>
    </xf>
    <xf numFmtId="165" fontId="26" fillId="11" borderId="7" xfId="0" applyNumberFormat="1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vertical="center"/>
    </xf>
    <xf numFmtId="0" fontId="10" fillId="11" borderId="5" xfId="0" applyFont="1" applyFill="1" applyBorder="1" applyAlignment="1">
      <alignment horizontal="right" vertical="center"/>
    </xf>
    <xf numFmtId="164" fontId="26" fillId="11" borderId="27" xfId="0" applyNumberFormat="1" applyFont="1" applyFill="1" applyBorder="1" applyAlignment="1">
      <alignment horizontal="center" vertical="center"/>
    </xf>
    <xf numFmtId="164" fontId="26" fillId="11" borderId="42" xfId="0" applyNumberFormat="1" applyFont="1" applyFill="1" applyBorder="1" applyAlignment="1">
      <alignment horizontal="center" vertical="center"/>
    </xf>
    <xf numFmtId="173" fontId="40" fillId="10" borderId="0" xfId="0" applyNumberFormat="1" applyFont="1" applyFill="1" applyAlignment="1">
      <alignment horizontal="left"/>
    </xf>
    <xf numFmtId="173" fontId="41" fillId="10" borderId="0" xfId="0" applyNumberFormat="1" applyFont="1" applyFill="1" applyAlignment="1">
      <alignment horizontal="left"/>
    </xf>
    <xf numFmtId="164" fontId="22" fillId="7" borderId="0" xfId="0" applyNumberFormat="1" applyFont="1" applyFill="1" applyAlignment="1">
      <alignment horizontal="left" vertical="center"/>
    </xf>
    <xf numFmtId="3" fontId="42" fillId="7" borderId="0" xfId="0" applyNumberFormat="1" applyFont="1" applyFill="1" applyAlignment="1">
      <alignment horizontal="center" vertical="center"/>
    </xf>
    <xf numFmtId="0" fontId="22" fillId="11" borderId="2" xfId="0" applyFont="1" applyFill="1" applyBorder="1" applyAlignment="1">
      <alignment horizontal="center" vertical="center" wrapText="1"/>
    </xf>
    <xf numFmtId="165" fontId="9" fillId="0" borderId="7" xfId="0" applyNumberFormat="1" applyFont="1" applyBorder="1" applyAlignment="1">
      <alignment horizontal="left" vertical="center"/>
    </xf>
    <xf numFmtId="164" fontId="26" fillId="11" borderId="4" xfId="0" applyNumberFormat="1" applyFont="1" applyFill="1" applyBorder="1" applyAlignment="1">
      <alignment horizontal="center" vertical="center" wrapText="1"/>
    </xf>
    <xf numFmtId="164" fontId="26" fillId="11" borderId="5" xfId="0" applyNumberFormat="1" applyFont="1" applyFill="1" applyBorder="1" applyAlignment="1">
      <alignment horizontal="center" vertical="center" wrapText="1"/>
    </xf>
    <xf numFmtId="164" fontId="26" fillId="11" borderId="6" xfId="0" applyNumberFormat="1" applyFont="1" applyFill="1" applyBorder="1" applyAlignment="1">
      <alignment horizontal="center" vertical="center" wrapText="1"/>
    </xf>
    <xf numFmtId="3" fontId="24" fillId="7" borderId="0" xfId="0" applyNumberFormat="1" applyFont="1" applyFill="1" applyAlignment="1">
      <alignment vertical="center"/>
    </xf>
    <xf numFmtId="164" fontId="29" fillId="7" borderId="5" xfId="0" applyNumberFormat="1" applyFont="1" applyFill="1" applyBorder="1" applyAlignment="1">
      <alignment vertical="center"/>
    </xf>
    <xf numFmtId="0" fontId="28" fillId="7" borderId="0" xfId="0" applyFont="1" applyFill="1"/>
    <xf numFmtId="0" fontId="31" fillId="7" borderId="0" xfId="0" applyFont="1" applyFill="1"/>
    <xf numFmtId="164" fontId="15" fillId="7" borderId="0" xfId="0" applyNumberFormat="1" applyFont="1" applyFill="1"/>
    <xf numFmtId="3" fontId="24" fillId="10" borderId="0" xfId="0" applyNumberFormat="1" applyFont="1" applyFill="1" applyAlignment="1">
      <alignment horizontal="right"/>
    </xf>
    <xf numFmtId="0" fontId="44" fillId="0" borderId="5" xfId="0" applyFont="1" applyBorder="1" applyAlignment="1">
      <alignment horizontal="center" vertical="center"/>
    </xf>
    <xf numFmtId="9" fontId="9" fillId="11" borderId="10" xfId="0" applyNumberFormat="1" applyFont="1" applyFill="1" applyBorder="1" applyAlignment="1">
      <alignment horizontal="center" vertical="center"/>
    </xf>
    <xf numFmtId="9" fontId="9" fillId="11" borderId="16" xfId="0" applyNumberFormat="1" applyFont="1" applyFill="1" applyBorder="1" applyAlignment="1">
      <alignment horizontal="center" vertical="center"/>
    </xf>
    <xf numFmtId="164" fontId="9" fillId="11" borderId="5" xfId="0" applyNumberFormat="1" applyFont="1" applyFill="1" applyBorder="1" applyAlignment="1">
      <alignment horizontal="center" vertical="center"/>
    </xf>
    <xf numFmtId="164" fontId="9" fillId="11" borderId="29" xfId="0" applyNumberFormat="1" applyFont="1" applyFill="1" applyBorder="1" applyAlignment="1">
      <alignment horizontal="center" vertical="center"/>
    </xf>
    <xf numFmtId="0" fontId="45" fillId="11" borderId="4" xfId="0" applyFont="1" applyFill="1" applyBorder="1" applyAlignment="1">
      <alignment horizontal="center" vertical="center"/>
    </xf>
    <xf numFmtId="0" fontId="45" fillId="11" borderId="5" xfId="0" applyFont="1" applyFill="1" applyBorder="1" applyAlignment="1">
      <alignment horizontal="center" vertical="center"/>
    </xf>
    <xf numFmtId="164" fontId="45" fillId="11" borderId="4" xfId="0" applyNumberFormat="1" applyFont="1" applyFill="1" applyBorder="1" applyAlignment="1">
      <alignment horizontal="center" vertical="center"/>
    </xf>
    <xf numFmtId="164" fontId="45" fillId="11" borderId="5" xfId="0" applyNumberFormat="1" applyFont="1" applyFill="1" applyBorder="1" applyAlignment="1">
      <alignment horizontal="center" vertical="center"/>
    </xf>
    <xf numFmtId="164" fontId="45" fillId="11" borderId="6" xfId="0" applyNumberFormat="1" applyFont="1" applyFill="1" applyBorder="1" applyAlignment="1">
      <alignment horizontal="center" vertical="center"/>
    </xf>
    <xf numFmtId="165" fontId="45" fillId="11" borderId="7" xfId="0" applyNumberFormat="1" applyFont="1" applyFill="1" applyBorder="1" applyAlignment="1">
      <alignment horizontal="center" vertical="center" wrapText="1"/>
    </xf>
    <xf numFmtId="3" fontId="10" fillId="12" borderId="20" xfId="0" applyNumberFormat="1" applyFont="1" applyFill="1" applyBorder="1" applyAlignment="1">
      <alignment horizontal="center" vertical="center"/>
    </xf>
    <xf numFmtId="164" fontId="11" fillId="12" borderId="27" xfId="0" applyNumberFormat="1" applyFont="1" applyFill="1" applyBorder="1" applyAlignment="1">
      <alignment horizontal="center" vertical="center"/>
    </xf>
    <xf numFmtId="164" fontId="11" fillId="12" borderId="42" xfId="0" applyNumberFormat="1" applyFont="1" applyFill="1" applyBorder="1" applyAlignment="1">
      <alignment horizontal="center" vertical="center"/>
    </xf>
    <xf numFmtId="165" fontId="8" fillId="12" borderId="26" xfId="0" applyNumberFormat="1" applyFont="1" applyFill="1" applyBorder="1" applyAlignment="1">
      <alignment horizontal="right" vertical="center"/>
    </xf>
    <xf numFmtId="165" fontId="11" fillId="12" borderId="1" xfId="0" applyNumberFormat="1" applyFont="1" applyFill="1" applyBorder="1" applyAlignment="1">
      <alignment horizontal="right" vertical="center"/>
    </xf>
    <xf numFmtId="3" fontId="22" fillId="11" borderId="50" xfId="0" applyNumberFormat="1" applyFont="1" applyFill="1" applyBorder="1" applyAlignment="1">
      <alignment horizontal="center" vertical="center"/>
    </xf>
    <xf numFmtId="0" fontId="15" fillId="3" borderId="5" xfId="0" quotePrefix="1" applyFont="1" applyFill="1" applyBorder="1" applyAlignment="1">
      <alignment horizontal="left" vertical="center"/>
    </xf>
    <xf numFmtId="9" fontId="11" fillId="11" borderId="5" xfId="0" applyNumberFormat="1" applyFont="1" applyFill="1" applyBorder="1" applyAlignment="1">
      <alignment horizontal="center" vertical="center"/>
    </xf>
    <xf numFmtId="9" fontId="11" fillId="11" borderId="29" xfId="0" applyNumberFormat="1" applyFont="1" applyFill="1" applyBorder="1" applyAlignment="1">
      <alignment horizontal="center" vertical="center"/>
    </xf>
    <xf numFmtId="0" fontId="29" fillId="10" borderId="0" xfId="0" applyFont="1" applyFill="1" applyAlignment="1">
      <alignment vertical="center"/>
    </xf>
    <xf numFmtId="0" fontId="22" fillId="7" borderId="0" xfId="0" applyFont="1" applyFill="1" applyAlignment="1">
      <alignment vertical="center"/>
    </xf>
    <xf numFmtId="3" fontId="29" fillId="7" borderId="0" xfId="0" applyNumberFormat="1" applyFont="1" applyFill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4" xfId="0" applyFont="1" applyBorder="1" applyAlignment="1">
      <alignment vertical="center"/>
    </xf>
    <xf numFmtId="0" fontId="28" fillId="10" borderId="0" xfId="0" applyFont="1" applyFill="1" applyAlignment="1">
      <alignment vertical="center"/>
    </xf>
    <xf numFmtId="3" fontId="28" fillId="7" borderId="0" xfId="0" applyNumberFormat="1" applyFont="1" applyFill="1" applyAlignment="1">
      <alignment horizontal="center" vertical="center"/>
    </xf>
    <xf numFmtId="0" fontId="28" fillId="0" borderId="0" xfId="0" applyFont="1" applyAlignment="1">
      <alignment vertical="center"/>
    </xf>
    <xf numFmtId="0" fontId="36" fillId="8" borderId="8" xfId="0" applyFont="1" applyFill="1" applyBorder="1" applyAlignment="1">
      <alignment horizontal="center" vertical="center"/>
    </xf>
    <xf numFmtId="0" fontId="15" fillId="8" borderId="4" xfId="0" applyFont="1" applyFill="1" applyBorder="1" applyAlignment="1">
      <alignment vertical="center"/>
    </xf>
    <xf numFmtId="0" fontId="15" fillId="8" borderId="5" xfId="0" applyFont="1" applyFill="1" applyBorder="1" applyAlignment="1">
      <alignment horizontal="left" vertical="center"/>
    </xf>
    <xf numFmtId="0" fontId="44" fillId="8" borderId="5" xfId="0" applyFont="1" applyFill="1" applyBorder="1" applyAlignment="1">
      <alignment horizontal="center" vertical="center"/>
    </xf>
    <xf numFmtId="165" fontId="13" fillId="8" borderId="7" xfId="0" quotePrefix="1" applyNumberFormat="1" applyFont="1" applyFill="1" applyBorder="1" applyAlignment="1">
      <alignment horizontal="right" vertical="center"/>
    </xf>
    <xf numFmtId="165" fontId="15" fillId="8" borderId="7" xfId="0" quotePrefix="1" applyNumberFormat="1" applyFont="1" applyFill="1" applyBorder="1" applyAlignment="1">
      <alignment horizontal="right" vertical="center"/>
    </xf>
    <xf numFmtId="165" fontId="15" fillId="8" borderId="7" xfId="0" quotePrefix="1" applyNumberFormat="1" applyFont="1" applyFill="1" applyBorder="1" applyAlignment="1">
      <alignment horizontal="left" vertical="center"/>
    </xf>
    <xf numFmtId="3" fontId="1" fillId="2" borderId="0" xfId="0" applyNumberFormat="1" applyFont="1" applyFill="1"/>
    <xf numFmtId="3" fontId="22" fillId="7" borderId="0" xfId="0" applyNumberFormat="1" applyFont="1" applyFill="1"/>
    <xf numFmtId="3" fontId="16" fillId="10" borderId="0" xfId="0" applyNumberFormat="1" applyFont="1" applyFill="1" applyAlignment="1">
      <alignment horizontal="right"/>
    </xf>
    <xf numFmtId="164" fontId="26" fillId="10" borderId="5" xfId="0" applyNumberFormat="1" applyFont="1" applyFill="1" applyBorder="1" applyAlignment="1">
      <alignment horizontal="left" vertical="center"/>
    </xf>
    <xf numFmtId="164" fontId="13" fillId="10" borderId="5" xfId="0" applyNumberFormat="1" applyFont="1" applyFill="1" applyBorder="1" applyAlignment="1">
      <alignment horizontal="center" vertical="center"/>
    </xf>
    <xf numFmtId="164" fontId="29" fillId="10" borderId="5" xfId="0" applyNumberFormat="1" applyFont="1" applyFill="1" applyBorder="1" applyAlignment="1">
      <alignment horizontal="center" vertical="center"/>
    </xf>
    <xf numFmtId="164" fontId="13" fillId="10" borderId="29" xfId="0" applyNumberFormat="1" applyFont="1" applyFill="1" applyBorder="1" applyAlignment="1">
      <alignment horizontal="center" vertical="center"/>
    </xf>
    <xf numFmtId="164" fontId="26" fillId="10" borderId="10" xfId="0" applyNumberFormat="1" applyFont="1" applyFill="1" applyBorder="1" applyAlignment="1">
      <alignment horizontal="left" vertical="center"/>
    </xf>
    <xf numFmtId="164" fontId="13" fillId="10" borderId="10" xfId="0" applyNumberFormat="1" applyFont="1" applyFill="1" applyBorder="1" applyAlignment="1">
      <alignment horizontal="center" vertical="center"/>
    </xf>
    <xf numFmtId="164" fontId="29" fillId="10" borderId="16" xfId="0" applyNumberFormat="1" applyFont="1" applyFill="1" applyBorder="1" applyAlignment="1">
      <alignment horizontal="center" vertical="center"/>
    </xf>
    <xf numFmtId="0" fontId="36" fillId="3" borderId="8" xfId="0" applyFont="1" applyFill="1" applyBorder="1" applyAlignment="1">
      <alignment horizontal="center" vertical="center"/>
    </xf>
    <xf numFmtId="165" fontId="33" fillId="3" borderId="7" xfId="0" quotePrefix="1" applyNumberFormat="1" applyFont="1" applyFill="1" applyBorder="1" applyAlignment="1">
      <alignment horizontal="right" vertical="center"/>
    </xf>
    <xf numFmtId="165" fontId="51" fillId="3" borderId="7" xfId="0" quotePrefix="1" applyNumberFormat="1" applyFont="1" applyFill="1" applyBorder="1" applyAlignment="1">
      <alignment horizontal="right" vertical="center"/>
    </xf>
    <xf numFmtId="165" fontId="49" fillId="3" borderId="7" xfId="0" applyNumberFormat="1" applyFont="1" applyFill="1" applyBorder="1" applyAlignment="1">
      <alignment horizontal="left" vertical="center"/>
    </xf>
    <xf numFmtId="0" fontId="48" fillId="3" borderId="5" xfId="0" applyFont="1" applyFill="1" applyBorder="1" applyAlignment="1">
      <alignment horizontal="center" vertical="center"/>
    </xf>
    <xf numFmtId="164" fontId="13" fillId="7" borderId="0" xfId="0" applyNumberFormat="1" applyFont="1" applyFill="1" applyAlignment="1">
      <alignment horizontal="center" vertical="center"/>
    </xf>
    <xf numFmtId="164" fontId="16" fillId="7" borderId="5" xfId="0" applyNumberFormat="1" applyFont="1" applyFill="1" applyBorder="1" applyAlignment="1">
      <alignment horizontal="center"/>
    </xf>
    <xf numFmtId="164" fontId="24" fillId="7" borderId="5" xfId="0" applyNumberFormat="1" applyFont="1" applyFill="1" applyBorder="1" applyAlignment="1">
      <alignment horizontal="center"/>
    </xf>
    <xf numFmtId="164" fontId="29" fillId="9" borderId="5" xfId="0" applyNumberFormat="1" applyFont="1" applyFill="1" applyBorder="1" applyAlignment="1">
      <alignment vertical="center"/>
    </xf>
    <xf numFmtId="3" fontId="29" fillId="9" borderId="5" xfId="0" applyNumberFormat="1" applyFont="1" applyFill="1" applyBorder="1" applyAlignment="1">
      <alignment vertical="center"/>
    </xf>
    <xf numFmtId="0" fontId="15" fillId="0" borderId="4" xfId="0" applyFont="1" applyBorder="1" applyAlignment="1">
      <alignment vertical="center" wrapText="1"/>
    </xf>
    <xf numFmtId="164" fontId="22" fillId="7" borderId="0" xfId="0" applyNumberFormat="1" applyFont="1" applyFill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8" borderId="4" xfId="0" applyFont="1" applyFill="1" applyBorder="1" applyAlignment="1">
      <alignment horizontal="center" vertical="center"/>
    </xf>
    <xf numFmtId="0" fontId="15" fillId="3" borderId="4" xfId="0" quotePrefix="1" applyFont="1" applyFill="1" applyBorder="1" applyAlignment="1">
      <alignment horizontal="center" vertical="center"/>
    </xf>
    <xf numFmtId="164" fontId="26" fillId="10" borderId="0" xfId="0" applyNumberFormat="1" applyFont="1" applyFill="1" applyAlignment="1">
      <alignment horizontal="center" vertical="center"/>
    </xf>
    <xf numFmtId="0" fontId="28" fillId="10" borderId="0" xfId="0" applyFont="1" applyFill="1" applyAlignment="1">
      <alignment horizontal="center"/>
    </xf>
    <xf numFmtId="0" fontId="29" fillId="10" borderId="0" xfId="0" applyFont="1" applyFill="1" applyAlignment="1">
      <alignment horizontal="center"/>
    </xf>
    <xf numFmtId="0" fontId="15" fillId="0" borderId="4" xfId="0" quotePrefix="1" applyFont="1" applyBorder="1" applyAlignment="1">
      <alignment horizontal="center" vertical="center"/>
    </xf>
    <xf numFmtId="0" fontId="15" fillId="8" borderId="4" xfId="0" quotePrefix="1" applyFont="1" applyFill="1" applyBorder="1" applyAlignment="1">
      <alignment horizontal="center" vertical="center"/>
    </xf>
    <xf numFmtId="0" fontId="45" fillId="11" borderId="4" xfId="0" applyFont="1" applyFill="1" applyBorder="1" applyAlignment="1">
      <alignment horizontal="center" vertical="center" wrapText="1"/>
    </xf>
    <xf numFmtId="0" fontId="9" fillId="0" borderId="4" xfId="0" quotePrefix="1" applyFont="1" applyBorder="1" applyAlignment="1">
      <alignment vertical="center"/>
    </xf>
    <xf numFmtId="0" fontId="9" fillId="0" borderId="47" xfId="0" quotePrefix="1" applyFont="1" applyBorder="1" applyAlignment="1">
      <alignment vertical="center"/>
    </xf>
    <xf numFmtId="0" fontId="36" fillId="0" borderId="9" xfId="0" applyFont="1" applyBorder="1" applyAlignment="1">
      <alignment horizontal="center" vertical="center"/>
    </xf>
    <xf numFmtId="164" fontId="9" fillId="12" borderId="13" xfId="0" applyNumberFormat="1" applyFont="1" applyFill="1" applyBorder="1" applyAlignment="1">
      <alignment horizontal="center" vertical="center"/>
    </xf>
    <xf numFmtId="164" fontId="9" fillId="12" borderId="14" xfId="0" applyNumberFormat="1" applyFont="1" applyFill="1" applyBorder="1" applyAlignment="1">
      <alignment horizontal="center" vertical="center"/>
    </xf>
    <xf numFmtId="164" fontId="9" fillId="12" borderId="10" xfId="0" applyNumberFormat="1" applyFont="1" applyFill="1" applyBorder="1" applyAlignment="1">
      <alignment horizontal="center" vertical="center"/>
    </xf>
    <xf numFmtId="164" fontId="9" fillId="12" borderId="16" xfId="0" applyNumberFormat="1" applyFont="1" applyFill="1" applyBorder="1" applyAlignment="1">
      <alignment horizontal="center" vertical="center"/>
    </xf>
    <xf numFmtId="164" fontId="9" fillId="12" borderId="5" xfId="0" applyNumberFormat="1" applyFont="1" applyFill="1" applyBorder="1" applyAlignment="1">
      <alignment horizontal="center" vertical="center"/>
    </xf>
    <xf numFmtId="164" fontId="9" fillId="12" borderId="29" xfId="0" applyNumberFormat="1" applyFont="1" applyFill="1" applyBorder="1" applyAlignment="1">
      <alignment horizontal="center" vertical="center"/>
    </xf>
    <xf numFmtId="9" fontId="9" fillId="12" borderId="10" xfId="0" applyNumberFormat="1" applyFont="1" applyFill="1" applyBorder="1" applyAlignment="1">
      <alignment horizontal="center" vertical="center"/>
    </xf>
    <xf numFmtId="9" fontId="9" fillId="12" borderId="16" xfId="0" applyNumberFormat="1" applyFont="1" applyFill="1" applyBorder="1" applyAlignment="1">
      <alignment horizontal="center" vertical="center"/>
    </xf>
    <xf numFmtId="3" fontId="57" fillId="10" borderId="0" xfId="0" applyNumberFormat="1" applyFont="1" applyFill="1" applyAlignment="1">
      <alignment horizontal="right"/>
    </xf>
    <xf numFmtId="4" fontId="1" fillId="0" borderId="33" xfId="0" applyNumberFormat="1" applyFont="1" applyBorder="1"/>
    <xf numFmtId="1" fontId="1" fillId="0" borderId="39" xfId="0" applyNumberFormat="1" applyFont="1" applyBorder="1"/>
    <xf numFmtId="0" fontId="0" fillId="0" borderId="39" xfId="0" applyBorder="1"/>
    <xf numFmtId="4" fontId="0" fillId="0" borderId="39" xfId="0" applyNumberFormat="1" applyBorder="1"/>
    <xf numFmtId="4" fontId="0" fillId="0" borderId="34" xfId="0" applyNumberFormat="1" applyBorder="1"/>
    <xf numFmtId="4" fontId="1" fillId="0" borderId="35" xfId="0" applyNumberFormat="1" applyFont="1" applyBorder="1"/>
    <xf numFmtId="4" fontId="0" fillId="0" borderId="36" xfId="0" applyNumberFormat="1" applyBorder="1"/>
    <xf numFmtId="4" fontId="1" fillId="0" borderId="37" xfId="0" applyNumberFormat="1" applyFont="1" applyBorder="1"/>
    <xf numFmtId="4" fontId="1" fillId="0" borderId="40" xfId="0" applyNumberFormat="1" applyFont="1" applyBorder="1"/>
    <xf numFmtId="4" fontId="0" fillId="0" borderId="40" xfId="0" applyNumberFormat="1" applyBorder="1"/>
    <xf numFmtId="4" fontId="0" fillId="0" borderId="38" xfId="0" applyNumberFormat="1" applyBorder="1"/>
    <xf numFmtId="164" fontId="29" fillId="7" borderId="39" xfId="0" applyNumberFormat="1" applyFont="1" applyFill="1" applyBorder="1" applyAlignment="1">
      <alignment vertical="center"/>
    </xf>
    <xf numFmtId="165" fontId="13" fillId="7" borderId="39" xfId="0" applyNumberFormat="1" applyFont="1" applyFill="1" applyBorder="1"/>
    <xf numFmtId="3" fontId="15" fillId="7" borderId="39" xfId="0" applyNumberFormat="1" applyFont="1" applyFill="1" applyBorder="1"/>
    <xf numFmtId="0" fontId="13" fillId="7" borderId="39" xfId="0" applyFont="1" applyFill="1" applyBorder="1"/>
    <xf numFmtId="164" fontId="13" fillId="7" borderId="39" xfId="0" applyNumberFormat="1" applyFont="1" applyFill="1" applyBorder="1" applyAlignment="1">
      <alignment vertical="center"/>
    </xf>
    <xf numFmtId="3" fontId="15" fillId="7" borderId="34" xfId="0" applyNumberFormat="1" applyFont="1" applyFill="1" applyBorder="1"/>
    <xf numFmtId="3" fontId="0" fillId="0" borderId="39" xfId="0" applyNumberFormat="1" applyBorder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55" xfId="0" applyFont="1" applyBorder="1" applyAlignment="1">
      <alignment horizontal="left" vertical="center"/>
    </xf>
    <xf numFmtId="0" fontId="47" fillId="0" borderId="55" xfId="0" applyFont="1" applyBorder="1" applyAlignment="1">
      <alignment horizontal="center" vertical="center"/>
    </xf>
    <xf numFmtId="165" fontId="25" fillId="0" borderId="57" xfId="0" quotePrefix="1" applyNumberFormat="1" applyFont="1" applyBorder="1" applyAlignment="1">
      <alignment horizontal="right" vertical="center"/>
    </xf>
    <xf numFmtId="165" fontId="9" fillId="0" borderId="57" xfId="0" quotePrefix="1" applyNumberFormat="1" applyFont="1" applyBorder="1" applyAlignment="1">
      <alignment horizontal="right" vertical="center"/>
    </xf>
    <xf numFmtId="0" fontId="35" fillId="0" borderId="56" xfId="0" applyFont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28" fillId="13" borderId="5" xfId="0" applyFont="1" applyFill="1" applyBorder="1" applyAlignment="1">
      <alignment horizontal="center" vertical="center"/>
    </xf>
    <xf numFmtId="4" fontId="29" fillId="7" borderId="5" xfId="0" applyNumberFormat="1" applyFont="1" applyFill="1" applyBorder="1" applyAlignment="1">
      <alignment vertical="center"/>
    </xf>
    <xf numFmtId="0" fontId="29" fillId="13" borderId="5" xfId="0" applyFont="1" applyFill="1" applyBorder="1" applyAlignment="1">
      <alignment horizontal="center" vertical="center"/>
    </xf>
    <xf numFmtId="165" fontId="9" fillId="0" borderId="57" xfId="0" quotePrefix="1" applyNumberFormat="1" applyFont="1" applyBorder="1" applyAlignment="1">
      <alignment horizontal="left" vertical="center"/>
    </xf>
    <xf numFmtId="4" fontId="28" fillId="7" borderId="5" xfId="0" applyNumberFormat="1" applyFont="1" applyFill="1" applyBorder="1" applyAlignment="1">
      <alignment vertical="center"/>
    </xf>
    <xf numFmtId="0" fontId="22" fillId="2" borderId="30" xfId="0" applyFont="1" applyFill="1" applyBorder="1" applyAlignment="1">
      <alignment horizontal="center" vertical="center"/>
    </xf>
    <xf numFmtId="3" fontId="16" fillId="7" borderId="5" xfId="0" applyNumberFormat="1" applyFont="1" applyFill="1" applyBorder="1" applyAlignment="1">
      <alignment horizontal="center"/>
    </xf>
    <xf numFmtId="3" fontId="24" fillId="7" borderId="5" xfId="0" applyNumberFormat="1" applyFont="1" applyFill="1" applyBorder="1" applyAlignment="1">
      <alignment horizontal="center"/>
    </xf>
    <xf numFmtId="3" fontId="15" fillId="7" borderId="33" xfId="0" applyNumberFormat="1" applyFont="1" applyFill="1" applyBorder="1" applyAlignment="1">
      <alignment horizontal="left"/>
    </xf>
    <xf numFmtId="9" fontId="1" fillId="0" borderId="0" xfId="0" applyNumberFormat="1" applyFont="1"/>
    <xf numFmtId="9" fontId="0" fillId="0" borderId="0" xfId="0" applyNumberFormat="1"/>
    <xf numFmtId="165" fontId="15" fillId="0" borderId="57" xfId="0" quotePrefix="1" applyNumberFormat="1" applyFont="1" applyBorder="1" applyAlignment="1">
      <alignment horizontal="right" vertical="center"/>
    </xf>
    <xf numFmtId="3" fontId="59" fillId="10" borderId="0" xfId="0" applyNumberFormat="1" applyFont="1" applyFill="1" applyAlignment="1">
      <alignment horizontal="right"/>
    </xf>
    <xf numFmtId="2" fontId="58" fillId="15" borderId="33" xfId="0" applyNumberFormat="1" applyFont="1" applyFill="1" applyBorder="1"/>
    <xf numFmtId="0" fontId="61" fillId="15" borderId="39" xfId="0" applyFont="1" applyFill="1" applyBorder="1"/>
    <xf numFmtId="2" fontId="58" fillId="16" borderId="39" xfId="0" applyNumberFormat="1" applyFont="1" applyFill="1" applyBorder="1"/>
    <xf numFmtId="0" fontId="61" fillId="16" borderId="39" xfId="0" applyFont="1" applyFill="1" applyBorder="1"/>
    <xf numFmtId="2" fontId="58" fillId="17" borderId="39" xfId="0" applyNumberFormat="1" applyFont="1" applyFill="1" applyBorder="1"/>
    <xf numFmtId="0" fontId="61" fillId="17" borderId="39" xfId="0" applyFont="1" applyFill="1" applyBorder="1"/>
    <xf numFmtId="2" fontId="1" fillId="18" borderId="39" xfId="0" applyNumberFormat="1" applyFont="1" applyFill="1" applyBorder="1"/>
    <xf numFmtId="0" fontId="6" fillId="18" borderId="34" xfId="0" applyFont="1" applyFill="1" applyBorder="1"/>
    <xf numFmtId="2" fontId="58" fillId="15" borderId="39" xfId="0" applyNumberFormat="1" applyFont="1" applyFill="1" applyBorder="1"/>
    <xf numFmtId="0" fontId="61" fillId="15" borderId="34" xfId="0" applyFont="1" applyFill="1" applyBorder="1"/>
    <xf numFmtId="0" fontId="61" fillId="16" borderId="34" xfId="0" applyFont="1" applyFill="1" applyBorder="1"/>
    <xf numFmtId="2" fontId="58" fillId="19" borderId="39" xfId="0" applyNumberFormat="1" applyFont="1" applyFill="1" applyBorder="1"/>
    <xf numFmtId="0" fontId="61" fillId="19" borderId="34" xfId="0" applyFont="1" applyFill="1" applyBorder="1"/>
    <xf numFmtId="2" fontId="58" fillId="15" borderId="35" xfId="0" applyNumberFormat="1" applyFont="1" applyFill="1" applyBorder="1"/>
    <xf numFmtId="2" fontId="61" fillId="15" borderId="0" xfId="0" applyNumberFormat="1" applyFont="1" applyFill="1"/>
    <xf numFmtId="2" fontId="58" fillId="16" borderId="0" xfId="0" applyNumberFormat="1" applyFont="1" applyFill="1"/>
    <xf numFmtId="2" fontId="61" fillId="16" borderId="0" xfId="0" applyNumberFormat="1" applyFont="1" applyFill="1"/>
    <xf numFmtId="2" fontId="58" fillId="17" borderId="0" xfId="0" applyNumberFormat="1" applyFont="1" applyFill="1"/>
    <xf numFmtId="2" fontId="61" fillId="17" borderId="0" xfId="0" applyNumberFormat="1" applyFont="1" applyFill="1"/>
    <xf numFmtId="2" fontId="1" fillId="18" borderId="0" xfId="0" applyNumberFormat="1" applyFont="1" applyFill="1"/>
    <xf numFmtId="2" fontId="6" fillId="18" borderId="36" xfId="0" applyNumberFormat="1" applyFont="1" applyFill="1" applyBorder="1"/>
    <xf numFmtId="2" fontId="58" fillId="15" borderId="0" xfId="0" applyNumberFormat="1" applyFont="1" applyFill="1"/>
    <xf numFmtId="2" fontId="61" fillId="15" borderId="36" xfId="0" applyNumberFormat="1" applyFont="1" applyFill="1" applyBorder="1"/>
    <xf numFmtId="2" fontId="61" fillId="16" borderId="36" xfId="0" applyNumberFormat="1" applyFont="1" applyFill="1" applyBorder="1"/>
    <xf numFmtId="2" fontId="58" fillId="19" borderId="0" xfId="0" applyNumberFormat="1" applyFont="1" applyFill="1"/>
    <xf numFmtId="2" fontId="61" fillId="19" borderId="36" xfId="0" applyNumberFormat="1" applyFont="1" applyFill="1" applyBorder="1"/>
    <xf numFmtId="165" fontId="15" fillId="8" borderId="11" xfId="0" quotePrefix="1" applyNumberFormat="1" applyFont="1" applyFill="1" applyBorder="1" applyAlignment="1">
      <alignment horizontal="left" vertical="center"/>
    </xf>
    <xf numFmtId="165" fontId="45" fillId="11" borderId="4" xfId="0" applyNumberFormat="1" applyFont="1" applyFill="1" applyBorder="1" applyAlignment="1">
      <alignment horizontal="center" vertical="center"/>
    </xf>
    <xf numFmtId="165" fontId="9" fillId="0" borderId="58" xfId="0" quotePrefix="1" applyNumberFormat="1" applyFont="1" applyBorder="1" applyAlignment="1">
      <alignment horizontal="left" vertical="center"/>
    </xf>
    <xf numFmtId="164" fontId="45" fillId="11" borderId="4" xfId="0" quotePrefix="1" applyNumberFormat="1" applyFont="1" applyFill="1" applyBorder="1" applyAlignment="1">
      <alignment horizontal="center" vertical="center"/>
    </xf>
    <xf numFmtId="0" fontId="36" fillId="8" borderId="59" xfId="0" applyFont="1" applyFill="1" applyBorder="1" applyAlignment="1">
      <alignment horizontal="center" vertical="center"/>
    </xf>
    <xf numFmtId="0" fontId="37" fillId="0" borderId="61" xfId="0" applyFont="1" applyBorder="1" applyAlignment="1">
      <alignment horizontal="center" vertical="center"/>
    </xf>
    <xf numFmtId="3" fontId="10" fillId="12" borderId="60" xfId="0" applyNumberFormat="1" applyFont="1" applyFill="1" applyBorder="1" applyAlignment="1">
      <alignment horizontal="center" vertical="center"/>
    </xf>
    <xf numFmtId="3" fontId="60" fillId="10" borderId="0" xfId="0" applyNumberFormat="1" applyFont="1" applyFill="1" applyAlignment="1">
      <alignment horizontal="right"/>
    </xf>
    <xf numFmtId="164" fontId="29" fillId="7" borderId="40" xfId="0" applyNumberFormat="1" applyFont="1" applyFill="1" applyBorder="1" applyAlignment="1">
      <alignment vertical="center"/>
    </xf>
    <xf numFmtId="0" fontId="1" fillId="0" borderId="40" xfId="0" applyFont="1" applyBorder="1"/>
    <xf numFmtId="3" fontId="1" fillId="0" borderId="40" xfId="0" applyNumberFormat="1" applyFont="1" applyBorder="1"/>
    <xf numFmtId="4" fontId="1" fillId="0" borderId="39" xfId="0" applyNumberFormat="1" applyFont="1" applyBorder="1"/>
    <xf numFmtId="0" fontId="26" fillId="7" borderId="0" xfId="0" applyFont="1" applyFill="1"/>
    <xf numFmtId="0" fontId="24" fillId="7" borderId="0" xfId="0" applyFont="1" applyFill="1" applyAlignment="1">
      <alignment horizontal="center" vertical="center"/>
    </xf>
    <xf numFmtId="3" fontId="15" fillId="7" borderId="37" xfId="0" applyNumberFormat="1" applyFont="1" applyFill="1" applyBorder="1" applyAlignment="1">
      <alignment horizontal="left"/>
    </xf>
    <xf numFmtId="165" fontId="13" fillId="7" borderId="40" xfId="0" applyNumberFormat="1" applyFont="1" applyFill="1" applyBorder="1"/>
    <xf numFmtId="3" fontId="15" fillId="7" borderId="40" xfId="0" applyNumberFormat="1" applyFont="1" applyFill="1" applyBorder="1"/>
    <xf numFmtId="0" fontId="13" fillId="7" borderId="40" xfId="0" applyFont="1" applyFill="1" applyBorder="1"/>
    <xf numFmtId="164" fontId="13" fillId="7" borderId="40" xfId="0" applyNumberFormat="1" applyFont="1" applyFill="1" applyBorder="1" applyAlignment="1">
      <alignment vertical="center"/>
    </xf>
    <xf numFmtId="3" fontId="15" fillId="7" borderId="38" xfId="0" applyNumberFormat="1" applyFont="1" applyFill="1" applyBorder="1"/>
    <xf numFmtId="0" fontId="53" fillId="10" borderId="0" xfId="1" applyFont="1" applyFill="1" applyAlignment="1">
      <alignment horizontal="center"/>
    </xf>
    <xf numFmtId="0" fontId="22" fillId="7" borderId="15" xfId="0" applyFont="1" applyFill="1" applyBorder="1" applyAlignment="1">
      <alignment horizontal="center"/>
    </xf>
    <xf numFmtId="0" fontId="22" fillId="2" borderId="48" xfId="0" applyFont="1" applyFill="1" applyBorder="1" applyAlignment="1">
      <alignment horizontal="center" vertical="center"/>
    </xf>
    <xf numFmtId="0" fontId="15" fillId="10" borderId="62" xfId="0" applyFont="1" applyFill="1" applyBorder="1"/>
    <xf numFmtId="0" fontId="10" fillId="10" borderId="33" xfId="0" applyFont="1" applyFill="1" applyBorder="1"/>
    <xf numFmtId="0" fontId="23" fillId="10" borderId="0" xfId="0" applyFont="1" applyFill="1" applyAlignment="1">
      <alignment vertical="center" wrapText="1"/>
    </xf>
    <xf numFmtId="0" fontId="17" fillId="10" borderId="0" xfId="0" applyFont="1" applyFill="1" applyAlignment="1">
      <alignment vertical="center" wrapText="1"/>
    </xf>
    <xf numFmtId="0" fontId="26" fillId="10" borderId="0" xfId="0" applyFont="1" applyFill="1" applyAlignment="1">
      <alignment wrapText="1"/>
    </xf>
    <xf numFmtId="0" fontId="26" fillId="10" borderId="0" xfId="0" applyFont="1" applyFill="1" applyAlignment="1">
      <alignment horizontal="center" wrapText="1"/>
    </xf>
    <xf numFmtId="0" fontId="53" fillId="10" borderId="0" xfId="1" applyFont="1" applyFill="1" applyAlignment="1"/>
    <xf numFmtId="0" fontId="45" fillId="10" borderId="0" xfId="0" applyFont="1" applyFill="1" applyAlignment="1">
      <alignment horizontal="center"/>
    </xf>
    <xf numFmtId="0" fontId="26" fillId="10" borderId="0" xfId="0" applyFont="1" applyFill="1" applyAlignment="1">
      <alignment horizontal="center"/>
    </xf>
    <xf numFmtId="0" fontId="26" fillId="10" borderId="0" xfId="0" applyFont="1" applyFill="1"/>
    <xf numFmtId="4" fontId="67" fillId="10" borderId="39" xfId="0" applyNumberFormat="1" applyFont="1" applyFill="1" applyBorder="1" applyAlignment="1">
      <alignment vertical="center" wrapText="1"/>
    </xf>
    <xf numFmtId="0" fontId="68" fillId="10" borderId="0" xfId="0" applyFont="1" applyFill="1" applyAlignment="1">
      <alignment horizontal="center"/>
    </xf>
    <xf numFmtId="0" fontId="45" fillId="10" borderId="0" xfId="0" applyFont="1" applyFill="1" applyAlignment="1">
      <alignment horizontal="center" vertical="center" wrapText="1"/>
    </xf>
    <xf numFmtId="0" fontId="45" fillId="10" borderId="0" xfId="0" applyFont="1" applyFill="1" applyAlignment="1">
      <alignment vertical="center" wrapText="1"/>
    </xf>
    <xf numFmtId="4" fontId="66" fillId="10" borderId="0" xfId="0" applyNumberFormat="1" applyFont="1" applyFill="1" applyAlignment="1">
      <alignment horizontal="center" vertical="center" wrapText="1"/>
    </xf>
    <xf numFmtId="4" fontId="66" fillId="10" borderId="35" xfId="0" applyNumberFormat="1" applyFont="1" applyFill="1" applyBorder="1" applyAlignment="1">
      <alignment horizontal="center" vertical="center" wrapText="1"/>
    </xf>
    <xf numFmtId="171" fontId="24" fillId="7" borderId="28" xfId="0" applyNumberFormat="1" applyFont="1" applyFill="1" applyBorder="1" applyAlignment="1">
      <alignment horizontal="center" vertical="center"/>
    </xf>
    <xf numFmtId="14" fontId="24" fillId="7" borderId="7" xfId="0" applyNumberFormat="1" applyFont="1" applyFill="1" applyBorder="1" applyAlignment="1">
      <alignment horizontal="center" vertical="center"/>
    </xf>
    <xf numFmtId="3" fontId="24" fillId="7" borderId="11" xfId="0" quotePrefix="1" applyNumberFormat="1" applyFont="1" applyFill="1" applyBorder="1" applyAlignment="1">
      <alignment horizontal="center" vertical="center"/>
    </xf>
    <xf numFmtId="3" fontId="24" fillId="7" borderId="7" xfId="0" applyNumberFormat="1" applyFont="1" applyFill="1" applyBorder="1" applyAlignment="1">
      <alignment horizontal="center" vertical="center"/>
    </xf>
    <xf numFmtId="3" fontId="11" fillId="11" borderId="5" xfId="0" applyNumberFormat="1" applyFont="1" applyFill="1" applyBorder="1" applyAlignment="1">
      <alignment horizontal="center" vertical="center"/>
    </xf>
    <xf numFmtId="0" fontId="62" fillId="10" borderId="0" xfId="1" applyFont="1" applyFill="1" applyBorder="1" applyAlignment="1">
      <alignment vertical="center" wrapText="1"/>
    </xf>
    <xf numFmtId="0" fontId="15" fillId="7" borderId="66" xfId="0" applyFont="1" applyFill="1" applyBorder="1"/>
    <xf numFmtId="3" fontId="11" fillId="11" borderId="29" xfId="0" applyNumberFormat="1" applyFont="1" applyFill="1" applyBorder="1" applyAlignment="1">
      <alignment horizontal="center" vertical="center"/>
    </xf>
    <xf numFmtId="3" fontId="24" fillId="7" borderId="1" xfId="0" applyNumberFormat="1" applyFont="1" applyFill="1" applyBorder="1" applyAlignment="1">
      <alignment horizontal="center" vertical="center"/>
    </xf>
    <xf numFmtId="0" fontId="26" fillId="7" borderId="0" xfId="0" applyFont="1" applyFill="1" applyAlignment="1">
      <alignment horizontal="left"/>
    </xf>
    <xf numFmtId="0" fontId="26" fillId="7" borderId="0" xfId="0" applyFont="1" applyFill="1" applyAlignment="1">
      <alignment horizontal="left" vertical="center"/>
    </xf>
    <xf numFmtId="0" fontId="10" fillId="7" borderId="0" xfId="0" applyFont="1" applyFill="1" applyAlignment="1">
      <alignment horizontal="left"/>
    </xf>
    <xf numFmtId="0" fontId="16" fillId="7" borderId="0" xfId="0" applyFont="1" applyFill="1" applyAlignment="1">
      <alignment horizontal="left"/>
    </xf>
    <xf numFmtId="0" fontId="15" fillId="7" borderId="0" xfId="0" applyFont="1" applyFill="1" applyAlignment="1">
      <alignment horizontal="left"/>
    </xf>
    <xf numFmtId="3" fontId="28" fillId="10" borderId="0" xfId="0" applyNumberFormat="1" applyFont="1" applyFill="1" applyAlignment="1">
      <alignment horizontal="center"/>
    </xf>
    <xf numFmtId="3" fontId="28" fillId="7" borderId="39" xfId="0" applyNumberFormat="1" applyFont="1" applyFill="1" applyBorder="1" applyAlignment="1">
      <alignment horizontal="left"/>
    </xf>
    <xf numFmtId="164" fontId="28" fillId="7" borderId="39" xfId="0" applyNumberFormat="1" applyFont="1" applyFill="1" applyBorder="1" applyAlignment="1">
      <alignment vertical="center"/>
    </xf>
    <xf numFmtId="165" fontId="28" fillId="7" borderId="39" xfId="0" applyNumberFormat="1" applyFont="1" applyFill="1" applyBorder="1"/>
    <xf numFmtId="3" fontId="28" fillId="7" borderId="39" xfId="0" applyNumberFormat="1" applyFont="1" applyFill="1" applyBorder="1"/>
    <xf numFmtId="0" fontId="28" fillId="7" borderId="39" xfId="0" applyFont="1" applyFill="1" applyBorder="1"/>
    <xf numFmtId="0" fontId="24" fillId="7" borderId="0" xfId="0" applyFont="1" applyFill="1"/>
    <xf numFmtId="164" fontId="69" fillId="7" borderId="5" xfId="0" applyNumberFormat="1" applyFont="1" applyFill="1" applyBorder="1" applyAlignment="1">
      <alignment vertical="center"/>
    </xf>
    <xf numFmtId="3" fontId="69" fillId="7" borderId="5" xfId="0" applyNumberFormat="1" applyFont="1" applyFill="1" applyBorder="1" applyAlignment="1">
      <alignment vertical="center"/>
    </xf>
    <xf numFmtId="0" fontId="74" fillId="10" borderId="0" xfId="1" applyFont="1" applyFill="1" applyBorder="1" applyAlignment="1">
      <alignment horizontal="center" vertical="center" wrapText="1"/>
    </xf>
    <xf numFmtId="0" fontId="22" fillId="10" borderId="0" xfId="0" applyFont="1" applyFill="1" applyAlignment="1">
      <alignment horizontal="center" vertical="center"/>
    </xf>
    <xf numFmtId="0" fontId="22" fillId="2" borderId="52" xfId="0" applyFont="1" applyFill="1" applyBorder="1" applyAlignment="1">
      <alignment horizontal="center" vertical="center"/>
    </xf>
    <xf numFmtId="0" fontId="22" fillId="2" borderId="64" xfId="0" applyFont="1" applyFill="1" applyBorder="1" applyAlignment="1">
      <alignment horizontal="center" vertical="center"/>
    </xf>
    <xf numFmtId="0" fontId="28" fillId="13" borderId="4" xfId="0" applyFont="1" applyFill="1" applyBorder="1" applyAlignment="1">
      <alignment horizontal="center" vertical="center"/>
    </xf>
    <xf numFmtId="4" fontId="28" fillId="7" borderId="6" xfId="0" applyNumberFormat="1" applyFont="1" applyFill="1" applyBorder="1" applyAlignment="1">
      <alignment vertical="center"/>
    </xf>
    <xf numFmtId="0" fontId="26" fillId="10" borderId="51" xfId="0" applyFont="1" applyFill="1" applyBorder="1" applyAlignment="1">
      <alignment wrapText="1"/>
    </xf>
    <xf numFmtId="0" fontId="22" fillId="11" borderId="48" xfId="0" applyFont="1" applyFill="1" applyBorder="1" applyAlignment="1">
      <alignment horizontal="center" vertical="top" wrapText="1"/>
    </xf>
    <xf numFmtId="0" fontId="22" fillId="11" borderId="46" xfId="0" applyFont="1" applyFill="1" applyBorder="1" applyAlignment="1">
      <alignment horizontal="center" vertical="top" wrapText="1"/>
    </xf>
    <xf numFmtId="164" fontId="28" fillId="6" borderId="5" xfId="0" applyNumberFormat="1" applyFont="1" applyFill="1" applyBorder="1" applyAlignment="1">
      <alignment vertical="center"/>
    </xf>
    <xf numFmtId="164" fontId="24" fillId="6" borderId="5" xfId="0" applyNumberFormat="1" applyFont="1" applyFill="1" applyBorder="1" applyAlignment="1">
      <alignment vertical="center"/>
    </xf>
    <xf numFmtId="164" fontId="29" fillId="6" borderId="5" xfId="0" applyNumberFormat="1" applyFont="1" applyFill="1" applyBorder="1" applyAlignment="1">
      <alignment vertical="center"/>
    </xf>
    <xf numFmtId="167" fontId="25" fillId="7" borderId="0" xfId="0" applyNumberFormat="1" applyFont="1" applyFill="1" applyAlignment="1">
      <alignment vertical="center"/>
    </xf>
    <xf numFmtId="168" fontId="28" fillId="7" borderId="0" xfId="0" applyNumberFormat="1" applyFont="1" applyFill="1" applyAlignment="1">
      <alignment vertical="center"/>
    </xf>
    <xf numFmtId="3" fontId="28" fillId="7" borderId="0" xfId="0" applyNumberFormat="1" applyFont="1" applyFill="1" applyAlignment="1">
      <alignment horizontal="left"/>
    </xf>
    <xf numFmtId="165" fontId="28" fillId="7" borderId="0" xfId="0" applyNumberFormat="1" applyFont="1" applyFill="1"/>
    <xf numFmtId="3" fontId="28" fillId="7" borderId="0" xfId="0" applyNumberFormat="1" applyFont="1" applyFill="1"/>
    <xf numFmtId="0" fontId="28" fillId="7" borderId="0" xfId="0" applyFont="1" applyFill="1" applyAlignment="1">
      <alignment horizontal="center"/>
    </xf>
    <xf numFmtId="3" fontId="24" fillId="7" borderId="0" xfId="0" applyNumberFormat="1" applyFont="1" applyFill="1"/>
    <xf numFmtId="164" fontId="24" fillId="7" borderId="0" xfId="0" applyNumberFormat="1" applyFont="1" applyFill="1" applyAlignment="1">
      <alignment vertical="center"/>
    </xf>
    <xf numFmtId="3" fontId="28" fillId="7" borderId="40" xfId="0" applyNumberFormat="1" applyFont="1" applyFill="1" applyBorder="1" applyAlignment="1">
      <alignment vertical="center"/>
    </xf>
    <xf numFmtId="164" fontId="28" fillId="7" borderId="40" xfId="0" applyNumberFormat="1" applyFont="1" applyFill="1" applyBorder="1" applyAlignment="1">
      <alignment vertical="center"/>
    </xf>
    <xf numFmtId="165" fontId="28" fillId="7" borderId="40" xfId="0" applyNumberFormat="1" applyFont="1" applyFill="1" applyBorder="1"/>
    <xf numFmtId="3" fontId="28" fillId="7" borderId="40" xfId="0" applyNumberFormat="1" applyFont="1" applyFill="1" applyBorder="1"/>
    <xf numFmtId="0" fontId="28" fillId="7" borderId="40" xfId="0" applyFont="1" applyFill="1" applyBorder="1"/>
    <xf numFmtId="3" fontId="28" fillId="7" borderId="0" xfId="0" applyNumberFormat="1" applyFont="1" applyFill="1" applyAlignment="1">
      <alignment horizontal="right" vertical="center"/>
    </xf>
    <xf numFmtId="0" fontId="28" fillId="13" borderId="68" xfId="0" applyFont="1" applyFill="1" applyBorder="1" applyAlignment="1">
      <alignment horizontal="center" vertical="center"/>
    </xf>
    <xf numFmtId="3" fontId="28" fillId="7" borderId="2" xfId="0" applyNumberFormat="1" applyFont="1" applyFill="1" applyBorder="1" applyAlignment="1">
      <alignment vertical="center"/>
    </xf>
    <xf numFmtId="4" fontId="28" fillId="7" borderId="69" xfId="0" applyNumberFormat="1" applyFont="1" applyFill="1" applyBorder="1" applyAlignment="1">
      <alignment vertical="center"/>
    </xf>
    <xf numFmtId="3" fontId="16" fillId="7" borderId="0" xfId="0" applyNumberFormat="1" applyFont="1" applyFill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47" fillId="0" borderId="5" xfId="0" applyFont="1" applyBorder="1" applyAlignment="1">
      <alignment horizontal="center" vertical="center"/>
    </xf>
    <xf numFmtId="165" fontId="9" fillId="0" borderId="7" xfId="0" quotePrefix="1" applyNumberFormat="1" applyFont="1" applyBorder="1" applyAlignment="1">
      <alignment horizontal="right" vertical="center"/>
    </xf>
    <xf numFmtId="165" fontId="9" fillId="0" borderId="7" xfId="0" quotePrefix="1" applyNumberFormat="1" applyFont="1" applyBorder="1" applyAlignment="1">
      <alignment horizontal="left" vertical="center"/>
    </xf>
    <xf numFmtId="3" fontId="24" fillId="7" borderId="0" xfId="0" applyNumberFormat="1" applyFont="1" applyFill="1" applyAlignment="1">
      <alignment horizontal="center" vertical="center"/>
    </xf>
    <xf numFmtId="0" fontId="57" fillId="10" borderId="64" xfId="0" applyFont="1" applyFill="1" applyBorder="1" applyAlignment="1">
      <alignment horizontal="center"/>
    </xf>
    <xf numFmtId="0" fontId="16" fillId="10" borderId="0" xfId="0" applyFont="1" applyFill="1" applyAlignment="1">
      <alignment horizontal="center"/>
    </xf>
    <xf numFmtId="0" fontId="24" fillId="10" borderId="44" xfId="0" applyFont="1" applyFill="1" applyBorder="1" applyAlignment="1">
      <alignment horizontal="center"/>
    </xf>
    <xf numFmtId="0" fontId="57" fillId="10" borderId="64" xfId="0" applyFont="1" applyFill="1" applyBorder="1" applyAlignment="1">
      <alignment horizontal="center" vertical="center" wrapText="1"/>
    </xf>
    <xf numFmtId="0" fontId="16" fillId="10" borderId="0" xfId="0" applyFont="1" applyFill="1" applyAlignment="1">
      <alignment horizontal="center" vertical="center" wrapText="1"/>
    </xf>
    <xf numFmtId="0" fontId="24" fillId="10" borderId="44" xfId="0" applyFont="1" applyFill="1" applyBorder="1" applyAlignment="1">
      <alignment horizontal="center" vertical="center" wrapText="1"/>
    </xf>
    <xf numFmtId="164" fontId="24" fillId="10" borderId="64" xfId="0" applyNumberFormat="1" applyFont="1" applyFill="1" applyBorder="1" applyAlignment="1">
      <alignment horizontal="right"/>
    </xf>
    <xf numFmtId="164" fontId="28" fillId="10" borderId="0" xfId="0" applyNumberFormat="1" applyFont="1" applyFill="1"/>
    <xf numFmtId="164" fontId="28" fillId="10" borderId="44" xfId="0" applyNumberFormat="1" applyFont="1" applyFill="1" applyBorder="1"/>
    <xf numFmtId="164" fontId="57" fillId="10" borderId="64" xfId="0" applyNumberFormat="1" applyFont="1" applyFill="1" applyBorder="1" applyAlignment="1">
      <alignment horizontal="right"/>
    </xf>
    <xf numFmtId="164" fontId="24" fillId="10" borderId="44" xfId="0" applyNumberFormat="1" applyFont="1" applyFill="1" applyBorder="1" applyAlignment="1">
      <alignment horizontal="right"/>
    </xf>
    <xf numFmtId="164" fontId="50" fillId="10" borderId="64" xfId="0" applyNumberFormat="1" applyFont="1" applyFill="1" applyBorder="1" applyAlignment="1">
      <alignment horizontal="right"/>
    </xf>
    <xf numFmtId="3" fontId="24" fillId="10" borderId="64" xfId="0" applyNumberFormat="1" applyFont="1" applyFill="1" applyBorder="1" applyAlignment="1">
      <alignment horizontal="right"/>
    </xf>
    <xf numFmtId="0" fontId="28" fillId="10" borderId="44" xfId="0" applyFont="1" applyFill="1" applyBorder="1"/>
    <xf numFmtId="3" fontId="24" fillId="10" borderId="0" xfId="0" applyNumberFormat="1" applyFont="1" applyFill="1"/>
    <xf numFmtId="3" fontId="24" fillId="10" borderId="44" xfId="0" applyNumberFormat="1" applyFont="1" applyFill="1" applyBorder="1"/>
    <xf numFmtId="3" fontId="57" fillId="10" borderId="71" xfId="0" applyNumberFormat="1" applyFont="1" applyFill="1" applyBorder="1" applyAlignment="1">
      <alignment horizontal="right"/>
    </xf>
    <xf numFmtId="3" fontId="16" fillId="10" borderId="51" xfId="0" applyNumberFormat="1" applyFont="1" applyFill="1" applyBorder="1" applyAlignment="1">
      <alignment horizontal="right"/>
    </xf>
    <xf numFmtId="3" fontId="24" fillId="10" borderId="52" xfId="0" applyNumberFormat="1" applyFont="1" applyFill="1" applyBorder="1" applyAlignment="1">
      <alignment horizontal="right"/>
    </xf>
    <xf numFmtId="0" fontId="16" fillId="10" borderId="64" xfId="0" applyFont="1" applyFill="1" applyBorder="1" applyAlignment="1">
      <alignment horizontal="center"/>
    </xf>
    <xf numFmtId="0" fontId="16" fillId="10" borderId="64" xfId="0" applyFont="1" applyFill="1" applyBorder="1" applyAlignment="1">
      <alignment horizontal="center" vertical="center" wrapText="1"/>
    </xf>
    <xf numFmtId="164" fontId="28" fillId="10" borderId="64" xfId="0" applyNumberFormat="1" applyFont="1" applyFill="1" applyBorder="1" applyAlignment="1">
      <alignment horizontal="right"/>
    </xf>
    <xf numFmtId="164" fontId="28" fillId="10" borderId="44" xfId="0" applyNumberFormat="1" applyFont="1" applyFill="1" applyBorder="1" applyAlignment="1">
      <alignment horizontal="right"/>
    </xf>
    <xf numFmtId="164" fontId="16" fillId="10" borderId="64" xfId="0" applyNumberFormat="1" applyFont="1" applyFill="1" applyBorder="1" applyAlignment="1">
      <alignment horizontal="right"/>
    </xf>
    <xf numFmtId="164" fontId="39" fillId="10" borderId="64" xfId="0" applyNumberFormat="1" applyFont="1" applyFill="1" applyBorder="1"/>
    <xf numFmtId="164" fontId="43" fillId="10" borderId="44" xfId="0" applyNumberFormat="1" applyFont="1" applyFill="1" applyBorder="1"/>
    <xf numFmtId="3" fontId="24" fillId="10" borderId="44" xfId="0" applyNumberFormat="1" applyFont="1" applyFill="1" applyBorder="1" applyAlignment="1">
      <alignment horizontal="right"/>
    </xf>
    <xf numFmtId="3" fontId="16" fillId="10" borderId="71" xfId="0" applyNumberFormat="1" applyFont="1" applyFill="1" applyBorder="1" applyAlignment="1">
      <alignment horizontal="right"/>
    </xf>
    <xf numFmtId="0" fontId="59" fillId="10" borderId="64" xfId="0" applyFont="1" applyFill="1" applyBorder="1" applyAlignment="1">
      <alignment horizontal="center"/>
    </xf>
    <xf numFmtId="0" fontId="60" fillId="10" borderId="44" xfId="0" applyFont="1" applyFill="1" applyBorder="1" applyAlignment="1">
      <alignment horizontal="center"/>
    </xf>
    <xf numFmtId="0" fontId="59" fillId="10" borderId="64" xfId="0" applyFont="1" applyFill="1" applyBorder="1" applyAlignment="1">
      <alignment horizontal="center" vertical="center" wrapText="1"/>
    </xf>
    <xf numFmtId="0" fontId="60" fillId="10" borderId="44" xfId="0" applyFont="1" applyFill="1" applyBorder="1" applyAlignment="1">
      <alignment horizontal="center" vertical="center" wrapText="1"/>
    </xf>
    <xf numFmtId="164" fontId="28" fillId="10" borderId="64" xfId="0" applyNumberFormat="1" applyFont="1" applyFill="1" applyBorder="1"/>
    <xf numFmtId="164" fontId="59" fillId="10" borderId="64" xfId="0" applyNumberFormat="1" applyFont="1" applyFill="1" applyBorder="1"/>
    <xf numFmtId="164" fontId="60" fillId="10" borderId="44" xfId="0" applyNumberFormat="1" applyFont="1" applyFill="1" applyBorder="1"/>
    <xf numFmtId="3" fontId="59" fillId="10" borderId="71" xfId="0" applyNumberFormat="1" applyFont="1" applyFill="1" applyBorder="1" applyAlignment="1">
      <alignment horizontal="right"/>
    </xf>
    <xf numFmtId="3" fontId="60" fillId="10" borderId="52" xfId="0" applyNumberFormat="1" applyFont="1" applyFill="1" applyBorder="1" applyAlignment="1">
      <alignment horizontal="right"/>
    </xf>
    <xf numFmtId="0" fontId="65" fillId="14" borderId="24" xfId="0" applyFont="1" applyFill="1" applyBorder="1" applyAlignment="1">
      <alignment horizontal="center" vertical="center"/>
    </xf>
    <xf numFmtId="0" fontId="65" fillId="14" borderId="25" xfId="0" applyFont="1" applyFill="1" applyBorder="1" applyAlignment="1">
      <alignment horizontal="center" vertical="center"/>
    </xf>
    <xf numFmtId="0" fontId="65" fillId="14" borderId="26" xfId="0" applyFont="1" applyFill="1" applyBorder="1" applyAlignment="1">
      <alignment horizontal="center" vertical="center"/>
    </xf>
    <xf numFmtId="3" fontId="66" fillId="12" borderId="24" xfId="0" applyNumberFormat="1" applyFont="1" applyFill="1" applyBorder="1" applyAlignment="1">
      <alignment horizontal="center"/>
    </xf>
    <xf numFmtId="3" fontId="66" fillId="12" borderId="25" xfId="0" applyNumberFormat="1" applyFont="1" applyFill="1" applyBorder="1" applyAlignment="1">
      <alignment horizontal="center"/>
    </xf>
    <xf numFmtId="3" fontId="66" fillId="12" borderId="26" xfId="0" applyNumberFormat="1" applyFont="1" applyFill="1" applyBorder="1" applyAlignment="1">
      <alignment horizontal="center"/>
    </xf>
    <xf numFmtId="0" fontId="45" fillId="10" borderId="0" xfId="0" applyFont="1" applyFill="1" applyAlignment="1">
      <alignment horizontal="left" vertical="center" wrapText="1"/>
    </xf>
    <xf numFmtId="0" fontId="17" fillId="10" borderId="0" xfId="0" applyFont="1" applyFill="1" applyAlignment="1">
      <alignment horizontal="left" vertical="center" wrapText="1"/>
    </xf>
    <xf numFmtId="0" fontId="23" fillId="10" borderId="0" xfId="0" applyFont="1" applyFill="1" applyAlignment="1">
      <alignment horizontal="left" vertical="center" wrapText="1"/>
    </xf>
    <xf numFmtId="0" fontId="26" fillId="5" borderId="24" xfId="0" applyFont="1" applyFill="1" applyBorder="1" applyAlignment="1">
      <alignment horizontal="left" vertical="center" wrapText="1"/>
    </xf>
    <xf numFmtId="0" fontId="26" fillId="5" borderId="25" xfId="0" applyFont="1" applyFill="1" applyBorder="1" applyAlignment="1">
      <alignment horizontal="left" vertical="center" wrapText="1"/>
    </xf>
    <xf numFmtId="0" fontId="26" fillId="5" borderId="26" xfId="0" applyFont="1" applyFill="1" applyBorder="1" applyAlignment="1">
      <alignment horizontal="left" vertical="center" wrapText="1"/>
    </xf>
    <xf numFmtId="4" fontId="66" fillId="12" borderId="65" xfId="0" applyNumberFormat="1" applyFont="1" applyFill="1" applyBorder="1" applyAlignment="1">
      <alignment horizontal="center" vertical="center" wrapText="1"/>
    </xf>
    <xf numFmtId="4" fontId="66" fillId="12" borderId="66" xfId="0" applyNumberFormat="1" applyFont="1" applyFill="1" applyBorder="1" applyAlignment="1">
      <alignment horizontal="center" vertical="center" wrapText="1"/>
    </xf>
    <xf numFmtId="4" fontId="66" fillId="12" borderId="67" xfId="0" applyNumberFormat="1" applyFont="1" applyFill="1" applyBorder="1" applyAlignment="1">
      <alignment horizontal="center" vertical="center" wrapText="1"/>
    </xf>
    <xf numFmtId="4" fontId="66" fillId="12" borderId="65" xfId="0" applyNumberFormat="1" applyFont="1" applyFill="1" applyBorder="1" applyAlignment="1">
      <alignment horizontal="center" vertical="top" wrapText="1"/>
    </xf>
    <xf numFmtId="4" fontId="66" fillId="12" borderId="66" xfId="0" applyNumberFormat="1" applyFont="1" applyFill="1" applyBorder="1" applyAlignment="1">
      <alignment horizontal="center" vertical="top" wrapText="1"/>
    </xf>
    <xf numFmtId="4" fontId="66" fillId="12" borderId="67" xfId="0" applyNumberFormat="1" applyFont="1" applyFill="1" applyBorder="1" applyAlignment="1">
      <alignment horizontal="center" vertical="top" wrapText="1"/>
    </xf>
    <xf numFmtId="0" fontId="45" fillId="12" borderId="33" xfId="0" applyFont="1" applyFill="1" applyBorder="1" applyAlignment="1">
      <alignment horizontal="center"/>
    </xf>
    <xf numFmtId="0" fontId="45" fillId="12" borderId="39" xfId="0" applyFont="1" applyFill="1" applyBorder="1" applyAlignment="1">
      <alignment horizontal="center"/>
    </xf>
    <xf numFmtId="0" fontId="45" fillId="12" borderId="34" xfId="0" applyFont="1" applyFill="1" applyBorder="1" applyAlignment="1">
      <alignment horizontal="center"/>
    </xf>
    <xf numFmtId="0" fontId="53" fillId="12" borderId="37" xfId="1" applyFont="1" applyFill="1" applyBorder="1" applyAlignment="1">
      <alignment horizontal="center"/>
    </xf>
    <xf numFmtId="0" fontId="53" fillId="12" borderId="40" xfId="1" applyFont="1" applyFill="1" applyBorder="1" applyAlignment="1">
      <alignment horizontal="center"/>
    </xf>
    <xf numFmtId="0" fontId="53" fillId="12" borderId="38" xfId="1" applyFont="1" applyFill="1" applyBorder="1" applyAlignment="1">
      <alignment horizontal="center"/>
    </xf>
    <xf numFmtId="0" fontId="70" fillId="12" borderId="33" xfId="0" applyFont="1" applyFill="1" applyBorder="1" applyAlignment="1">
      <alignment horizontal="center" vertical="center" wrapText="1"/>
    </xf>
    <xf numFmtId="0" fontId="70" fillId="12" borderId="39" xfId="0" applyFont="1" applyFill="1" applyBorder="1" applyAlignment="1">
      <alignment horizontal="center" vertical="center" wrapText="1"/>
    </xf>
    <xf numFmtId="0" fontId="70" fillId="12" borderId="34" xfId="0" applyFont="1" applyFill="1" applyBorder="1" applyAlignment="1">
      <alignment horizontal="center" vertical="center" wrapText="1"/>
    </xf>
    <xf numFmtId="0" fontId="70" fillId="12" borderId="35" xfId="0" applyFont="1" applyFill="1" applyBorder="1" applyAlignment="1">
      <alignment horizontal="center" vertical="center" wrapText="1"/>
    </xf>
    <xf numFmtId="0" fontId="70" fillId="12" borderId="0" xfId="0" applyFont="1" applyFill="1" applyAlignment="1">
      <alignment horizontal="center" vertical="center" wrapText="1"/>
    </xf>
    <xf numFmtId="0" fontId="70" fillId="12" borderId="36" xfId="0" applyFont="1" applyFill="1" applyBorder="1" applyAlignment="1">
      <alignment horizontal="center" vertical="center" wrapText="1"/>
    </xf>
    <xf numFmtId="0" fontId="70" fillId="12" borderId="37" xfId="0" applyFont="1" applyFill="1" applyBorder="1" applyAlignment="1">
      <alignment horizontal="center" vertical="center" wrapText="1"/>
    </xf>
    <xf numFmtId="0" fontId="70" fillId="12" borderId="40" xfId="0" applyFont="1" applyFill="1" applyBorder="1" applyAlignment="1">
      <alignment horizontal="center" vertical="center" wrapText="1"/>
    </xf>
    <xf numFmtId="0" fontId="70" fillId="12" borderId="38" xfId="0" applyFont="1" applyFill="1" applyBorder="1" applyAlignment="1">
      <alignment horizontal="center" vertical="center" wrapText="1"/>
    </xf>
    <xf numFmtId="0" fontId="26" fillId="12" borderId="24" xfId="0" applyFont="1" applyFill="1" applyBorder="1" applyAlignment="1">
      <alignment horizontal="left" vertical="center" wrapText="1"/>
    </xf>
    <xf numFmtId="0" fontId="26" fillId="12" borderId="25" xfId="0" applyFont="1" applyFill="1" applyBorder="1" applyAlignment="1">
      <alignment horizontal="left" vertical="center" wrapText="1"/>
    </xf>
    <xf numFmtId="0" fontId="26" fillId="12" borderId="26" xfId="0" applyFont="1" applyFill="1" applyBorder="1" applyAlignment="1">
      <alignment horizontal="left" vertical="center" wrapText="1"/>
    </xf>
    <xf numFmtId="0" fontId="26" fillId="2" borderId="24" xfId="0" applyFont="1" applyFill="1" applyBorder="1" applyAlignment="1">
      <alignment horizontal="left" vertical="center" wrapText="1"/>
    </xf>
    <xf numFmtId="0" fontId="26" fillId="2" borderId="25" xfId="0" applyFont="1" applyFill="1" applyBorder="1" applyAlignment="1">
      <alignment horizontal="left" vertical="center" wrapText="1"/>
    </xf>
    <xf numFmtId="0" fontId="26" fillId="2" borderId="26" xfId="0" applyFont="1" applyFill="1" applyBorder="1" applyAlignment="1">
      <alignment horizontal="left" vertical="center" wrapText="1"/>
    </xf>
    <xf numFmtId="0" fontId="22" fillId="7" borderId="5" xfId="0" applyFont="1" applyFill="1" applyBorder="1" applyAlignment="1">
      <alignment horizontal="center"/>
    </xf>
    <xf numFmtId="0" fontId="22" fillId="7" borderId="6" xfId="0" applyFont="1" applyFill="1" applyBorder="1" applyAlignment="1">
      <alignment horizontal="center"/>
    </xf>
    <xf numFmtId="0" fontId="22" fillId="7" borderId="15" xfId="0" applyFont="1" applyFill="1" applyBorder="1" applyAlignment="1">
      <alignment horizontal="center"/>
    </xf>
    <xf numFmtId="0" fontId="22" fillId="7" borderId="4" xfId="0" applyFont="1" applyFill="1" applyBorder="1" applyAlignment="1">
      <alignment horizontal="center"/>
    </xf>
    <xf numFmtId="0" fontId="17" fillId="10" borderId="69" xfId="0" applyFont="1" applyFill="1" applyBorder="1" applyAlignment="1">
      <alignment horizontal="center"/>
    </xf>
    <xf numFmtId="0" fontId="17" fillId="10" borderId="70" xfId="0" applyFont="1" applyFill="1" applyBorder="1" applyAlignment="1">
      <alignment horizontal="center"/>
    </xf>
    <xf numFmtId="0" fontId="17" fillId="10" borderId="68" xfId="0" applyFont="1" applyFill="1" applyBorder="1" applyAlignment="1">
      <alignment horizontal="center"/>
    </xf>
    <xf numFmtId="0" fontId="76" fillId="10" borderId="69" xfId="0" applyFont="1" applyFill="1" applyBorder="1" applyAlignment="1">
      <alignment horizontal="center"/>
    </xf>
    <xf numFmtId="0" fontId="76" fillId="10" borderId="68" xfId="0" applyFont="1" applyFill="1" applyBorder="1" applyAlignment="1">
      <alignment horizontal="center"/>
    </xf>
    <xf numFmtId="0" fontId="26" fillId="7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24" fillId="7" borderId="5" xfId="0" applyFont="1" applyFill="1" applyBorder="1" applyAlignment="1">
      <alignment horizontal="center"/>
    </xf>
    <xf numFmtId="0" fontId="26" fillId="7" borderId="6" xfId="0" applyFont="1" applyFill="1" applyBorder="1" applyAlignment="1">
      <alignment horizontal="center"/>
    </xf>
    <xf numFmtId="0" fontId="26" fillId="7" borderId="15" xfId="0" applyFont="1" applyFill="1" applyBorder="1" applyAlignment="1">
      <alignment horizontal="center"/>
    </xf>
    <xf numFmtId="0" fontId="26" fillId="7" borderId="4" xfId="0" applyFont="1" applyFill="1" applyBorder="1" applyAlignment="1">
      <alignment horizontal="center"/>
    </xf>
    <xf numFmtId="165" fontId="56" fillId="10" borderId="62" xfId="0" applyNumberFormat="1" applyFont="1" applyFill="1" applyBorder="1" applyAlignment="1">
      <alignment horizontal="left" vertical="center" wrapText="1"/>
    </xf>
    <xf numFmtId="165" fontId="56" fillId="10" borderId="63" xfId="0" applyNumberFormat="1" applyFont="1" applyFill="1" applyBorder="1" applyAlignment="1">
      <alignment horizontal="left" vertical="center" wrapText="1"/>
    </xf>
    <xf numFmtId="4" fontId="64" fillId="10" borderId="32" xfId="0" applyNumberFormat="1" applyFont="1" applyFill="1" applyBorder="1" applyAlignment="1">
      <alignment horizontal="center"/>
    </xf>
    <xf numFmtId="4" fontId="64" fillId="10" borderId="31" xfId="0" applyNumberFormat="1" applyFont="1" applyFill="1" applyBorder="1" applyAlignment="1">
      <alignment horizontal="center"/>
    </xf>
    <xf numFmtId="4" fontId="75" fillId="10" borderId="35" xfId="0" quotePrefix="1" applyNumberFormat="1" applyFont="1" applyFill="1" applyBorder="1" applyAlignment="1">
      <alignment horizontal="center" vertical="center" wrapText="1"/>
    </xf>
    <xf numFmtId="4" fontId="75" fillId="10" borderId="0" xfId="0" quotePrefix="1" applyNumberFormat="1" applyFont="1" applyFill="1" applyAlignment="1">
      <alignment horizontal="center" vertical="center" wrapText="1"/>
    </xf>
    <xf numFmtId="0" fontId="23" fillId="10" borderId="0" xfId="0" applyFont="1" applyFill="1" applyAlignment="1">
      <alignment horizontal="center" vertical="center" wrapText="1"/>
    </xf>
    <xf numFmtId="0" fontId="23" fillId="10" borderId="44" xfId="0" applyFont="1" applyFill="1" applyBorder="1" applyAlignment="1">
      <alignment horizontal="center" vertical="center" wrapText="1"/>
    </xf>
    <xf numFmtId="164" fontId="54" fillId="10" borderId="33" xfId="0" applyNumberFormat="1" applyFont="1" applyFill="1" applyBorder="1" applyAlignment="1">
      <alignment horizontal="center" vertical="center" wrapText="1"/>
    </xf>
    <xf numFmtId="164" fontId="54" fillId="10" borderId="39" xfId="0" applyNumberFormat="1" applyFont="1" applyFill="1" applyBorder="1" applyAlignment="1">
      <alignment horizontal="center" vertical="center" wrapText="1"/>
    </xf>
    <xf numFmtId="164" fontId="54" fillId="10" borderId="35" xfId="0" applyNumberFormat="1" applyFont="1" applyFill="1" applyBorder="1" applyAlignment="1">
      <alignment horizontal="center" vertical="center" wrapText="1"/>
    </xf>
    <xf numFmtId="164" fontId="54" fillId="10" borderId="0" xfId="0" applyNumberFormat="1" applyFont="1" applyFill="1" applyAlignment="1">
      <alignment horizontal="center" vertical="center" wrapText="1"/>
    </xf>
    <xf numFmtId="164" fontId="54" fillId="10" borderId="37" xfId="0" applyNumberFormat="1" applyFont="1" applyFill="1" applyBorder="1" applyAlignment="1">
      <alignment horizontal="center" vertical="center" wrapText="1"/>
    </xf>
    <xf numFmtId="164" fontId="54" fillId="10" borderId="40" xfId="0" applyNumberFormat="1" applyFont="1" applyFill="1" applyBorder="1" applyAlignment="1">
      <alignment horizontal="center" vertical="center" wrapText="1"/>
    </xf>
    <xf numFmtId="0" fontId="22" fillId="11" borderId="2" xfId="0" applyFont="1" applyFill="1" applyBorder="1" applyAlignment="1">
      <alignment horizontal="center" vertical="center" wrapText="1"/>
    </xf>
    <xf numFmtId="0" fontId="22" fillId="11" borderId="48" xfId="0" applyFont="1" applyFill="1" applyBorder="1" applyAlignment="1">
      <alignment horizontal="center" vertical="center" wrapText="1"/>
    </xf>
    <xf numFmtId="164" fontId="26" fillId="11" borderId="53" xfId="0" applyNumberFormat="1" applyFont="1" applyFill="1" applyBorder="1" applyAlignment="1">
      <alignment horizontal="left" vertical="center"/>
    </xf>
    <xf numFmtId="164" fontId="26" fillId="11" borderId="25" xfId="0" applyNumberFormat="1" applyFont="1" applyFill="1" applyBorder="1" applyAlignment="1">
      <alignment horizontal="left" vertical="center"/>
    </xf>
    <xf numFmtId="164" fontId="26" fillId="11" borderId="54" xfId="0" applyNumberFormat="1" applyFont="1" applyFill="1" applyBorder="1" applyAlignment="1">
      <alignment horizontal="left" vertical="center"/>
    </xf>
    <xf numFmtId="164" fontId="11" fillId="12" borderId="53" xfId="0" applyNumberFormat="1" applyFont="1" applyFill="1" applyBorder="1" applyAlignment="1">
      <alignment horizontal="left" vertical="center"/>
    </xf>
    <xf numFmtId="164" fontId="11" fillId="12" borderId="25" xfId="0" applyNumberFormat="1" applyFont="1" applyFill="1" applyBorder="1" applyAlignment="1">
      <alignment horizontal="left" vertical="center"/>
    </xf>
    <xf numFmtId="164" fontId="11" fillId="12" borderId="54" xfId="0" applyNumberFormat="1" applyFont="1" applyFill="1" applyBorder="1" applyAlignment="1">
      <alignment horizontal="left" vertical="center"/>
    </xf>
    <xf numFmtId="3" fontId="10" fillId="11" borderId="17" xfId="0" applyNumberFormat="1" applyFont="1" applyFill="1" applyBorder="1" applyAlignment="1">
      <alignment horizontal="center" vertical="center"/>
    </xf>
    <xf numFmtId="3" fontId="10" fillId="11" borderId="23" xfId="0" applyNumberFormat="1" applyFont="1" applyFill="1" applyBorder="1" applyAlignment="1">
      <alignment horizontal="center" vertical="center"/>
    </xf>
    <xf numFmtId="3" fontId="10" fillId="11" borderId="20" xfId="0" applyNumberFormat="1" applyFont="1" applyFill="1" applyBorder="1" applyAlignment="1">
      <alignment horizontal="center" vertical="center"/>
    </xf>
    <xf numFmtId="3" fontId="10" fillId="12" borderId="17" xfId="0" applyNumberFormat="1" applyFont="1" applyFill="1" applyBorder="1" applyAlignment="1">
      <alignment horizontal="center" vertical="center" wrapText="1"/>
    </xf>
    <xf numFmtId="3" fontId="10" fillId="12" borderId="20" xfId="0" applyNumberFormat="1" applyFont="1" applyFill="1" applyBorder="1" applyAlignment="1">
      <alignment horizontal="center" vertical="center" wrapText="1"/>
    </xf>
    <xf numFmtId="164" fontId="11" fillId="11" borderId="18" xfId="0" applyNumberFormat="1" applyFont="1" applyFill="1" applyBorder="1" applyAlignment="1">
      <alignment horizontal="center" vertical="center"/>
    </xf>
    <xf numFmtId="164" fontId="11" fillId="11" borderId="12" xfId="0" applyNumberFormat="1" applyFont="1" applyFill="1" applyBorder="1" applyAlignment="1">
      <alignment horizontal="center" vertical="center"/>
    </xf>
    <xf numFmtId="164" fontId="11" fillId="11" borderId="43" xfId="0" applyNumberFormat="1" applyFont="1" applyFill="1" applyBorder="1" applyAlignment="1">
      <alignment horizontal="center" vertical="center"/>
    </xf>
    <xf numFmtId="164" fontId="11" fillId="11" borderId="18" xfId="0" applyNumberFormat="1" applyFont="1" applyFill="1" applyBorder="1" applyAlignment="1">
      <alignment horizontal="left" vertical="center"/>
    </xf>
    <xf numFmtId="164" fontId="11" fillId="11" borderId="12" xfId="0" applyNumberFormat="1" applyFont="1" applyFill="1" applyBorder="1" applyAlignment="1">
      <alignment horizontal="left" vertical="center"/>
    </xf>
    <xf numFmtId="164" fontId="11" fillId="11" borderId="19" xfId="0" applyNumberFormat="1" applyFont="1" applyFill="1" applyBorder="1" applyAlignment="1">
      <alignment horizontal="left" vertical="center"/>
    </xf>
    <xf numFmtId="164" fontId="11" fillId="12" borderId="21" xfId="0" applyNumberFormat="1" applyFont="1" applyFill="1" applyBorder="1" applyAlignment="1">
      <alignment horizontal="left" vertical="center"/>
    </xf>
    <xf numFmtId="164" fontId="11" fillId="12" borderId="49" xfId="0" applyNumberFormat="1" applyFont="1" applyFill="1" applyBorder="1" applyAlignment="1">
      <alignment horizontal="left" vertical="center"/>
    </xf>
    <xf numFmtId="164" fontId="11" fillId="12" borderId="22" xfId="0" applyNumberFormat="1" applyFont="1" applyFill="1" applyBorder="1" applyAlignment="1">
      <alignment horizontal="left" vertical="center"/>
    </xf>
    <xf numFmtId="164" fontId="11" fillId="12" borderId="18" xfId="0" applyNumberFormat="1" applyFont="1" applyFill="1" applyBorder="1" applyAlignment="1">
      <alignment horizontal="left" vertical="center"/>
    </xf>
    <xf numFmtId="164" fontId="11" fillId="12" borderId="12" xfId="0" applyNumberFormat="1" applyFont="1" applyFill="1" applyBorder="1" applyAlignment="1">
      <alignment horizontal="left" vertical="center"/>
    </xf>
    <xf numFmtId="164" fontId="11" fillId="12" borderId="19" xfId="0" applyNumberFormat="1" applyFont="1" applyFill="1" applyBorder="1" applyAlignment="1">
      <alignment horizontal="left" vertical="center"/>
    </xf>
    <xf numFmtId="164" fontId="11" fillId="11" borderId="6" xfId="0" applyNumberFormat="1" applyFont="1" applyFill="1" applyBorder="1" applyAlignment="1">
      <alignment horizontal="left" vertical="center"/>
    </xf>
    <xf numFmtId="164" fontId="11" fillId="11" borderId="15" xfId="0" applyNumberFormat="1" applyFont="1" applyFill="1" applyBorder="1" applyAlignment="1">
      <alignment horizontal="left" vertical="center"/>
    </xf>
    <xf numFmtId="164" fontId="11" fillId="11" borderId="4" xfId="0" applyNumberFormat="1" applyFont="1" applyFill="1" applyBorder="1" applyAlignment="1">
      <alignment horizontal="left" vertical="center"/>
    </xf>
    <xf numFmtId="164" fontId="11" fillId="11" borderId="21" xfId="0" applyNumberFormat="1" applyFont="1" applyFill="1" applyBorder="1" applyAlignment="1">
      <alignment horizontal="left" vertical="center"/>
    </xf>
    <xf numFmtId="164" fontId="11" fillId="11" borderId="49" xfId="0" applyNumberFormat="1" applyFont="1" applyFill="1" applyBorder="1" applyAlignment="1">
      <alignment horizontal="left" vertical="center"/>
    </xf>
    <xf numFmtId="164" fontId="11" fillId="11" borderId="22" xfId="0" applyNumberFormat="1" applyFont="1" applyFill="1" applyBorder="1" applyAlignment="1">
      <alignment horizontal="left" vertical="center"/>
    </xf>
  </cellXfs>
  <cellStyles count="2">
    <cellStyle name="Link" xfId="1" builtinId="8"/>
    <cellStyle name="Standard" xfId="0" builtinId="0"/>
  </cellStyles>
  <dxfs count="62">
    <dxf>
      <font>
        <color rgb="FFFF0000"/>
      </font>
    </dxf>
    <dxf>
      <font>
        <color rgb="FFFF0000"/>
      </font>
    </dxf>
    <dxf>
      <font>
        <color rgb="FF00B050"/>
      </font>
    </dxf>
    <dxf>
      <font>
        <b/>
        <i/>
        <strike val="0"/>
      </font>
      <fill>
        <patternFill patternType="solid">
          <bgColor rgb="FF00B050"/>
        </patternFill>
      </fill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  <vertical/>
        <horizontal/>
      </border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numFmt numFmtId="167" formatCode="0.0%"/>
    </dxf>
    <dxf>
      <numFmt numFmtId="167" formatCode="0.0%"/>
    </dxf>
    <dxf>
      <numFmt numFmtId="167" formatCode="0.0%"/>
    </dxf>
    <dxf>
      <numFmt numFmtId="167" formatCode="0.0%"/>
    </dxf>
    <dxf>
      <numFmt numFmtId="167" formatCode="0.0%"/>
    </dxf>
    <dxf>
      <numFmt numFmtId="167" formatCode="0.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rgb="FF92D05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rgb="FF92D05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</dxf>
    <dxf>
      <font>
        <b/>
      </font>
      <numFmt numFmtId="3" formatCode="#,##0"/>
    </dxf>
    <dxf>
      <font>
        <b/>
      </font>
      <numFmt numFmtId="3" formatCode="#,##0"/>
    </dxf>
    <dxf>
      <font>
        <b/>
      </font>
      <numFmt numFmtId="3" formatCode="#,##0"/>
    </dxf>
    <dxf>
      <font>
        <b/>
      </font>
      <numFmt numFmtId="3" formatCode="#,##0"/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rgb="FFFFFF00"/>
        </patternFill>
      </fill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rgb="FFFFFF00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3" formatCode="#,##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3" formatCode="#,##0"/>
    </dxf>
    <dxf>
      <font>
        <i/>
      </font>
      <numFmt numFmtId="3" formatCode="#,##0"/>
    </dxf>
    <dxf>
      <font>
        <i/>
      </font>
      <numFmt numFmtId="3" formatCode="#,##0"/>
    </dxf>
    <dxf>
      <font>
        <b/>
      </font>
      <numFmt numFmtId="3" formatCode="#,##0"/>
    </dxf>
    <dxf>
      <font>
        <b/>
      </font>
      <numFmt numFmtId="3" formatCode="#,##0"/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ook Antiqua"/>
        <family val="1"/>
        <scheme val="none"/>
      </font>
      <fill>
        <patternFill patternType="solid">
          <fgColor indexed="64"/>
          <bgColor theme="6" tint="0.5999938962981048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ook Antiqua"/>
        <family val="1"/>
        <scheme val="none"/>
      </font>
      <numFmt numFmtId="3" formatCode="#,##0"/>
      <fill>
        <patternFill patternType="solid">
          <fgColor indexed="64"/>
          <bgColor theme="6" tint="0.5999938962981048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ook Antiqua"/>
        <family val="1"/>
        <scheme val="none"/>
      </font>
      <numFmt numFmtId="3" formatCode="#,##0"/>
      <fill>
        <patternFill patternType="solid">
          <fgColor indexed="64"/>
          <bgColor theme="6" tint="0.5999938962981048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ook Antiqua"/>
        <family val="1"/>
        <scheme val="none"/>
      </font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theme="4" tint="0.39997558519241921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ook Antiqua"/>
        <family val="1"/>
        <scheme val="none"/>
      </font>
      <fill>
        <patternFill patternType="solid">
          <fgColor indexed="64"/>
          <bgColor theme="6" tint="0.5999938962981048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ook Antiqua"/>
        <family val="1"/>
        <scheme val="none"/>
      </font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B050"/>
        <name val="Book Antiqua"/>
        <family val="1"/>
        <scheme val="none"/>
      </font>
      <fill>
        <patternFill patternType="solid">
          <fgColor indexed="64"/>
          <bgColor theme="6" tint="0.5999938962981048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B050"/>
        <name val="Book Antiqua"/>
        <family val="1"/>
        <scheme val="none"/>
      </font>
      <numFmt numFmtId="3" formatCode="#,##0"/>
      <fill>
        <patternFill patternType="solid">
          <fgColor indexed="64"/>
          <bgColor theme="6" tint="0.5999938962981048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B050"/>
        <name val="Book Antiqua"/>
        <family val="1"/>
        <scheme val="none"/>
      </font>
      <numFmt numFmtId="3" formatCode="#,##0"/>
      <fill>
        <patternFill patternType="solid">
          <fgColor indexed="64"/>
          <bgColor theme="6" tint="0.5999938962981048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B050"/>
        <name val="Book Antiqua"/>
        <family val="1"/>
        <scheme val="none"/>
      </font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B050"/>
        <name val="Book Antiqua"/>
        <family val="1"/>
        <scheme val="none"/>
      </font>
      <fill>
        <patternFill patternType="solid">
          <fgColor rgb="FF000000"/>
          <bgColor rgb="FFDBDBDB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ook Antiqua"/>
        <family val="1"/>
        <scheme val="none"/>
      </font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FD23ED"/>
      <color rgb="FFFFD0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Book Antiqua" panose="02040602050305030304" pitchFamily="18" charset="0"/>
                <a:ea typeface="+mn-ea"/>
                <a:cs typeface="+mn-cs"/>
              </a:defRPr>
            </a:pPr>
            <a:r>
              <a:rPr lang="de-DE">
                <a:solidFill>
                  <a:sysClr val="windowText" lastClr="000000"/>
                </a:solidFill>
              </a:rPr>
              <a:t>Aktueller Stand</a:t>
            </a:r>
          </a:p>
          <a:p>
            <a:pPr>
              <a:defRPr/>
            </a:pPr>
            <a:r>
              <a:rPr lang="de-DE">
                <a:solidFill>
                  <a:sysClr val="windowText" lastClr="000000"/>
                </a:solidFill>
              </a:rPr>
              <a:t>und Prognose €</a:t>
            </a:r>
          </a:p>
        </c:rich>
      </c:tx>
      <c:layout>
        <c:manualLayout>
          <c:xMode val="edge"/>
          <c:yMode val="edge"/>
          <c:x val="4.0281046571650728E-2"/>
          <c:y val="1.32587176990971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Book Antiqua" panose="02040602050305030304" pitchFamily="18" charset="0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3.0805541273050116E-2"/>
          <c:y val="0.10467574213818567"/>
          <c:w val="0.8597564327361924"/>
          <c:h val="0.84057786599713435"/>
        </c:manualLayout>
      </c:layout>
      <c:lineChart>
        <c:grouping val="standard"/>
        <c:varyColors val="0"/>
        <c:ser>
          <c:idx val="4"/>
          <c:order val="0"/>
          <c:tx>
            <c:v>€ DSK Fasar</c:v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val>
            <c:numRef>
              <c:f>'Übersicht &amp; Anleitung'!$N$59:$N$80</c:f>
              <c:numCache>
                <c:formatCode>#,##0\ "€"</c:formatCode>
                <c:ptCount val="22"/>
                <c:pt idx="0">
                  <c:v>0</c:v>
                </c:pt>
                <c:pt idx="1">
                  <c:v>36402</c:v>
                </c:pt>
                <c:pt idx="2">
                  <c:v>42659</c:v>
                </c:pt>
                <c:pt idx="3">
                  <c:v>45273</c:v>
                </c:pt>
                <c:pt idx="4">
                  <c:v>47957</c:v>
                </c:pt>
                <c:pt idx="5">
                  <c:v>50763</c:v>
                </c:pt>
                <c:pt idx="6">
                  <c:v>53829</c:v>
                </c:pt>
                <c:pt idx="7">
                  <c:v>55981</c:v>
                </c:pt>
                <c:pt idx="8">
                  <c:v>58795</c:v>
                </c:pt>
                <c:pt idx="9">
                  <c:v>63300</c:v>
                </c:pt>
                <c:pt idx="10">
                  <c:v>66650</c:v>
                </c:pt>
                <c:pt idx="11">
                  <c:v>69668</c:v>
                </c:pt>
                <c:pt idx="12">
                  <c:v>71286</c:v>
                </c:pt>
                <c:pt idx="13">
                  <c:v>74079</c:v>
                </c:pt>
                <c:pt idx="14">
                  <c:v>75411</c:v>
                </c:pt>
                <c:pt idx="15">
                  <c:v>77016</c:v>
                </c:pt>
                <c:pt idx="16">
                  <c:v>80049</c:v>
                </c:pt>
                <c:pt idx="17">
                  <c:v>86833</c:v>
                </c:pt>
                <c:pt idx="18">
                  <c:v>91974</c:v>
                </c:pt>
                <c:pt idx="19">
                  <c:v>101170</c:v>
                </c:pt>
                <c:pt idx="20">
                  <c:v>108862</c:v>
                </c:pt>
                <c:pt idx="21">
                  <c:v>123694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A0-4E24-84D9-F27E1528FAC6}"/>
            </c:ext>
          </c:extLst>
        </c:ser>
        <c:ser>
          <c:idx val="5"/>
          <c:order val="1"/>
          <c:tx>
            <c:v>€ DSK Schleichender Verfall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'Übersicht &amp; Anleitung'!$O$59:$O$80</c:f>
              <c:numCache>
                <c:formatCode>#,##0\ "€"</c:formatCode>
                <c:ptCount val="22"/>
                <c:pt idx="0">
                  <c:v>0</c:v>
                </c:pt>
                <c:pt idx="1">
                  <c:v>26725</c:v>
                </c:pt>
                <c:pt idx="2">
                  <c:v>32416</c:v>
                </c:pt>
                <c:pt idx="3">
                  <c:v>38191</c:v>
                </c:pt>
                <c:pt idx="4">
                  <c:v>41597</c:v>
                </c:pt>
                <c:pt idx="5">
                  <c:v>44358</c:v>
                </c:pt>
                <c:pt idx="6">
                  <c:v>45558</c:v>
                </c:pt>
                <c:pt idx="7">
                  <c:v>50019</c:v>
                </c:pt>
                <c:pt idx="8">
                  <c:v>54482</c:v>
                </c:pt>
                <c:pt idx="9">
                  <c:v>60464</c:v>
                </c:pt>
                <c:pt idx="10">
                  <c:v>62608</c:v>
                </c:pt>
                <c:pt idx="11">
                  <c:v>63707</c:v>
                </c:pt>
                <c:pt idx="12">
                  <c:v>66094</c:v>
                </c:pt>
                <c:pt idx="13">
                  <c:v>68288</c:v>
                </c:pt>
                <c:pt idx="14">
                  <c:v>71648</c:v>
                </c:pt>
                <c:pt idx="15">
                  <c:v>75191</c:v>
                </c:pt>
                <c:pt idx="16">
                  <c:v>78668</c:v>
                </c:pt>
                <c:pt idx="17">
                  <c:v>83940</c:v>
                </c:pt>
                <c:pt idx="18">
                  <c:v>87091</c:v>
                </c:pt>
                <c:pt idx="19">
                  <c:v>91598</c:v>
                </c:pt>
                <c:pt idx="20">
                  <c:v>99702</c:v>
                </c:pt>
                <c:pt idx="21">
                  <c:v>115180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A0-4E24-84D9-F27E1528FAC6}"/>
            </c:ext>
          </c:extLst>
        </c:ser>
        <c:ser>
          <c:idx val="2"/>
          <c:order val="2"/>
          <c:tx>
            <c:v>€ Erste Schätzung max.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'Übersicht &amp; Anleitung'!$G$59:$G$80</c:f>
              <c:numCache>
                <c:formatCode>General</c:formatCod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</c:numCache>
            </c:numRef>
          </c:cat>
          <c:val>
            <c:numRef>
              <c:f>'Übersicht &amp; Anleitung'!$M$59:$M$80</c:f>
              <c:numCache>
                <c:formatCode>#,##0\ "€"</c:formatCode>
                <c:ptCount val="22"/>
                <c:pt idx="0">
                  <c:v>0</c:v>
                </c:pt>
                <c:pt idx="1">
                  <c:v>8357</c:v>
                </c:pt>
                <c:pt idx="2">
                  <c:v>11433</c:v>
                </c:pt>
                <c:pt idx="3">
                  <c:v>13808.213683467096</c:v>
                </c:pt>
                <c:pt idx="4">
                  <c:v>15226.480660971816</c:v>
                </c:pt>
                <c:pt idx="5">
                  <c:v>16250.087309436383</c:v>
                </c:pt>
                <c:pt idx="6">
                  <c:v>17454.707776662122</c:v>
                </c:pt>
                <c:pt idx="7">
                  <c:v>20719.092576016152</c:v>
                </c:pt>
                <c:pt idx="8">
                  <c:v>22631.591428474334</c:v>
                </c:pt>
                <c:pt idx="9">
                  <c:v>23883.348005670239</c:v>
                </c:pt>
                <c:pt idx="10">
                  <c:v>25152.95494403828</c:v>
                </c:pt>
                <c:pt idx="11">
                  <c:v>26048.541033471447</c:v>
                </c:pt>
                <c:pt idx="12">
                  <c:v>26989.868673408208</c:v>
                </c:pt>
                <c:pt idx="13">
                  <c:v>27730.658662051774</c:v>
                </c:pt>
                <c:pt idx="14">
                  <c:v>28900.136230719872</c:v>
                </c:pt>
                <c:pt idx="15">
                  <c:v>32147.786316475023</c:v>
                </c:pt>
                <c:pt idx="16">
                  <c:v>33539.835576008169</c:v>
                </c:pt>
                <c:pt idx="17">
                  <c:v>34933.558306901206</c:v>
                </c:pt>
                <c:pt idx="18">
                  <c:v>36288.51228462351</c:v>
                </c:pt>
                <c:pt idx="19">
                  <c:v>38817.406421306951</c:v>
                </c:pt>
                <c:pt idx="20">
                  <c:v>41247.007923970392</c:v>
                </c:pt>
                <c:pt idx="21">
                  <c:v>46348.585364587663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0A0-4E24-84D9-F27E1528FAC6}"/>
            </c:ext>
          </c:extLst>
        </c:ser>
        <c:ser>
          <c:idx val="3"/>
          <c:order val="3"/>
          <c:tx>
            <c:v>€ Erste Schätzung min.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'Übersicht &amp; Anleitung'!$G$59:$G$80</c:f>
              <c:numCache>
                <c:formatCode>General</c:formatCod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</c:numCache>
            </c:numRef>
          </c:cat>
          <c:val>
            <c:numRef>
              <c:f>'Übersicht &amp; Anleitung'!$L$59:$L$80</c:f>
              <c:numCache>
                <c:formatCode>#,##0\ "€"</c:formatCode>
                <c:ptCount val="22"/>
                <c:pt idx="0">
                  <c:v>0</c:v>
                </c:pt>
                <c:pt idx="1">
                  <c:v>8357</c:v>
                </c:pt>
                <c:pt idx="2">
                  <c:v>11433</c:v>
                </c:pt>
                <c:pt idx="3">
                  <c:v>12188.834368189731</c:v>
                </c:pt>
                <c:pt idx="4">
                  <c:v>12634.613044909078</c:v>
                </c:pt>
                <c:pt idx="5">
                  <c:v>12995.973857129311</c:v>
                </c:pt>
                <c:pt idx="6">
                  <c:v>13153.030349220684</c:v>
                </c:pt>
                <c:pt idx="7">
                  <c:v>13736.887858570362</c:v>
                </c:pt>
                <c:pt idx="8">
                  <c:v>14321.007128740193</c:v>
                </c:pt>
                <c:pt idx="9">
                  <c:v>15103.933741815687</c:v>
                </c:pt>
                <c:pt idx="10">
                  <c:v>15384.541341018939</c:v>
                </c:pt>
                <c:pt idx="11">
                  <c:v>15528.378911692622</c:v>
                </c:pt>
                <c:pt idx="12">
                  <c:v>15840.790450544378</c:v>
                </c:pt>
                <c:pt idx="13">
                  <c:v>16127.942070251438</c:v>
                </c:pt>
                <c:pt idx="14">
                  <c:v>16567.700248107281</c:v>
                </c:pt>
                <c:pt idx="15">
                  <c:v>17031.409541007059</c:v>
                </c:pt>
                <c:pt idx="16">
                  <c:v>17486.480726841812</c:v>
                </c:pt>
                <c:pt idx="17">
                  <c:v>18176.482248763245</c:v>
                </c:pt>
                <c:pt idx="18">
                  <c:v>18588.886420913175</c:v>
                </c:pt>
                <c:pt idx="19">
                  <c:v>19178.764429126357</c:v>
                </c:pt>
                <c:pt idx="20">
                  <c:v>20239.419272383428</c:v>
                </c:pt>
                <c:pt idx="21">
                  <c:v>22265.186259541984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0A0-4E24-84D9-F27E1528FAC6}"/>
            </c:ext>
          </c:extLst>
        </c:ser>
        <c:ser>
          <c:idx val="0"/>
          <c:order val="6"/>
          <c:tx>
            <c:v>€ Aktuelle Prognose</c:v>
          </c:tx>
          <c:spPr>
            <a:ln w="28575" cap="rnd">
              <a:solidFill>
                <a:srgbClr val="00B0F0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dPt>
            <c:idx val="1"/>
            <c:marker>
              <c:symbol val="circle"/>
              <c:size val="5"/>
              <c:spPr>
                <a:solidFill>
                  <a:srgbClr val="00B0F0"/>
                </a:solidFill>
                <a:ln w="9525">
                  <a:solidFill>
                    <a:srgbClr val="00B0F0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80A0-4E24-84D9-F27E1528FAC6}"/>
              </c:ext>
            </c:extLst>
          </c:dPt>
          <c:dPt>
            <c:idx val="2"/>
            <c:marker>
              <c:symbol val="circle"/>
              <c:size val="5"/>
              <c:spPr>
                <a:solidFill>
                  <a:srgbClr val="00B0F0"/>
                </a:solidFill>
                <a:ln w="9525">
                  <a:solidFill>
                    <a:srgbClr val="00B0F0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80A0-4E24-84D9-F27E1528FAC6}"/>
              </c:ext>
            </c:extLst>
          </c:dPt>
          <c:dPt>
            <c:idx val="3"/>
            <c:marker>
              <c:symbol val="circle"/>
              <c:size val="5"/>
              <c:spPr>
                <a:solidFill>
                  <a:srgbClr val="00B0F0"/>
                </a:solidFill>
                <a:ln w="9525">
                  <a:solidFill>
                    <a:srgbClr val="00B0F0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80A0-4E24-84D9-F27E1528FAC6}"/>
              </c:ext>
            </c:extLst>
          </c:dPt>
          <c:dPt>
            <c:idx val="4"/>
            <c:marker>
              <c:symbol val="circle"/>
              <c:size val="5"/>
              <c:spPr>
                <a:solidFill>
                  <a:srgbClr val="00B0F0"/>
                </a:solidFill>
                <a:ln w="9525">
                  <a:solidFill>
                    <a:srgbClr val="00B0F0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80A0-4E24-84D9-F27E1528FAC6}"/>
              </c:ext>
            </c:extLst>
          </c:dPt>
          <c:dPt>
            <c:idx val="5"/>
            <c:marker>
              <c:symbol val="circle"/>
              <c:size val="5"/>
              <c:spPr>
                <a:solidFill>
                  <a:srgbClr val="00B0F0"/>
                </a:solidFill>
                <a:ln w="9525">
                  <a:solidFill>
                    <a:srgbClr val="00B0F0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80A0-4E24-84D9-F27E1528FAC6}"/>
              </c:ext>
            </c:extLst>
          </c:dPt>
          <c:dPt>
            <c:idx val="6"/>
            <c:marker>
              <c:symbol val="circle"/>
              <c:size val="5"/>
              <c:spPr>
                <a:solidFill>
                  <a:srgbClr val="00B0F0"/>
                </a:solidFill>
                <a:ln w="9525">
                  <a:solidFill>
                    <a:srgbClr val="00B0F0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80A0-4E24-84D9-F27E1528FAC6}"/>
              </c:ext>
            </c:extLst>
          </c:dPt>
          <c:dPt>
            <c:idx val="7"/>
            <c:marker>
              <c:symbol val="circle"/>
              <c:size val="5"/>
              <c:spPr>
                <a:solidFill>
                  <a:srgbClr val="00B0F0"/>
                </a:solidFill>
                <a:ln w="9525">
                  <a:solidFill>
                    <a:srgbClr val="00B0F0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80A0-4E24-84D9-F27E1528FAC6}"/>
              </c:ext>
            </c:extLst>
          </c:dPt>
          <c:dPt>
            <c:idx val="8"/>
            <c:marker>
              <c:symbol val="circle"/>
              <c:size val="5"/>
              <c:spPr>
                <a:solidFill>
                  <a:srgbClr val="00B0F0"/>
                </a:solidFill>
                <a:ln w="9525">
                  <a:solidFill>
                    <a:srgbClr val="00B0F0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80A0-4E24-84D9-F27E1528FAC6}"/>
              </c:ext>
            </c:extLst>
          </c:dPt>
          <c:dPt>
            <c:idx val="9"/>
            <c:marker>
              <c:symbol val="circle"/>
              <c:size val="5"/>
              <c:spPr>
                <a:solidFill>
                  <a:srgbClr val="00B0F0"/>
                </a:solidFill>
                <a:ln w="9525">
                  <a:solidFill>
                    <a:srgbClr val="00B0F0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5-80A0-4E24-84D9-F27E1528FAC6}"/>
              </c:ext>
            </c:extLst>
          </c:dPt>
          <c:dPt>
            <c:idx val="10"/>
            <c:marker>
              <c:symbol val="circle"/>
              <c:size val="5"/>
              <c:spPr>
                <a:solidFill>
                  <a:srgbClr val="00B0F0"/>
                </a:solidFill>
                <a:ln w="9525">
                  <a:solidFill>
                    <a:srgbClr val="00B0F0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7-80A0-4E24-84D9-F27E1528FAC6}"/>
              </c:ext>
            </c:extLst>
          </c:dPt>
          <c:dPt>
            <c:idx val="11"/>
            <c:marker>
              <c:symbol val="circle"/>
              <c:size val="5"/>
              <c:spPr>
                <a:solidFill>
                  <a:srgbClr val="00B0F0"/>
                </a:solidFill>
                <a:ln w="9525">
                  <a:solidFill>
                    <a:srgbClr val="00B0F0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9-80A0-4E24-84D9-F27E1528FAC6}"/>
              </c:ext>
            </c:extLst>
          </c:dPt>
          <c:dPt>
            <c:idx val="12"/>
            <c:marker>
              <c:symbol val="circle"/>
              <c:size val="5"/>
              <c:spPr>
                <a:solidFill>
                  <a:srgbClr val="00B0F0"/>
                </a:solidFill>
                <a:ln w="9525">
                  <a:solidFill>
                    <a:srgbClr val="00B0F0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B-80A0-4E24-84D9-F27E1528FAC6}"/>
              </c:ext>
            </c:extLst>
          </c:dPt>
          <c:dPt>
            <c:idx val="13"/>
            <c:marker>
              <c:symbol val="circle"/>
              <c:size val="5"/>
              <c:spPr>
                <a:solidFill>
                  <a:srgbClr val="00B0F0"/>
                </a:solidFill>
                <a:ln w="9525">
                  <a:solidFill>
                    <a:srgbClr val="00B0F0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D-80A0-4E24-84D9-F27E1528FAC6}"/>
              </c:ext>
            </c:extLst>
          </c:dPt>
          <c:dPt>
            <c:idx val="14"/>
            <c:marker>
              <c:symbol val="circle"/>
              <c:size val="5"/>
              <c:spPr>
                <a:solidFill>
                  <a:srgbClr val="00B0F0"/>
                </a:solidFill>
                <a:ln w="9525">
                  <a:solidFill>
                    <a:srgbClr val="00B0F0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F-80A0-4E24-84D9-F27E1528FAC6}"/>
              </c:ext>
            </c:extLst>
          </c:dPt>
          <c:dPt>
            <c:idx val="15"/>
            <c:marker>
              <c:symbol val="circle"/>
              <c:size val="5"/>
              <c:spPr>
                <a:solidFill>
                  <a:srgbClr val="00B0F0"/>
                </a:solidFill>
                <a:ln w="9525">
                  <a:solidFill>
                    <a:srgbClr val="00B0F0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1-80A0-4E24-84D9-F27E1528FAC6}"/>
              </c:ext>
            </c:extLst>
          </c:dPt>
          <c:dPt>
            <c:idx val="16"/>
            <c:marker>
              <c:symbol val="circle"/>
              <c:size val="5"/>
              <c:spPr>
                <a:solidFill>
                  <a:srgbClr val="00B0F0"/>
                </a:solidFill>
                <a:ln w="9525">
                  <a:solidFill>
                    <a:srgbClr val="00B0F0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3-80A0-4E24-84D9-F27E1528FAC6}"/>
              </c:ext>
            </c:extLst>
          </c:dPt>
          <c:dPt>
            <c:idx val="17"/>
            <c:marker>
              <c:symbol val="circle"/>
              <c:size val="5"/>
              <c:spPr>
                <a:solidFill>
                  <a:srgbClr val="00B0F0"/>
                </a:solidFill>
                <a:ln w="9525">
                  <a:solidFill>
                    <a:srgbClr val="00B0F0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5-80A0-4E24-84D9-F27E1528FAC6}"/>
              </c:ext>
            </c:extLst>
          </c:dPt>
          <c:dPt>
            <c:idx val="18"/>
            <c:marker>
              <c:symbol val="circle"/>
              <c:size val="5"/>
              <c:spPr>
                <a:solidFill>
                  <a:srgbClr val="00B0F0"/>
                </a:solidFill>
                <a:ln w="9525">
                  <a:solidFill>
                    <a:srgbClr val="00B0F0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7-80A0-4E24-84D9-F27E1528FAC6}"/>
              </c:ext>
            </c:extLst>
          </c:dPt>
          <c:dPt>
            <c:idx val="19"/>
            <c:marker>
              <c:symbol val="circle"/>
              <c:size val="5"/>
              <c:spPr>
                <a:solidFill>
                  <a:srgbClr val="00B0F0"/>
                </a:solidFill>
                <a:ln w="9525">
                  <a:solidFill>
                    <a:srgbClr val="00B0F0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9-80A0-4E24-84D9-F27E1528FAC6}"/>
              </c:ext>
            </c:extLst>
          </c:dPt>
          <c:dPt>
            <c:idx val="20"/>
            <c:marker>
              <c:symbol val="circle"/>
              <c:size val="5"/>
              <c:spPr>
                <a:solidFill>
                  <a:srgbClr val="00B0F0"/>
                </a:solidFill>
                <a:ln w="9525">
                  <a:solidFill>
                    <a:srgbClr val="00B0F0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B-80A0-4E24-84D9-F27E1528FAC6}"/>
              </c:ext>
            </c:extLst>
          </c:dPt>
          <c:dPt>
            <c:idx val="21"/>
            <c:marker>
              <c:symbol val="circle"/>
              <c:size val="5"/>
              <c:spPr>
                <a:solidFill>
                  <a:srgbClr val="00B0F0"/>
                </a:solidFill>
                <a:ln w="9525">
                  <a:solidFill>
                    <a:srgbClr val="00B0F0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D-80A0-4E24-84D9-F27E1528FAC6}"/>
              </c:ext>
            </c:extLst>
          </c:dPt>
          <c:dPt>
            <c:idx val="22"/>
            <c:marker>
              <c:symbol val="diamond"/>
              <c:size val="5"/>
              <c:spPr>
                <a:solidFill>
                  <a:srgbClr val="00B0F0"/>
                </a:solidFill>
                <a:ln w="9525">
                  <a:solidFill>
                    <a:srgbClr val="00B0F0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F-80A0-4E24-84D9-F27E1528FAC6}"/>
              </c:ext>
            </c:extLst>
          </c:dPt>
          <c:dPt>
            <c:idx val="23"/>
            <c:marker>
              <c:symbol val="diamond"/>
              <c:size val="5"/>
              <c:spPr>
                <a:solidFill>
                  <a:srgbClr val="00B0F0"/>
                </a:solidFill>
                <a:ln w="9525">
                  <a:solidFill>
                    <a:srgbClr val="00B0F0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1-80A0-4E24-84D9-F27E1528FAC6}"/>
              </c:ext>
            </c:extLst>
          </c:dPt>
          <c:dPt>
            <c:idx val="24"/>
            <c:marker>
              <c:symbol val="diamond"/>
              <c:size val="5"/>
              <c:spPr>
                <a:solidFill>
                  <a:srgbClr val="00B0F0"/>
                </a:solidFill>
                <a:ln w="9525">
                  <a:solidFill>
                    <a:srgbClr val="00B0F0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3-80A0-4E24-84D9-F27E1528FAC6}"/>
              </c:ext>
            </c:extLst>
          </c:dPt>
          <c:dPt>
            <c:idx val="25"/>
            <c:marker>
              <c:symbol val="diamond"/>
              <c:size val="5"/>
              <c:spPr>
                <a:solidFill>
                  <a:srgbClr val="00B0F0"/>
                </a:solidFill>
                <a:ln w="9525">
                  <a:solidFill>
                    <a:srgbClr val="00B0F0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5-80A0-4E24-84D9-F27E1528FAC6}"/>
              </c:ext>
            </c:extLst>
          </c:dPt>
          <c:cat>
            <c:numRef>
              <c:f>'Übersicht &amp; Anleitung'!$G$59:$G$80</c:f>
              <c:numCache>
                <c:formatCode>General</c:formatCod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</c:numCache>
            </c:numRef>
          </c:cat>
          <c:val>
            <c:numRef>
              <c:f>'Übersicht &amp; Anleitung'!$I$59:$I$80</c:f>
              <c:numCache>
                <c:formatCode>#,##0\ "€"</c:formatCode>
                <c:ptCount val="22"/>
                <c:pt idx="0">
                  <c:v>0</c:v>
                </c:pt>
                <c:pt idx="1">
                  <c:v>8357</c:v>
                </c:pt>
                <c:pt idx="2">
                  <c:v>11433</c:v>
                </c:pt>
                <c:pt idx="3">
                  <c:v>13158</c:v>
                </c:pt>
                <c:pt idx="4">
                  <c:v>14235</c:v>
                </c:pt>
                <c:pt idx="5">
                  <c:v>15015</c:v>
                </c:pt>
                <c:pt idx="6">
                  <c:v>16237</c:v>
                </c:pt>
                <c:pt idx="7">
                  <c:v>16727</c:v>
                </c:pt>
                <c:pt idx="8">
                  <c:v>17672</c:v>
                </c:pt>
                <c:pt idx="9">
                  <c:v>17982</c:v>
                </c:pt>
                <c:pt idx="10">
                  <c:v>18530</c:v>
                </c:pt>
                <c:pt idx="11">
                  <c:v>19542</c:v>
                </c:pt>
                <c:pt idx="12">
                  <c:v>20594</c:v>
                </c:pt>
                <c:pt idx="13">
                  <c:v>20809</c:v>
                </c:pt>
                <c:pt idx="14">
                  <c:v>21426</c:v>
                </c:pt>
                <c:pt idx="15">
                  <c:v>22523</c:v>
                </c:pt>
                <c:pt idx="16">
                  <c:v>23503</c:v>
                </c:pt>
                <c:pt idx="17">
                  <c:v>23945</c:v>
                </c:pt>
                <c:pt idx="18">
                  <c:v>25263</c:v>
                </c:pt>
                <c:pt idx="19">
                  <c:v>26708</c:v>
                </c:pt>
                <c:pt idx="20">
                  <c:v>30138</c:v>
                </c:pt>
                <c:pt idx="21">
                  <c:v>36248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6-80A0-4E24-84D9-F27E1528FA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4141632"/>
        <c:axId val="514139008"/>
        <c:extLst>
          <c:ext xmlns:c15="http://schemas.microsoft.com/office/drawing/2012/chart" uri="{02D57815-91ED-43cb-92C2-25804820EDAC}">
            <c15:filteredLineSeries>
              <c15:ser>
                <c:idx val="7"/>
                <c:order val="4"/>
                <c:tx>
                  <c:v>€ Prognose max.</c:v>
                </c:tx>
                <c:spPr>
                  <a:ln w="28575" cap="rnd">
                    <a:solidFill>
                      <a:srgbClr val="00B050"/>
                    </a:solidFill>
                    <a:prstDash val="sysDot"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00B050"/>
                    </a:solidFill>
                    <a:ln w="9525">
                      <a:solidFill>
                        <a:srgbClr val="00B050"/>
                      </a:solidFill>
                    </a:ln>
                    <a:effectLst/>
                  </c:spPr>
                </c:marker>
                <c:val>
                  <c:numRef>
                    <c:extLst>
                      <c:ext uri="{02D57815-91ED-43cb-92C2-25804820EDAC}">
                        <c15:formulaRef>
                          <c15:sqref>'Übersicht &amp; Anleitung'!$K$59:$K$80</c15:sqref>
                        </c15:formulaRef>
                      </c:ext>
                    </c:extLst>
                    <c:numCache>
                      <c:formatCode>#,##0\ "€"</c:formatCode>
                      <c:ptCount val="22"/>
                      <c:pt idx="0">
                        <c:v>0</c:v>
                      </c:pt>
                      <c:pt idx="1">
                        <c:v>8357</c:v>
                      </c:pt>
                      <c:pt idx="2">
                        <c:v>11433</c:v>
                      </c:pt>
                      <c:pt idx="3">
                        <c:v>13158</c:v>
                      </c:pt>
                      <c:pt idx="4">
                        <c:v>14235</c:v>
                      </c:pt>
                      <c:pt idx="5">
                        <c:v>15015</c:v>
                      </c:pt>
                      <c:pt idx="6">
                        <c:v>16237</c:v>
                      </c:pt>
                      <c:pt idx="7">
                        <c:v>16727</c:v>
                      </c:pt>
                      <c:pt idx="8">
                        <c:v>17672</c:v>
                      </c:pt>
                      <c:pt idx="9">
                        <c:v>17982</c:v>
                      </c:pt>
                      <c:pt idx="10">
                        <c:v>18530</c:v>
                      </c:pt>
                      <c:pt idx="11">
                        <c:v>19542</c:v>
                      </c:pt>
                      <c:pt idx="12">
                        <c:v>20594</c:v>
                      </c:pt>
                      <c:pt idx="13">
                        <c:v>20809</c:v>
                      </c:pt>
                      <c:pt idx="14">
                        <c:v>21426</c:v>
                      </c:pt>
                      <c:pt idx="15">
                        <c:v>22523</c:v>
                      </c:pt>
                      <c:pt idx="16">
                        <c:v>23503</c:v>
                      </c:pt>
                      <c:pt idx="17">
                        <c:v>23945</c:v>
                      </c:pt>
                      <c:pt idx="18">
                        <c:v>25263</c:v>
                      </c:pt>
                      <c:pt idx="19">
                        <c:v>26708</c:v>
                      </c:pt>
                      <c:pt idx="20">
                        <c:v>30138</c:v>
                      </c:pt>
                      <c:pt idx="21">
                        <c:v>35239.577440617271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38-80A0-4E24-84D9-F27E1528FAC6}"/>
                  </c:ext>
                </c:extLst>
              </c15:ser>
            </c15:filteredLineSeries>
            <c15:filteredLineSeries>
              <c15:ser>
                <c:idx val="8"/>
                <c:order val="5"/>
                <c:tx>
                  <c:v>€ Prognose min.</c:v>
                </c:tx>
                <c:spPr>
                  <a:ln w="28575" cap="rnd">
                    <a:solidFill>
                      <a:srgbClr val="FF0000"/>
                    </a:solidFill>
                    <a:prstDash val="sysDot"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FF0000"/>
                    </a:solidFill>
                    <a:ln w="9525">
                      <a:solidFill>
                        <a:srgbClr val="FF0000"/>
                      </a:solidFill>
                    </a:ln>
                    <a:effectLst/>
                  </c:spPr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'Übersicht &amp; Anleitung'!$J$59:$J$80</c15:sqref>
                        </c15:formulaRef>
                      </c:ext>
                    </c:extLst>
                    <c:numCache>
                      <c:formatCode>#,##0\ "€"</c:formatCode>
                      <c:ptCount val="22"/>
                      <c:pt idx="0">
                        <c:v>0</c:v>
                      </c:pt>
                      <c:pt idx="1">
                        <c:v>8357</c:v>
                      </c:pt>
                      <c:pt idx="2">
                        <c:v>11433</c:v>
                      </c:pt>
                      <c:pt idx="3">
                        <c:v>13158</c:v>
                      </c:pt>
                      <c:pt idx="4">
                        <c:v>14235</c:v>
                      </c:pt>
                      <c:pt idx="5">
                        <c:v>15015</c:v>
                      </c:pt>
                      <c:pt idx="6">
                        <c:v>16237</c:v>
                      </c:pt>
                      <c:pt idx="7">
                        <c:v>16727</c:v>
                      </c:pt>
                      <c:pt idx="8">
                        <c:v>17672</c:v>
                      </c:pt>
                      <c:pt idx="9">
                        <c:v>17982</c:v>
                      </c:pt>
                      <c:pt idx="10">
                        <c:v>18530</c:v>
                      </c:pt>
                      <c:pt idx="11">
                        <c:v>19542</c:v>
                      </c:pt>
                      <c:pt idx="12">
                        <c:v>20594</c:v>
                      </c:pt>
                      <c:pt idx="13">
                        <c:v>20809</c:v>
                      </c:pt>
                      <c:pt idx="14">
                        <c:v>21426</c:v>
                      </c:pt>
                      <c:pt idx="15">
                        <c:v>22523</c:v>
                      </c:pt>
                      <c:pt idx="16">
                        <c:v>23503</c:v>
                      </c:pt>
                      <c:pt idx="17">
                        <c:v>23945</c:v>
                      </c:pt>
                      <c:pt idx="18">
                        <c:v>25263</c:v>
                      </c:pt>
                      <c:pt idx="19">
                        <c:v>26708</c:v>
                      </c:pt>
                      <c:pt idx="20">
                        <c:v>30138</c:v>
                      </c:pt>
                      <c:pt idx="21">
                        <c:v>32163.766987158553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9-80A0-4E24-84D9-F27E1528FAC6}"/>
                  </c:ext>
                </c:extLst>
              </c15:ser>
            </c15:filteredLineSeries>
          </c:ext>
        </c:extLst>
      </c:lineChart>
      <c:catAx>
        <c:axId val="51414163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Book Antiqua" panose="02040602050305030304" pitchFamily="18" charset="0"/>
                <a:ea typeface="+mn-ea"/>
                <a:cs typeface="+mn-cs"/>
              </a:defRPr>
            </a:pPr>
            <a:endParaRPr lang="de-DE"/>
          </a:p>
        </c:txPr>
        <c:crossAx val="514139008"/>
        <c:crosses val="autoZero"/>
        <c:auto val="0"/>
        <c:lblAlgn val="ctr"/>
        <c:lblOffset val="100"/>
        <c:noMultiLvlLbl val="0"/>
      </c:catAx>
      <c:valAx>
        <c:axId val="514139008"/>
        <c:scaling>
          <c:orientation val="minMax"/>
          <c:max val="13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\ &quot;T€&quot;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Book Antiqua" panose="02040602050305030304" pitchFamily="18" charset="0"/>
                <a:ea typeface="+mn-ea"/>
                <a:cs typeface="+mn-cs"/>
              </a:defRPr>
            </a:pPr>
            <a:endParaRPr lang="de-DE"/>
          </a:p>
        </c:txPr>
        <c:crossAx val="514141632"/>
        <c:crossesAt val="43874"/>
        <c:crossBetween val="midCat"/>
        <c:majorUnit val="5000"/>
      </c:valAx>
      <c:spPr>
        <a:solidFill>
          <a:sysClr val="window" lastClr="FFFFFF"/>
        </a:solidFill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7960715970822713"/>
          <c:y val="1.5639151688508966E-2"/>
          <c:w val="0.81033852281604246"/>
          <c:h val="7.74962558384074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Book Antiqua" panose="02040602050305030304" pitchFamily="18" charset="0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5">
        <a:lumMod val="60000"/>
        <a:lumOff val="4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Book Antiqua" panose="02040602050305030304" pitchFamily="18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'CF-Guide'!#REF!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'CF-Guide'!#REF!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'CF-Guide'!#REF!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9EFF-48F1-94B4-F778400803DC}"/>
            </c:ext>
          </c:extLst>
        </c:ser>
        <c:ser>
          <c:idx val="3"/>
          <c:order val="1"/>
          <c:tx>
            <c:strRef>
              <c:f>'CF-Guide'!#REF!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'CF-Guide'!#REF!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'CF-Guide'!#REF!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9EFF-48F1-94B4-F778400803DC}"/>
            </c:ext>
          </c:extLst>
        </c:ser>
        <c:ser>
          <c:idx val="5"/>
          <c:order val="2"/>
          <c:tx>
            <c:strRef>
              <c:f>'CF-Guide'!#REF!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'CF-Guide'!#REF!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'CF-Guide'!#REF!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9EFF-48F1-94B4-F778400803DC}"/>
            </c:ext>
          </c:extLst>
        </c:ser>
        <c:ser>
          <c:idx val="7"/>
          <c:order val="3"/>
          <c:tx>
            <c:strRef>
              <c:f>'CF-Guide'!#REF!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'CF-Guide'!#REF!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'CF-Guide'!#REF!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9EFF-48F1-94B4-F778400803DC}"/>
            </c:ext>
          </c:extLst>
        </c:ser>
        <c:ser>
          <c:idx val="9"/>
          <c:order val="4"/>
          <c:tx>
            <c:strRef>
              <c:f>'CF-Guide'!#REF!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'CF-Guide'!#REF!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'CF-Guide'!#REF!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9EFF-48F1-94B4-F778400803DC}"/>
            </c:ext>
          </c:extLst>
        </c:ser>
        <c:ser>
          <c:idx val="11"/>
          <c:order val="5"/>
          <c:tx>
            <c:strRef>
              <c:f>'CF-Guide'!#REF!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'CF-Guide'!#REF!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'CF-Guide'!#REF!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9EFF-48F1-94B4-F778400803DC}"/>
            </c:ext>
          </c:extLst>
        </c:ser>
        <c:ser>
          <c:idx val="14"/>
          <c:order val="6"/>
          <c:tx>
            <c:strRef>
              <c:f>'CF-Guide'!#REF!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'CF-Guide'!#REF!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'CF-Guide'!#REF!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6-9EFF-48F1-94B4-F778400803DC}"/>
            </c:ext>
          </c:extLst>
        </c:ser>
        <c:ser>
          <c:idx val="0"/>
          <c:order val="7"/>
          <c:tx>
            <c:strRef>
              <c:f>'CF-Guide'!#REF!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'CF-Guide'!#REF!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EFF-48F1-94B4-F778400803DC}"/>
            </c:ext>
          </c:extLst>
        </c:ser>
        <c:ser>
          <c:idx val="2"/>
          <c:order val="8"/>
          <c:tx>
            <c:v>SOK (€/kum)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'CF-Guide'!#REF!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EFF-48F1-94B4-F778400803DC}"/>
            </c:ext>
          </c:extLst>
        </c:ser>
        <c:ser>
          <c:idx val="4"/>
          <c:order val="9"/>
          <c:tx>
            <c:v>SOK (B/kum)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'CF-Guide'!#REF!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EFF-48F1-94B4-F778400803DC}"/>
            </c:ext>
          </c:extLst>
        </c:ser>
        <c:ser>
          <c:idx val="6"/>
          <c:order val="10"/>
          <c:tx>
            <c:strRef>
              <c:f>'CF-Guide'!#REF!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'CF-Guide'!#REF!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9EFF-48F1-94B4-F778400803DC}"/>
            </c:ext>
          </c:extLst>
        </c:ser>
        <c:ser>
          <c:idx val="8"/>
          <c:order val="11"/>
          <c:tx>
            <c:strRef>
              <c:f>'CF-Guide'!#REF!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'CF-Guide'!#REF!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9EFF-48F1-94B4-F778400803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1804584"/>
        <c:axId val="721798024"/>
      </c:lineChart>
      <c:catAx>
        <c:axId val="721804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21798024"/>
        <c:crosses val="autoZero"/>
        <c:auto val="1"/>
        <c:lblAlgn val="ctr"/>
        <c:lblOffset val="100"/>
        <c:noMultiLvlLbl val="0"/>
      </c:catAx>
      <c:valAx>
        <c:axId val="72179802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21804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Book Antiqua" panose="02040602050305030304" pitchFamily="18" charset="0"/>
                <a:ea typeface="+mn-ea"/>
                <a:cs typeface="+mn-cs"/>
              </a:defRPr>
            </a:pPr>
            <a:r>
              <a:rPr lang="de-DE">
                <a:solidFill>
                  <a:sysClr val="windowText" lastClr="000000"/>
                </a:solidFill>
              </a:rPr>
              <a:t>Aktueller Stand</a:t>
            </a:r>
          </a:p>
          <a:p>
            <a:pPr>
              <a:defRPr/>
            </a:pPr>
            <a:r>
              <a:rPr lang="de-DE">
                <a:solidFill>
                  <a:sysClr val="windowText" lastClr="000000"/>
                </a:solidFill>
              </a:rPr>
              <a:t>und Prognose Backer</a:t>
            </a:r>
          </a:p>
        </c:rich>
      </c:tx>
      <c:layout>
        <c:manualLayout>
          <c:xMode val="edge"/>
          <c:yMode val="edge"/>
          <c:x val="3.0453674649409502E-2"/>
          <c:y val="8.9137134286766044E-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Book Antiqua" panose="02040602050305030304" pitchFamily="18" charset="0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3.0805541273050116E-2"/>
          <c:y val="0.10467574213818567"/>
          <c:w val="0.8597564327361924"/>
          <c:h val="0.84492288813297134"/>
        </c:manualLayout>
      </c:layout>
      <c:lineChart>
        <c:grouping val="standard"/>
        <c:varyColors val="0"/>
        <c:ser>
          <c:idx val="4"/>
          <c:order val="0"/>
          <c:tx>
            <c:v>Backer DSK Fasar</c:v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val>
            <c:numRef>
              <c:f>'Übersicht &amp; Anleitung'!$N$88:$N$109</c:f>
              <c:numCache>
                <c:formatCode>#,##0</c:formatCode>
                <c:ptCount val="22"/>
                <c:pt idx="0">
                  <c:v>0</c:v>
                </c:pt>
                <c:pt idx="1">
                  <c:v>195</c:v>
                </c:pt>
                <c:pt idx="2">
                  <c:v>233</c:v>
                </c:pt>
                <c:pt idx="3">
                  <c:v>248</c:v>
                </c:pt>
                <c:pt idx="4">
                  <c:v>264</c:v>
                </c:pt>
                <c:pt idx="5">
                  <c:v>280</c:v>
                </c:pt>
                <c:pt idx="6">
                  <c:v>294</c:v>
                </c:pt>
                <c:pt idx="7">
                  <c:v>308</c:v>
                </c:pt>
                <c:pt idx="8">
                  <c:v>325</c:v>
                </c:pt>
                <c:pt idx="9">
                  <c:v>350</c:v>
                </c:pt>
                <c:pt idx="10">
                  <c:v>369</c:v>
                </c:pt>
                <c:pt idx="11">
                  <c:v>386</c:v>
                </c:pt>
                <c:pt idx="12">
                  <c:v>395</c:v>
                </c:pt>
                <c:pt idx="13">
                  <c:v>410</c:v>
                </c:pt>
                <c:pt idx="14">
                  <c:v>417</c:v>
                </c:pt>
                <c:pt idx="15">
                  <c:v>427</c:v>
                </c:pt>
                <c:pt idx="16">
                  <c:v>444</c:v>
                </c:pt>
                <c:pt idx="17">
                  <c:v>487</c:v>
                </c:pt>
                <c:pt idx="18">
                  <c:v>514</c:v>
                </c:pt>
                <c:pt idx="19">
                  <c:v>549</c:v>
                </c:pt>
                <c:pt idx="20">
                  <c:v>584</c:v>
                </c:pt>
                <c:pt idx="21">
                  <c:v>658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90-4B47-B039-C2E9452AA03A}"/>
            </c:ext>
          </c:extLst>
        </c:ser>
        <c:ser>
          <c:idx val="5"/>
          <c:order val="1"/>
          <c:tx>
            <c:v>Backer DSK Schleichender Verfall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'Übersicht &amp; Anleitung'!$O$88:$O$109</c:f>
              <c:numCache>
                <c:formatCode>#,##0</c:formatCode>
                <c:ptCount val="22"/>
                <c:pt idx="0">
                  <c:v>0</c:v>
                </c:pt>
                <c:pt idx="1">
                  <c:v>136</c:v>
                </c:pt>
                <c:pt idx="2">
                  <c:v>172</c:v>
                </c:pt>
                <c:pt idx="3">
                  <c:v>199</c:v>
                </c:pt>
                <c:pt idx="4">
                  <c:v>218</c:v>
                </c:pt>
                <c:pt idx="5">
                  <c:v>235</c:v>
                </c:pt>
                <c:pt idx="6">
                  <c:v>241</c:v>
                </c:pt>
                <c:pt idx="7">
                  <c:v>262</c:v>
                </c:pt>
                <c:pt idx="8">
                  <c:v>287</c:v>
                </c:pt>
                <c:pt idx="9">
                  <c:v>324</c:v>
                </c:pt>
                <c:pt idx="10">
                  <c:v>336</c:v>
                </c:pt>
                <c:pt idx="11">
                  <c:v>345</c:v>
                </c:pt>
                <c:pt idx="12">
                  <c:v>361</c:v>
                </c:pt>
                <c:pt idx="13">
                  <c:v>375</c:v>
                </c:pt>
                <c:pt idx="14">
                  <c:v>395</c:v>
                </c:pt>
                <c:pt idx="15">
                  <c:v>415</c:v>
                </c:pt>
                <c:pt idx="16">
                  <c:v>438</c:v>
                </c:pt>
                <c:pt idx="17">
                  <c:v>471</c:v>
                </c:pt>
                <c:pt idx="18">
                  <c:v>491</c:v>
                </c:pt>
                <c:pt idx="19">
                  <c:v>519</c:v>
                </c:pt>
                <c:pt idx="20">
                  <c:v>558</c:v>
                </c:pt>
                <c:pt idx="21">
                  <c:v>645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90-4B47-B039-C2E9452AA03A}"/>
            </c:ext>
          </c:extLst>
        </c:ser>
        <c:ser>
          <c:idx val="2"/>
          <c:order val="2"/>
          <c:tx>
            <c:v>Backer Erste Schätzung max.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'Übersicht &amp; Anleitung'!$G$59:$G$80</c:f>
              <c:numCache>
                <c:formatCode>General</c:formatCod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</c:numCache>
            </c:numRef>
          </c:cat>
          <c:val>
            <c:numRef>
              <c:f>'Übersicht &amp; Anleitung'!$M$88:$M$109</c:f>
              <c:numCache>
                <c:formatCode>#,##0</c:formatCode>
                <c:ptCount val="22"/>
                <c:pt idx="0">
                  <c:v>0</c:v>
                </c:pt>
                <c:pt idx="1">
                  <c:v>67</c:v>
                </c:pt>
                <c:pt idx="2">
                  <c:v>89</c:v>
                </c:pt>
                <c:pt idx="3">
                  <c:v>110</c:v>
                </c:pt>
                <c:pt idx="4">
                  <c:v>123</c:v>
                </c:pt>
                <c:pt idx="5">
                  <c:v>132</c:v>
                </c:pt>
                <c:pt idx="6">
                  <c:v>144</c:v>
                </c:pt>
                <c:pt idx="7">
                  <c:v>174</c:v>
                </c:pt>
                <c:pt idx="8">
                  <c:v>187</c:v>
                </c:pt>
                <c:pt idx="9">
                  <c:v>196</c:v>
                </c:pt>
                <c:pt idx="10">
                  <c:v>205</c:v>
                </c:pt>
                <c:pt idx="11">
                  <c:v>213</c:v>
                </c:pt>
                <c:pt idx="12">
                  <c:v>222</c:v>
                </c:pt>
                <c:pt idx="13">
                  <c:v>227</c:v>
                </c:pt>
                <c:pt idx="14">
                  <c:v>236</c:v>
                </c:pt>
                <c:pt idx="15">
                  <c:v>263</c:v>
                </c:pt>
                <c:pt idx="16">
                  <c:v>275</c:v>
                </c:pt>
                <c:pt idx="17">
                  <c:v>286</c:v>
                </c:pt>
                <c:pt idx="18">
                  <c:v>298</c:v>
                </c:pt>
                <c:pt idx="19">
                  <c:v>319</c:v>
                </c:pt>
                <c:pt idx="20">
                  <c:v>339</c:v>
                </c:pt>
                <c:pt idx="21">
                  <c:v>378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90-4B47-B039-C2E9452AA03A}"/>
            </c:ext>
          </c:extLst>
        </c:ser>
        <c:ser>
          <c:idx val="3"/>
          <c:order val="3"/>
          <c:tx>
            <c:v>Backer Erste Schätzung min.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'Übersicht &amp; Anleitung'!$G$59:$G$80</c:f>
              <c:numCache>
                <c:formatCode>General</c:formatCod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</c:numCache>
            </c:numRef>
          </c:cat>
          <c:val>
            <c:numRef>
              <c:f>'Übersicht &amp; Anleitung'!$L$88:$L$109</c:f>
              <c:numCache>
                <c:formatCode>#,##0</c:formatCode>
                <c:ptCount val="22"/>
                <c:pt idx="0">
                  <c:v>0</c:v>
                </c:pt>
                <c:pt idx="1">
                  <c:v>67</c:v>
                </c:pt>
                <c:pt idx="2">
                  <c:v>89</c:v>
                </c:pt>
                <c:pt idx="3">
                  <c:v>94</c:v>
                </c:pt>
                <c:pt idx="4">
                  <c:v>98</c:v>
                </c:pt>
                <c:pt idx="5">
                  <c:v>101</c:v>
                </c:pt>
                <c:pt idx="6">
                  <c:v>102</c:v>
                </c:pt>
                <c:pt idx="7">
                  <c:v>106</c:v>
                </c:pt>
                <c:pt idx="8">
                  <c:v>111</c:v>
                </c:pt>
                <c:pt idx="9">
                  <c:v>118</c:v>
                </c:pt>
                <c:pt idx="10">
                  <c:v>120</c:v>
                </c:pt>
                <c:pt idx="11">
                  <c:v>122</c:v>
                </c:pt>
                <c:pt idx="12">
                  <c:v>125</c:v>
                </c:pt>
                <c:pt idx="13">
                  <c:v>128</c:v>
                </c:pt>
                <c:pt idx="14">
                  <c:v>132</c:v>
                </c:pt>
                <c:pt idx="15">
                  <c:v>136</c:v>
                </c:pt>
                <c:pt idx="16">
                  <c:v>140</c:v>
                </c:pt>
                <c:pt idx="17">
                  <c:v>146</c:v>
                </c:pt>
                <c:pt idx="18">
                  <c:v>150</c:v>
                </c:pt>
                <c:pt idx="19">
                  <c:v>155</c:v>
                </c:pt>
                <c:pt idx="20">
                  <c:v>162</c:v>
                </c:pt>
                <c:pt idx="21">
                  <c:v>178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90-4B47-B039-C2E9452AA03A}"/>
            </c:ext>
          </c:extLst>
        </c:ser>
        <c:ser>
          <c:idx val="0"/>
          <c:order val="6"/>
          <c:tx>
            <c:v>Backer Aktuelle Prognose</c:v>
          </c:tx>
          <c:spPr>
            <a:ln w="28575" cap="rnd">
              <a:solidFill>
                <a:srgbClr val="00B0F0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dPt>
            <c:idx val="1"/>
            <c:marker>
              <c:symbol val="circle"/>
              <c:size val="5"/>
              <c:spPr>
                <a:solidFill>
                  <a:srgbClr val="00B0F0"/>
                </a:solidFill>
                <a:ln w="9525">
                  <a:solidFill>
                    <a:srgbClr val="00B0F0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F090-4B47-B039-C2E9452AA03A}"/>
              </c:ext>
            </c:extLst>
          </c:dPt>
          <c:dPt>
            <c:idx val="2"/>
            <c:marker>
              <c:symbol val="circle"/>
              <c:size val="5"/>
              <c:spPr>
                <a:solidFill>
                  <a:srgbClr val="00B0F0"/>
                </a:solidFill>
                <a:ln w="9525">
                  <a:solidFill>
                    <a:srgbClr val="00B0F0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F090-4B47-B039-C2E9452AA03A}"/>
              </c:ext>
            </c:extLst>
          </c:dPt>
          <c:dPt>
            <c:idx val="3"/>
            <c:marker>
              <c:symbol val="circle"/>
              <c:size val="5"/>
              <c:spPr>
                <a:solidFill>
                  <a:srgbClr val="00B0F0"/>
                </a:solidFill>
                <a:ln w="9525">
                  <a:solidFill>
                    <a:srgbClr val="00B0F0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F090-4B47-B039-C2E9452AA03A}"/>
              </c:ext>
            </c:extLst>
          </c:dPt>
          <c:dPt>
            <c:idx val="4"/>
            <c:marker>
              <c:symbol val="circle"/>
              <c:size val="5"/>
              <c:spPr>
                <a:solidFill>
                  <a:srgbClr val="00B0F0"/>
                </a:solidFill>
                <a:ln w="9525">
                  <a:solidFill>
                    <a:srgbClr val="00B0F0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F090-4B47-B039-C2E9452AA03A}"/>
              </c:ext>
            </c:extLst>
          </c:dPt>
          <c:dPt>
            <c:idx val="5"/>
            <c:marker>
              <c:symbol val="circle"/>
              <c:size val="5"/>
              <c:spPr>
                <a:solidFill>
                  <a:srgbClr val="00B0F0"/>
                </a:solidFill>
                <a:ln w="9525">
                  <a:solidFill>
                    <a:srgbClr val="00B0F0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F090-4B47-B039-C2E9452AA03A}"/>
              </c:ext>
            </c:extLst>
          </c:dPt>
          <c:dPt>
            <c:idx val="6"/>
            <c:marker>
              <c:symbol val="circle"/>
              <c:size val="5"/>
              <c:spPr>
                <a:solidFill>
                  <a:srgbClr val="00B0F0"/>
                </a:solidFill>
                <a:ln w="9525">
                  <a:solidFill>
                    <a:srgbClr val="00B0F0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F090-4B47-B039-C2E9452AA03A}"/>
              </c:ext>
            </c:extLst>
          </c:dPt>
          <c:dPt>
            <c:idx val="7"/>
            <c:marker>
              <c:symbol val="circle"/>
              <c:size val="5"/>
              <c:spPr>
                <a:solidFill>
                  <a:srgbClr val="00B0F0"/>
                </a:solidFill>
                <a:ln w="9525">
                  <a:solidFill>
                    <a:srgbClr val="00B0F0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F090-4B47-B039-C2E9452AA03A}"/>
              </c:ext>
            </c:extLst>
          </c:dPt>
          <c:dPt>
            <c:idx val="8"/>
            <c:marker>
              <c:symbol val="circle"/>
              <c:size val="5"/>
              <c:spPr>
                <a:solidFill>
                  <a:srgbClr val="00B0F0"/>
                </a:solidFill>
                <a:ln w="9525">
                  <a:solidFill>
                    <a:srgbClr val="00B0F0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F090-4B47-B039-C2E9452AA03A}"/>
              </c:ext>
            </c:extLst>
          </c:dPt>
          <c:dPt>
            <c:idx val="9"/>
            <c:marker>
              <c:symbol val="circle"/>
              <c:size val="5"/>
              <c:spPr>
                <a:solidFill>
                  <a:srgbClr val="00B0F0"/>
                </a:solidFill>
                <a:ln w="9525">
                  <a:solidFill>
                    <a:srgbClr val="00B0F0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5-F090-4B47-B039-C2E9452AA03A}"/>
              </c:ext>
            </c:extLst>
          </c:dPt>
          <c:dPt>
            <c:idx val="10"/>
            <c:marker>
              <c:symbol val="circle"/>
              <c:size val="5"/>
              <c:spPr>
                <a:solidFill>
                  <a:srgbClr val="00B0F0"/>
                </a:solidFill>
                <a:ln w="9525">
                  <a:solidFill>
                    <a:srgbClr val="00B0F0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7-F090-4B47-B039-C2E9452AA03A}"/>
              </c:ext>
            </c:extLst>
          </c:dPt>
          <c:dPt>
            <c:idx val="11"/>
            <c:marker>
              <c:symbol val="circle"/>
              <c:size val="5"/>
              <c:spPr>
                <a:solidFill>
                  <a:srgbClr val="00B0F0"/>
                </a:solidFill>
                <a:ln w="9525">
                  <a:solidFill>
                    <a:srgbClr val="00B0F0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9-F090-4B47-B039-C2E9452AA03A}"/>
              </c:ext>
            </c:extLst>
          </c:dPt>
          <c:dPt>
            <c:idx val="12"/>
            <c:marker>
              <c:symbol val="circle"/>
              <c:size val="5"/>
              <c:spPr>
                <a:solidFill>
                  <a:srgbClr val="00B0F0"/>
                </a:solidFill>
                <a:ln w="9525">
                  <a:solidFill>
                    <a:srgbClr val="00B0F0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B-F090-4B47-B039-C2E9452AA03A}"/>
              </c:ext>
            </c:extLst>
          </c:dPt>
          <c:dPt>
            <c:idx val="13"/>
            <c:marker>
              <c:symbol val="circle"/>
              <c:size val="5"/>
              <c:spPr>
                <a:solidFill>
                  <a:srgbClr val="00B0F0"/>
                </a:solidFill>
                <a:ln w="9525">
                  <a:solidFill>
                    <a:srgbClr val="00B0F0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D-F090-4B47-B039-C2E9452AA03A}"/>
              </c:ext>
            </c:extLst>
          </c:dPt>
          <c:dPt>
            <c:idx val="14"/>
            <c:marker>
              <c:symbol val="circle"/>
              <c:size val="5"/>
              <c:spPr>
                <a:solidFill>
                  <a:srgbClr val="00B0F0"/>
                </a:solidFill>
                <a:ln w="9525">
                  <a:solidFill>
                    <a:srgbClr val="00B0F0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F-F090-4B47-B039-C2E9452AA03A}"/>
              </c:ext>
            </c:extLst>
          </c:dPt>
          <c:dPt>
            <c:idx val="15"/>
            <c:marker>
              <c:symbol val="circle"/>
              <c:size val="5"/>
              <c:spPr>
                <a:solidFill>
                  <a:srgbClr val="00B0F0"/>
                </a:solidFill>
                <a:ln w="9525">
                  <a:solidFill>
                    <a:srgbClr val="00B0F0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1-F090-4B47-B039-C2E9452AA03A}"/>
              </c:ext>
            </c:extLst>
          </c:dPt>
          <c:dPt>
            <c:idx val="16"/>
            <c:marker>
              <c:symbol val="circle"/>
              <c:size val="5"/>
              <c:spPr>
                <a:solidFill>
                  <a:srgbClr val="00B0F0"/>
                </a:solidFill>
                <a:ln w="9525">
                  <a:solidFill>
                    <a:srgbClr val="00B0F0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3-F090-4B47-B039-C2E9452AA03A}"/>
              </c:ext>
            </c:extLst>
          </c:dPt>
          <c:dPt>
            <c:idx val="17"/>
            <c:marker>
              <c:symbol val="circle"/>
              <c:size val="5"/>
              <c:spPr>
                <a:solidFill>
                  <a:srgbClr val="00B0F0"/>
                </a:solidFill>
                <a:ln w="9525">
                  <a:solidFill>
                    <a:srgbClr val="00B0F0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5-F090-4B47-B039-C2E9452AA03A}"/>
              </c:ext>
            </c:extLst>
          </c:dPt>
          <c:dPt>
            <c:idx val="18"/>
            <c:marker>
              <c:symbol val="circle"/>
              <c:size val="5"/>
              <c:spPr>
                <a:solidFill>
                  <a:srgbClr val="00B0F0"/>
                </a:solidFill>
                <a:ln w="9525">
                  <a:solidFill>
                    <a:srgbClr val="00B0F0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7-F090-4B47-B039-C2E9452AA03A}"/>
              </c:ext>
            </c:extLst>
          </c:dPt>
          <c:dPt>
            <c:idx val="19"/>
            <c:marker>
              <c:symbol val="circle"/>
              <c:size val="5"/>
              <c:spPr>
                <a:solidFill>
                  <a:srgbClr val="00B0F0"/>
                </a:solidFill>
                <a:ln w="9525">
                  <a:solidFill>
                    <a:srgbClr val="00B0F0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9-F090-4B47-B039-C2E9452AA03A}"/>
              </c:ext>
            </c:extLst>
          </c:dPt>
          <c:dPt>
            <c:idx val="20"/>
            <c:marker>
              <c:symbol val="circle"/>
              <c:size val="5"/>
              <c:spPr>
                <a:solidFill>
                  <a:srgbClr val="00B0F0"/>
                </a:solidFill>
                <a:ln w="9525">
                  <a:solidFill>
                    <a:srgbClr val="00B0F0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B-F090-4B47-B039-C2E9452AA03A}"/>
              </c:ext>
            </c:extLst>
          </c:dPt>
          <c:dPt>
            <c:idx val="21"/>
            <c:marker>
              <c:symbol val="circle"/>
              <c:size val="5"/>
              <c:spPr>
                <a:solidFill>
                  <a:srgbClr val="00B0F0"/>
                </a:solidFill>
                <a:ln w="9525">
                  <a:solidFill>
                    <a:srgbClr val="00B0F0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D-F090-4B47-B039-C2E9452AA03A}"/>
              </c:ext>
            </c:extLst>
          </c:dPt>
          <c:dPt>
            <c:idx val="22"/>
            <c:marker>
              <c:symbol val="diamond"/>
              <c:size val="5"/>
              <c:spPr>
                <a:solidFill>
                  <a:srgbClr val="00B0F0"/>
                </a:solidFill>
                <a:ln w="9525">
                  <a:solidFill>
                    <a:srgbClr val="00B0F0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F-F090-4B47-B039-C2E9452AA03A}"/>
              </c:ext>
            </c:extLst>
          </c:dPt>
          <c:dPt>
            <c:idx val="23"/>
            <c:marker>
              <c:symbol val="diamond"/>
              <c:size val="5"/>
              <c:spPr>
                <a:solidFill>
                  <a:srgbClr val="00B0F0"/>
                </a:solidFill>
                <a:ln w="9525">
                  <a:solidFill>
                    <a:srgbClr val="00B0F0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1-F090-4B47-B039-C2E9452AA03A}"/>
              </c:ext>
            </c:extLst>
          </c:dPt>
          <c:dPt>
            <c:idx val="24"/>
            <c:marker>
              <c:symbol val="diamond"/>
              <c:size val="5"/>
              <c:spPr>
                <a:solidFill>
                  <a:srgbClr val="00B0F0"/>
                </a:solidFill>
                <a:ln w="9525">
                  <a:solidFill>
                    <a:srgbClr val="00B0F0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3-F090-4B47-B039-C2E9452AA03A}"/>
              </c:ext>
            </c:extLst>
          </c:dPt>
          <c:dPt>
            <c:idx val="25"/>
            <c:marker>
              <c:symbol val="diamond"/>
              <c:size val="5"/>
              <c:spPr>
                <a:solidFill>
                  <a:srgbClr val="00B0F0"/>
                </a:solidFill>
                <a:ln w="9525">
                  <a:solidFill>
                    <a:srgbClr val="00B0F0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5-F090-4B47-B039-C2E9452AA03A}"/>
              </c:ext>
            </c:extLst>
          </c:dPt>
          <c:cat>
            <c:numRef>
              <c:f>'Übersicht &amp; Anleitung'!$G$59:$G$80</c:f>
              <c:numCache>
                <c:formatCode>General</c:formatCod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</c:numCache>
            </c:numRef>
          </c:cat>
          <c:val>
            <c:numRef>
              <c:f>'Übersicht &amp; Anleitung'!$I$88:$I$109</c:f>
              <c:numCache>
                <c:formatCode>#,##0</c:formatCode>
                <c:ptCount val="22"/>
                <c:pt idx="0">
                  <c:v>0</c:v>
                </c:pt>
                <c:pt idx="1">
                  <c:v>67</c:v>
                </c:pt>
                <c:pt idx="2">
                  <c:v>89</c:v>
                </c:pt>
                <c:pt idx="3">
                  <c:v>101</c:v>
                </c:pt>
                <c:pt idx="4">
                  <c:v>110</c:v>
                </c:pt>
                <c:pt idx="5">
                  <c:v>116</c:v>
                </c:pt>
                <c:pt idx="6">
                  <c:v>123</c:v>
                </c:pt>
                <c:pt idx="7">
                  <c:v>127</c:v>
                </c:pt>
                <c:pt idx="8">
                  <c:v>134</c:v>
                </c:pt>
                <c:pt idx="9">
                  <c:v>138</c:v>
                </c:pt>
                <c:pt idx="10">
                  <c:v>143</c:v>
                </c:pt>
                <c:pt idx="11">
                  <c:v>150</c:v>
                </c:pt>
                <c:pt idx="12">
                  <c:v>154</c:v>
                </c:pt>
                <c:pt idx="13">
                  <c:v>155</c:v>
                </c:pt>
                <c:pt idx="14">
                  <c:v>159</c:v>
                </c:pt>
                <c:pt idx="15">
                  <c:v>164</c:v>
                </c:pt>
                <c:pt idx="16">
                  <c:v>172</c:v>
                </c:pt>
                <c:pt idx="17">
                  <c:v>175</c:v>
                </c:pt>
                <c:pt idx="18">
                  <c:v>186</c:v>
                </c:pt>
                <c:pt idx="19">
                  <c:v>198</c:v>
                </c:pt>
                <c:pt idx="20">
                  <c:v>227</c:v>
                </c:pt>
                <c:pt idx="21">
                  <c:v>269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6-F090-4B47-B039-C2E9452AA0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4141632"/>
        <c:axId val="514139008"/>
        <c:extLst>
          <c:ext xmlns:c15="http://schemas.microsoft.com/office/drawing/2012/chart" uri="{02D57815-91ED-43cb-92C2-25804820EDAC}">
            <c15:filteredLineSeries>
              <c15:ser>
                <c:idx val="8"/>
                <c:order val="4"/>
                <c:tx>
                  <c:v>Backer Prognose max.</c:v>
                </c:tx>
                <c:spPr>
                  <a:ln w="28575" cap="rnd">
                    <a:solidFill>
                      <a:srgbClr val="00B050"/>
                    </a:solidFill>
                    <a:prstDash val="sysDot"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00B050"/>
                    </a:solidFill>
                    <a:ln w="9525">
                      <a:solidFill>
                        <a:srgbClr val="00B050"/>
                      </a:solidFill>
                    </a:ln>
                    <a:effectLst/>
                  </c:spPr>
                </c:marker>
                <c:val>
                  <c:numRef>
                    <c:extLst>
                      <c:ext uri="{02D57815-91ED-43cb-92C2-25804820EDAC}">
                        <c15:formulaRef>
                          <c15:sqref>'Übersicht &amp; Anleitung'!$K$88:$K$109</c15:sqref>
                        </c15:formulaRef>
                      </c:ext>
                    </c:extLst>
                    <c:numCache>
                      <c:formatCode>#,##0</c:formatCode>
                      <c:ptCount val="22"/>
                      <c:pt idx="0" formatCode="General">
                        <c:v>0</c:v>
                      </c:pt>
                      <c:pt idx="1">
                        <c:v>67</c:v>
                      </c:pt>
                      <c:pt idx="2">
                        <c:v>89</c:v>
                      </c:pt>
                      <c:pt idx="3">
                        <c:v>101</c:v>
                      </c:pt>
                      <c:pt idx="4">
                        <c:v>110</c:v>
                      </c:pt>
                      <c:pt idx="5">
                        <c:v>116</c:v>
                      </c:pt>
                      <c:pt idx="6">
                        <c:v>123</c:v>
                      </c:pt>
                      <c:pt idx="7">
                        <c:v>127</c:v>
                      </c:pt>
                      <c:pt idx="8">
                        <c:v>134</c:v>
                      </c:pt>
                      <c:pt idx="9">
                        <c:v>138</c:v>
                      </c:pt>
                      <c:pt idx="10">
                        <c:v>143</c:v>
                      </c:pt>
                      <c:pt idx="11">
                        <c:v>150</c:v>
                      </c:pt>
                      <c:pt idx="12">
                        <c:v>154</c:v>
                      </c:pt>
                      <c:pt idx="13">
                        <c:v>155</c:v>
                      </c:pt>
                      <c:pt idx="14">
                        <c:v>159</c:v>
                      </c:pt>
                      <c:pt idx="15">
                        <c:v>164</c:v>
                      </c:pt>
                      <c:pt idx="16">
                        <c:v>172</c:v>
                      </c:pt>
                      <c:pt idx="17">
                        <c:v>175</c:v>
                      </c:pt>
                      <c:pt idx="18">
                        <c:v>186</c:v>
                      </c:pt>
                      <c:pt idx="19">
                        <c:v>198</c:v>
                      </c:pt>
                      <c:pt idx="20">
                        <c:v>227</c:v>
                      </c:pt>
                      <c:pt idx="21">
                        <c:v>266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3A-F090-4B47-B039-C2E9452AA03A}"/>
                  </c:ext>
                </c:extLst>
              </c15:ser>
            </c15:filteredLineSeries>
            <c15:filteredLineSeries>
              <c15:ser>
                <c:idx val="7"/>
                <c:order val="5"/>
                <c:tx>
                  <c:v>Backer Prognose min.</c:v>
                </c:tx>
                <c:spPr>
                  <a:ln w="28575" cap="rnd">
                    <a:solidFill>
                      <a:srgbClr val="FF0000"/>
                    </a:solidFill>
                    <a:prstDash val="sysDot"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FF0000"/>
                    </a:solidFill>
                    <a:ln w="9525">
                      <a:solidFill>
                        <a:srgbClr val="FF0000"/>
                      </a:solidFill>
                    </a:ln>
                    <a:effectLst/>
                  </c:spPr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'Übersicht &amp; Anleitung'!$J$88:$J$109</c15:sqref>
                        </c15:formulaRef>
                      </c:ext>
                    </c:extLst>
                    <c:numCache>
                      <c:formatCode>#,##0</c:formatCode>
                      <c:ptCount val="22"/>
                      <c:pt idx="0" formatCode="General">
                        <c:v>0</c:v>
                      </c:pt>
                      <c:pt idx="1">
                        <c:v>67</c:v>
                      </c:pt>
                      <c:pt idx="2">
                        <c:v>89</c:v>
                      </c:pt>
                      <c:pt idx="3">
                        <c:v>101</c:v>
                      </c:pt>
                      <c:pt idx="4">
                        <c:v>110</c:v>
                      </c:pt>
                      <c:pt idx="5">
                        <c:v>116</c:v>
                      </c:pt>
                      <c:pt idx="6">
                        <c:v>123</c:v>
                      </c:pt>
                      <c:pt idx="7">
                        <c:v>127</c:v>
                      </c:pt>
                      <c:pt idx="8">
                        <c:v>134</c:v>
                      </c:pt>
                      <c:pt idx="9">
                        <c:v>138</c:v>
                      </c:pt>
                      <c:pt idx="10">
                        <c:v>143</c:v>
                      </c:pt>
                      <c:pt idx="11">
                        <c:v>150</c:v>
                      </c:pt>
                      <c:pt idx="12">
                        <c:v>154</c:v>
                      </c:pt>
                      <c:pt idx="13">
                        <c:v>155</c:v>
                      </c:pt>
                      <c:pt idx="14">
                        <c:v>159</c:v>
                      </c:pt>
                      <c:pt idx="15">
                        <c:v>164</c:v>
                      </c:pt>
                      <c:pt idx="16">
                        <c:v>172</c:v>
                      </c:pt>
                      <c:pt idx="17">
                        <c:v>175</c:v>
                      </c:pt>
                      <c:pt idx="18">
                        <c:v>186</c:v>
                      </c:pt>
                      <c:pt idx="19">
                        <c:v>198</c:v>
                      </c:pt>
                      <c:pt idx="20">
                        <c:v>227</c:v>
                      </c:pt>
                      <c:pt idx="21">
                        <c:v>243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B-F090-4B47-B039-C2E9452AA03A}"/>
                  </c:ext>
                </c:extLst>
              </c15:ser>
            </c15:filteredLineSeries>
          </c:ext>
        </c:extLst>
      </c:lineChart>
      <c:catAx>
        <c:axId val="51414163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Book Antiqua" panose="02040602050305030304" pitchFamily="18" charset="0"/>
                <a:ea typeface="+mn-ea"/>
                <a:cs typeface="+mn-cs"/>
              </a:defRPr>
            </a:pPr>
            <a:endParaRPr lang="de-DE"/>
          </a:p>
        </c:txPr>
        <c:crossAx val="514139008"/>
        <c:crosses val="autoZero"/>
        <c:auto val="0"/>
        <c:lblAlgn val="ctr"/>
        <c:lblOffset val="100"/>
        <c:noMultiLvlLbl val="0"/>
      </c:catAx>
      <c:valAx>
        <c:axId val="514139008"/>
        <c:scaling>
          <c:orientation val="minMax"/>
          <c:max val="67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Book Antiqua" panose="02040602050305030304" pitchFamily="18" charset="0"/>
                <a:ea typeface="+mn-ea"/>
                <a:cs typeface="+mn-cs"/>
              </a:defRPr>
            </a:pPr>
            <a:endParaRPr lang="de-DE"/>
          </a:p>
        </c:txPr>
        <c:crossAx val="514141632"/>
        <c:crossesAt val="43874"/>
        <c:crossBetween val="midCat"/>
        <c:majorUnit val="25"/>
      </c:valAx>
      <c:spPr>
        <a:solidFill>
          <a:sysClr val="window" lastClr="FFFFFF"/>
        </a:solidFill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9781968135006653"/>
          <c:y val="7.5604929793808831E-3"/>
          <c:w val="0.80218031864993355"/>
          <c:h val="9.8523479384593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Book Antiqua" panose="02040602050305030304" pitchFamily="18" charset="0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5">
        <a:lumMod val="60000"/>
        <a:lumOff val="4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Book Antiqua" panose="02040602050305030304" pitchFamily="18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Vergleich!$C$2</c:f>
              <c:strCache>
                <c:ptCount val="1"/>
                <c:pt idx="0">
                  <c:v>Nedime (€)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Vergleich!$B$3:$B$27</c:f>
              <c:str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3">
                  <c:v>Anteil Tag 1/2</c:v>
                </c:pt>
                <c:pt idx="24">
                  <c:v>dazwischen</c:v>
                </c:pt>
              </c:strCache>
            </c:strRef>
          </c:cat>
          <c:val>
            <c:numRef>
              <c:f>Vergleich!$C$3:$C$27</c:f>
              <c:numCache>
                <c:formatCode>#,##0</c:formatCode>
                <c:ptCount val="25"/>
                <c:pt idx="0">
                  <c:v>0</c:v>
                </c:pt>
                <c:pt idx="1">
                  <c:v>14771</c:v>
                </c:pt>
                <c:pt idx="2">
                  <c:v>16764</c:v>
                </c:pt>
                <c:pt idx="3">
                  <c:v>17674</c:v>
                </c:pt>
                <c:pt idx="4">
                  <c:v>18881</c:v>
                </c:pt>
                <c:pt idx="5">
                  <c:v>21886</c:v>
                </c:pt>
                <c:pt idx="6">
                  <c:v>22571</c:v>
                </c:pt>
                <c:pt idx="7">
                  <c:v>24180</c:v>
                </c:pt>
                <c:pt idx="8">
                  <c:v>26679</c:v>
                </c:pt>
                <c:pt idx="9">
                  <c:v>27868</c:v>
                </c:pt>
                <c:pt idx="10">
                  <c:v>31587</c:v>
                </c:pt>
                <c:pt idx="11">
                  <c:v>34703</c:v>
                </c:pt>
                <c:pt idx="12">
                  <c:v>36986</c:v>
                </c:pt>
                <c:pt idx="13">
                  <c:v>37704</c:v>
                </c:pt>
                <c:pt idx="14">
                  <c:v>38541</c:v>
                </c:pt>
                <c:pt idx="15">
                  <c:v>40401</c:v>
                </c:pt>
                <c:pt idx="16">
                  <c:v>42277</c:v>
                </c:pt>
                <c:pt idx="17">
                  <c:v>44039</c:v>
                </c:pt>
                <c:pt idx="18">
                  <c:v>46661</c:v>
                </c:pt>
                <c:pt idx="19">
                  <c:v>49576</c:v>
                </c:pt>
                <c:pt idx="20">
                  <c:v>54612</c:v>
                </c:pt>
                <c:pt idx="21">
                  <c:v>62345</c:v>
                </c:pt>
                <c:pt idx="23" formatCode="0%">
                  <c:v>0.2688908493062796</c:v>
                </c:pt>
                <c:pt idx="24" formatCode="0%">
                  <c:v>0.52629721709840405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51-40A9-B8C8-DD6E3F7C80B9}"/>
            </c:ext>
          </c:extLst>
        </c:ser>
        <c:ser>
          <c:idx val="3"/>
          <c:order val="2"/>
          <c:tx>
            <c:strRef>
              <c:f>Vergleich!$E$2</c:f>
              <c:strCache>
                <c:ptCount val="1"/>
                <c:pt idx="0">
                  <c:v>Thorwal norm (€)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strRef>
              <c:f>Vergleich!$B$3:$B$27</c:f>
              <c:str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3">
                  <c:v>Anteil Tag 1/2</c:v>
                </c:pt>
                <c:pt idx="24">
                  <c:v>dazwischen</c:v>
                </c:pt>
              </c:strCache>
            </c:strRef>
          </c:cat>
          <c:val>
            <c:numRef>
              <c:f>Vergleich!$E$3:$E$27</c:f>
            </c:numRef>
          </c:val>
          <c:smooth val="0"/>
          <c:extLst>
            <c:ext xmlns:c16="http://schemas.microsoft.com/office/drawing/2014/chart" uri="{C3380CC4-5D6E-409C-BE32-E72D297353CC}">
              <c16:uniqueId val="{00000001-C251-40A9-B8C8-DD6E3F7C80B9}"/>
            </c:ext>
          </c:extLst>
        </c:ser>
        <c:ser>
          <c:idx val="5"/>
          <c:order val="4"/>
          <c:tx>
            <c:strRef>
              <c:f>Vergleich!$G$2</c:f>
              <c:strCache>
                <c:ptCount val="1"/>
                <c:pt idx="0">
                  <c:v>Werkzeuge norm (€)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strRef>
              <c:f>Vergleich!$B$3:$B$27</c:f>
              <c:str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3">
                  <c:v>Anteil Tag 1/2</c:v>
                </c:pt>
                <c:pt idx="24">
                  <c:v>dazwischen</c:v>
                </c:pt>
              </c:strCache>
            </c:strRef>
          </c:cat>
          <c:val>
            <c:numRef>
              <c:f>Vergleich!$G$3:$G$27</c:f>
            </c:numRef>
          </c:val>
          <c:smooth val="0"/>
          <c:extLst>
            <c:ext xmlns:c16="http://schemas.microsoft.com/office/drawing/2014/chart" uri="{C3380CC4-5D6E-409C-BE32-E72D297353CC}">
              <c16:uniqueId val="{00000002-C251-40A9-B8C8-DD6E3F7C80B9}"/>
            </c:ext>
          </c:extLst>
        </c:ser>
        <c:ser>
          <c:idx val="8"/>
          <c:order val="7"/>
          <c:tx>
            <c:strRef>
              <c:f>Vergleich!$I$2</c:f>
              <c:strCache>
                <c:ptCount val="1"/>
                <c:pt idx="0">
                  <c:v>DSK norm (€)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50000"/>
                </a:schemeClr>
              </a:solidFill>
              <a:ln w="9525">
                <a:solidFill>
                  <a:schemeClr val="accent4">
                    <a:lumMod val="50000"/>
                  </a:schemeClr>
                </a:solidFill>
              </a:ln>
              <a:effectLst/>
            </c:spPr>
          </c:marker>
          <c:val>
            <c:numRef>
              <c:f>Vergleich!$I$3:$I$27</c:f>
            </c:numRef>
          </c:val>
          <c:smooth val="0"/>
          <c:extLst>
            <c:ext xmlns:c16="http://schemas.microsoft.com/office/drawing/2014/chart" uri="{C3380CC4-5D6E-409C-BE32-E72D297353CC}">
              <c16:uniqueId val="{00000013-C251-40A9-B8C8-DD6E3F7C80B9}"/>
            </c:ext>
          </c:extLst>
        </c:ser>
        <c:ser>
          <c:idx val="10"/>
          <c:order val="8"/>
          <c:tx>
            <c:strRef>
              <c:f>Vergleich!$K$2</c:f>
              <c:strCache>
                <c:ptCount val="1"/>
                <c:pt idx="0">
                  <c:v>Mythen norm (€)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</c:spPr>
          </c:marker>
          <c:val>
            <c:numRef>
              <c:f>Vergleich!$K$3:$K$27</c:f>
            </c:numRef>
          </c:val>
          <c:smooth val="0"/>
          <c:extLst>
            <c:ext xmlns:c16="http://schemas.microsoft.com/office/drawing/2014/chart" uri="{C3380CC4-5D6E-409C-BE32-E72D297353CC}">
              <c16:uniqueId val="{00000001-C7E4-487C-B806-F0C4AB4B9284}"/>
            </c:ext>
          </c:extLst>
        </c:ser>
        <c:ser>
          <c:idx val="12"/>
          <c:order val="10"/>
          <c:tx>
            <c:v>SOK norm (€)</c:v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75000"/>
                </a:schemeClr>
              </a:solidFill>
              <a:ln w="9525">
                <a:solidFill>
                  <a:schemeClr val="accent4">
                    <a:lumMod val="75000"/>
                  </a:schemeClr>
                </a:solidFill>
              </a:ln>
              <a:effectLst/>
            </c:spPr>
          </c:marker>
          <c:val>
            <c:numRef>
              <c:f>Vergleich!$M$3:$M$27</c:f>
            </c:numRef>
          </c:val>
          <c:smooth val="0"/>
          <c:extLst>
            <c:ext xmlns:c16="http://schemas.microsoft.com/office/drawing/2014/chart" uri="{C3380CC4-5D6E-409C-BE32-E72D297353CC}">
              <c16:uniqueId val="{00000001-7138-4F48-9EE1-DAC7BB3A5D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2644864"/>
        <c:axId val="502641912"/>
      </c:lineChart>
      <c:lineChart>
        <c:grouping val="standard"/>
        <c:varyColors val="0"/>
        <c:ser>
          <c:idx val="2"/>
          <c:order val="1"/>
          <c:tx>
            <c:strRef>
              <c:f>Vergleich!$D$2</c:f>
              <c:strCache>
                <c:ptCount val="1"/>
                <c:pt idx="0">
                  <c:v>Nedime (Backer)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50000"/>
                </a:schemeClr>
              </a:solidFill>
              <a:ln w="9525">
                <a:solidFill>
                  <a:schemeClr val="bg1">
                    <a:lumMod val="50000"/>
                  </a:schemeClr>
                </a:solidFill>
              </a:ln>
              <a:effectLst/>
            </c:spPr>
          </c:marker>
          <c:cat>
            <c:strRef>
              <c:f>Vergleich!$B$3:$B$27</c:f>
              <c:str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3">
                  <c:v>Anteil Tag 1/2</c:v>
                </c:pt>
                <c:pt idx="24">
                  <c:v>dazwischen</c:v>
                </c:pt>
              </c:strCache>
            </c:strRef>
          </c:cat>
          <c:val>
            <c:numRef>
              <c:f>Vergleich!$D$3:$D$27</c:f>
              <c:numCache>
                <c:formatCode>#,##0</c:formatCode>
                <c:ptCount val="25"/>
                <c:pt idx="0">
                  <c:v>0</c:v>
                </c:pt>
                <c:pt idx="1">
                  <c:v>73</c:v>
                </c:pt>
                <c:pt idx="2">
                  <c:v>82</c:v>
                </c:pt>
                <c:pt idx="3">
                  <c:v>90</c:v>
                </c:pt>
                <c:pt idx="4">
                  <c:v>95</c:v>
                </c:pt>
                <c:pt idx="5">
                  <c:v>111</c:v>
                </c:pt>
                <c:pt idx="6">
                  <c:v>114.99999999999999</c:v>
                </c:pt>
                <c:pt idx="7">
                  <c:v>124</c:v>
                </c:pt>
                <c:pt idx="8">
                  <c:v>136</c:v>
                </c:pt>
                <c:pt idx="9">
                  <c:v>142</c:v>
                </c:pt>
                <c:pt idx="10">
                  <c:v>161</c:v>
                </c:pt>
                <c:pt idx="11">
                  <c:v>178</c:v>
                </c:pt>
                <c:pt idx="12">
                  <c:v>193</c:v>
                </c:pt>
                <c:pt idx="13">
                  <c:v>197</c:v>
                </c:pt>
                <c:pt idx="14">
                  <c:v>205</c:v>
                </c:pt>
                <c:pt idx="15">
                  <c:v>214</c:v>
                </c:pt>
                <c:pt idx="16">
                  <c:v>224</c:v>
                </c:pt>
                <c:pt idx="17">
                  <c:v>233</c:v>
                </c:pt>
                <c:pt idx="18">
                  <c:v>250</c:v>
                </c:pt>
                <c:pt idx="19">
                  <c:v>267</c:v>
                </c:pt>
                <c:pt idx="20">
                  <c:v>300</c:v>
                </c:pt>
                <c:pt idx="21">
                  <c:v>347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251-40A9-B8C8-DD6E3F7C80B9}"/>
            </c:ext>
          </c:extLst>
        </c:ser>
        <c:ser>
          <c:idx val="4"/>
          <c:order val="3"/>
          <c:tx>
            <c:strRef>
              <c:f>Vergleich!$F$2</c:f>
              <c:strCache>
                <c:ptCount val="1"/>
                <c:pt idx="0">
                  <c:v>Thorwal norm (Backer)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Vergleich!$B$3:$B$27</c:f>
              <c:str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3">
                  <c:v>Anteil Tag 1/2</c:v>
                </c:pt>
                <c:pt idx="24">
                  <c:v>dazwischen</c:v>
                </c:pt>
              </c:strCache>
            </c:strRef>
          </c:cat>
          <c:val>
            <c:numRef>
              <c:f>Vergleich!$F$3:$F$27</c:f>
            </c:numRef>
          </c:val>
          <c:smooth val="0"/>
          <c:extLst>
            <c:ext xmlns:c16="http://schemas.microsoft.com/office/drawing/2014/chart" uri="{C3380CC4-5D6E-409C-BE32-E72D297353CC}">
              <c16:uniqueId val="{00000005-C251-40A9-B8C8-DD6E3F7C80B9}"/>
            </c:ext>
          </c:extLst>
        </c:ser>
        <c:ser>
          <c:idx val="6"/>
          <c:order val="5"/>
          <c:tx>
            <c:strRef>
              <c:f>Vergleich!$H$2</c:f>
              <c:strCache>
                <c:ptCount val="1"/>
                <c:pt idx="0">
                  <c:v>Werkzeuge norm (Backer)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strRef>
              <c:f>Vergleich!$B$3:$B$27</c:f>
              <c:str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3">
                  <c:v>Anteil Tag 1/2</c:v>
                </c:pt>
                <c:pt idx="24">
                  <c:v>dazwischen</c:v>
                </c:pt>
              </c:strCache>
            </c:strRef>
          </c:cat>
          <c:val>
            <c:numRef>
              <c:f>Vergleich!$H$3:$H$27</c:f>
            </c:numRef>
          </c:val>
          <c:smooth val="0"/>
          <c:extLst>
            <c:ext xmlns:c16="http://schemas.microsoft.com/office/drawing/2014/chart" uri="{C3380CC4-5D6E-409C-BE32-E72D297353CC}">
              <c16:uniqueId val="{00000006-C251-40A9-B8C8-DD6E3F7C80B9}"/>
            </c:ext>
          </c:extLst>
        </c:ser>
        <c:ser>
          <c:idx val="9"/>
          <c:order val="6"/>
          <c:tx>
            <c:strRef>
              <c:f>Vergleich!$J$2</c:f>
              <c:strCache>
                <c:ptCount val="1"/>
                <c:pt idx="0">
                  <c:v>DSK norm (Backer)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cat>
            <c:strRef>
              <c:f>Vergleich!$B$3:$B$27</c:f>
              <c:str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3">
                  <c:v>Anteil Tag 1/2</c:v>
                </c:pt>
                <c:pt idx="24">
                  <c:v>dazwischen</c:v>
                </c:pt>
              </c:strCache>
            </c:strRef>
          </c:cat>
          <c:val>
            <c:numRef>
              <c:f>Vergleich!$J$3:$J$27</c:f>
            </c:numRef>
          </c:val>
          <c:smooth val="0"/>
          <c:extLst>
            <c:ext xmlns:c16="http://schemas.microsoft.com/office/drawing/2014/chart" uri="{C3380CC4-5D6E-409C-BE32-E72D297353CC}">
              <c16:uniqueId val="{0000000A-C251-40A9-B8C8-DD6E3F7C80B9}"/>
            </c:ext>
          </c:extLst>
        </c:ser>
        <c:ser>
          <c:idx val="11"/>
          <c:order val="9"/>
          <c:tx>
            <c:strRef>
              <c:f>Vergleich!$L$2</c:f>
              <c:strCache>
                <c:ptCount val="1"/>
                <c:pt idx="0">
                  <c:v>Mythen norm (Backer)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val>
            <c:numRef>
              <c:f>Vergleich!$L$3:$L$27</c:f>
            </c:numRef>
          </c:val>
          <c:smooth val="0"/>
          <c:extLst>
            <c:ext xmlns:c16="http://schemas.microsoft.com/office/drawing/2014/chart" uri="{C3380CC4-5D6E-409C-BE32-E72D297353CC}">
              <c16:uniqueId val="{00000002-C7E4-487C-B806-F0C4AB4B9284}"/>
            </c:ext>
          </c:extLst>
        </c:ser>
        <c:ser>
          <c:idx val="13"/>
          <c:order val="11"/>
          <c:tx>
            <c:v>SOK norm (Backer)</c:v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val>
            <c:numRef>
              <c:f>Vergleich!$N$3:$N$27</c:f>
            </c:numRef>
          </c:val>
          <c:smooth val="0"/>
          <c:extLst>
            <c:ext xmlns:c16="http://schemas.microsoft.com/office/drawing/2014/chart" uri="{C3380CC4-5D6E-409C-BE32-E72D297353CC}">
              <c16:uniqueId val="{00000002-7138-4F48-9EE1-DAC7BB3A5D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8508600"/>
        <c:axId val="568508928"/>
      </c:lineChart>
      <c:catAx>
        <c:axId val="50264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02641912"/>
        <c:crosses val="autoZero"/>
        <c:auto val="1"/>
        <c:lblAlgn val="ctr"/>
        <c:lblOffset val="100"/>
        <c:noMultiLvlLbl val="0"/>
      </c:catAx>
      <c:valAx>
        <c:axId val="502641912"/>
        <c:scaling>
          <c:orientation val="minMax"/>
          <c:max val="7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02644864"/>
        <c:crosses val="autoZero"/>
        <c:crossBetween val="between"/>
        <c:majorUnit val="5000"/>
      </c:valAx>
      <c:valAx>
        <c:axId val="568508928"/>
        <c:scaling>
          <c:orientation val="minMax"/>
          <c:max val="70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68508600"/>
        <c:crosses val="max"/>
        <c:crossBetween val="between"/>
        <c:majorUnit val="50"/>
      </c:valAx>
      <c:catAx>
        <c:axId val="568508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685089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hinter-dem-schwarzen-auge.de/links/" TargetMode="External"/><Relationship Id="rId7" Type="http://schemas.openxmlformats.org/officeDocument/2006/relationships/image" Target="../media/image2.jp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hyperlink" Target="https://www.gameontabletop.com/cf2211/die-schwarze-katze-refurbished.html" TargetMode="External"/><Relationship Id="rId5" Type="http://schemas.openxmlformats.org/officeDocument/2006/relationships/chart" Target="../charts/chart3.xml"/><Relationship Id="rId4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79904</xdr:colOff>
      <xdr:row>114</xdr:row>
      <xdr:rowOff>152134</xdr:rowOff>
    </xdr:from>
    <xdr:to>
      <xdr:col>6</xdr:col>
      <xdr:colOff>0</xdr:colOff>
      <xdr:row>122</xdr:row>
      <xdr:rowOff>190499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907A7500-30D6-4373-9CF2-4BED0A125177}"/>
            </a:ext>
          </a:extLst>
        </xdr:cNvPr>
        <xdr:cNvSpPr txBox="1"/>
      </xdr:nvSpPr>
      <xdr:spPr>
        <a:xfrm>
          <a:off x="79904" y="16792309"/>
          <a:ext cx="11578696" cy="1609990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 w="9525" cmpd="sng">
          <a:solidFill>
            <a:schemeClr val="tx1"/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 b="1" baseline="0"/>
            <a:t>Dieser Einkaufsführer ist eine rein private Geschichte und </a:t>
          </a:r>
          <a:r>
            <a:rPr lang="de-DE" sz="1400" b="1" u="sng" baseline="0"/>
            <a:t>ohne Gewähr</a:t>
          </a:r>
          <a:r>
            <a:rPr lang="de-DE" sz="1400" b="1" baseline="0"/>
            <a:t> auf Vollständigkeit und 100%ige Korrektheit!</a:t>
          </a:r>
        </a:p>
        <a:p>
          <a:endParaRPr lang="de-DE" sz="1400" b="1" baseline="0"/>
        </a:p>
        <a:p>
          <a:r>
            <a:rPr lang="de-DE" sz="1400" b="1" baseline="0"/>
            <a:t>Danke an Kai (4 Helden und 1 Schelm) für seinen großartigen Crawler :)</a:t>
          </a:r>
        </a:p>
        <a:p>
          <a:endParaRPr lang="de-DE" sz="800" b="1" baseline="0"/>
        </a:p>
        <a:p>
          <a:r>
            <a:rPr lang="de-DE" sz="1400" b="1" baseline="0"/>
            <a:t>Bei Fehlern meinerseits ist NICHT Ulisses dafür verantwortlich zu machen! Und ich bitte auch nicht ;)</a:t>
          </a:r>
        </a:p>
        <a:p>
          <a:r>
            <a:rPr lang="de-DE" sz="1400" b="1" baseline="0"/>
            <a:t>Ihr dürft mir Fehler aber sehr gerne in den CF-Kommentaren, in meinem Blog oder Discord, bei Facebook oder im Orkenspalter-Forum melden!</a:t>
          </a:r>
        </a:p>
        <a:p>
          <a:endParaRPr lang="de-DE" sz="800" b="1" baseline="0"/>
        </a:p>
        <a:p>
          <a:r>
            <a:rPr lang="de-DE" sz="1400" b="1" baseline="0"/>
            <a:t>Und nun gemeinsam auf ins Abenteuer!</a:t>
          </a:r>
        </a:p>
        <a:p>
          <a:r>
            <a:rPr lang="de-DE" sz="1400" b="1"/>
            <a:t>Euer GTStar	von Hinter dem Schwarzen Auge</a:t>
          </a:r>
          <a:r>
            <a:rPr lang="de-DE" sz="1400" b="1" baseline="0"/>
            <a:t> ...der DSA-Community-Podcast / DSA-Fantalk / DSA-Nachrichten in 2W20 Minuten / etc.</a:t>
          </a:r>
          <a:r>
            <a:rPr lang="de-DE" sz="1400" b="1"/>
            <a:t>		</a:t>
          </a:r>
          <a:r>
            <a:rPr lang="de-DE" sz="300" b="1"/>
            <a:t>Wer das liest ist neugierig ;)</a:t>
          </a:r>
        </a:p>
      </xdr:txBody>
    </xdr:sp>
    <xdr:clientData/>
  </xdr:twoCellAnchor>
  <xdr:twoCellAnchor>
    <xdr:from>
      <xdr:col>1</xdr:col>
      <xdr:colOff>71436</xdr:colOff>
      <xdr:row>56</xdr:row>
      <xdr:rowOff>57150</xdr:rowOff>
    </xdr:from>
    <xdr:to>
      <xdr:col>6</xdr:col>
      <xdr:colOff>0</xdr:colOff>
      <xdr:row>85</xdr:row>
      <xdr:rowOff>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CB2D0A86-C198-4204-9484-076D79831B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75</xdr:col>
      <xdr:colOff>586978</xdr:colOff>
      <xdr:row>118</xdr:row>
      <xdr:rowOff>149224</xdr:rowOff>
    </xdr:from>
    <xdr:to>
      <xdr:col>91</xdr:col>
      <xdr:colOff>152400</xdr:colOff>
      <xdr:row>163</xdr:row>
      <xdr:rowOff>40481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26703695-3122-491C-9956-F1EBCE12E5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5</xdr:col>
      <xdr:colOff>321467</xdr:colOff>
      <xdr:row>3</xdr:row>
      <xdr:rowOff>57149</xdr:rowOff>
    </xdr:from>
    <xdr:to>
      <xdr:col>5</xdr:col>
      <xdr:colOff>3400424</xdr:colOff>
      <xdr:row>16</xdr:row>
      <xdr:rowOff>9822</xdr:rowOff>
    </xdr:to>
    <xdr:pic>
      <xdr:nvPicPr>
        <xdr:cNvPr id="11" name="Grafik 10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B8A0318-7B66-4012-91D1-6B3CBC0C9F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36742" y="666749"/>
          <a:ext cx="3078957" cy="2848273"/>
        </a:xfrm>
        <a:prstGeom prst="rect">
          <a:avLst/>
        </a:prstGeom>
      </xdr:spPr>
    </xdr:pic>
    <xdr:clientData/>
  </xdr:twoCellAnchor>
  <xdr:twoCellAnchor>
    <xdr:from>
      <xdr:col>1</xdr:col>
      <xdr:colOff>76200</xdr:colOff>
      <xdr:row>86</xdr:row>
      <xdr:rowOff>0</xdr:rowOff>
    </xdr:from>
    <xdr:to>
      <xdr:col>6</xdr:col>
      <xdr:colOff>0</xdr:colOff>
      <xdr:row>114</xdr:row>
      <xdr:rowOff>1323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880EF14B-9001-47D9-8E66-7A2FE928A7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3</xdr:col>
      <xdr:colOff>219075</xdr:colOff>
      <xdr:row>3</xdr:row>
      <xdr:rowOff>77155</xdr:rowOff>
    </xdr:from>
    <xdr:to>
      <xdr:col>3</xdr:col>
      <xdr:colOff>5581651</xdr:colOff>
      <xdr:row>15</xdr:row>
      <xdr:rowOff>244557</xdr:rowOff>
    </xdr:to>
    <xdr:pic>
      <xdr:nvPicPr>
        <xdr:cNvPr id="13" name="Grafik 1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964C3DA-CD53-43EB-8099-0CC07DD254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733550" y="686755"/>
          <a:ext cx="5362576" cy="28153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1269205</xdr:colOff>
      <xdr:row>37</xdr:row>
      <xdr:rowOff>180975</xdr:rowOff>
    </xdr:from>
    <xdr:ext cx="317392" cy="317392"/>
    <xdr:pic>
      <xdr:nvPicPr>
        <xdr:cNvPr id="49" name="Grafik 48" descr="campaign image 6">
          <a:extLst>
            <a:ext uri="{FF2B5EF4-FFF2-40B4-BE49-F238E27FC236}">
              <a16:creationId xmlns:a16="http://schemas.microsoft.com/office/drawing/2014/main" id="{C42BDB7D-E636-4967-A691-8812A1FE1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3180" y="6172200"/>
          <a:ext cx="317392" cy="3173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425223</xdr:colOff>
      <xdr:row>2</xdr:row>
      <xdr:rowOff>425973</xdr:rowOff>
    </xdr:from>
    <xdr:ext cx="317392" cy="317392"/>
    <xdr:pic>
      <xdr:nvPicPr>
        <xdr:cNvPr id="21" name="Grafik 20" descr="campaign image 6">
          <a:extLst>
            <a:ext uri="{FF2B5EF4-FFF2-40B4-BE49-F238E27FC236}">
              <a16:creationId xmlns:a16="http://schemas.microsoft.com/office/drawing/2014/main" id="{738054E1-EAC6-49E3-A47E-5F0691EA5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0598" y="730773"/>
          <a:ext cx="317392" cy="3173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40216</xdr:colOff>
      <xdr:row>2</xdr:row>
      <xdr:rowOff>432021</xdr:rowOff>
    </xdr:from>
    <xdr:ext cx="320386" cy="315864"/>
    <xdr:pic>
      <xdr:nvPicPr>
        <xdr:cNvPr id="22" name="Grafik 21" descr="Loddari">
          <a:extLst>
            <a:ext uri="{FF2B5EF4-FFF2-40B4-BE49-F238E27FC236}">
              <a16:creationId xmlns:a16="http://schemas.microsoft.com/office/drawing/2014/main" id="{4E4AD2F2-0C19-4299-BB79-557A49EA1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75591" y="736821"/>
          <a:ext cx="320386" cy="315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425223</xdr:colOff>
      <xdr:row>2</xdr:row>
      <xdr:rowOff>425973</xdr:rowOff>
    </xdr:from>
    <xdr:ext cx="317392" cy="317392"/>
    <xdr:pic>
      <xdr:nvPicPr>
        <xdr:cNvPr id="24" name="Grafik 23" descr="campaign image 6">
          <a:extLst>
            <a:ext uri="{FF2B5EF4-FFF2-40B4-BE49-F238E27FC236}">
              <a16:creationId xmlns:a16="http://schemas.microsoft.com/office/drawing/2014/main" id="{50FF1384-0636-459F-90E9-E38014602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9273" y="730773"/>
          <a:ext cx="317392" cy="3173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40216</xdr:colOff>
      <xdr:row>2</xdr:row>
      <xdr:rowOff>432021</xdr:rowOff>
    </xdr:from>
    <xdr:ext cx="320386" cy="315864"/>
    <xdr:pic>
      <xdr:nvPicPr>
        <xdr:cNvPr id="25" name="Grafik 24" descr="Loddari">
          <a:extLst>
            <a:ext uri="{FF2B5EF4-FFF2-40B4-BE49-F238E27FC236}">
              <a16:creationId xmlns:a16="http://schemas.microsoft.com/office/drawing/2014/main" id="{432B59F2-1A4E-4301-9D16-C6DB55005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04266" y="736821"/>
          <a:ext cx="320386" cy="315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1262063</xdr:colOff>
      <xdr:row>81</xdr:row>
      <xdr:rowOff>180975</xdr:rowOff>
    </xdr:from>
    <xdr:ext cx="320386" cy="315864"/>
    <xdr:pic>
      <xdr:nvPicPr>
        <xdr:cNvPr id="47" name="Grafik 46" descr="Loddari">
          <a:extLst>
            <a:ext uri="{FF2B5EF4-FFF2-40B4-BE49-F238E27FC236}">
              <a16:creationId xmlns:a16="http://schemas.microsoft.com/office/drawing/2014/main" id="{07B648B9-19E8-4DDD-A72F-435488603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038" y="15420975"/>
          <a:ext cx="320386" cy="315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230716</xdr:colOff>
      <xdr:row>2</xdr:row>
      <xdr:rowOff>432021</xdr:rowOff>
    </xdr:from>
    <xdr:ext cx="320386" cy="315864"/>
    <xdr:pic>
      <xdr:nvPicPr>
        <xdr:cNvPr id="9" name="Grafik 8" descr="Loddari">
          <a:extLst>
            <a:ext uri="{FF2B5EF4-FFF2-40B4-BE49-F238E27FC236}">
              <a16:creationId xmlns:a16="http://schemas.microsoft.com/office/drawing/2014/main" id="{A60475BE-8504-41D9-B855-A86CBCA69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1391" y="736821"/>
          <a:ext cx="320386" cy="315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723899</xdr:colOff>
      <xdr:row>35</xdr:row>
      <xdr:rowOff>33336</xdr:rowOff>
    </xdr:from>
    <xdr:to>
      <xdr:col>19</xdr:col>
      <xdr:colOff>714374</xdr:colOff>
      <xdr:row>60</xdr:row>
      <xdr:rowOff>57149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B386C9BA-881E-46C9-8576-20415BCC75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3B8C96C-0DD2-4C9B-A41A-27CE2A14BCAE}" name="Tabelle24" displayName="Tabelle24" ref="Z3:AC24" totalsRowShown="0" headerRowDxfId="61" dataDxfId="60" tableBorderDxfId="59">
  <autoFilter ref="Z3:AC24" xr:uid="{7E5D117A-5BCD-41C7-9378-1146F36C69B4}"/>
  <sortState xmlns:xlrd2="http://schemas.microsoft.com/office/spreadsheetml/2017/richdata2" ref="Z4:AC24">
    <sortCondition descending="1" ref="AA3:AA24"/>
  </sortState>
  <tableColumns count="4">
    <tableColumn id="1" xr3:uid="{4EFEC5B8-0ADA-41C3-A6A5-BE5BF3794F91}" name="Tag" dataDxfId="58"/>
    <tableColumn id="2" xr3:uid="{B346A844-85E3-4729-8E45-6E86A502164F}" name="€" dataDxfId="57">
      <calculatedColumnFormula>VLOOKUP(Z4,$Q$60:$AA$80,11,FALSE)</calculatedColumnFormula>
    </tableColumn>
    <tableColumn id="5" xr3:uid="{BFCBC06F-0657-4D18-A8CA-BD9389A4934E}" name="Backer" dataDxfId="56">
      <calculatedColumnFormula>VLOOKUP(Z4,$Q$60:$Z$80,10,FALSE)</calculatedColumnFormula>
    </tableColumn>
    <tableColumn id="3" xr3:uid="{6BAC2503-C3A5-4652-A49E-1500DE882AED}" name="€/Backer" dataDxfId="55">
      <calculatedColumnFormula>IFERROR(Tabelle24[[#This Row],[€]]/Tabelle24[[#This Row],[Backer]],"")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FE6C9E0-F6F6-45FF-A5D1-EBE4C7FC0B79}" name="Tabelle2" displayName="Tabelle2" ref="J8:M29" totalsRowShown="0" headerRowDxfId="54" dataDxfId="53" tableBorderDxfId="52">
  <autoFilter ref="J8:M29" xr:uid="{7E5D117A-5BCD-41C7-9378-1146F36C69B4}"/>
  <sortState xmlns:xlrd2="http://schemas.microsoft.com/office/spreadsheetml/2017/richdata2" ref="J9:M29">
    <sortCondition descending="1" ref="K8:K29"/>
  </sortState>
  <tableColumns count="4">
    <tableColumn id="1" xr3:uid="{3BF4B4A5-763F-44D6-82F2-633AF2B5A661}" name="Tag" dataDxfId="51"/>
    <tableColumn id="2" xr3:uid="{C2C59895-AB02-4E18-B5B3-A6018F118014}" name="€" dataDxfId="50">
      <calculatedColumnFormula>VLOOKUP(J9,#REF!,11,FALSE)</calculatedColumnFormula>
    </tableColumn>
    <tableColumn id="5" xr3:uid="{7A25CBC4-5F2E-4E33-958F-631667E48E0B}" name="Backer" dataDxfId="49">
      <calculatedColumnFormula>VLOOKUP(J9,#REF!,10,FALSE)</calculatedColumnFormula>
    </tableColumn>
    <tableColumn id="3" xr3:uid="{C3FC7D5A-B597-467D-BACE-9B4E8711D768}" name="€/Backer" dataDxfId="48">
      <calculatedColumnFormula>IFERROR(Tabelle2[[#This Row],[€]]/Tabelle2[[#This Row],[Backer]],"")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6EA9654-149B-455B-B037-D0C330FFD6EF}" name="Tabelle3" displayName="Tabelle3" ref="B2:AP24" totalsRowShown="0" headerRowDxfId="47">
  <autoFilter ref="B2:AP24" xr:uid="{27422959-90AD-4338-8C23-E3B9F7316881}"/>
  <tableColumns count="41">
    <tableColumn id="1" xr3:uid="{F20F49F8-6EB7-43C1-9922-F620A023E7F0}" name="Tag"/>
    <tableColumn id="2" xr3:uid="{6971CB83-29C8-475B-A31E-D387F03E1C07}" name="Nedime (€)" dataDxfId="46"/>
    <tableColumn id="3" xr3:uid="{F664882F-3BD9-41DE-A643-1C890FC1B073}" name="Nedime (Backer)" dataDxfId="45"/>
    <tableColumn id="4" xr3:uid="{6F8F036B-D5DC-4216-84F0-2BEBB08CBACA}" name="Thorwal norm (€)" dataDxfId="44"/>
    <tableColumn id="5" xr3:uid="{FD2FB521-94BA-46E4-A5EA-A7CEFF140F9A}" name="Thorwal norm (Backer)" dataDxfId="43"/>
    <tableColumn id="6" xr3:uid="{25BEFAD5-BE69-4A80-ABD3-5577E99AE16C}" name="Werkzeuge norm (€)" dataDxfId="42"/>
    <tableColumn id="7" xr3:uid="{AF4584B6-52C3-49C8-9E39-F43C0B8FEB14}" name="Werkzeuge norm (Backer)" dataDxfId="41"/>
    <tableColumn id="28" xr3:uid="{48AFB569-0998-4E2C-8C85-86F96730174E}" name="DSK norm (€)" dataDxfId="40"/>
    <tableColumn id="27" xr3:uid="{E47209D4-64AB-4094-A811-0DF73184FDC3}" name="DSK norm (Backer)" dataDxfId="39"/>
    <tableColumn id="30" xr3:uid="{1CA79BBE-302A-4822-AE79-917DFA78E074}" name="Mythen norm (€)" dataDxfId="38"/>
    <tableColumn id="31" xr3:uid="{6670A725-1507-4497-9A0C-43A65D0B6954}" name="Mythen norm (Backer)" dataDxfId="37"/>
    <tableColumn id="36" xr3:uid="{2953A814-9630-4F7F-9B69-5E63A7325641}" name="SOK norm (€)" dataDxfId="36"/>
    <tableColumn id="37" xr3:uid="{3770DD86-5295-4580-8942-09F337054C13}" name="SOK norm (Backer)" dataDxfId="35"/>
    <tableColumn id="44" xr3:uid="{3FFD3AC6-35A1-43A0-92E2-C690165FBD76}" name="Mythos (€)" dataDxfId="34"/>
    <tableColumn id="45" xr3:uid="{B6224B9A-94AB-4A48-A730-6D8A42666570}" name="Mythos (Backer)" dataDxfId="33"/>
    <tableColumn id="8" xr3:uid="{2114D7A1-DEA0-40EE-9B8B-0A668EFEB97B}" name="Thorwal (€)" dataDxfId="32"/>
    <tableColumn id="9" xr3:uid="{9A9EB59B-6CA6-4F08-B68D-0962E0D83338}" name="Thorwal (Backer)" dataDxfId="31"/>
    <tableColumn id="10" xr3:uid="{DF5363C3-935A-49F1-B72D-9DF733CE4302}" name="Werkzeuge (€)" dataDxfId="30"/>
    <tableColumn id="11" xr3:uid="{4CFD1B7C-52BE-49FD-B7F5-1D7A36D73889}" name="Werkzeuge (Backer)" dataDxfId="29"/>
    <tableColumn id="26" xr3:uid="{F4AEE733-FE50-4D43-B8B6-2CFA99AA7EE6}" name="DSK Fasar (€)" dataDxfId="28"/>
    <tableColumn id="29" xr3:uid="{519C5630-D167-4EFA-B84F-F9BC19E907B3}" name="DSK Fasar (Backer)" dataDxfId="27"/>
    <tableColumn id="20" xr3:uid="{C33B8766-778A-4CBA-B6CD-11F696D9BF3F}" name="Mythen (€)" dataDxfId="26"/>
    <tableColumn id="21" xr3:uid="{7FE9A82A-5A08-46A8-A0C2-586311B74BB6}" name="Mythen (Backer)" dataDxfId="25"/>
    <tableColumn id="34" xr3:uid="{ECB31B1D-5FD5-4EF9-871C-99A9FFBB4E6B}" name="SOK (€)" dataDxfId="24"/>
    <tableColumn id="35" xr3:uid="{1E34A881-32F6-48DB-8A12-F2F7F315C3B2}" name="SOK (Backer)" dataDxfId="23"/>
    <tableColumn id="32" xr3:uid="{E4B16DC1-4EE4-4038-B4B5-B981FD62F8EA}" name="RE (€)" dataDxfId="22"/>
    <tableColumn id="33" xr3:uid="{8EB42BB1-C038-48A6-A211-78A44E799A6C}" name="RE (Backer)" dataDxfId="21"/>
    <tableColumn id="40" xr3:uid="{B2000EDA-3E67-45D5-8ABE-A7E4CD713D4F}" name="DGG (€)" dataDxfId="20"/>
    <tableColumn id="41" xr3:uid="{545AC5E2-E4BD-4C28-A762-E9269E553E97}" name="DGG (Backer)" dataDxfId="19"/>
    <tableColumn id="42" xr3:uid="{D96E1501-FE3A-4B42-9A72-261BAD1904BA}" name="DSK SV (€)" dataDxfId="18"/>
    <tableColumn id="43" xr3:uid="{1BAF0051-85B5-4740-AFB6-EC165E373FD8}" name="DSK SV (Backer)" dataDxfId="17"/>
    <tableColumn id="18" xr3:uid="{B115F17F-0C3A-4787-8FAF-58A699789E37}" name="WW (€)" dataDxfId="16"/>
    <tableColumn id="19" xr3:uid="{11D07988-6567-452C-B145-7D8ECCC114D6}" name="WW (Backer)" dataDxfId="15"/>
    <tableColumn id="38" xr3:uid="{1AF87199-875A-4AB9-9AC0-88E8D7A82669}" name="DSK R (€)" dataDxfId="14"/>
    <tableColumn id="39" xr3:uid="{1B706C0D-84D1-42A8-B0AB-701DEC761DD3}" name="DSK R (Backer)" dataDxfId="13"/>
    <tableColumn id="12" xr3:uid="{CE532E56-7537-4234-994D-EF5975A2D3B8}" name="Aventuria (€) %" dataDxfId="12">
      <calculatedColumnFormula>Tabelle3[[#This Row],[Nedime (€)]]/C$24</calculatedColumnFormula>
    </tableColumn>
    <tableColumn id="13" xr3:uid="{6E91BB61-A019-4B20-A7F5-D01EA616EE80}" name="Aventuria (Backer) %" dataDxfId="11">
      <calculatedColumnFormula>Tabelle3[[#This Row],[Nedime (Backer)]]/D$24</calculatedColumnFormula>
    </tableColumn>
    <tableColumn id="14" xr3:uid="{FBF481DA-2BF3-4C7F-8B01-5CB18A4093B2}" name="Thorwal (€) %" dataDxfId="10">
      <calculatedColumnFormula>Tabelle3[[#This Row],[Thorwal (€)]]/Q$24</calculatedColumnFormula>
    </tableColumn>
    <tableColumn id="15" xr3:uid="{B21023AA-7241-4A20-9F45-D78A9ACC5244}" name="Thorwal (Backer) %" dataDxfId="9">
      <calculatedColumnFormula>Tabelle3[[#This Row],[Thorwal (Backer)]]/R$24</calculatedColumnFormula>
    </tableColumn>
    <tableColumn id="16" xr3:uid="{DC7AD9E1-E99C-4261-9C20-A1E356A99AC0}" name="Werkzeuge (€) %" dataDxfId="8">
      <calculatedColumnFormula>Tabelle3[[#This Row],[Werkzeuge (€)]]/S$24</calculatedColumnFormula>
    </tableColumn>
    <tableColumn id="17" xr3:uid="{BB027685-5D11-4F55-81EA-63B2D41CE363}" name="Werkzeuge (Backer) %" dataDxfId="7">
      <calculatedColumnFormula>Tabelle3[[#This Row],[Werkzeuge (Backer)]]/T$24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s://hinter-dem-schwarzen-auge.de/links/" TargetMode="External"/><Relationship Id="rId7" Type="http://schemas.openxmlformats.org/officeDocument/2006/relationships/table" Target="../tables/table1.xml"/><Relationship Id="rId2" Type="http://schemas.openxmlformats.org/officeDocument/2006/relationships/hyperlink" Target="https://hinter-dem-schwarzen-auge.de/support" TargetMode="External"/><Relationship Id="rId1" Type="http://schemas.openxmlformats.org/officeDocument/2006/relationships/hyperlink" Target="https://www.gameontabletop.com/cf2211/die-schwarze-katze-refurbished.html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303AF5-52E3-4D7D-8AFC-995B3E896D26}">
  <sheetPr codeName="Tabelle2">
    <tabColor rgb="FF00B0F0"/>
    <pageSetUpPr fitToPage="1"/>
  </sheetPr>
  <dimension ref="A1:DM176"/>
  <sheetViews>
    <sheetView showGridLines="0" tabSelected="1" zoomScaleNormal="100" workbookViewId="0">
      <pane ySplit="1" topLeftCell="A2" activePane="bottomLeft" state="frozen"/>
      <selection pane="bottomLeft" activeCell="B5" sqref="B5:B16"/>
    </sheetView>
  </sheetViews>
  <sheetFormatPr baseColWidth="10" defaultRowHeight="15" outlineLevelRow="1" outlineLevelCol="2" x14ac:dyDescent="0.3"/>
  <cols>
    <col min="1" max="1" width="1.28515625" style="144" customWidth="1"/>
    <col min="2" max="2" width="18.5703125" style="133" customWidth="1"/>
    <col min="3" max="3" width="2.85546875" style="134" customWidth="1"/>
    <col min="4" max="4" width="87.140625" style="79" customWidth="1"/>
    <col min="5" max="5" width="8.85546875" style="134" bestFit="1" customWidth="1"/>
    <col min="6" max="6" width="56.140625" style="134" customWidth="1"/>
    <col min="7" max="7" width="8.140625" style="134" customWidth="1"/>
    <col min="8" max="13" width="13" style="134" customWidth="1"/>
    <col min="14" max="15" width="13" style="135" customWidth="1"/>
    <col min="16" max="16" width="16.7109375" style="39" hidden="1" customWidth="1" outlineLevel="1"/>
    <col min="17" max="20" width="11.42578125" style="39" hidden="1" customWidth="1" outlineLevel="1"/>
    <col min="21" max="21" width="13.140625" style="39" hidden="1" customWidth="1" outlineLevel="1"/>
    <col min="22" max="22" width="7.28515625" style="39" hidden="1" customWidth="1" outlineLevel="1"/>
    <col min="23" max="23" width="9.28515625" style="39" hidden="1" customWidth="1" outlineLevel="2"/>
    <col min="24" max="24" width="12.5703125" style="39" hidden="1" customWidth="1" outlineLevel="1" collapsed="1"/>
    <col min="25" max="27" width="11.42578125" style="39" hidden="1" customWidth="1" outlineLevel="1"/>
    <col min="28" max="28" width="11.42578125" style="40" hidden="1" customWidth="1" outlineLevel="1"/>
    <col min="29" max="30" width="11.42578125" style="39" hidden="1" customWidth="1" outlineLevel="1"/>
    <col min="31" max="31" width="11.42578125" style="199" hidden="1" customWidth="1" outlineLevel="1"/>
    <col min="32" max="32" width="11.42578125" style="61" hidden="1" customWidth="1" outlineLevel="1"/>
    <col min="33" max="33" width="11.42578125" style="199" hidden="1" customWidth="1" outlineLevel="1"/>
    <col min="34" max="34" width="11.42578125" style="61" hidden="1" customWidth="1" outlineLevel="1"/>
    <col min="35" max="35" width="14" style="39" hidden="1" customWidth="1" outlineLevel="1"/>
    <col min="36" max="38" width="11.42578125" style="52" hidden="1" customWidth="1" outlineLevel="1"/>
    <col min="39" max="39" width="11.42578125" style="39" hidden="1" customWidth="1" outlineLevel="1"/>
    <col min="40" max="42" width="11.42578125" style="52" hidden="1" customWidth="1" outlineLevel="1"/>
    <col min="43" max="54" width="11.42578125" style="39" hidden="1" customWidth="1" outlineLevel="1"/>
    <col min="55" max="55" width="11.42578125" style="358" hidden="1" customWidth="1" outlineLevel="1"/>
    <col min="56" max="57" width="11.42578125" style="39" hidden="1" customWidth="1" outlineLevel="1"/>
    <col min="58" max="58" width="11.42578125" style="358" hidden="1" customWidth="1" outlineLevel="1"/>
    <col min="59" max="62" width="11.42578125" style="39" hidden="1" customWidth="1" outlineLevel="1"/>
    <col min="63" max="63" width="11.42578125" style="358" hidden="1" customWidth="1" outlineLevel="1"/>
    <col min="64" max="65" width="11.42578125" style="39" hidden="1" customWidth="1" outlineLevel="1"/>
    <col min="66" max="66" width="11.42578125" style="358" hidden="1" customWidth="1" outlineLevel="1"/>
    <col min="67" max="78" width="11.42578125" style="39" hidden="1" customWidth="1" outlineLevel="1"/>
    <col min="79" max="80" width="11.42578125" style="40" hidden="1" customWidth="1" outlineLevel="1"/>
    <col min="81" max="82" width="11.42578125" style="39" hidden="1" customWidth="1" outlineLevel="1"/>
    <col min="83" max="85" width="11.42578125" style="40" hidden="1" customWidth="1" outlineLevel="1"/>
    <col min="86" max="87" width="11.42578125" style="39" hidden="1" customWidth="1" outlineLevel="1"/>
    <col min="88" max="89" width="11.42578125" style="40" hidden="1" customWidth="1" outlineLevel="1"/>
    <col min="90" max="90" width="11.28515625" style="39" hidden="1" customWidth="1" outlineLevel="1"/>
    <col min="91" max="92" width="11.42578125" style="39" hidden="1" customWidth="1" outlineLevel="1"/>
    <col min="93" max="94" width="11.42578125" style="40" hidden="1" customWidth="1" outlineLevel="1"/>
    <col min="95" max="95" width="11.42578125" style="144" collapsed="1"/>
    <col min="96" max="113" width="11.42578125" style="144"/>
    <col min="114" max="16384" width="11.42578125" style="79"/>
  </cols>
  <sheetData>
    <row r="1" spans="1:113" s="144" customFormat="1" ht="24" thickBot="1" x14ac:dyDescent="0.35">
      <c r="B1" s="482" t="s">
        <v>243</v>
      </c>
      <c r="C1" s="483"/>
      <c r="D1" s="483"/>
      <c r="E1" s="483"/>
      <c r="F1" s="484"/>
      <c r="G1" s="161"/>
      <c r="H1" s="161"/>
      <c r="I1" s="161"/>
      <c r="J1" s="161"/>
      <c r="K1" s="161"/>
      <c r="L1" s="159"/>
      <c r="M1" s="161"/>
      <c r="N1" s="161"/>
      <c r="O1" s="161"/>
      <c r="P1" s="437" t="s">
        <v>342</v>
      </c>
      <c r="Q1" s="437" t="s">
        <v>351</v>
      </c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251"/>
      <c r="AF1" s="70"/>
      <c r="AG1" s="251"/>
      <c r="AH1" s="70"/>
      <c r="AI1" s="70"/>
      <c r="AJ1" s="70"/>
      <c r="AK1" s="70"/>
      <c r="AL1" s="52"/>
      <c r="AM1" s="39"/>
      <c r="AN1" s="52"/>
      <c r="AO1" s="52"/>
      <c r="AP1" s="52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58"/>
      <c r="BD1" s="39"/>
      <c r="BE1" s="39"/>
      <c r="BF1" s="358"/>
      <c r="BG1" s="39"/>
      <c r="BH1" s="39"/>
      <c r="BI1" s="39"/>
      <c r="BJ1" s="39"/>
      <c r="BK1" s="358"/>
      <c r="BL1" s="39"/>
      <c r="BM1" s="39"/>
      <c r="BN1" s="358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40"/>
      <c r="CB1" s="40"/>
      <c r="CC1" s="39"/>
      <c r="CD1" s="39"/>
      <c r="CE1" s="40"/>
      <c r="CF1" s="40"/>
      <c r="CG1" s="40"/>
      <c r="CH1" s="39"/>
      <c r="CI1" s="39"/>
      <c r="CJ1" s="40"/>
      <c r="CK1" s="40"/>
      <c r="CL1" s="39"/>
      <c r="CM1" s="39"/>
      <c r="CN1" s="39"/>
      <c r="CO1" s="40"/>
      <c r="CP1" s="40"/>
    </row>
    <row r="2" spans="1:113" s="2" customFormat="1" ht="4.5" customHeight="1" x14ac:dyDescent="0.3">
      <c r="A2" s="150"/>
      <c r="B2" s="144"/>
      <c r="C2" s="161"/>
      <c r="D2" s="144"/>
      <c r="E2" s="161"/>
      <c r="F2" s="161"/>
      <c r="G2" s="161"/>
      <c r="H2" s="161"/>
      <c r="I2" s="161"/>
      <c r="J2" s="161"/>
      <c r="K2" s="161"/>
      <c r="L2" s="159"/>
      <c r="M2" s="161"/>
      <c r="N2" s="161"/>
      <c r="O2" s="161"/>
      <c r="P2" s="39"/>
      <c r="Q2" s="39"/>
      <c r="R2" s="39"/>
      <c r="S2" s="39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144"/>
      <c r="CR2" s="144"/>
      <c r="CS2" s="144"/>
      <c r="CT2" s="144"/>
      <c r="CU2" s="144"/>
      <c r="CV2" s="144"/>
      <c r="CW2" s="144"/>
      <c r="CX2" s="144"/>
      <c r="CY2" s="144"/>
      <c r="CZ2" s="144"/>
      <c r="DA2" s="144"/>
      <c r="DB2" s="144"/>
      <c r="DC2" s="144"/>
      <c r="DD2" s="144"/>
      <c r="DE2" s="144"/>
      <c r="DF2" s="144"/>
      <c r="DG2" s="144"/>
      <c r="DH2" s="144"/>
      <c r="DI2" s="144"/>
    </row>
    <row r="3" spans="1:113" s="2" customFormat="1" ht="19.5" thickBot="1" x14ac:dyDescent="0.35">
      <c r="A3" s="150"/>
      <c r="B3" s="144"/>
      <c r="C3" s="161"/>
      <c r="D3" s="376" t="s">
        <v>338</v>
      </c>
      <c r="E3" s="161"/>
      <c r="F3" s="381" t="s">
        <v>205</v>
      </c>
      <c r="G3" s="161"/>
      <c r="H3" s="381"/>
      <c r="I3" s="381"/>
      <c r="J3" s="381"/>
      <c r="K3" s="381"/>
      <c r="L3" s="381"/>
      <c r="M3" s="381"/>
      <c r="N3" s="161"/>
      <c r="O3" s="161"/>
      <c r="P3" s="39"/>
      <c r="Q3" s="39"/>
      <c r="R3" s="39"/>
      <c r="S3" s="39"/>
      <c r="T3" s="87"/>
      <c r="U3" s="87"/>
      <c r="V3" s="87"/>
      <c r="W3" s="87"/>
      <c r="X3" s="87"/>
      <c r="Y3" s="39"/>
      <c r="Z3" s="410" t="s">
        <v>32</v>
      </c>
      <c r="AA3" s="368" t="s">
        <v>17</v>
      </c>
      <c r="AB3" s="368" t="s">
        <v>16</v>
      </c>
      <c r="AC3" s="411" t="s">
        <v>42</v>
      </c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144"/>
      <c r="CR3" s="144"/>
      <c r="CS3" s="144"/>
      <c r="CT3" s="144"/>
      <c r="CU3" s="144"/>
      <c r="CV3" s="144"/>
      <c r="CW3" s="144"/>
      <c r="CX3" s="144"/>
      <c r="CY3" s="144"/>
      <c r="CZ3" s="144"/>
      <c r="DA3" s="144"/>
      <c r="DB3" s="144"/>
      <c r="DC3" s="144"/>
      <c r="DD3" s="144"/>
      <c r="DE3" s="144"/>
      <c r="DF3" s="144"/>
      <c r="DG3" s="144"/>
      <c r="DH3" s="144"/>
      <c r="DI3" s="144"/>
    </row>
    <row r="4" spans="1:113" s="2" customFormat="1" ht="15" customHeight="1" thickBot="1" x14ac:dyDescent="0.35">
      <c r="A4" s="150"/>
      <c r="B4" s="144"/>
      <c r="C4" s="161"/>
      <c r="D4" s="144"/>
      <c r="E4" s="161"/>
      <c r="F4" s="161"/>
      <c r="G4" s="161"/>
      <c r="H4" s="161"/>
      <c r="I4" s="161"/>
      <c r="J4" s="161"/>
      <c r="K4" s="161"/>
      <c r="L4" s="161"/>
      <c r="M4" s="161"/>
      <c r="N4" s="144"/>
      <c r="O4" s="144"/>
      <c r="P4" s="394" t="s">
        <v>32</v>
      </c>
      <c r="Q4" s="385">
        <v>21</v>
      </c>
      <c r="R4" s="39"/>
      <c r="S4" s="39"/>
      <c r="T4" s="87"/>
      <c r="U4" s="87"/>
      <c r="V4" s="87"/>
      <c r="W4" s="87"/>
      <c r="X4" s="87"/>
      <c r="Y4" s="108" t="s">
        <v>20</v>
      </c>
      <c r="Z4" s="412">
        <v>1</v>
      </c>
      <c r="AA4" s="57">
        <f t="shared" ref="AA4:AA24" si="0">VLOOKUP(Z4,$Q$60:$AA$80,11,FALSE)</f>
        <v>8357</v>
      </c>
      <c r="AB4" s="57">
        <f t="shared" ref="AB4:AB24" si="1">VLOOKUP(Z4,$Q$60:$Z$80,10,FALSE)</f>
        <v>67</v>
      </c>
      <c r="AC4" s="413">
        <f>IFERROR(Tabelle24[[#This Row],[€]]/Tabelle24[[#This Row],[Backer]],"")</f>
        <v>124.73134328358209</v>
      </c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144"/>
      <c r="CR4" s="144"/>
      <c r="CS4" s="144"/>
      <c r="CT4" s="144"/>
      <c r="CU4" s="144"/>
      <c r="CV4" s="144"/>
      <c r="CW4" s="144"/>
      <c r="CX4" s="144"/>
      <c r="CY4" s="144"/>
      <c r="CZ4" s="144"/>
      <c r="DA4" s="144"/>
      <c r="DB4" s="144"/>
      <c r="DC4" s="144"/>
      <c r="DD4" s="144"/>
      <c r="DE4" s="144"/>
      <c r="DF4" s="144"/>
      <c r="DG4" s="144"/>
      <c r="DH4" s="144"/>
      <c r="DI4" s="144"/>
    </row>
    <row r="5" spans="1:113" s="2" customFormat="1" ht="15" customHeight="1" x14ac:dyDescent="0.3">
      <c r="A5" s="150"/>
      <c r="B5" s="494" t="s">
        <v>337</v>
      </c>
      <c r="C5" s="378"/>
      <c r="D5" s="373"/>
      <c r="E5" s="378"/>
      <c r="F5" s="373"/>
      <c r="G5" s="161"/>
      <c r="H5" s="506" t="s">
        <v>348</v>
      </c>
      <c r="I5" s="507"/>
      <c r="J5" s="507"/>
      <c r="K5" s="507"/>
      <c r="L5" s="507"/>
      <c r="M5" s="507"/>
      <c r="N5" s="507"/>
      <c r="O5" s="508"/>
      <c r="P5" s="395" t="s">
        <v>15</v>
      </c>
      <c r="Q5" s="386">
        <v>45202</v>
      </c>
      <c r="R5" s="39"/>
      <c r="S5" s="39"/>
      <c r="T5" s="39"/>
      <c r="U5" s="39"/>
      <c r="V5" s="39"/>
      <c r="W5" s="39"/>
      <c r="X5" s="39"/>
      <c r="Y5" s="127" t="s">
        <v>21</v>
      </c>
      <c r="Z5" s="412">
        <v>21</v>
      </c>
      <c r="AA5" s="57">
        <f t="shared" si="0"/>
        <v>6110</v>
      </c>
      <c r="AB5" s="57">
        <f t="shared" si="1"/>
        <v>42</v>
      </c>
      <c r="AC5" s="413">
        <f>IFERROR(Tabelle24[[#This Row],[€]]/Tabelle24[[#This Row],[Backer]],"")</f>
        <v>145.47619047619048</v>
      </c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144"/>
      <c r="CR5" s="144"/>
      <c r="CS5" s="144"/>
      <c r="CT5" s="144"/>
      <c r="CU5" s="144"/>
      <c r="CV5" s="144"/>
      <c r="CW5" s="144"/>
      <c r="CX5" s="144"/>
      <c r="CY5" s="144"/>
      <c r="CZ5" s="144"/>
      <c r="DA5" s="144"/>
      <c r="DB5" s="144"/>
      <c r="DC5" s="144"/>
      <c r="DD5" s="144"/>
      <c r="DE5" s="144"/>
      <c r="DF5" s="144"/>
      <c r="DG5" s="144"/>
      <c r="DH5" s="144"/>
      <c r="DI5" s="144"/>
    </row>
    <row r="6" spans="1:113" s="2" customFormat="1" ht="15" customHeight="1" thickBot="1" x14ac:dyDescent="0.3">
      <c r="A6" s="150"/>
      <c r="B6" s="495"/>
      <c r="C6" s="161"/>
      <c r="D6" s="144"/>
      <c r="E6" s="161"/>
      <c r="F6" s="161"/>
      <c r="G6" s="161"/>
      <c r="H6" s="509"/>
      <c r="I6" s="510"/>
      <c r="J6" s="510"/>
      <c r="K6" s="510"/>
      <c r="L6" s="510"/>
      <c r="M6" s="510"/>
      <c r="N6" s="510"/>
      <c r="O6" s="511"/>
      <c r="P6" s="395" t="s">
        <v>35</v>
      </c>
      <c r="Q6" s="387"/>
      <c r="R6" s="39"/>
      <c r="S6" s="39"/>
      <c r="T6" s="39"/>
      <c r="U6" s="39"/>
      <c r="V6" s="39"/>
      <c r="W6" s="39"/>
      <c r="X6" s="39"/>
      <c r="Y6" s="108" t="s">
        <v>23</v>
      </c>
      <c r="Z6" s="412">
        <v>20</v>
      </c>
      <c r="AA6" s="57">
        <f t="shared" si="0"/>
        <v>3430</v>
      </c>
      <c r="AB6" s="57">
        <f t="shared" si="1"/>
        <v>29</v>
      </c>
      <c r="AC6" s="413">
        <f>IFERROR(Tabelle24[[#This Row],[€]]/Tabelle24[[#This Row],[Backer]],"")</f>
        <v>118.27586206896552</v>
      </c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144"/>
      <c r="CR6" s="144"/>
      <c r="CS6" s="144"/>
      <c r="CT6" s="144"/>
      <c r="CU6" s="144"/>
      <c r="CV6" s="144"/>
      <c r="CW6" s="144"/>
      <c r="CX6" s="144"/>
      <c r="CY6" s="144"/>
      <c r="CZ6" s="144"/>
      <c r="DA6" s="144"/>
      <c r="DB6" s="144"/>
      <c r="DC6" s="144"/>
      <c r="DD6" s="144"/>
      <c r="DE6" s="144"/>
      <c r="DF6" s="144"/>
      <c r="DG6" s="144"/>
      <c r="DH6" s="144"/>
      <c r="DI6" s="144"/>
    </row>
    <row r="7" spans="1:113" s="2" customFormat="1" ht="18.75" customHeight="1" thickBot="1" x14ac:dyDescent="0.3">
      <c r="A7" s="150"/>
      <c r="B7" s="495"/>
      <c r="C7" s="161"/>
      <c r="D7" s="144"/>
      <c r="E7" s="161"/>
      <c r="F7" s="161"/>
      <c r="G7" s="161"/>
      <c r="H7" s="509"/>
      <c r="I7" s="510"/>
      <c r="J7" s="510"/>
      <c r="K7" s="510"/>
      <c r="L7" s="510"/>
      <c r="M7" s="510"/>
      <c r="N7" s="510"/>
      <c r="O7" s="511"/>
      <c r="P7" s="395" t="s">
        <v>18</v>
      </c>
      <c r="Q7" s="393">
        <v>5</v>
      </c>
      <c r="R7" s="39"/>
      <c r="S7" s="39"/>
      <c r="T7" s="39"/>
      <c r="U7" s="39"/>
      <c r="V7" s="39"/>
      <c r="W7" s="39"/>
      <c r="X7" s="39"/>
      <c r="Y7" s="127" t="s">
        <v>86</v>
      </c>
      <c r="Z7" s="412">
        <v>2</v>
      </c>
      <c r="AA7" s="57">
        <f t="shared" si="0"/>
        <v>3076</v>
      </c>
      <c r="AB7" s="57">
        <f t="shared" si="1"/>
        <v>22</v>
      </c>
      <c r="AC7" s="413">
        <f>IFERROR(Tabelle24[[#This Row],[€]]/Tabelle24[[#This Row],[Backer]],"")</f>
        <v>139.81818181818181</v>
      </c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144"/>
      <c r="CR7" s="144"/>
      <c r="CS7" s="144"/>
      <c r="CT7" s="144"/>
      <c r="CU7" s="144"/>
      <c r="CV7" s="144"/>
      <c r="CW7" s="144"/>
      <c r="CX7" s="144"/>
      <c r="CY7" s="144"/>
      <c r="CZ7" s="144"/>
      <c r="DA7" s="144"/>
      <c r="DB7" s="144"/>
      <c r="DC7" s="144"/>
      <c r="DD7" s="144"/>
      <c r="DE7" s="144"/>
      <c r="DF7" s="144"/>
      <c r="DG7" s="144"/>
      <c r="DH7" s="144"/>
      <c r="DI7" s="144"/>
    </row>
    <row r="8" spans="1:113" s="2" customFormat="1" ht="18.75" customHeight="1" x14ac:dyDescent="0.25">
      <c r="A8" s="150"/>
      <c r="B8" s="495"/>
      <c r="C8" s="161"/>
      <c r="D8" s="144"/>
      <c r="E8" s="161"/>
      <c r="F8" s="161"/>
      <c r="G8" s="161"/>
      <c r="H8" s="509"/>
      <c r="I8" s="510"/>
      <c r="J8" s="510"/>
      <c r="K8" s="510"/>
      <c r="L8" s="510"/>
      <c r="M8" s="510"/>
      <c r="N8" s="510"/>
      <c r="O8" s="511"/>
      <c r="P8" s="395" t="s">
        <v>17</v>
      </c>
      <c r="Q8" s="56">
        <v>36248</v>
      </c>
      <c r="R8" s="39"/>
      <c r="S8" s="39"/>
      <c r="T8" s="39"/>
      <c r="U8" s="39"/>
      <c r="V8" s="39"/>
      <c r="W8" s="39"/>
      <c r="X8" s="39"/>
      <c r="Y8" s="106" t="s">
        <v>22</v>
      </c>
      <c r="Z8" s="412">
        <v>3</v>
      </c>
      <c r="AA8" s="57">
        <f t="shared" si="0"/>
        <v>1725</v>
      </c>
      <c r="AB8" s="57">
        <f t="shared" si="1"/>
        <v>12</v>
      </c>
      <c r="AC8" s="413">
        <f>IFERROR(Tabelle24[[#This Row],[€]]/Tabelle24[[#This Row],[Backer]],"")</f>
        <v>143.75</v>
      </c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144"/>
      <c r="CR8" s="144"/>
      <c r="CS8" s="144"/>
      <c r="CT8" s="144"/>
      <c r="CU8" s="144"/>
      <c r="CV8" s="144"/>
      <c r="CW8" s="144"/>
      <c r="CX8" s="144"/>
      <c r="CY8" s="144"/>
      <c r="CZ8" s="144"/>
      <c r="DA8" s="144"/>
      <c r="DB8" s="144"/>
      <c r="DC8" s="144"/>
      <c r="DD8" s="144"/>
      <c r="DE8" s="144"/>
      <c r="DF8" s="144"/>
      <c r="DG8" s="144"/>
      <c r="DH8" s="144"/>
      <c r="DI8" s="144"/>
    </row>
    <row r="9" spans="1:113" s="2" customFormat="1" ht="15" customHeight="1" thickBot="1" x14ac:dyDescent="0.3">
      <c r="A9" s="150"/>
      <c r="B9" s="495"/>
      <c r="C9" s="161"/>
      <c r="D9" s="144"/>
      <c r="E9" s="161"/>
      <c r="F9" s="161"/>
      <c r="G9" s="161"/>
      <c r="H9" s="509"/>
      <c r="I9" s="510"/>
      <c r="J9" s="510"/>
      <c r="K9" s="510"/>
      <c r="L9" s="510"/>
      <c r="M9" s="510"/>
      <c r="N9" s="510"/>
      <c r="O9" s="511"/>
      <c r="P9" s="396" t="s">
        <v>19</v>
      </c>
      <c r="Q9" s="387">
        <v>35000</v>
      </c>
      <c r="R9" s="39"/>
      <c r="S9" s="39"/>
      <c r="T9" s="39"/>
      <c r="U9" s="39"/>
      <c r="V9" s="39"/>
      <c r="W9" s="39"/>
      <c r="X9" s="39"/>
      <c r="Y9" s="425" t="s">
        <v>87</v>
      </c>
      <c r="Z9" s="412">
        <v>19</v>
      </c>
      <c r="AA9" s="57">
        <f t="shared" si="0"/>
        <v>1445</v>
      </c>
      <c r="AB9" s="57">
        <f t="shared" si="1"/>
        <v>12</v>
      </c>
      <c r="AC9" s="413">
        <f>IFERROR(Tabelle24[[#This Row],[€]]/Tabelle24[[#This Row],[Backer]],"")</f>
        <v>120.41666666666667</v>
      </c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144"/>
      <c r="CR9" s="144"/>
      <c r="CS9" s="144"/>
      <c r="CT9" s="144"/>
      <c r="CU9" s="144"/>
      <c r="CV9" s="144"/>
      <c r="CW9" s="144"/>
      <c r="CX9" s="144"/>
      <c r="CY9" s="144"/>
      <c r="CZ9" s="144"/>
      <c r="DA9" s="144"/>
      <c r="DB9" s="144"/>
      <c r="DC9" s="144"/>
      <c r="DD9" s="144"/>
      <c r="DE9" s="144"/>
      <c r="DF9" s="144"/>
      <c r="DG9" s="144"/>
      <c r="DH9" s="144"/>
      <c r="DI9" s="144"/>
    </row>
    <row r="10" spans="1:113" s="2" customFormat="1" ht="18.75" customHeight="1" thickBot="1" x14ac:dyDescent="0.3">
      <c r="A10" s="150"/>
      <c r="B10" s="495"/>
      <c r="C10" s="161"/>
      <c r="D10" s="144"/>
      <c r="E10" s="161"/>
      <c r="F10" s="161"/>
      <c r="G10" s="161"/>
      <c r="H10" s="512"/>
      <c r="I10" s="513"/>
      <c r="J10" s="513"/>
      <c r="K10" s="513"/>
      <c r="L10" s="513"/>
      <c r="M10" s="513"/>
      <c r="N10" s="513"/>
      <c r="O10" s="514"/>
      <c r="P10" s="395" t="s">
        <v>16</v>
      </c>
      <c r="Q10" s="58">
        <v>269</v>
      </c>
      <c r="R10" s="39"/>
      <c r="S10" s="39"/>
      <c r="T10" s="39"/>
      <c r="U10" s="39"/>
      <c r="V10" s="39"/>
      <c r="W10" s="39"/>
      <c r="X10" s="39"/>
      <c r="Y10" s="106" t="s">
        <v>24</v>
      </c>
      <c r="Z10" s="412">
        <v>18</v>
      </c>
      <c r="AA10" s="57">
        <f t="shared" si="0"/>
        <v>1318</v>
      </c>
      <c r="AB10" s="57">
        <f t="shared" si="1"/>
        <v>11</v>
      </c>
      <c r="AC10" s="413">
        <f>IFERROR(Tabelle24[[#This Row],[€]]/Tabelle24[[#This Row],[Backer]],"")</f>
        <v>119.81818181818181</v>
      </c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144"/>
      <c r="CR10" s="144"/>
      <c r="CS10" s="144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  <c r="DE10" s="144"/>
      <c r="DF10" s="144"/>
      <c r="DG10" s="144"/>
      <c r="DH10" s="144"/>
      <c r="DI10" s="144"/>
    </row>
    <row r="11" spans="1:113" s="2" customFormat="1" ht="15.75" customHeight="1" thickBot="1" x14ac:dyDescent="0.3">
      <c r="A11" s="150"/>
      <c r="B11" s="495"/>
      <c r="C11" s="161"/>
      <c r="D11" s="144"/>
      <c r="E11" s="161"/>
      <c r="F11" s="161"/>
      <c r="G11" s="161"/>
      <c r="H11" s="161"/>
      <c r="I11" s="161"/>
      <c r="J11" s="161"/>
      <c r="K11" s="161"/>
      <c r="L11" s="161"/>
      <c r="M11" s="161"/>
      <c r="N11" s="144"/>
      <c r="O11" s="144"/>
      <c r="P11" s="395" t="s">
        <v>129</v>
      </c>
      <c r="Q11" s="60">
        <f>Q8/Q10</f>
        <v>134.75092936802974</v>
      </c>
      <c r="R11" s="39"/>
      <c r="S11" s="39"/>
      <c r="T11" s="39"/>
      <c r="U11" s="39"/>
      <c r="V11" s="39"/>
      <c r="W11" s="39"/>
      <c r="X11" s="39"/>
      <c r="Y11" s="425" t="s">
        <v>88</v>
      </c>
      <c r="Z11" s="412">
        <v>6</v>
      </c>
      <c r="AA11" s="57">
        <f t="shared" si="0"/>
        <v>1222</v>
      </c>
      <c r="AB11" s="57">
        <f t="shared" si="1"/>
        <v>7</v>
      </c>
      <c r="AC11" s="413">
        <f>IFERROR(Tabelle24[[#This Row],[€]]/Tabelle24[[#This Row],[Backer]],"")</f>
        <v>174.57142857142858</v>
      </c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144"/>
      <c r="CR11" s="144"/>
      <c r="CS11" s="144"/>
      <c r="CT11" s="144"/>
      <c r="CU11" s="144"/>
      <c r="CV11" s="144"/>
      <c r="CW11" s="144"/>
      <c r="CX11" s="144"/>
      <c r="CY11" s="144"/>
      <c r="CZ11" s="144"/>
      <c r="DA11" s="144"/>
      <c r="DB11" s="144"/>
      <c r="DC11" s="144"/>
      <c r="DD11" s="144"/>
      <c r="DE11" s="144"/>
      <c r="DF11" s="144"/>
      <c r="DG11" s="144"/>
      <c r="DH11" s="144"/>
      <c r="DI11" s="144"/>
    </row>
    <row r="12" spans="1:113" s="2" customFormat="1" ht="18.75" customHeight="1" x14ac:dyDescent="0.3">
      <c r="A12" s="150"/>
      <c r="B12" s="495"/>
      <c r="C12" s="161"/>
      <c r="D12" s="144"/>
      <c r="E12" s="161"/>
      <c r="F12" s="161"/>
      <c r="G12" s="161"/>
      <c r="H12" s="500" t="s">
        <v>202</v>
      </c>
      <c r="I12" s="501"/>
      <c r="J12" s="501"/>
      <c r="K12" s="501"/>
      <c r="L12" s="501"/>
      <c r="M12" s="501"/>
      <c r="N12" s="501"/>
      <c r="O12" s="502"/>
      <c r="P12" s="394" t="s">
        <v>85</v>
      </c>
      <c r="Q12" s="67">
        <f>SUM('CF-Guide'!$H$5:$P$5)</f>
        <v>275</v>
      </c>
      <c r="R12" s="39"/>
      <c r="S12" s="39"/>
      <c r="T12" s="39"/>
      <c r="U12" s="39"/>
      <c r="V12" s="39"/>
      <c r="W12" s="39"/>
      <c r="X12" s="39"/>
      <c r="Y12" s="108" t="s">
        <v>26</v>
      </c>
      <c r="Z12" s="412">
        <v>15</v>
      </c>
      <c r="AA12" s="57">
        <f t="shared" si="0"/>
        <v>1097</v>
      </c>
      <c r="AB12" s="57">
        <f t="shared" si="1"/>
        <v>5</v>
      </c>
      <c r="AC12" s="413">
        <f>IFERROR(Tabelle24[[#This Row],[€]]/Tabelle24[[#This Row],[Backer]],"")</f>
        <v>219.4</v>
      </c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144"/>
      <c r="CR12" s="144"/>
      <c r="CS12" s="144"/>
      <c r="CT12" s="144"/>
      <c r="CU12" s="144"/>
      <c r="CV12" s="144"/>
      <c r="CW12" s="144"/>
      <c r="CX12" s="144"/>
      <c r="CY12" s="144"/>
      <c r="CZ12" s="144"/>
      <c r="DA12" s="144"/>
      <c r="DB12" s="144"/>
      <c r="DC12" s="144"/>
      <c r="DD12" s="144"/>
      <c r="DE12" s="144"/>
      <c r="DF12" s="144"/>
      <c r="DG12" s="144"/>
      <c r="DH12" s="144"/>
      <c r="DI12" s="144"/>
    </row>
    <row r="13" spans="1:113" s="2" customFormat="1" ht="19.5" thickBot="1" x14ac:dyDescent="0.35">
      <c r="A13" s="150"/>
      <c r="B13" s="495"/>
      <c r="C13" s="161"/>
      <c r="D13" s="144"/>
      <c r="E13" s="161"/>
      <c r="F13" s="161"/>
      <c r="G13" s="161"/>
      <c r="H13" s="503" t="s">
        <v>203</v>
      </c>
      <c r="I13" s="504"/>
      <c r="J13" s="504"/>
      <c r="K13" s="504"/>
      <c r="L13" s="504"/>
      <c r="M13" s="504"/>
      <c r="N13" s="504"/>
      <c r="O13" s="505"/>
      <c r="P13" s="397" t="s">
        <v>39</v>
      </c>
      <c r="Q13" s="189">
        <f>Q12-Q10</f>
        <v>6</v>
      </c>
      <c r="R13" s="39"/>
      <c r="S13" s="39"/>
      <c r="T13" s="39"/>
      <c r="U13" s="39"/>
      <c r="V13" s="39"/>
      <c r="W13" s="39"/>
      <c r="X13" s="39"/>
      <c r="Y13" s="108" t="s">
        <v>25</v>
      </c>
      <c r="Z13" s="412">
        <v>4</v>
      </c>
      <c r="AA13" s="57">
        <f t="shared" si="0"/>
        <v>1077</v>
      </c>
      <c r="AB13" s="57">
        <f t="shared" si="1"/>
        <v>9</v>
      </c>
      <c r="AC13" s="413">
        <f>IFERROR(Tabelle24[[#This Row],[€]]/Tabelle24[[#This Row],[Backer]],"")</f>
        <v>119.66666666666667</v>
      </c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144"/>
      <c r="CR13" s="144"/>
      <c r="CS13" s="144"/>
      <c r="CT13" s="144"/>
      <c r="CU13" s="144"/>
      <c r="CV13" s="144"/>
      <c r="CW13" s="144"/>
      <c r="CX13" s="144"/>
      <c r="CY13" s="144"/>
      <c r="CZ13" s="144"/>
      <c r="DA13" s="144"/>
      <c r="DB13" s="144"/>
      <c r="DC13" s="144"/>
      <c r="DD13" s="144"/>
      <c r="DE13" s="144"/>
      <c r="DF13" s="144"/>
      <c r="DG13" s="144"/>
      <c r="DH13" s="144"/>
      <c r="DI13" s="144"/>
    </row>
    <row r="14" spans="1:113" s="2" customFormat="1" ht="19.5" thickBot="1" x14ac:dyDescent="0.35">
      <c r="A14" s="150"/>
      <c r="B14" s="495"/>
      <c r="C14" s="161"/>
      <c r="D14" s="144"/>
      <c r="E14" s="161"/>
      <c r="F14" s="161"/>
      <c r="G14" s="161"/>
      <c r="H14" s="366"/>
      <c r="I14" s="366"/>
      <c r="J14" s="366"/>
      <c r="K14" s="161"/>
      <c r="L14" s="159"/>
      <c r="M14" s="161"/>
      <c r="N14" s="144"/>
      <c r="O14" s="144"/>
      <c r="P14" s="39"/>
      <c r="Q14" s="39"/>
      <c r="R14" s="39"/>
      <c r="S14" s="39"/>
      <c r="T14" s="39"/>
      <c r="U14" s="39"/>
      <c r="V14" s="39"/>
      <c r="W14" s="39"/>
      <c r="X14" s="39"/>
      <c r="Y14" s="108" t="s">
        <v>27</v>
      </c>
      <c r="Z14" s="412">
        <v>12</v>
      </c>
      <c r="AA14" s="57">
        <f t="shared" si="0"/>
        <v>1052</v>
      </c>
      <c r="AB14" s="57">
        <f t="shared" si="1"/>
        <v>4</v>
      </c>
      <c r="AC14" s="413">
        <f>IFERROR(Tabelle24[[#This Row],[€]]/Tabelle24[[#This Row],[Backer]],"")</f>
        <v>263</v>
      </c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144"/>
      <c r="CR14" s="144"/>
      <c r="CS14" s="144"/>
      <c r="CT14" s="144"/>
      <c r="CU14" s="144"/>
      <c r="CV14" s="144"/>
      <c r="CW14" s="144"/>
      <c r="CX14" s="144"/>
      <c r="CY14" s="144"/>
      <c r="CZ14" s="144"/>
      <c r="DA14" s="144"/>
      <c r="DB14" s="144"/>
      <c r="DC14" s="144"/>
      <c r="DD14" s="144"/>
      <c r="DE14" s="144"/>
      <c r="DF14" s="144"/>
      <c r="DG14" s="144"/>
      <c r="DH14" s="144"/>
      <c r="DI14" s="144"/>
    </row>
    <row r="15" spans="1:113" s="2" customFormat="1" ht="18.75" x14ac:dyDescent="0.3">
      <c r="A15" s="150"/>
      <c r="B15" s="495"/>
      <c r="C15" s="161"/>
      <c r="D15" s="144"/>
      <c r="E15" s="161"/>
      <c r="F15" s="161"/>
      <c r="G15" s="161"/>
      <c r="H15" s="366"/>
      <c r="I15" s="366"/>
      <c r="J15" s="366"/>
      <c r="K15" s="161"/>
      <c r="L15" s="159"/>
      <c r="M15" s="161"/>
      <c r="N15" s="144"/>
      <c r="O15" s="144"/>
      <c r="P15" s="398" t="str">
        <f>'CF-Guide'!$H$3</f>
        <v>Alte Katze</v>
      </c>
      <c r="Q15" s="56">
        <v>63</v>
      </c>
      <c r="R15" s="39"/>
      <c r="S15" s="39"/>
      <c r="T15" s="39"/>
      <c r="U15" s="39"/>
      <c r="V15" s="39"/>
      <c r="W15" s="39"/>
      <c r="X15" s="39"/>
      <c r="Y15" s="108" t="s">
        <v>89</v>
      </c>
      <c r="Z15" s="412">
        <v>11</v>
      </c>
      <c r="AA15" s="57">
        <f t="shared" si="0"/>
        <v>1012</v>
      </c>
      <c r="AB15" s="57">
        <f t="shared" si="1"/>
        <v>7</v>
      </c>
      <c r="AC15" s="413">
        <f>IFERROR(Tabelle24[[#This Row],[€]]/Tabelle24[[#This Row],[Backer]],"")</f>
        <v>144.57142857142858</v>
      </c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  <c r="DB15" s="144"/>
      <c r="DC15" s="144"/>
      <c r="DD15" s="144"/>
      <c r="DE15" s="144"/>
      <c r="DF15" s="144"/>
      <c r="DG15" s="144"/>
      <c r="DH15" s="144"/>
      <c r="DI15" s="144"/>
    </row>
    <row r="16" spans="1:113" s="2" customFormat="1" ht="19.5" thickBot="1" x14ac:dyDescent="0.35">
      <c r="A16" s="150"/>
      <c r="B16" s="496"/>
      <c r="C16" s="161"/>
      <c r="D16" s="144"/>
      <c r="E16" s="161"/>
      <c r="F16" s="161"/>
      <c r="G16" s="161"/>
      <c r="H16" s="366"/>
      <c r="I16" s="366"/>
      <c r="J16" s="366"/>
      <c r="K16" s="161"/>
      <c r="L16" s="159"/>
      <c r="M16" s="161"/>
      <c r="N16" s="144"/>
      <c r="O16" s="144"/>
      <c r="P16" s="398" t="str">
        <f>'CF-Guide'!$I$3</f>
        <v>Kleiner Milchtreter</v>
      </c>
      <c r="Q16" s="388">
        <v>12</v>
      </c>
      <c r="R16" s="39"/>
      <c r="S16" s="39"/>
      <c r="T16" s="39"/>
      <c r="U16" s="39"/>
      <c r="V16" s="39"/>
      <c r="W16" s="39"/>
      <c r="X16" s="39"/>
      <c r="Y16" s="108" t="s">
        <v>30</v>
      </c>
      <c r="Z16" s="412">
        <v>16</v>
      </c>
      <c r="AA16" s="57">
        <f t="shared" si="0"/>
        <v>980</v>
      </c>
      <c r="AB16" s="57">
        <f t="shared" si="1"/>
        <v>8</v>
      </c>
      <c r="AC16" s="413">
        <f>IFERROR(Tabelle24[[#This Row],[€]]/Tabelle24[[#This Row],[Backer]],"")</f>
        <v>122.5</v>
      </c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144"/>
      <c r="CR16" s="144"/>
      <c r="CS16" s="144"/>
      <c r="CT16" s="144"/>
      <c r="CU16" s="144"/>
      <c r="CV16" s="144"/>
      <c r="CW16" s="144"/>
      <c r="CX16" s="144"/>
      <c r="CY16" s="144"/>
      <c r="CZ16" s="144"/>
      <c r="DA16" s="144"/>
      <c r="DB16" s="144"/>
      <c r="DC16" s="144"/>
      <c r="DD16" s="144"/>
      <c r="DE16" s="144"/>
      <c r="DF16" s="144"/>
      <c r="DG16" s="144"/>
      <c r="DH16" s="144"/>
      <c r="DI16" s="144"/>
    </row>
    <row r="17" spans="1:117" s="2" customFormat="1" ht="18.75" customHeight="1" x14ac:dyDescent="0.3">
      <c r="A17" s="150"/>
      <c r="B17" s="144"/>
      <c r="C17" s="144"/>
      <c r="D17" s="374" t="s">
        <v>336</v>
      </c>
      <c r="E17" s="374"/>
      <c r="F17" s="377" t="s">
        <v>341</v>
      </c>
      <c r="G17" s="161"/>
      <c r="H17" s="366"/>
      <c r="I17" s="366"/>
      <c r="J17" s="366"/>
      <c r="K17" s="161"/>
      <c r="L17" s="159"/>
      <c r="M17" s="161"/>
      <c r="N17" s="144"/>
      <c r="O17" s="144"/>
      <c r="P17" s="398" t="str">
        <f>'CF-Guide'!$J$3</f>
        <v>Freches Kätzchen</v>
      </c>
      <c r="Q17" s="388">
        <v>6</v>
      </c>
      <c r="R17" s="39"/>
      <c r="S17" s="39"/>
      <c r="T17" s="39"/>
      <c r="U17" s="39"/>
      <c r="V17" s="39"/>
      <c r="W17" s="39"/>
      <c r="X17" s="39"/>
      <c r="Y17" s="108" t="s">
        <v>90</v>
      </c>
      <c r="Z17" s="412">
        <v>8</v>
      </c>
      <c r="AA17" s="57">
        <f t="shared" si="0"/>
        <v>945</v>
      </c>
      <c r="AB17" s="57">
        <f t="shared" si="1"/>
        <v>7</v>
      </c>
      <c r="AC17" s="413">
        <f>IFERROR(Tabelle24[[#This Row],[€]]/Tabelle24[[#This Row],[Backer]],"")</f>
        <v>135</v>
      </c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144"/>
      <c r="CR17" s="144"/>
      <c r="CS17" s="144"/>
      <c r="CT17" s="144"/>
      <c r="CU17" s="144"/>
      <c r="CV17" s="144"/>
      <c r="CW17" s="144"/>
      <c r="CX17" s="144"/>
      <c r="CY17" s="144"/>
      <c r="CZ17" s="144"/>
      <c r="DA17" s="144"/>
      <c r="DB17" s="144"/>
      <c r="DC17" s="144"/>
      <c r="DD17" s="144"/>
      <c r="DE17" s="144"/>
      <c r="DF17" s="144"/>
      <c r="DG17" s="144"/>
      <c r="DH17" s="144"/>
      <c r="DI17" s="144"/>
    </row>
    <row r="18" spans="1:117" s="2" customFormat="1" ht="18.75" customHeight="1" x14ac:dyDescent="0.3">
      <c r="A18" s="150"/>
      <c r="B18" s="144"/>
      <c r="C18" s="144"/>
      <c r="D18" s="408" t="s">
        <v>253</v>
      </c>
      <c r="E18" s="390"/>
      <c r="F18" s="375" t="s">
        <v>180</v>
      </c>
      <c r="G18" s="161"/>
      <c r="H18" s="366"/>
      <c r="I18" s="366"/>
      <c r="J18" s="366"/>
      <c r="K18" s="161"/>
      <c r="L18" s="159"/>
      <c r="M18" s="161"/>
      <c r="N18" s="144"/>
      <c r="O18" s="144"/>
      <c r="P18" s="398" t="str">
        <f>'CF-Guide'!$K$3</f>
        <v>Verspielter Welpe</v>
      </c>
      <c r="Q18" s="388">
        <v>17</v>
      </c>
      <c r="R18" s="39"/>
      <c r="S18" s="39"/>
      <c r="T18" s="39"/>
      <c r="U18" s="39"/>
      <c r="V18" s="39"/>
      <c r="W18" s="39"/>
      <c r="X18" s="39"/>
      <c r="Y18" s="108" t="s">
        <v>31</v>
      </c>
      <c r="Z18" s="412">
        <v>5</v>
      </c>
      <c r="AA18" s="57">
        <f t="shared" si="0"/>
        <v>780</v>
      </c>
      <c r="AB18" s="57">
        <f t="shared" si="1"/>
        <v>6</v>
      </c>
      <c r="AC18" s="413">
        <f>IFERROR(Tabelle24[[#This Row],[€]]/Tabelle24[[#This Row],[Backer]],"")</f>
        <v>130</v>
      </c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144"/>
      <c r="CR18" s="144"/>
      <c r="CS18" s="144"/>
      <c r="CT18" s="144"/>
      <c r="CU18" s="144"/>
      <c r="CV18" s="144"/>
      <c r="CW18" s="144"/>
      <c r="CX18" s="144"/>
      <c r="CY18" s="144"/>
      <c r="CZ18" s="144"/>
      <c r="DA18" s="144"/>
      <c r="DB18" s="144"/>
      <c r="DC18" s="144"/>
      <c r="DD18" s="144"/>
      <c r="DE18" s="144"/>
      <c r="DF18" s="144"/>
      <c r="DG18" s="144"/>
      <c r="DH18" s="144"/>
      <c r="DI18" s="144"/>
    </row>
    <row r="19" spans="1:117" s="2" customFormat="1" ht="19.5" thickBot="1" x14ac:dyDescent="0.35">
      <c r="A19" s="150"/>
      <c r="B19" s="144"/>
      <c r="C19" s="161"/>
      <c r="D19" s="144"/>
      <c r="E19" s="161"/>
      <c r="F19" s="161"/>
      <c r="G19" s="161"/>
      <c r="H19" s="366"/>
      <c r="I19" s="366"/>
      <c r="J19" s="366"/>
      <c r="K19" s="161"/>
      <c r="L19" s="159"/>
      <c r="M19" s="161"/>
      <c r="N19" s="144"/>
      <c r="O19" s="144"/>
      <c r="P19" s="398"/>
      <c r="Q19" s="391"/>
      <c r="R19" s="39"/>
      <c r="S19" s="39"/>
      <c r="T19" s="39"/>
      <c r="U19" s="39"/>
      <c r="V19" s="39"/>
      <c r="W19" s="39"/>
      <c r="X19" s="39"/>
      <c r="Y19" s="108" t="s">
        <v>91</v>
      </c>
      <c r="Z19" s="412">
        <v>14</v>
      </c>
      <c r="AA19" s="57">
        <f t="shared" si="0"/>
        <v>617</v>
      </c>
      <c r="AB19" s="57">
        <f t="shared" si="1"/>
        <v>4</v>
      </c>
      <c r="AC19" s="413">
        <f>IFERROR(Tabelle24[[#This Row],[€]]/Tabelle24[[#This Row],[Backer]],"")</f>
        <v>154.25</v>
      </c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144"/>
      <c r="CR19" s="144"/>
      <c r="CS19" s="144"/>
      <c r="CT19" s="144"/>
      <c r="CU19" s="144"/>
      <c r="CV19" s="144"/>
      <c r="CW19" s="144"/>
      <c r="CX19" s="144"/>
      <c r="CY19" s="144"/>
      <c r="CZ19" s="144"/>
      <c r="DA19" s="144"/>
      <c r="DB19" s="144"/>
      <c r="DC19" s="144"/>
      <c r="DD19" s="144"/>
      <c r="DE19" s="144"/>
      <c r="DF19" s="144"/>
      <c r="DG19" s="144"/>
      <c r="DH19" s="144"/>
      <c r="DI19" s="144"/>
    </row>
    <row r="20" spans="1:117" s="2" customFormat="1" ht="19.5" customHeight="1" x14ac:dyDescent="0.3">
      <c r="A20" s="150"/>
      <c r="B20" s="497" t="str">
        <f>"Aktueller
Stand: 
"&amp;TEXT(Q5,"TT.MM.JJJJ")&amp;"
"&amp;Q6&amp;" Uhr"</f>
        <v>Aktueller
Stand: 
03.10.2023
 Uhr</v>
      </c>
      <c r="C20" s="384"/>
      <c r="D20" s="488" t="str">
        <f>"Finaler Stand: "&amp;TEXT(Q8,"#.##0")&amp;" € / "&amp;TEXT(Q10,"#.##0")&amp;" Unterstützer (Ø "&amp;TEXT(Q11,"#.##0,00")&amp;" €)"</f>
        <v>Finaler Stand: 36.248 € / 269 Unterstützer (Ø 134,75 €)</v>
      </c>
      <c r="E20" s="488"/>
      <c r="F20" s="488"/>
      <c r="G20" s="161"/>
      <c r="H20" s="382"/>
      <c r="I20" s="380"/>
      <c r="J20" s="380"/>
      <c r="K20" s="161"/>
      <c r="L20" s="159"/>
      <c r="M20" s="161"/>
      <c r="N20" s="161"/>
      <c r="O20" s="161"/>
      <c r="P20" s="398">
        <f>'CF-Guide'!$L$3</f>
        <v>0</v>
      </c>
      <c r="Q20" s="388"/>
      <c r="R20" s="39"/>
      <c r="S20" s="39"/>
      <c r="T20" s="39"/>
      <c r="U20" s="39"/>
      <c r="V20" s="39"/>
      <c r="W20" s="39"/>
      <c r="X20" s="39"/>
      <c r="Y20" s="108" t="s">
        <v>92</v>
      </c>
      <c r="Z20" s="412">
        <v>10</v>
      </c>
      <c r="AA20" s="57">
        <f t="shared" si="0"/>
        <v>548</v>
      </c>
      <c r="AB20" s="57">
        <f t="shared" si="1"/>
        <v>5</v>
      </c>
      <c r="AC20" s="413">
        <f>IFERROR(Tabelle24[[#This Row],[€]]/Tabelle24[[#This Row],[Backer]],"")</f>
        <v>109.6</v>
      </c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144"/>
      <c r="CR20" s="144"/>
      <c r="CS20" s="144"/>
      <c r="CT20" s="144"/>
      <c r="CU20" s="144"/>
      <c r="CV20" s="144"/>
      <c r="CW20" s="144"/>
      <c r="CX20" s="144"/>
      <c r="CY20" s="144"/>
      <c r="CZ20" s="144"/>
      <c r="DA20" s="144"/>
      <c r="DB20" s="144"/>
      <c r="DC20" s="144"/>
      <c r="DD20" s="144"/>
      <c r="DE20" s="144"/>
      <c r="DF20" s="144"/>
      <c r="DG20" s="144"/>
      <c r="DH20" s="144"/>
      <c r="DI20" s="144"/>
    </row>
    <row r="21" spans="1:117" s="2" customFormat="1" ht="19.5" customHeight="1" x14ac:dyDescent="0.3">
      <c r="A21" s="144"/>
      <c r="B21" s="498"/>
      <c r="C21" s="384"/>
      <c r="D21" s="488"/>
      <c r="E21" s="488"/>
      <c r="F21" s="488"/>
      <c r="G21" s="161"/>
      <c r="H21" s="382"/>
      <c r="I21" s="380"/>
      <c r="J21" s="380"/>
      <c r="K21" s="161"/>
      <c r="L21" s="159"/>
      <c r="M21" s="161"/>
      <c r="N21" s="161"/>
      <c r="O21" s="161"/>
      <c r="P21" s="398">
        <f>'CF-Guide'!$M$3</f>
        <v>0</v>
      </c>
      <c r="Q21" s="388"/>
      <c r="R21" s="39"/>
      <c r="S21" s="39"/>
      <c r="T21" s="39"/>
      <c r="U21" s="39"/>
      <c r="V21" s="39"/>
      <c r="W21" s="39"/>
      <c r="X21" s="39"/>
      <c r="Y21" s="108" t="s">
        <v>93</v>
      </c>
      <c r="Z21" s="412">
        <v>7</v>
      </c>
      <c r="AA21" s="57">
        <f t="shared" si="0"/>
        <v>490</v>
      </c>
      <c r="AB21" s="57">
        <f t="shared" si="1"/>
        <v>4</v>
      </c>
      <c r="AC21" s="413">
        <f>IFERROR(Tabelle24[[#This Row],[€]]/Tabelle24[[#This Row],[Backer]],"")</f>
        <v>122.5</v>
      </c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144"/>
      <c r="CR21" s="144"/>
      <c r="CS21" s="144"/>
      <c r="CT21" s="144"/>
      <c r="CU21" s="144"/>
      <c r="CV21" s="144"/>
      <c r="CW21" s="144"/>
      <c r="CX21" s="144"/>
      <c r="CY21" s="144"/>
      <c r="CZ21" s="144"/>
      <c r="DA21" s="144"/>
      <c r="DB21" s="144"/>
      <c r="DC21" s="144"/>
      <c r="DD21" s="144"/>
      <c r="DE21" s="144"/>
      <c r="DF21" s="144"/>
      <c r="DG21" s="144"/>
      <c r="DH21" s="144"/>
      <c r="DI21" s="144"/>
      <c r="DJ21" s="144"/>
      <c r="DK21" s="144"/>
      <c r="DL21" s="144"/>
      <c r="DM21" s="144"/>
    </row>
    <row r="22" spans="1:117" s="2" customFormat="1" ht="19.5" customHeight="1" x14ac:dyDescent="0.3">
      <c r="A22" s="144"/>
      <c r="B22" s="498"/>
      <c r="C22" s="383"/>
      <c r="D22" s="489" t="str">
        <f>"Erreichte Bonusziele: "&amp;Q7&amp;", bis: '"&amp;VLOOKUP(Q7,$C$32:$D$54,2,FALSE)&amp;"'"</f>
        <v>Erreichte Bonusziele: 5, bis: 'Neue Bekannte'</v>
      </c>
      <c r="E22" s="489"/>
      <c r="F22" s="489"/>
      <c r="G22" s="161"/>
      <c r="H22" s="372"/>
      <c r="I22" s="380"/>
      <c r="J22" s="380"/>
      <c r="K22" s="161"/>
      <c r="L22" s="159"/>
      <c r="M22" s="161"/>
      <c r="N22" s="161"/>
      <c r="O22" s="161"/>
      <c r="P22" s="398">
        <f>'CF-Guide'!$N$3</f>
        <v>0</v>
      </c>
      <c r="Q22" s="388"/>
      <c r="R22" s="39"/>
      <c r="S22" s="39"/>
      <c r="T22" s="39"/>
      <c r="U22" s="39"/>
      <c r="V22" s="39"/>
      <c r="W22" s="39"/>
      <c r="X22" s="55"/>
      <c r="Y22" s="108" t="s">
        <v>96</v>
      </c>
      <c r="Z22" s="412">
        <v>17</v>
      </c>
      <c r="AA22" s="57">
        <f t="shared" si="0"/>
        <v>442</v>
      </c>
      <c r="AB22" s="57">
        <f t="shared" si="1"/>
        <v>3</v>
      </c>
      <c r="AC22" s="413">
        <f>IFERROR(Tabelle24[[#This Row],[€]]/Tabelle24[[#This Row],[Backer]],"")</f>
        <v>147.33333333333334</v>
      </c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144"/>
      <c r="CR22" s="144"/>
      <c r="CS22" s="144"/>
      <c r="CT22" s="144"/>
      <c r="CU22" s="144"/>
      <c r="CV22" s="144"/>
      <c r="CW22" s="144"/>
      <c r="CX22" s="144"/>
      <c r="CY22" s="144"/>
      <c r="CZ22" s="144"/>
      <c r="DA22" s="144"/>
      <c r="DB22" s="144"/>
      <c r="DC22" s="144"/>
      <c r="DD22" s="144"/>
      <c r="DE22" s="144"/>
      <c r="DF22" s="144"/>
      <c r="DG22" s="144"/>
      <c r="DH22" s="144"/>
      <c r="DI22" s="144"/>
    </row>
    <row r="23" spans="1:117" s="62" customFormat="1" ht="19.5" thickBot="1" x14ac:dyDescent="0.35">
      <c r="A23" s="145"/>
      <c r="B23" s="499"/>
      <c r="C23" s="383"/>
      <c r="D23" s="490" t="str">
        <f>"Noch "&amp;TEXT(Q9-Q8,"#.##0")&amp;" € bis zum "&amp;Q7+1&amp;". Ziel: '"&amp;VLOOKUP(Q7+1,$C$32:$D$54,2,FALSE)&amp;"' bei "&amp;TEXT(Q9,"#.##0 €")</f>
        <v>Noch -1.248 € bis zum 6. Ziel: '…' bei 35.000 €</v>
      </c>
      <c r="E23" s="490"/>
      <c r="F23" s="490"/>
      <c r="G23" s="161"/>
      <c r="H23" s="371"/>
      <c r="I23" s="380"/>
      <c r="J23" s="380"/>
      <c r="K23" s="161"/>
      <c r="L23" s="159"/>
      <c r="M23" s="161"/>
      <c r="N23" s="161"/>
      <c r="O23" s="161"/>
      <c r="P23" s="398" t="str">
        <f>'CF-Guide'!$O$3</f>
        <v>Schmuse-katze</v>
      </c>
      <c r="Q23" s="388">
        <v>31</v>
      </c>
      <c r="R23" s="39"/>
      <c r="S23" s="39"/>
      <c r="T23" s="39"/>
      <c r="U23" s="39"/>
      <c r="V23" s="39"/>
      <c r="W23" s="39"/>
      <c r="X23" s="55"/>
      <c r="Y23" s="108" t="s">
        <v>94</v>
      </c>
      <c r="Z23" s="412">
        <v>9</v>
      </c>
      <c r="AA23" s="57">
        <f t="shared" si="0"/>
        <v>310</v>
      </c>
      <c r="AB23" s="57">
        <f t="shared" si="1"/>
        <v>4</v>
      </c>
      <c r="AC23" s="413">
        <f>IFERROR(Tabelle24[[#This Row],[€]]/Tabelle24[[#This Row],[Backer]],"")</f>
        <v>77.5</v>
      </c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145"/>
      <c r="CR23" s="145"/>
      <c r="CS23" s="145"/>
      <c r="CT23" s="145"/>
      <c r="CU23" s="145"/>
      <c r="CV23" s="145"/>
      <c r="CW23" s="145"/>
      <c r="CX23" s="145"/>
      <c r="CY23" s="145"/>
      <c r="CZ23" s="145"/>
      <c r="DA23" s="145"/>
      <c r="DB23" s="145"/>
      <c r="DC23" s="145"/>
      <c r="DD23" s="145"/>
      <c r="DE23" s="145"/>
      <c r="DF23" s="145"/>
      <c r="DG23" s="145"/>
      <c r="DH23" s="145"/>
      <c r="DI23" s="145"/>
    </row>
    <row r="24" spans="1:117" s="2" customFormat="1" ht="21" thickBot="1" x14ac:dyDescent="0.35">
      <c r="A24" s="150"/>
      <c r="B24" s="379"/>
      <c r="C24" s="161"/>
      <c r="D24" s="144"/>
      <c r="E24" s="161"/>
      <c r="F24" s="161"/>
      <c r="G24" s="161"/>
      <c r="H24" s="380"/>
      <c r="I24" s="380"/>
      <c r="J24" s="380"/>
      <c r="K24" s="161"/>
      <c r="L24" s="159"/>
      <c r="M24" s="161"/>
      <c r="N24" s="161"/>
      <c r="O24" s="161"/>
      <c r="P24" s="398" t="str">
        <f>'CF-Guide'!$P$3</f>
        <v>Bester Freund</v>
      </c>
      <c r="Q24" s="58">
        <v>146</v>
      </c>
      <c r="R24" s="39"/>
      <c r="S24" s="39"/>
      <c r="T24" s="39"/>
      <c r="U24" s="39"/>
      <c r="V24" s="39"/>
      <c r="W24" s="39"/>
      <c r="X24" s="39"/>
      <c r="Y24" s="108" t="s">
        <v>95</v>
      </c>
      <c r="Z24" s="434">
        <v>13</v>
      </c>
      <c r="AA24" s="435">
        <f t="shared" si="0"/>
        <v>215</v>
      </c>
      <c r="AB24" s="435">
        <f t="shared" si="1"/>
        <v>1</v>
      </c>
      <c r="AC24" s="436">
        <f>IFERROR(Tabelle24[[#This Row],[€]]/Tabelle24[[#This Row],[Backer]],"")</f>
        <v>215</v>
      </c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144"/>
      <c r="CR24" s="144"/>
      <c r="CS24" s="144"/>
      <c r="CT24" s="144"/>
      <c r="CU24" s="144"/>
      <c r="CV24" s="144"/>
      <c r="CW24" s="144"/>
      <c r="CX24" s="144"/>
      <c r="CY24" s="144"/>
      <c r="CZ24" s="144"/>
      <c r="DA24" s="144"/>
      <c r="DB24" s="144"/>
      <c r="DC24" s="144"/>
      <c r="DD24" s="144"/>
      <c r="DE24" s="144"/>
      <c r="DF24" s="144"/>
      <c r="DG24" s="144"/>
      <c r="DH24" s="144"/>
      <c r="DI24" s="144"/>
    </row>
    <row r="25" spans="1:117" s="2" customFormat="1" ht="4.5" customHeight="1" thickBot="1" x14ac:dyDescent="0.35">
      <c r="A25" s="150"/>
      <c r="B25" s="144"/>
      <c r="C25" s="161"/>
      <c r="D25" s="144"/>
      <c r="E25" s="161"/>
      <c r="F25" s="161"/>
      <c r="G25" s="161"/>
      <c r="H25" s="380"/>
      <c r="I25" s="380"/>
      <c r="J25" s="380"/>
      <c r="K25" s="161"/>
      <c r="L25" s="159"/>
      <c r="M25" s="161"/>
      <c r="N25" s="161"/>
      <c r="O25" s="161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197"/>
      <c r="AA25" s="197"/>
      <c r="AB25" s="197"/>
      <c r="AC25" s="197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144"/>
      <c r="CR25" s="144"/>
      <c r="CS25" s="144"/>
      <c r="CT25" s="144"/>
      <c r="CU25" s="144"/>
      <c r="CV25" s="144"/>
      <c r="CW25" s="144"/>
      <c r="CX25" s="144"/>
      <c r="CY25" s="144"/>
      <c r="CZ25" s="144"/>
      <c r="DA25" s="144"/>
      <c r="DB25" s="144"/>
      <c r="DC25" s="144"/>
      <c r="DD25" s="144"/>
      <c r="DE25" s="144"/>
      <c r="DF25" s="144"/>
      <c r="DG25" s="144"/>
      <c r="DH25" s="144"/>
      <c r="DI25" s="144"/>
    </row>
    <row r="26" spans="1:117" s="2" customFormat="1" ht="30" customHeight="1" thickBot="1" x14ac:dyDescent="0.35">
      <c r="A26" s="150"/>
      <c r="B26" s="494" t="s">
        <v>339</v>
      </c>
      <c r="C26" s="161"/>
      <c r="D26" s="515" t="s">
        <v>344</v>
      </c>
      <c r="E26" s="516"/>
      <c r="F26" s="517"/>
      <c r="G26" s="161"/>
      <c r="H26" s="380"/>
      <c r="I26" s="380"/>
      <c r="J26" s="380"/>
      <c r="K26" s="161"/>
      <c r="L26" s="159"/>
      <c r="M26" s="161"/>
      <c r="N26" s="161"/>
      <c r="O26" s="161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144"/>
      <c r="CR26" s="144"/>
      <c r="CS26" s="144"/>
      <c r="CT26" s="144"/>
      <c r="CU26" s="144"/>
      <c r="CV26" s="144"/>
      <c r="CW26" s="144"/>
      <c r="CX26" s="144"/>
      <c r="CY26" s="144"/>
      <c r="CZ26" s="144"/>
      <c r="DA26" s="144"/>
      <c r="DB26" s="144"/>
      <c r="DC26" s="144"/>
      <c r="DD26" s="144"/>
      <c r="DE26" s="144"/>
      <c r="DF26" s="144"/>
      <c r="DG26" s="144"/>
      <c r="DH26" s="144"/>
      <c r="DI26" s="144"/>
    </row>
    <row r="27" spans="1:117" s="2" customFormat="1" ht="30" customHeight="1" thickBot="1" x14ac:dyDescent="0.35">
      <c r="A27" s="150"/>
      <c r="B27" s="495"/>
      <c r="C27" s="161"/>
      <c r="D27" s="518" t="s">
        <v>0</v>
      </c>
      <c r="E27" s="519"/>
      <c r="F27" s="520"/>
      <c r="G27" s="161"/>
      <c r="H27" s="380"/>
      <c r="I27" s="380"/>
      <c r="J27" s="380"/>
      <c r="K27" s="161"/>
      <c r="L27" s="159"/>
      <c r="M27" s="161"/>
      <c r="N27" s="161"/>
      <c r="O27" s="161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144"/>
      <c r="CR27" s="144"/>
      <c r="CS27" s="144"/>
      <c r="CT27" s="144"/>
      <c r="CU27" s="144"/>
      <c r="CV27" s="144"/>
      <c r="CW27" s="144"/>
      <c r="CX27" s="144"/>
      <c r="CY27" s="144"/>
      <c r="CZ27" s="144"/>
      <c r="DA27" s="144"/>
      <c r="DB27" s="144"/>
      <c r="DC27" s="144"/>
      <c r="DD27" s="144"/>
      <c r="DE27" s="144"/>
      <c r="DF27" s="144"/>
      <c r="DG27" s="144"/>
      <c r="DH27" s="144"/>
      <c r="DI27" s="144"/>
    </row>
    <row r="28" spans="1:117" s="2" customFormat="1" ht="15.75" customHeight="1" thickBot="1" x14ac:dyDescent="0.35">
      <c r="A28" s="150"/>
      <c r="B28" s="495"/>
      <c r="C28" s="161"/>
      <c r="D28" s="491" t="s">
        <v>340</v>
      </c>
      <c r="E28" s="492"/>
      <c r="F28" s="493"/>
      <c r="G28" s="161"/>
      <c r="H28" s="380"/>
      <c r="I28" s="380"/>
      <c r="J28" s="380"/>
      <c r="K28" s="161"/>
      <c r="L28" s="159"/>
      <c r="M28" s="161"/>
      <c r="N28" s="161"/>
      <c r="O28" s="161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144"/>
      <c r="CR28" s="144"/>
      <c r="CS28" s="144"/>
      <c r="CT28" s="144"/>
      <c r="CU28" s="144"/>
      <c r="CV28" s="144"/>
      <c r="CW28" s="144"/>
      <c r="CX28" s="144"/>
      <c r="CY28" s="144"/>
      <c r="CZ28" s="144"/>
      <c r="DA28" s="144"/>
      <c r="DB28" s="144"/>
      <c r="DC28" s="144"/>
      <c r="DD28" s="144"/>
      <c r="DE28" s="144"/>
      <c r="DF28" s="144"/>
      <c r="DG28" s="144"/>
      <c r="DH28" s="144"/>
      <c r="DI28" s="144"/>
    </row>
    <row r="29" spans="1:117" s="2" customFormat="1" ht="15" customHeight="1" thickBot="1" x14ac:dyDescent="0.35">
      <c r="A29" s="150"/>
      <c r="B29" s="495"/>
      <c r="C29" s="161"/>
      <c r="D29" s="491"/>
      <c r="E29" s="492"/>
      <c r="F29" s="493"/>
      <c r="G29" s="161"/>
      <c r="H29" s="380"/>
      <c r="I29" s="380"/>
      <c r="J29" s="380"/>
      <c r="K29" s="161"/>
      <c r="L29" s="159"/>
      <c r="M29" s="161"/>
      <c r="N29" s="161"/>
      <c r="O29" s="161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144"/>
      <c r="CR29" s="144"/>
      <c r="CS29" s="144"/>
      <c r="CT29" s="144"/>
      <c r="CU29" s="144"/>
      <c r="CV29" s="144"/>
      <c r="CW29" s="144"/>
      <c r="CX29" s="144"/>
      <c r="CY29" s="144"/>
      <c r="CZ29" s="144"/>
      <c r="DA29" s="144"/>
      <c r="DB29" s="144"/>
      <c r="DC29" s="144"/>
      <c r="DD29" s="144"/>
      <c r="DE29" s="144"/>
      <c r="DF29" s="144"/>
      <c r="DG29" s="144"/>
      <c r="DH29" s="144"/>
      <c r="DI29" s="144"/>
    </row>
    <row r="30" spans="1:117" s="2" customFormat="1" ht="18" customHeight="1" thickBot="1" x14ac:dyDescent="0.35">
      <c r="A30" s="150"/>
      <c r="B30" s="496"/>
      <c r="C30" s="161"/>
      <c r="D30" s="491"/>
      <c r="E30" s="492"/>
      <c r="F30" s="493"/>
      <c r="G30" s="161"/>
      <c r="H30" s="380"/>
      <c r="I30" s="380"/>
      <c r="J30" s="380"/>
      <c r="K30" s="161"/>
      <c r="L30" s="159"/>
      <c r="M30" s="161"/>
      <c r="N30" s="161"/>
      <c r="O30" s="161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144"/>
      <c r="CR30" s="144"/>
      <c r="CS30" s="144"/>
      <c r="CT30" s="144"/>
      <c r="CU30" s="144"/>
      <c r="CV30" s="144"/>
      <c r="CW30" s="144"/>
      <c r="CX30" s="144"/>
      <c r="CY30" s="144"/>
      <c r="CZ30" s="144"/>
      <c r="DA30" s="144"/>
      <c r="DB30" s="144"/>
      <c r="DC30" s="144"/>
      <c r="DD30" s="144"/>
      <c r="DE30" s="144"/>
      <c r="DF30" s="144"/>
      <c r="DG30" s="144"/>
      <c r="DH30" s="144"/>
      <c r="DI30" s="144"/>
    </row>
    <row r="31" spans="1:117" s="2" customFormat="1" ht="15" customHeight="1" x14ac:dyDescent="0.3">
      <c r="A31" s="150"/>
      <c r="B31" s="144"/>
      <c r="C31" s="161"/>
      <c r="D31" s="144"/>
      <c r="E31" s="161"/>
      <c r="F31" s="373"/>
      <c r="G31" s="161"/>
      <c r="H31" s="380"/>
      <c r="I31" s="380"/>
      <c r="J31" s="380"/>
      <c r="K31" s="161"/>
      <c r="L31" s="159"/>
      <c r="M31" s="161"/>
      <c r="N31" s="161"/>
      <c r="O31" s="161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144"/>
      <c r="CR31" s="144"/>
      <c r="CS31" s="144"/>
      <c r="CT31" s="144"/>
      <c r="CU31" s="144"/>
      <c r="CV31" s="144"/>
      <c r="CW31" s="144"/>
      <c r="CX31" s="144"/>
      <c r="CY31" s="144"/>
      <c r="CZ31" s="144"/>
      <c r="DA31" s="144"/>
      <c r="DB31" s="144"/>
      <c r="DC31" s="144"/>
      <c r="DD31" s="144"/>
      <c r="DE31" s="144"/>
      <c r="DF31" s="144"/>
      <c r="DG31" s="144"/>
      <c r="DH31" s="144"/>
      <c r="DI31" s="144"/>
    </row>
    <row r="32" spans="1:117" s="68" customFormat="1" ht="18" hidden="1" customHeight="1" outlineLevel="1" x14ac:dyDescent="0.3">
      <c r="A32" s="145"/>
      <c r="B32" s="39"/>
      <c r="C32" s="107">
        <v>0</v>
      </c>
      <c r="D32" s="222" t="s">
        <v>260</v>
      </c>
      <c r="E32" s="188">
        <v>10000</v>
      </c>
      <c r="F32" s="257"/>
      <c r="G32" s="257"/>
      <c r="H32" s="257"/>
      <c r="I32" s="257"/>
      <c r="J32" s="257"/>
      <c r="K32" s="59"/>
      <c r="L32" s="87"/>
      <c r="M32" s="59"/>
      <c r="N32" s="59"/>
      <c r="O32" s="59"/>
      <c r="P32" s="223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145"/>
      <c r="CR32" s="145"/>
      <c r="CS32" s="145"/>
      <c r="CT32" s="145"/>
      <c r="CU32" s="145"/>
      <c r="CV32" s="145"/>
      <c r="CW32" s="145"/>
      <c r="CX32" s="145"/>
      <c r="CY32" s="145"/>
      <c r="CZ32" s="145"/>
      <c r="DA32" s="145"/>
      <c r="DB32" s="145"/>
      <c r="DC32" s="145"/>
      <c r="DD32" s="145"/>
      <c r="DE32" s="145"/>
      <c r="DF32" s="145"/>
      <c r="DG32" s="145"/>
      <c r="DH32" s="145"/>
      <c r="DI32" s="145"/>
    </row>
    <row r="33" spans="1:113" s="68" customFormat="1" ht="18" hidden="1" customHeight="1" outlineLevel="1" x14ac:dyDescent="0.3">
      <c r="A33" s="145"/>
      <c r="B33" s="39"/>
      <c r="C33" s="107">
        <v>1</v>
      </c>
      <c r="D33" s="222" t="s">
        <v>261</v>
      </c>
      <c r="E33" s="188">
        <f>E32+5000</f>
        <v>15000</v>
      </c>
      <c r="F33" s="257"/>
      <c r="G33" s="257"/>
      <c r="H33" s="257"/>
      <c r="I33" s="257"/>
      <c r="J33" s="257"/>
      <c r="K33" s="59"/>
      <c r="L33" s="87"/>
      <c r="M33" s="59"/>
      <c r="N33" s="59"/>
      <c r="O33" s="59"/>
      <c r="P33" s="223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145"/>
      <c r="CR33" s="145"/>
      <c r="CS33" s="145"/>
      <c r="CT33" s="145"/>
      <c r="CU33" s="145"/>
      <c r="CV33" s="145"/>
      <c r="CW33" s="145"/>
      <c r="CX33" s="145"/>
      <c r="CY33" s="145"/>
      <c r="CZ33" s="145"/>
      <c r="DA33" s="145"/>
      <c r="DB33" s="145"/>
      <c r="DC33" s="145"/>
      <c r="DD33" s="145"/>
      <c r="DE33" s="145"/>
      <c r="DF33" s="145"/>
      <c r="DG33" s="145"/>
      <c r="DH33" s="145"/>
      <c r="DI33" s="145"/>
    </row>
    <row r="34" spans="1:113" s="68" customFormat="1" ht="18" hidden="1" customHeight="1" outlineLevel="1" x14ac:dyDescent="0.3">
      <c r="A34" s="145"/>
      <c r="B34" s="39"/>
      <c r="C34" s="107">
        <v>2</v>
      </c>
      <c r="D34" s="222" t="s">
        <v>262</v>
      </c>
      <c r="E34" s="188">
        <f t="shared" ref="E34:E54" si="2">E33+5000</f>
        <v>20000</v>
      </c>
      <c r="F34" s="257"/>
      <c r="G34" s="257"/>
      <c r="H34" s="257"/>
      <c r="I34" s="257"/>
      <c r="J34" s="257"/>
      <c r="K34" s="59"/>
      <c r="L34" s="87"/>
      <c r="M34" s="59"/>
      <c r="N34" s="59"/>
      <c r="O34" s="59"/>
      <c r="P34" s="223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145"/>
      <c r="CR34" s="145"/>
      <c r="CS34" s="145"/>
      <c r="CT34" s="145"/>
      <c r="CU34" s="145"/>
      <c r="CV34" s="145"/>
      <c r="CW34" s="145"/>
      <c r="CX34" s="145"/>
      <c r="CY34" s="145"/>
      <c r="CZ34" s="145"/>
      <c r="DA34" s="145"/>
      <c r="DB34" s="145"/>
      <c r="DC34" s="145"/>
      <c r="DD34" s="145"/>
      <c r="DE34" s="145"/>
      <c r="DF34" s="145"/>
      <c r="DG34" s="145"/>
      <c r="DH34" s="145"/>
      <c r="DI34" s="145"/>
    </row>
    <row r="35" spans="1:113" s="68" customFormat="1" ht="18" hidden="1" customHeight="1" outlineLevel="1" x14ac:dyDescent="0.3">
      <c r="A35" s="145"/>
      <c r="B35" s="39"/>
      <c r="C35" s="107">
        <v>3</v>
      </c>
      <c r="D35" s="222" t="s">
        <v>263</v>
      </c>
      <c r="E35" s="188">
        <f t="shared" si="2"/>
        <v>25000</v>
      </c>
      <c r="F35" s="257"/>
      <c r="G35" s="257"/>
      <c r="H35" s="257"/>
      <c r="I35" s="257"/>
      <c r="J35" s="257"/>
      <c r="K35" s="59"/>
      <c r="L35" s="87"/>
      <c r="M35" s="59"/>
      <c r="N35" s="59"/>
      <c r="O35" s="5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145"/>
      <c r="CR35" s="145"/>
      <c r="CS35" s="145"/>
      <c r="CT35" s="145"/>
      <c r="CU35" s="145"/>
      <c r="CV35" s="145"/>
      <c r="CW35" s="145"/>
      <c r="CX35" s="145"/>
      <c r="CY35" s="145"/>
      <c r="CZ35" s="145"/>
      <c r="DA35" s="145"/>
      <c r="DB35" s="145"/>
      <c r="DC35" s="145"/>
      <c r="DD35" s="145"/>
      <c r="DE35" s="145"/>
      <c r="DF35" s="145"/>
      <c r="DG35" s="145"/>
      <c r="DH35" s="145"/>
      <c r="DI35" s="145"/>
    </row>
    <row r="36" spans="1:113" s="68" customFormat="1" ht="18" hidden="1" customHeight="1" outlineLevel="1" x14ac:dyDescent="0.3">
      <c r="A36" s="145"/>
      <c r="B36" s="39"/>
      <c r="C36" s="107">
        <v>4</v>
      </c>
      <c r="D36" s="222" t="s">
        <v>349</v>
      </c>
      <c r="E36" s="188">
        <f t="shared" si="2"/>
        <v>30000</v>
      </c>
      <c r="F36" s="257"/>
      <c r="G36" s="257"/>
      <c r="H36" s="257"/>
      <c r="I36" s="257"/>
      <c r="J36" s="257"/>
      <c r="K36" s="59"/>
      <c r="L36" s="87"/>
      <c r="M36" s="59"/>
      <c r="N36" s="59"/>
      <c r="O36" s="5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145"/>
      <c r="CR36" s="145"/>
      <c r="CS36" s="145"/>
      <c r="CT36" s="145"/>
      <c r="CU36" s="145"/>
      <c r="CV36" s="145"/>
      <c r="CW36" s="145"/>
      <c r="CX36" s="145"/>
      <c r="CY36" s="145"/>
      <c r="CZ36" s="145"/>
      <c r="DA36" s="145"/>
      <c r="DB36" s="145"/>
      <c r="DC36" s="145"/>
      <c r="DD36" s="145"/>
      <c r="DE36" s="145"/>
      <c r="DF36" s="145"/>
      <c r="DG36" s="145"/>
      <c r="DH36" s="145"/>
      <c r="DI36" s="145"/>
    </row>
    <row r="37" spans="1:113" s="68" customFormat="1" ht="18" hidden="1" customHeight="1" outlineLevel="1" x14ac:dyDescent="0.3">
      <c r="A37" s="145"/>
      <c r="B37" s="39"/>
      <c r="C37" s="107">
        <v>5</v>
      </c>
      <c r="D37" s="222" t="s">
        <v>350</v>
      </c>
      <c r="E37" s="188">
        <f t="shared" si="2"/>
        <v>35000</v>
      </c>
      <c r="F37" s="257"/>
      <c r="G37" s="257"/>
      <c r="H37" s="257"/>
      <c r="I37" s="257"/>
      <c r="J37" s="257"/>
      <c r="K37" s="59"/>
      <c r="L37" s="87"/>
      <c r="M37" s="59"/>
      <c r="N37" s="59"/>
      <c r="O37" s="5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145"/>
      <c r="CR37" s="145"/>
      <c r="CS37" s="145"/>
      <c r="CT37" s="145"/>
      <c r="CU37" s="145"/>
      <c r="CV37" s="145"/>
      <c r="CW37" s="145"/>
      <c r="CX37" s="145"/>
      <c r="CY37" s="145"/>
      <c r="CZ37" s="145"/>
      <c r="DA37" s="145"/>
      <c r="DB37" s="145"/>
      <c r="DC37" s="145"/>
      <c r="DD37" s="145"/>
      <c r="DE37" s="145"/>
      <c r="DF37" s="145"/>
      <c r="DG37" s="145"/>
      <c r="DH37" s="145"/>
      <c r="DI37" s="145"/>
    </row>
    <row r="38" spans="1:113" s="68" customFormat="1" ht="18" hidden="1" customHeight="1" outlineLevel="1" x14ac:dyDescent="0.3">
      <c r="A38" s="145"/>
      <c r="B38" s="39"/>
      <c r="C38" s="107">
        <v>6</v>
      </c>
      <c r="D38" s="222" t="s">
        <v>191</v>
      </c>
      <c r="E38" s="188">
        <f t="shared" si="2"/>
        <v>40000</v>
      </c>
      <c r="F38" s="257"/>
      <c r="G38" s="257"/>
      <c r="H38" s="257"/>
      <c r="I38" s="257"/>
      <c r="J38" s="257"/>
      <c r="K38" s="59"/>
      <c r="L38" s="87"/>
      <c r="M38" s="59"/>
      <c r="N38" s="59"/>
      <c r="O38" s="5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145"/>
      <c r="CR38" s="145"/>
      <c r="CS38" s="145"/>
      <c r="CT38" s="145"/>
      <c r="CU38" s="145"/>
      <c r="CV38" s="145"/>
      <c r="CW38" s="145"/>
      <c r="CX38" s="145"/>
      <c r="CY38" s="145"/>
      <c r="CZ38" s="145"/>
      <c r="DA38" s="145"/>
      <c r="DB38" s="145"/>
      <c r="DC38" s="145"/>
      <c r="DD38" s="145"/>
      <c r="DE38" s="145"/>
      <c r="DF38" s="145"/>
      <c r="DG38" s="145"/>
      <c r="DH38" s="145"/>
      <c r="DI38" s="145"/>
    </row>
    <row r="39" spans="1:113" s="68" customFormat="1" ht="18" hidden="1" customHeight="1" outlineLevel="1" x14ac:dyDescent="0.3">
      <c r="A39" s="145"/>
      <c r="B39" s="39"/>
      <c r="C39" s="107">
        <v>7</v>
      </c>
      <c r="D39" s="222" t="s">
        <v>191</v>
      </c>
      <c r="E39" s="188">
        <f t="shared" si="2"/>
        <v>45000</v>
      </c>
      <c r="F39" s="257"/>
      <c r="G39" s="257"/>
      <c r="H39" s="257"/>
      <c r="I39" s="257"/>
      <c r="J39" s="257"/>
      <c r="K39" s="59"/>
      <c r="L39" s="87"/>
      <c r="M39" s="59"/>
      <c r="N39" s="59"/>
      <c r="O39" s="5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145"/>
      <c r="CR39" s="145"/>
      <c r="CS39" s="145"/>
      <c r="CT39" s="145"/>
      <c r="CU39" s="145"/>
      <c r="CV39" s="145"/>
      <c r="CW39" s="145"/>
      <c r="CX39" s="145"/>
      <c r="CY39" s="145"/>
      <c r="CZ39" s="145"/>
      <c r="DA39" s="145"/>
      <c r="DB39" s="145"/>
      <c r="DC39" s="145"/>
      <c r="DD39" s="145"/>
      <c r="DE39" s="145"/>
      <c r="DF39" s="145"/>
      <c r="DG39" s="145"/>
      <c r="DH39" s="145"/>
      <c r="DI39" s="145"/>
    </row>
    <row r="40" spans="1:113" s="68" customFormat="1" ht="18" hidden="1" customHeight="1" outlineLevel="1" x14ac:dyDescent="0.3">
      <c r="A40" s="145"/>
      <c r="B40" s="39"/>
      <c r="C40" s="107">
        <v>8</v>
      </c>
      <c r="D40" s="222" t="s">
        <v>191</v>
      </c>
      <c r="E40" s="188">
        <f t="shared" si="2"/>
        <v>50000</v>
      </c>
      <c r="F40" s="124"/>
      <c r="G40" s="124"/>
      <c r="H40" s="124"/>
      <c r="I40" s="124"/>
      <c r="J40" s="124"/>
      <c r="K40" s="59"/>
      <c r="L40" s="87"/>
      <c r="M40" s="59"/>
      <c r="N40" s="59"/>
      <c r="O40" s="5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145"/>
      <c r="CR40" s="145"/>
      <c r="CS40" s="145"/>
      <c r="CT40" s="145"/>
      <c r="CU40" s="145"/>
      <c r="CV40" s="145"/>
      <c r="CW40" s="145"/>
      <c r="CX40" s="145"/>
      <c r="CY40" s="145"/>
      <c r="CZ40" s="145"/>
      <c r="DA40" s="145"/>
      <c r="DB40" s="145"/>
      <c r="DC40" s="145"/>
      <c r="DD40" s="145"/>
      <c r="DE40" s="145"/>
      <c r="DF40" s="145"/>
      <c r="DG40" s="145"/>
      <c r="DH40" s="145"/>
      <c r="DI40" s="145"/>
    </row>
    <row r="41" spans="1:113" s="68" customFormat="1" ht="18" hidden="1" customHeight="1" outlineLevel="1" x14ac:dyDescent="0.3">
      <c r="A41" s="145"/>
      <c r="B41" s="39"/>
      <c r="C41" s="107">
        <v>9</v>
      </c>
      <c r="D41" s="222" t="s">
        <v>191</v>
      </c>
      <c r="E41" s="188">
        <f t="shared" si="2"/>
        <v>55000</v>
      </c>
      <c r="F41" s="257"/>
      <c r="G41" s="257"/>
      <c r="H41" s="257"/>
      <c r="I41" s="257"/>
      <c r="J41" s="257"/>
      <c r="K41" s="59"/>
      <c r="L41" s="87"/>
      <c r="M41" s="59"/>
      <c r="N41" s="59"/>
      <c r="O41" s="5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145"/>
      <c r="CR41" s="145"/>
      <c r="CS41" s="145"/>
      <c r="CT41" s="145"/>
      <c r="CU41" s="145"/>
      <c r="CV41" s="145"/>
      <c r="CW41" s="145"/>
      <c r="CX41" s="145"/>
      <c r="CY41" s="145"/>
      <c r="CZ41" s="145"/>
      <c r="DA41" s="145"/>
      <c r="DB41" s="145"/>
      <c r="DC41" s="145"/>
      <c r="DD41" s="145"/>
      <c r="DE41" s="145"/>
      <c r="DF41" s="145"/>
      <c r="DG41" s="145"/>
      <c r="DH41" s="145"/>
      <c r="DI41" s="145"/>
    </row>
    <row r="42" spans="1:113" s="228" customFormat="1" ht="18" hidden="1" customHeight="1" outlineLevel="1" x14ac:dyDescent="0.3">
      <c r="A42" s="226"/>
      <c r="B42" s="39"/>
      <c r="C42" s="107">
        <v>10</v>
      </c>
      <c r="D42" s="222" t="s">
        <v>191</v>
      </c>
      <c r="E42" s="188">
        <f t="shared" si="2"/>
        <v>60000</v>
      </c>
      <c r="F42" s="257"/>
      <c r="G42" s="257"/>
      <c r="H42" s="257"/>
      <c r="I42" s="257"/>
      <c r="J42" s="257"/>
      <c r="K42" s="59"/>
      <c r="L42" s="87"/>
      <c r="M42" s="59"/>
      <c r="N42" s="59"/>
      <c r="O42" s="5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226"/>
      <c r="CR42" s="226"/>
      <c r="CS42" s="226"/>
      <c r="CT42" s="226"/>
      <c r="CU42" s="226"/>
      <c r="CV42" s="226"/>
      <c r="CW42" s="226"/>
      <c r="CX42" s="226"/>
      <c r="CY42" s="226"/>
      <c r="CZ42" s="226"/>
      <c r="DA42" s="226"/>
      <c r="DB42" s="226"/>
      <c r="DC42" s="226"/>
      <c r="DD42" s="226"/>
      <c r="DE42" s="226"/>
      <c r="DF42" s="226"/>
      <c r="DG42" s="226"/>
      <c r="DH42" s="226"/>
      <c r="DI42" s="226"/>
    </row>
    <row r="43" spans="1:113" s="228" customFormat="1" ht="18" hidden="1" customHeight="1" outlineLevel="1" x14ac:dyDescent="0.3">
      <c r="A43" s="226"/>
      <c r="B43" s="39"/>
      <c r="C43" s="107">
        <v>11</v>
      </c>
      <c r="D43" s="222" t="s">
        <v>191</v>
      </c>
      <c r="E43" s="188">
        <f t="shared" si="2"/>
        <v>65000</v>
      </c>
      <c r="F43" s="257"/>
      <c r="G43" s="257"/>
      <c r="H43" s="257"/>
      <c r="I43" s="257"/>
      <c r="J43" s="257"/>
      <c r="K43" s="59"/>
      <c r="L43" s="87"/>
      <c r="M43" s="59"/>
      <c r="N43" s="59"/>
      <c r="O43" s="5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226"/>
      <c r="CR43" s="226"/>
      <c r="CS43" s="226"/>
      <c r="CT43" s="226"/>
      <c r="CU43" s="226"/>
      <c r="CV43" s="226"/>
      <c r="CW43" s="226"/>
      <c r="CX43" s="226"/>
      <c r="CY43" s="226"/>
      <c r="CZ43" s="226"/>
      <c r="DA43" s="226"/>
      <c r="DB43" s="226"/>
      <c r="DC43" s="226"/>
      <c r="DD43" s="226"/>
      <c r="DE43" s="226"/>
      <c r="DF43" s="226"/>
      <c r="DG43" s="226"/>
      <c r="DH43" s="226"/>
      <c r="DI43" s="226"/>
    </row>
    <row r="44" spans="1:113" s="228" customFormat="1" ht="18" hidden="1" customHeight="1" outlineLevel="1" x14ac:dyDescent="0.3">
      <c r="A44" s="226"/>
      <c r="B44" s="39"/>
      <c r="C44" s="107">
        <v>12</v>
      </c>
      <c r="D44" s="222" t="s">
        <v>191</v>
      </c>
      <c r="E44" s="188">
        <f t="shared" si="2"/>
        <v>70000</v>
      </c>
      <c r="F44" s="257"/>
      <c r="G44" s="257"/>
      <c r="H44" s="257"/>
      <c r="I44" s="257"/>
      <c r="J44" s="257"/>
      <c r="K44" s="59"/>
      <c r="L44" s="87"/>
      <c r="M44" s="59"/>
      <c r="N44" s="59"/>
      <c r="O44" s="5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226"/>
      <c r="CR44" s="226"/>
      <c r="CS44" s="226"/>
      <c r="CT44" s="226"/>
      <c r="CU44" s="226"/>
      <c r="CV44" s="226"/>
      <c r="CW44" s="226"/>
      <c r="CX44" s="226"/>
      <c r="CY44" s="226"/>
      <c r="CZ44" s="226"/>
      <c r="DA44" s="226"/>
      <c r="DB44" s="226"/>
      <c r="DC44" s="226"/>
      <c r="DD44" s="226"/>
      <c r="DE44" s="226"/>
      <c r="DF44" s="226"/>
      <c r="DG44" s="226"/>
      <c r="DH44" s="226"/>
      <c r="DI44" s="226"/>
    </row>
    <row r="45" spans="1:113" s="224" customFormat="1" ht="18" hidden="1" customHeight="1" outlineLevel="1" x14ac:dyDescent="0.3">
      <c r="A45" s="221"/>
      <c r="B45" s="39"/>
      <c r="C45" s="107">
        <v>13</v>
      </c>
      <c r="D45" s="222" t="s">
        <v>191</v>
      </c>
      <c r="E45" s="188">
        <f t="shared" si="2"/>
        <v>75000</v>
      </c>
      <c r="F45" s="257"/>
      <c r="G45" s="257"/>
      <c r="H45" s="257"/>
      <c r="I45" s="257"/>
      <c r="J45" s="257"/>
      <c r="K45" s="59"/>
      <c r="L45" s="87"/>
      <c r="M45" s="59"/>
      <c r="N45" s="59"/>
      <c r="O45" s="5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221"/>
      <c r="CR45" s="221"/>
      <c r="CS45" s="221"/>
      <c r="CT45" s="221"/>
      <c r="CU45" s="221"/>
      <c r="CV45" s="221"/>
      <c r="CW45" s="221"/>
      <c r="CX45" s="221"/>
      <c r="CY45" s="221"/>
      <c r="CZ45" s="221"/>
      <c r="DA45" s="221"/>
      <c r="DB45" s="221"/>
      <c r="DC45" s="221"/>
      <c r="DD45" s="221"/>
      <c r="DE45" s="221"/>
      <c r="DF45" s="221"/>
      <c r="DG45" s="221"/>
      <c r="DH45" s="221"/>
      <c r="DI45" s="221"/>
    </row>
    <row r="46" spans="1:113" s="224" customFormat="1" ht="18" hidden="1" customHeight="1" outlineLevel="1" x14ac:dyDescent="0.3">
      <c r="A46" s="221"/>
      <c r="B46" s="39"/>
      <c r="C46" s="107">
        <v>14</v>
      </c>
      <c r="D46" s="222" t="s">
        <v>191</v>
      </c>
      <c r="E46" s="188">
        <f t="shared" si="2"/>
        <v>80000</v>
      </c>
      <c r="F46" s="257"/>
      <c r="G46" s="257"/>
      <c r="H46" s="257"/>
      <c r="I46" s="257"/>
      <c r="J46" s="257"/>
      <c r="K46" s="59"/>
      <c r="L46" s="87"/>
      <c r="M46" s="59"/>
      <c r="N46" s="59"/>
      <c r="O46" s="5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221"/>
      <c r="CR46" s="221"/>
      <c r="CS46" s="221"/>
      <c r="CT46" s="221"/>
      <c r="CU46" s="221"/>
      <c r="CV46" s="221"/>
      <c r="CW46" s="221"/>
      <c r="CX46" s="221"/>
      <c r="CY46" s="221"/>
      <c r="CZ46" s="221"/>
      <c r="DA46" s="221"/>
      <c r="DB46" s="221"/>
      <c r="DC46" s="221"/>
      <c r="DD46" s="221"/>
      <c r="DE46" s="221"/>
      <c r="DF46" s="221"/>
      <c r="DG46" s="221"/>
      <c r="DH46" s="221"/>
      <c r="DI46" s="221"/>
    </row>
    <row r="47" spans="1:113" s="224" customFormat="1" ht="18" hidden="1" customHeight="1" outlineLevel="1" x14ac:dyDescent="0.3">
      <c r="A47" s="221"/>
      <c r="B47" s="39"/>
      <c r="C47" s="107">
        <v>15</v>
      </c>
      <c r="D47" s="222" t="s">
        <v>191</v>
      </c>
      <c r="E47" s="188">
        <f t="shared" si="2"/>
        <v>85000</v>
      </c>
      <c r="F47" s="257"/>
      <c r="G47" s="257"/>
      <c r="H47" s="257"/>
      <c r="I47" s="257"/>
      <c r="J47" s="257"/>
      <c r="K47" s="59"/>
      <c r="L47" s="87"/>
      <c r="M47" s="59"/>
      <c r="N47" s="59"/>
      <c r="O47" s="5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221"/>
      <c r="CR47" s="221"/>
      <c r="CS47" s="221"/>
      <c r="CT47" s="221"/>
      <c r="CU47" s="221"/>
      <c r="CV47" s="221"/>
      <c r="CW47" s="221"/>
      <c r="CX47" s="221"/>
      <c r="CY47" s="221"/>
      <c r="CZ47" s="221"/>
      <c r="DA47" s="221"/>
      <c r="DB47" s="221"/>
      <c r="DC47" s="221"/>
      <c r="DD47" s="221"/>
      <c r="DE47" s="221"/>
      <c r="DF47" s="221"/>
      <c r="DG47" s="221"/>
      <c r="DH47" s="221"/>
      <c r="DI47" s="221"/>
    </row>
    <row r="48" spans="1:113" s="224" customFormat="1" ht="18" hidden="1" customHeight="1" outlineLevel="1" x14ac:dyDescent="0.3">
      <c r="A48" s="221"/>
      <c r="B48" s="39"/>
      <c r="C48" s="107">
        <v>16</v>
      </c>
      <c r="D48" s="222" t="s">
        <v>191</v>
      </c>
      <c r="E48" s="188">
        <f t="shared" si="2"/>
        <v>90000</v>
      </c>
      <c r="F48" s="257"/>
      <c r="G48" s="257"/>
      <c r="H48" s="257"/>
      <c r="I48" s="257"/>
      <c r="J48" s="257"/>
      <c r="K48" s="59"/>
      <c r="L48" s="87"/>
      <c r="M48" s="59"/>
      <c r="N48" s="59"/>
      <c r="O48" s="5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221"/>
      <c r="CR48" s="221"/>
      <c r="CS48" s="221"/>
      <c r="CT48" s="221"/>
      <c r="CU48" s="221"/>
      <c r="CV48" s="221"/>
      <c r="CW48" s="221"/>
      <c r="CX48" s="221"/>
      <c r="CY48" s="221"/>
      <c r="CZ48" s="221"/>
      <c r="DA48" s="221"/>
      <c r="DB48" s="221"/>
      <c r="DC48" s="221"/>
      <c r="DD48" s="221"/>
      <c r="DE48" s="221"/>
      <c r="DF48" s="221"/>
      <c r="DG48" s="221"/>
      <c r="DH48" s="221"/>
      <c r="DI48" s="221"/>
    </row>
    <row r="49" spans="1:113" s="224" customFormat="1" ht="18" hidden="1" customHeight="1" outlineLevel="1" x14ac:dyDescent="0.3">
      <c r="A49" s="221"/>
      <c r="B49" s="39"/>
      <c r="C49" s="107">
        <v>17</v>
      </c>
      <c r="D49" s="222" t="s">
        <v>191</v>
      </c>
      <c r="E49" s="188">
        <f t="shared" si="2"/>
        <v>95000</v>
      </c>
      <c r="F49" s="257"/>
      <c r="G49" s="257"/>
      <c r="H49" s="257"/>
      <c r="I49" s="257"/>
      <c r="J49" s="257"/>
      <c r="K49" s="59"/>
      <c r="L49" s="87"/>
      <c r="M49" s="59"/>
      <c r="N49" s="59"/>
      <c r="O49" s="5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221"/>
      <c r="CR49" s="221"/>
      <c r="CS49" s="221"/>
      <c r="CT49" s="221"/>
      <c r="CU49" s="221"/>
      <c r="CV49" s="221"/>
      <c r="CW49" s="221"/>
      <c r="CX49" s="221"/>
      <c r="CY49" s="221"/>
      <c r="CZ49" s="221"/>
      <c r="DA49" s="221"/>
      <c r="DB49" s="221"/>
      <c r="DC49" s="221"/>
      <c r="DD49" s="221"/>
      <c r="DE49" s="221"/>
      <c r="DF49" s="221"/>
      <c r="DG49" s="221"/>
      <c r="DH49" s="221"/>
      <c r="DI49" s="221"/>
    </row>
    <row r="50" spans="1:113" s="224" customFormat="1" ht="18" hidden="1" customHeight="1" outlineLevel="1" x14ac:dyDescent="0.3">
      <c r="A50" s="221"/>
      <c r="B50" s="39"/>
      <c r="C50" s="107">
        <v>18</v>
      </c>
      <c r="D50" s="222" t="s">
        <v>191</v>
      </c>
      <c r="E50" s="188">
        <f t="shared" si="2"/>
        <v>100000</v>
      </c>
      <c r="F50" s="257"/>
      <c r="G50" s="257"/>
      <c r="H50" s="257"/>
      <c r="I50" s="257"/>
      <c r="J50" s="257"/>
      <c r="K50" s="59"/>
      <c r="L50" s="87"/>
      <c r="M50" s="59"/>
      <c r="N50" s="59"/>
      <c r="O50" s="5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221"/>
      <c r="CR50" s="221"/>
      <c r="CS50" s="221"/>
      <c r="CT50" s="221"/>
      <c r="CU50" s="221"/>
      <c r="CV50" s="221"/>
      <c r="CW50" s="221"/>
      <c r="CX50" s="221"/>
      <c r="CY50" s="221"/>
      <c r="CZ50" s="221"/>
      <c r="DA50" s="221"/>
      <c r="DB50" s="221"/>
      <c r="DC50" s="221"/>
      <c r="DD50" s="221"/>
      <c r="DE50" s="221"/>
      <c r="DF50" s="221"/>
      <c r="DG50" s="221"/>
      <c r="DH50" s="221"/>
      <c r="DI50" s="221"/>
    </row>
    <row r="51" spans="1:113" s="224" customFormat="1" ht="18" hidden="1" customHeight="1" outlineLevel="1" x14ac:dyDescent="0.3">
      <c r="A51" s="221"/>
      <c r="B51" s="39"/>
      <c r="C51" s="107">
        <v>19</v>
      </c>
      <c r="D51" s="222" t="s">
        <v>191</v>
      </c>
      <c r="E51" s="188">
        <f t="shared" si="2"/>
        <v>105000</v>
      </c>
      <c r="F51" s="257"/>
      <c r="G51" s="257"/>
      <c r="H51" s="257"/>
      <c r="I51" s="257"/>
      <c r="J51" s="257"/>
      <c r="K51" s="59"/>
      <c r="L51" s="87"/>
      <c r="M51" s="59"/>
      <c r="N51" s="59"/>
      <c r="O51" s="5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221"/>
      <c r="CR51" s="221"/>
      <c r="CS51" s="221"/>
      <c r="CT51" s="221"/>
      <c r="CU51" s="221"/>
      <c r="CV51" s="221"/>
      <c r="CW51" s="221"/>
      <c r="CX51" s="221"/>
      <c r="CY51" s="221"/>
      <c r="CZ51" s="221"/>
      <c r="DA51" s="221"/>
      <c r="DB51" s="221"/>
      <c r="DC51" s="221"/>
      <c r="DD51" s="221"/>
      <c r="DE51" s="221"/>
      <c r="DF51" s="221"/>
      <c r="DG51" s="221"/>
      <c r="DH51" s="221"/>
      <c r="DI51" s="221"/>
    </row>
    <row r="52" spans="1:113" s="224" customFormat="1" ht="18" hidden="1" customHeight="1" outlineLevel="1" x14ac:dyDescent="0.3">
      <c r="A52" s="221"/>
      <c r="B52" s="39"/>
      <c r="C52" s="107">
        <v>20</v>
      </c>
      <c r="D52" s="222" t="s">
        <v>191</v>
      </c>
      <c r="E52" s="188">
        <f t="shared" si="2"/>
        <v>110000</v>
      </c>
      <c r="F52" s="257"/>
      <c r="G52" s="257"/>
      <c r="H52" s="257"/>
      <c r="I52" s="257"/>
      <c r="J52" s="257"/>
      <c r="K52" s="59"/>
      <c r="L52" s="87"/>
      <c r="M52" s="59"/>
      <c r="N52" s="59"/>
      <c r="O52" s="5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221"/>
      <c r="CR52" s="221"/>
      <c r="CS52" s="221"/>
      <c r="CT52" s="221"/>
      <c r="CU52" s="221"/>
      <c r="CV52" s="221"/>
      <c r="CW52" s="221"/>
      <c r="CX52" s="221"/>
      <c r="CY52" s="221"/>
      <c r="CZ52" s="221"/>
      <c r="DA52" s="221"/>
      <c r="DB52" s="221"/>
      <c r="DC52" s="221"/>
      <c r="DD52" s="221"/>
      <c r="DE52" s="221"/>
      <c r="DF52" s="221"/>
      <c r="DG52" s="221"/>
      <c r="DH52" s="221"/>
      <c r="DI52" s="221"/>
    </row>
    <row r="53" spans="1:113" s="224" customFormat="1" ht="18" hidden="1" customHeight="1" outlineLevel="1" x14ac:dyDescent="0.3">
      <c r="A53" s="221"/>
      <c r="B53" s="39"/>
      <c r="C53" s="107">
        <v>21</v>
      </c>
      <c r="D53" s="222" t="s">
        <v>191</v>
      </c>
      <c r="E53" s="188">
        <f t="shared" si="2"/>
        <v>115000</v>
      </c>
      <c r="F53" s="257"/>
      <c r="G53" s="257"/>
      <c r="H53" s="257"/>
      <c r="I53" s="257"/>
      <c r="J53" s="257"/>
      <c r="K53" s="59"/>
      <c r="L53" s="87"/>
      <c r="M53" s="59"/>
      <c r="N53" s="59"/>
      <c r="O53" s="5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221"/>
      <c r="CR53" s="221"/>
      <c r="CS53" s="221"/>
      <c r="CT53" s="221"/>
      <c r="CU53" s="221"/>
      <c r="CV53" s="221"/>
      <c r="CW53" s="221"/>
      <c r="CX53" s="221"/>
      <c r="CY53" s="221"/>
      <c r="CZ53" s="221"/>
      <c r="DA53" s="221"/>
      <c r="DB53" s="221"/>
      <c r="DC53" s="221"/>
      <c r="DD53" s="221"/>
      <c r="DE53" s="221"/>
      <c r="DF53" s="221"/>
      <c r="DG53" s="221"/>
      <c r="DH53" s="221"/>
      <c r="DI53" s="221"/>
    </row>
    <row r="54" spans="1:113" s="224" customFormat="1" ht="18" hidden="1" customHeight="1" outlineLevel="1" x14ac:dyDescent="0.3">
      <c r="A54" s="221"/>
      <c r="B54" s="39"/>
      <c r="C54" s="107">
        <v>22</v>
      </c>
      <c r="D54" s="222" t="s">
        <v>191</v>
      </c>
      <c r="E54" s="188">
        <f t="shared" si="2"/>
        <v>120000</v>
      </c>
      <c r="F54" s="257"/>
      <c r="G54" s="257"/>
      <c r="H54" s="257"/>
      <c r="I54" s="257"/>
      <c r="J54" s="257"/>
      <c r="K54" s="59"/>
      <c r="L54" s="87"/>
      <c r="M54" s="59"/>
      <c r="N54" s="59"/>
      <c r="O54" s="5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221"/>
      <c r="CR54" s="221"/>
      <c r="CS54" s="221"/>
      <c r="CT54" s="221"/>
      <c r="CU54" s="221"/>
      <c r="CV54" s="221"/>
      <c r="CW54" s="221"/>
      <c r="CX54" s="221"/>
      <c r="CY54" s="221"/>
      <c r="CZ54" s="221"/>
      <c r="DA54" s="221"/>
      <c r="DB54" s="221"/>
      <c r="DC54" s="221"/>
      <c r="DD54" s="221"/>
      <c r="DE54" s="221"/>
      <c r="DF54" s="221"/>
      <c r="DG54" s="221"/>
      <c r="DH54" s="221"/>
      <c r="DI54" s="221"/>
    </row>
    <row r="55" spans="1:113" s="2" customFormat="1" ht="4.5" customHeight="1" collapsed="1" thickBot="1" x14ac:dyDescent="0.35">
      <c r="A55" s="150"/>
      <c r="B55" s="144"/>
      <c r="C55" s="161"/>
      <c r="D55" s="144"/>
      <c r="E55" s="161"/>
      <c r="F55" s="161"/>
      <c r="G55" s="161"/>
      <c r="H55" s="380"/>
      <c r="I55" s="380"/>
      <c r="J55" s="380"/>
      <c r="K55" s="161"/>
      <c r="L55" s="159"/>
      <c r="M55" s="161"/>
      <c r="N55" s="161"/>
      <c r="O55" s="161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144"/>
      <c r="CR55" s="144"/>
      <c r="CS55" s="144"/>
      <c r="CT55" s="144"/>
      <c r="CU55" s="144"/>
      <c r="CV55" s="144"/>
      <c r="CW55" s="144"/>
      <c r="CX55" s="144"/>
      <c r="CY55" s="144"/>
      <c r="CZ55" s="144"/>
      <c r="DA55" s="144"/>
      <c r="DB55" s="144"/>
      <c r="DC55" s="144"/>
      <c r="DD55" s="144"/>
      <c r="DE55" s="144"/>
      <c r="DF55" s="144"/>
      <c r="DG55" s="144"/>
      <c r="DH55" s="144"/>
      <c r="DI55" s="144"/>
    </row>
    <row r="56" spans="1:113" s="2" customFormat="1" ht="19.5" thickBot="1" x14ac:dyDescent="0.35">
      <c r="A56" s="150"/>
      <c r="B56" s="485" t="s">
        <v>186</v>
      </c>
      <c r="C56" s="486"/>
      <c r="D56" s="486"/>
      <c r="E56" s="486"/>
      <c r="F56" s="487"/>
      <c r="G56" s="161"/>
      <c r="H56" s="380"/>
      <c r="I56" s="525" t="s">
        <v>345</v>
      </c>
      <c r="J56" s="526"/>
      <c r="K56" s="527"/>
      <c r="L56" s="528" t="s">
        <v>346</v>
      </c>
      <c r="M56" s="529"/>
      <c r="N56" s="528" t="s">
        <v>347</v>
      </c>
      <c r="O56" s="52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144"/>
      <c r="CR56" s="144"/>
      <c r="CS56" s="144"/>
      <c r="CT56" s="144"/>
      <c r="CU56" s="144"/>
      <c r="CV56" s="144"/>
      <c r="CW56" s="144"/>
      <c r="CX56" s="144"/>
      <c r="CY56" s="144"/>
      <c r="CZ56" s="144"/>
      <c r="DA56" s="144"/>
      <c r="DB56" s="144"/>
      <c r="DC56" s="144"/>
      <c r="DD56" s="144"/>
      <c r="DE56" s="144"/>
      <c r="DF56" s="144"/>
      <c r="DG56" s="144"/>
      <c r="DH56" s="144"/>
      <c r="DI56" s="144"/>
    </row>
    <row r="57" spans="1:113" s="2" customFormat="1" ht="18.75" x14ac:dyDescent="0.3">
      <c r="A57" s="150"/>
      <c r="B57" s="144"/>
      <c r="C57" s="161"/>
      <c r="D57" s="144"/>
      <c r="E57" s="161"/>
      <c r="F57" s="161"/>
      <c r="G57" s="161"/>
      <c r="H57" s="380"/>
      <c r="I57" s="445" t="s">
        <v>17</v>
      </c>
      <c r="J57" s="446" t="s">
        <v>188</v>
      </c>
      <c r="K57" s="447" t="s">
        <v>187</v>
      </c>
      <c r="L57" s="464" t="s">
        <v>17</v>
      </c>
      <c r="M57" s="447" t="s">
        <v>17</v>
      </c>
      <c r="N57" s="473" t="s">
        <v>17</v>
      </c>
      <c r="O57" s="474" t="s">
        <v>17</v>
      </c>
      <c r="P57" s="39"/>
      <c r="Q57" s="39"/>
      <c r="R57" s="39"/>
      <c r="S57" s="39"/>
      <c r="T57" s="39"/>
      <c r="U57" s="39"/>
      <c r="V57" s="39"/>
      <c r="W57" s="39"/>
      <c r="X57" s="530" t="s">
        <v>112</v>
      </c>
      <c r="Y57" s="530"/>
      <c r="Z57" s="39"/>
      <c r="AA57" s="39"/>
      <c r="AB57" s="39"/>
      <c r="AC57" s="39"/>
      <c r="AD57" s="39"/>
      <c r="AE57" s="531" t="s">
        <v>183</v>
      </c>
      <c r="AF57" s="531"/>
      <c r="AG57" s="532" t="s">
        <v>184</v>
      </c>
      <c r="AH57" s="532"/>
      <c r="AI57" s="533" t="s">
        <v>109</v>
      </c>
      <c r="AJ57" s="534"/>
      <c r="AK57" s="534"/>
      <c r="AL57" s="535"/>
      <c r="AM57" s="533" t="s">
        <v>110</v>
      </c>
      <c r="AN57" s="534"/>
      <c r="AO57" s="534"/>
      <c r="AP57" s="535"/>
      <c r="AQ57" s="39"/>
      <c r="AR57" s="39"/>
      <c r="AS57" s="521" t="s">
        <v>325</v>
      </c>
      <c r="AT57" s="521"/>
      <c r="AU57" s="521"/>
      <c r="AV57" s="521"/>
      <c r="AW57" s="521"/>
      <c r="AX57" s="521"/>
      <c r="AY57" s="521"/>
      <c r="AZ57" s="521"/>
      <c r="BA57" s="522" t="s">
        <v>326</v>
      </c>
      <c r="BB57" s="523"/>
      <c r="BC57" s="523"/>
      <c r="BD57" s="523"/>
      <c r="BE57" s="523"/>
      <c r="BF57" s="523"/>
      <c r="BG57" s="523"/>
      <c r="BH57" s="524"/>
      <c r="BI57" s="522" t="s">
        <v>158</v>
      </c>
      <c r="BJ57" s="523"/>
      <c r="BK57" s="523"/>
      <c r="BL57" s="523"/>
      <c r="BM57" s="523"/>
      <c r="BN57" s="523"/>
      <c r="BO57" s="523"/>
      <c r="BP57" s="524"/>
      <c r="BQ57" s="522" t="s">
        <v>146</v>
      </c>
      <c r="BR57" s="523"/>
      <c r="BS57" s="523"/>
      <c r="BT57" s="523"/>
      <c r="BU57" s="523"/>
      <c r="BV57" s="523"/>
      <c r="BW57" s="523"/>
      <c r="BX57" s="524"/>
      <c r="BY57" s="522" t="s">
        <v>103</v>
      </c>
      <c r="BZ57" s="523"/>
      <c r="CA57" s="523"/>
      <c r="CB57" s="524"/>
      <c r="CC57" s="522" t="s">
        <v>48</v>
      </c>
      <c r="CD57" s="523"/>
      <c r="CE57" s="523"/>
      <c r="CF57" s="524"/>
      <c r="CG57" s="522" t="s">
        <v>50</v>
      </c>
      <c r="CH57" s="523"/>
      <c r="CI57" s="523"/>
      <c r="CJ57" s="523"/>
      <c r="CK57" s="524"/>
      <c r="CL57" s="521" t="s">
        <v>49</v>
      </c>
      <c r="CM57" s="521"/>
      <c r="CN57" s="521"/>
      <c r="CO57" s="521"/>
      <c r="CP57" s="521"/>
      <c r="CQ57" s="144"/>
      <c r="CR57" s="144"/>
      <c r="CS57" s="144"/>
      <c r="CT57" s="144"/>
      <c r="CU57" s="144"/>
      <c r="CV57" s="144"/>
      <c r="CW57" s="144"/>
      <c r="CX57" s="144"/>
      <c r="CY57" s="144"/>
      <c r="CZ57" s="144"/>
      <c r="DA57" s="144"/>
      <c r="DB57" s="144"/>
      <c r="DC57" s="144"/>
      <c r="DD57" s="144"/>
      <c r="DE57" s="144"/>
      <c r="DF57" s="144"/>
      <c r="DG57" s="144"/>
      <c r="DH57" s="144"/>
      <c r="DI57" s="144"/>
    </row>
    <row r="58" spans="1:113" s="86" customFormat="1" ht="30" x14ac:dyDescent="0.3">
      <c r="A58" s="151"/>
      <c r="B58" s="159"/>
      <c r="C58" s="159"/>
      <c r="D58" s="159"/>
      <c r="E58" s="159"/>
      <c r="F58" s="159"/>
      <c r="G58" s="409" t="s">
        <v>32</v>
      </c>
      <c r="H58" s="409" t="s">
        <v>15</v>
      </c>
      <c r="I58" s="448" t="s">
        <v>83</v>
      </c>
      <c r="J58" s="449" t="s">
        <v>83</v>
      </c>
      <c r="K58" s="450" t="s">
        <v>83</v>
      </c>
      <c r="L58" s="465" t="s">
        <v>81</v>
      </c>
      <c r="M58" s="450" t="s">
        <v>82</v>
      </c>
      <c r="N58" s="475" t="s">
        <v>244</v>
      </c>
      <c r="O58" s="476" t="s">
        <v>245</v>
      </c>
      <c r="P58" s="87"/>
      <c r="Q58" s="83" t="s">
        <v>32</v>
      </c>
      <c r="R58" s="83" t="s">
        <v>33</v>
      </c>
      <c r="S58" s="83" t="s">
        <v>15</v>
      </c>
      <c r="T58" s="83" t="s">
        <v>35</v>
      </c>
      <c r="U58" s="83" t="s">
        <v>34</v>
      </c>
      <c r="V58" s="83" t="s">
        <v>36</v>
      </c>
      <c r="W58" s="83" t="s">
        <v>37</v>
      </c>
      <c r="X58" s="83" t="s">
        <v>38</v>
      </c>
      <c r="Y58" s="83" t="s">
        <v>41</v>
      </c>
      <c r="Z58" s="83" t="s">
        <v>45</v>
      </c>
      <c r="AA58" s="83" t="s">
        <v>40</v>
      </c>
      <c r="AB58" s="84" t="s">
        <v>42</v>
      </c>
      <c r="AC58" s="83" t="s">
        <v>47</v>
      </c>
      <c r="AD58" s="83" t="s">
        <v>46</v>
      </c>
      <c r="AE58" s="252" t="s">
        <v>111</v>
      </c>
      <c r="AF58" s="313" t="s">
        <v>41</v>
      </c>
      <c r="AG58" s="253" t="s">
        <v>111</v>
      </c>
      <c r="AH58" s="314" t="s">
        <v>41</v>
      </c>
      <c r="AI58" s="83" t="s">
        <v>111</v>
      </c>
      <c r="AJ58" s="85" t="s">
        <v>39</v>
      </c>
      <c r="AK58" s="83" t="s">
        <v>41</v>
      </c>
      <c r="AL58" s="85" t="s">
        <v>39</v>
      </c>
      <c r="AM58" s="83" t="s">
        <v>111</v>
      </c>
      <c r="AN58" s="85" t="s">
        <v>39</v>
      </c>
      <c r="AO58" s="83" t="s">
        <v>41</v>
      </c>
      <c r="AP58" s="85" t="s">
        <v>39</v>
      </c>
      <c r="AQ58" s="83" t="s">
        <v>43</v>
      </c>
      <c r="AR58" s="83" t="s">
        <v>44</v>
      </c>
      <c r="AS58" s="83" t="s">
        <v>17</v>
      </c>
      <c r="AT58" s="83" t="s">
        <v>16</v>
      </c>
      <c r="AU58" s="83"/>
      <c r="AV58" s="83"/>
      <c r="AW58" s="83" t="s">
        <v>17</v>
      </c>
      <c r="AX58" s="83" t="s">
        <v>79</v>
      </c>
      <c r="AY58" s="84" t="s">
        <v>16</v>
      </c>
      <c r="AZ58" s="84" t="s">
        <v>80</v>
      </c>
      <c r="BA58" s="83" t="s">
        <v>17</v>
      </c>
      <c r="BB58" s="83" t="s">
        <v>16</v>
      </c>
      <c r="BC58" s="83"/>
      <c r="BD58" s="83" t="s">
        <v>17</v>
      </c>
      <c r="BE58" s="83" t="s">
        <v>79</v>
      </c>
      <c r="BF58" s="83"/>
      <c r="BG58" s="84" t="s">
        <v>16</v>
      </c>
      <c r="BH58" s="84" t="s">
        <v>80</v>
      </c>
      <c r="BI58" s="83" t="s">
        <v>17</v>
      </c>
      <c r="BJ58" s="83" t="s">
        <v>16</v>
      </c>
      <c r="BK58" s="83"/>
      <c r="BL58" s="83" t="s">
        <v>17</v>
      </c>
      <c r="BM58" s="83" t="s">
        <v>79</v>
      </c>
      <c r="BN58" s="83"/>
      <c r="BO58" s="84" t="s">
        <v>16</v>
      </c>
      <c r="BP58" s="84" t="s">
        <v>80</v>
      </c>
      <c r="BQ58" s="83" t="s">
        <v>17</v>
      </c>
      <c r="BR58" s="83" t="s">
        <v>16</v>
      </c>
      <c r="BS58" s="83"/>
      <c r="BT58" s="83" t="s">
        <v>17</v>
      </c>
      <c r="BU58" s="83" t="s">
        <v>79</v>
      </c>
      <c r="BV58" s="83"/>
      <c r="BW58" s="84" t="s">
        <v>16</v>
      </c>
      <c r="BX58" s="84" t="s">
        <v>80</v>
      </c>
      <c r="BY58" s="83" t="s">
        <v>17</v>
      </c>
      <c r="BZ58" s="83" t="s">
        <v>79</v>
      </c>
      <c r="CA58" s="84" t="s">
        <v>16</v>
      </c>
      <c r="CB58" s="84" t="s">
        <v>80</v>
      </c>
      <c r="CC58" s="83" t="s">
        <v>17</v>
      </c>
      <c r="CD58" s="83" t="s">
        <v>79</v>
      </c>
      <c r="CE58" s="84" t="s">
        <v>16</v>
      </c>
      <c r="CF58" s="84" t="s">
        <v>80</v>
      </c>
      <c r="CG58" s="83" t="s">
        <v>17</v>
      </c>
      <c r="CH58" s="83" t="s">
        <v>17</v>
      </c>
      <c r="CI58" s="83" t="s">
        <v>79</v>
      </c>
      <c r="CJ58" s="84" t="s">
        <v>16</v>
      </c>
      <c r="CK58" s="84" t="s">
        <v>80</v>
      </c>
      <c r="CL58" s="83" t="s">
        <v>104</v>
      </c>
      <c r="CM58" s="83" t="s">
        <v>17</v>
      </c>
      <c r="CN58" s="83" t="s">
        <v>79</v>
      </c>
      <c r="CO58" s="84" t="s">
        <v>16</v>
      </c>
      <c r="CP58" s="84" t="s">
        <v>80</v>
      </c>
      <c r="CQ58" s="159"/>
      <c r="CR58" s="159"/>
      <c r="CS58" s="159"/>
      <c r="CT58" s="159"/>
      <c r="CU58" s="159"/>
      <c r="CV58" s="159"/>
      <c r="CW58" s="159"/>
      <c r="CX58" s="159"/>
      <c r="CY58" s="159"/>
      <c r="CZ58" s="159"/>
      <c r="DA58" s="159"/>
      <c r="DB58" s="159"/>
      <c r="DC58" s="159"/>
      <c r="DD58" s="159"/>
      <c r="DE58" s="159"/>
      <c r="DF58" s="159"/>
      <c r="DG58" s="159"/>
      <c r="DH58" s="159"/>
      <c r="DI58" s="159"/>
    </row>
    <row r="59" spans="1:113" s="101" customFormat="1" x14ac:dyDescent="0.3">
      <c r="A59" s="152"/>
      <c r="B59" s="160"/>
      <c r="C59" s="262"/>
      <c r="D59" s="160"/>
      <c r="E59" s="262"/>
      <c r="F59" s="262"/>
      <c r="G59" s="156">
        <v>0</v>
      </c>
      <c r="H59" s="186">
        <f>U59</f>
        <v>45182.75</v>
      </c>
      <c r="I59" s="451">
        <f>X59</f>
        <v>0</v>
      </c>
      <c r="J59" s="452">
        <f>AE59</f>
        <v>0</v>
      </c>
      <c r="K59" s="453">
        <f>AG59</f>
        <v>0</v>
      </c>
      <c r="L59" s="466">
        <f>AI59</f>
        <v>0</v>
      </c>
      <c r="M59" s="467">
        <f>AM59</f>
        <v>0</v>
      </c>
      <c r="N59" s="466">
        <v>0</v>
      </c>
      <c r="O59" s="467">
        <v>0</v>
      </c>
      <c r="P59" s="69"/>
      <c r="Q59" s="106">
        <v>0</v>
      </c>
      <c r="R59" s="88">
        <f>WEEKDAY(S59)</f>
        <v>4</v>
      </c>
      <c r="S59" s="89">
        <v>45182</v>
      </c>
      <c r="T59" s="90">
        <v>0.75</v>
      </c>
      <c r="U59" s="91">
        <f>S59+T59</f>
        <v>45182.75</v>
      </c>
      <c r="V59" s="92"/>
      <c r="W59" s="92"/>
      <c r="X59" s="93">
        <v>0</v>
      </c>
      <c r="Y59" s="57">
        <v>0</v>
      </c>
      <c r="Z59" s="94"/>
      <c r="AA59" s="95"/>
      <c r="AB59" s="96"/>
      <c r="AC59" s="97"/>
      <c r="AD59" s="96"/>
      <c r="AE59" s="406">
        <f>X59</f>
        <v>0</v>
      </c>
      <c r="AF59" s="407">
        <f>Y59</f>
        <v>0</v>
      </c>
      <c r="AG59" s="406">
        <f>X59</f>
        <v>0</v>
      </c>
      <c r="AH59" s="407">
        <f>Y59</f>
        <v>0</v>
      </c>
      <c r="AI59" s="95">
        <f>AN59</f>
        <v>0</v>
      </c>
      <c r="AJ59" s="98"/>
      <c r="AK59" s="71"/>
      <c r="AL59" s="80"/>
      <c r="AM59" s="95"/>
      <c r="AN59" s="98"/>
      <c r="AO59" s="71"/>
      <c r="AP59" s="80"/>
      <c r="AQ59" s="95"/>
      <c r="AR59" s="95"/>
      <c r="AS59" s="93">
        <v>0</v>
      </c>
      <c r="AT59" s="57">
        <v>0</v>
      </c>
      <c r="AU59" s="105"/>
      <c r="AV59" s="105"/>
      <c r="AW59" s="95"/>
      <c r="AX59" s="95"/>
      <c r="AY59" s="95"/>
      <c r="AZ59" s="95"/>
      <c r="BA59" s="93">
        <v>0</v>
      </c>
      <c r="BB59" s="57">
        <v>0</v>
      </c>
      <c r="BC59" s="195"/>
      <c r="BD59" s="95"/>
      <c r="BE59" s="95"/>
      <c r="BF59" s="195"/>
      <c r="BG59" s="95"/>
      <c r="BH59" s="95"/>
      <c r="BI59" s="93">
        <v>0</v>
      </c>
      <c r="BJ59" s="57">
        <v>0</v>
      </c>
      <c r="BK59" s="195"/>
      <c r="BL59" s="95"/>
      <c r="BM59" s="95"/>
      <c r="BN59" s="195"/>
      <c r="BO59" s="95"/>
      <c r="BP59" s="95"/>
      <c r="BQ59" s="93">
        <v>0</v>
      </c>
      <c r="BR59" s="57">
        <v>0</v>
      </c>
      <c r="BS59" s="105"/>
      <c r="BT59" s="95"/>
      <c r="BU59" s="95"/>
      <c r="BV59" s="105"/>
      <c r="BW59" s="95"/>
      <c r="BX59" s="95"/>
      <c r="BY59" s="99">
        <v>0</v>
      </c>
      <c r="BZ59" s="99">
        <v>0</v>
      </c>
      <c r="CA59" s="100">
        <v>0</v>
      </c>
      <c r="CB59" s="100"/>
      <c r="CC59" s="99">
        <v>0</v>
      </c>
      <c r="CD59" s="99">
        <v>0</v>
      </c>
      <c r="CE59" s="100">
        <v>0</v>
      </c>
      <c r="CF59" s="100"/>
      <c r="CG59" s="417"/>
      <c r="CH59" s="99">
        <f>AQ59/$X$80</f>
        <v>0</v>
      </c>
      <c r="CI59" s="99">
        <f>CH59</f>
        <v>0</v>
      </c>
      <c r="CJ59" s="420">
        <f>BY59/$Y$92</f>
        <v>0</v>
      </c>
      <c r="CK59" s="420"/>
      <c r="CL59" s="93">
        <f>Vergleich!C3</f>
        <v>0</v>
      </c>
      <c r="CM59" s="63"/>
      <c r="CN59" s="99">
        <f t="shared" ref="CN59" si="3">CL59/$CL$80</f>
        <v>0</v>
      </c>
      <c r="CO59" s="420"/>
      <c r="CP59" s="420"/>
      <c r="CQ59" s="160"/>
      <c r="CR59" s="160"/>
      <c r="CS59" s="160"/>
      <c r="CT59" s="160"/>
      <c r="CU59" s="160"/>
      <c r="CV59" s="160"/>
      <c r="CW59" s="160"/>
      <c r="CX59" s="160"/>
      <c r="CY59" s="160"/>
      <c r="CZ59" s="160"/>
      <c r="DA59" s="160"/>
      <c r="DB59" s="160"/>
      <c r="DC59" s="160"/>
      <c r="DD59" s="160"/>
      <c r="DE59" s="160"/>
      <c r="DF59" s="160"/>
      <c r="DG59" s="160"/>
      <c r="DH59" s="160"/>
      <c r="DI59" s="160"/>
    </row>
    <row r="60" spans="1:113" s="101" customFormat="1" x14ac:dyDescent="0.3">
      <c r="A60" s="152"/>
      <c r="B60" s="160"/>
      <c r="C60" s="262"/>
      <c r="D60" s="160"/>
      <c r="E60" s="262"/>
      <c r="F60" s="262"/>
      <c r="G60" s="156">
        <v>1</v>
      </c>
      <c r="H60" s="186">
        <f t="shared" ref="H60:H80" si="4">U60</f>
        <v>45183.75</v>
      </c>
      <c r="I60" s="451">
        <f t="shared" ref="I60:I80" si="5">X60</f>
        <v>8357</v>
      </c>
      <c r="J60" s="452">
        <f t="shared" ref="J60:J80" si="6">AE60</f>
        <v>8357</v>
      </c>
      <c r="K60" s="453">
        <f t="shared" ref="K60:K80" si="7">AG60</f>
        <v>8357</v>
      </c>
      <c r="L60" s="466">
        <f t="shared" ref="L60:L79" si="8">AI60</f>
        <v>8357</v>
      </c>
      <c r="M60" s="467">
        <f t="shared" ref="M60:M80" si="9">AM60</f>
        <v>8357</v>
      </c>
      <c r="N60" s="477">
        <v>36402</v>
      </c>
      <c r="O60" s="453">
        <v>26725</v>
      </c>
      <c r="P60" s="69"/>
      <c r="Q60" s="106">
        <v>1</v>
      </c>
      <c r="R60" s="88" t="s">
        <v>14</v>
      </c>
      <c r="S60" s="89">
        <f>S59+1</f>
        <v>45183</v>
      </c>
      <c r="T60" s="90">
        <v>0.75</v>
      </c>
      <c r="U60" s="91">
        <f t="shared" ref="U60:U80" si="10">S60+T60</f>
        <v>45183.75</v>
      </c>
      <c r="V60" s="92">
        <f t="shared" ref="V60:V80" si="11">U60-$U$59</f>
        <v>1</v>
      </c>
      <c r="W60" s="92">
        <f>V60-V59</f>
        <v>1</v>
      </c>
      <c r="X60" s="102">
        <v>8357</v>
      </c>
      <c r="Y60" s="103">
        <v>67</v>
      </c>
      <c r="Z60" s="104">
        <f t="shared" ref="Z60:Z80" si="12">Y60-Y59</f>
        <v>67</v>
      </c>
      <c r="AA60" s="95">
        <f>X60-X59</f>
        <v>8357</v>
      </c>
      <c r="AB60" s="96">
        <f t="shared" ref="AB60:AB80" si="13">X60/Y60</f>
        <v>124.73134328358209</v>
      </c>
      <c r="AC60" s="97">
        <f>(AA60-X59)/(Z60-Y59)</f>
        <v>124.73134328358209</v>
      </c>
      <c r="AD60" s="97">
        <f>SUM(AA60:AA60)/SUM(Z60:Z60)</f>
        <v>124.73134328358209</v>
      </c>
      <c r="AE60" s="102">
        <f t="shared" ref="AE60:AF61" si="14">X60</f>
        <v>8357</v>
      </c>
      <c r="AF60" s="103">
        <f t="shared" si="14"/>
        <v>67</v>
      </c>
      <c r="AG60" s="102">
        <f t="shared" ref="AG60:AH61" si="15">X60</f>
        <v>8357</v>
      </c>
      <c r="AH60" s="103">
        <f t="shared" si="15"/>
        <v>67</v>
      </c>
      <c r="AI60" s="95">
        <f>X60</f>
        <v>8357</v>
      </c>
      <c r="AJ60" s="98">
        <f>X60-AI60</f>
        <v>0</v>
      </c>
      <c r="AK60" s="105">
        <f>Z60</f>
        <v>67</v>
      </c>
      <c r="AL60" s="80">
        <f t="shared" ref="AL60:AL80" si="16">Y60-AK60</f>
        <v>0</v>
      </c>
      <c r="AM60" s="95">
        <f>AI60</f>
        <v>8357</v>
      </c>
      <c r="AN60" s="98">
        <f t="shared" ref="AN60:AN80" si="17">X60-AM60</f>
        <v>0</v>
      </c>
      <c r="AO60" s="105">
        <f>AK60</f>
        <v>67</v>
      </c>
      <c r="AP60" s="80">
        <f t="shared" ref="AP60:AP80" si="18">Y60-AO60</f>
        <v>0</v>
      </c>
      <c r="AQ60" s="95">
        <f t="shared" ref="AQ60:AQ80" si="19">AA60/W60</f>
        <v>8357</v>
      </c>
      <c r="AR60" s="95">
        <f t="shared" ref="AR60:AR80" si="20">X60/V60</f>
        <v>8357</v>
      </c>
      <c r="AS60" s="102">
        <f t="shared" ref="AS60:AV80" si="21">X60</f>
        <v>8357</v>
      </c>
      <c r="AT60" s="103">
        <f t="shared" si="21"/>
        <v>67</v>
      </c>
      <c r="AU60" s="195">
        <f t="shared" si="21"/>
        <v>67</v>
      </c>
      <c r="AV60" s="195">
        <f t="shared" si="21"/>
        <v>8357</v>
      </c>
      <c r="AW60" s="99">
        <f>AV60/$AS$80</f>
        <v>0.23055065107040387</v>
      </c>
      <c r="AX60" s="99">
        <f>AS60/$AS$80</f>
        <v>0.23055065107040387</v>
      </c>
      <c r="AY60" s="100">
        <f>AU60/$AT$80</f>
        <v>0.24907063197026022</v>
      </c>
      <c r="AZ60" s="100">
        <f>AY60</f>
        <v>0.24907063197026022</v>
      </c>
      <c r="BA60" s="102">
        <v>26725</v>
      </c>
      <c r="BB60" s="103">
        <v>136</v>
      </c>
      <c r="BC60" s="195">
        <f>BA60-BA59</f>
        <v>26725</v>
      </c>
      <c r="BD60" s="99">
        <f t="shared" ref="BD60" si="22">BC60/$BA$80</f>
        <v>0.23202812988366037</v>
      </c>
      <c r="BE60" s="99">
        <f>BD60</f>
        <v>0.23202812988366037</v>
      </c>
      <c r="BF60" s="195">
        <f>BB60-BB59</f>
        <v>136</v>
      </c>
      <c r="BG60" s="100">
        <f>BF60/$BB$80</f>
        <v>0.21085271317829457</v>
      </c>
      <c r="BH60" s="100">
        <f>BG60</f>
        <v>0.21085271317829457</v>
      </c>
      <c r="BI60" s="102">
        <v>82966</v>
      </c>
      <c r="BJ60" s="103">
        <v>341</v>
      </c>
      <c r="BK60" s="195">
        <f>BI60-BI59</f>
        <v>82966</v>
      </c>
      <c r="BL60" s="99">
        <f>BK60/$BI$80</f>
        <v>0.21315089046234162</v>
      </c>
      <c r="BM60" s="99">
        <f t="shared" ref="BM60:BM80" si="23">BI60/$BI$80</f>
        <v>0.21315089046234162</v>
      </c>
      <c r="BN60" s="195">
        <f>BJ60-BJ59</f>
        <v>341</v>
      </c>
      <c r="BO60" s="100">
        <f t="shared" ref="BO60:BO80" si="24">BN60/$BJ$80</f>
        <v>0.20591787439613526</v>
      </c>
      <c r="BP60" s="100">
        <f>BO60</f>
        <v>0.20591787439613526</v>
      </c>
      <c r="BQ60" s="102">
        <v>89735</v>
      </c>
      <c r="BR60" s="103">
        <v>625</v>
      </c>
      <c r="BS60" s="195">
        <f>BQ60-BQ59</f>
        <v>89735</v>
      </c>
      <c r="BT60" s="99">
        <f>BS60/$BQ$80</f>
        <v>0.37516514206398316</v>
      </c>
      <c r="BU60" s="99">
        <f t="shared" ref="BU60:BU80" si="25">BQ60/$BQ$80</f>
        <v>0.37516514206398316</v>
      </c>
      <c r="BV60" s="195">
        <f>BR60-BR59</f>
        <v>625</v>
      </c>
      <c r="BW60" s="100">
        <f t="shared" ref="BW60:BW80" si="26">BV60/$BR$80</f>
        <v>0.37560096153846156</v>
      </c>
      <c r="BX60" s="100">
        <f>BW60</f>
        <v>0.37560096153846156</v>
      </c>
      <c r="BY60" s="99">
        <v>0.217908689903446</v>
      </c>
      <c r="BZ60" s="99">
        <v>0.21790868990344553</v>
      </c>
      <c r="CA60" s="100">
        <v>0.23279352226720648</v>
      </c>
      <c r="CB60" s="100">
        <v>0.23279352226720648</v>
      </c>
      <c r="CC60" s="99">
        <v>4.9561783997210986E-2</v>
      </c>
      <c r="CD60" s="99">
        <v>0.29513300524561986</v>
      </c>
      <c r="CE60" s="100">
        <v>5.657492354740061E-2</v>
      </c>
      <c r="CF60" s="100">
        <v>0.29816513761467889</v>
      </c>
      <c r="CG60" s="418"/>
      <c r="CH60" s="99">
        <v>5.1641540743868043E-2</v>
      </c>
      <c r="CI60" s="99" t="e">
        <f>CG60/$CG$80</f>
        <v>#DIV/0!</v>
      </c>
      <c r="CJ60" s="420">
        <v>5.2910052910052907E-2</v>
      </c>
      <c r="CK60" s="420">
        <f>SUM(CJ$59:CJ60)</f>
        <v>5.2910052910052907E-2</v>
      </c>
      <c r="CL60" s="102">
        <f>Vergleich!C4</f>
        <v>14771</v>
      </c>
      <c r="CM60" s="99">
        <v>3.0331221429144267E-2</v>
      </c>
      <c r="CN60" s="99">
        <f>CL60/$CL$80</f>
        <v>0.23692357045472773</v>
      </c>
      <c r="CO60" s="420">
        <v>3.7463976945244948E-2</v>
      </c>
      <c r="CP60" s="420">
        <f>SUM(CO$59:CO60)</f>
        <v>3.7463976945244948E-2</v>
      </c>
      <c r="CQ60" s="160"/>
      <c r="CR60" s="160"/>
      <c r="CS60" s="160"/>
      <c r="CT60" s="160"/>
      <c r="CU60" s="160"/>
      <c r="CV60" s="160"/>
      <c r="CW60" s="160"/>
      <c r="CX60" s="160"/>
      <c r="CY60" s="160"/>
      <c r="CZ60" s="160"/>
      <c r="DA60" s="160"/>
      <c r="DB60" s="160"/>
      <c r="DC60" s="160"/>
      <c r="DD60" s="160"/>
      <c r="DE60" s="160"/>
      <c r="DF60" s="160"/>
      <c r="DG60" s="160"/>
      <c r="DH60" s="160"/>
      <c r="DI60" s="160"/>
    </row>
    <row r="61" spans="1:113" s="101" customFormat="1" x14ac:dyDescent="0.3">
      <c r="A61" s="152"/>
      <c r="B61" s="160"/>
      <c r="C61" s="262"/>
      <c r="D61" s="160"/>
      <c r="E61" s="262"/>
      <c r="F61" s="262"/>
      <c r="G61" s="156">
        <v>2</v>
      </c>
      <c r="H61" s="186">
        <f t="shared" si="4"/>
        <v>45184.75</v>
      </c>
      <c r="I61" s="451">
        <f t="shared" si="5"/>
        <v>11433</v>
      </c>
      <c r="J61" s="452">
        <f t="shared" si="6"/>
        <v>11433</v>
      </c>
      <c r="K61" s="453">
        <f t="shared" si="7"/>
        <v>11433</v>
      </c>
      <c r="L61" s="466">
        <f t="shared" si="8"/>
        <v>11433</v>
      </c>
      <c r="M61" s="467">
        <f t="shared" si="9"/>
        <v>11433</v>
      </c>
      <c r="N61" s="477">
        <v>42659</v>
      </c>
      <c r="O61" s="453">
        <v>32416</v>
      </c>
      <c r="P61" s="69"/>
      <c r="Q61" s="106">
        <v>2</v>
      </c>
      <c r="R61" s="88">
        <f t="shared" ref="R61:R80" si="27">WEEKDAY(S61)</f>
        <v>6</v>
      </c>
      <c r="S61" s="89">
        <f t="shared" ref="S61:S80" si="28">S60+1</f>
        <v>45184</v>
      </c>
      <c r="T61" s="90">
        <v>0.75</v>
      </c>
      <c r="U61" s="91">
        <f t="shared" si="10"/>
        <v>45184.75</v>
      </c>
      <c r="V61" s="92">
        <f t="shared" si="11"/>
        <v>2</v>
      </c>
      <c r="W61" s="92">
        <f t="shared" ref="W61:W80" si="29">V61-V60</f>
        <v>1</v>
      </c>
      <c r="X61" s="102">
        <v>11433</v>
      </c>
      <c r="Y61" s="103">
        <v>89</v>
      </c>
      <c r="Z61" s="104">
        <f t="shared" si="12"/>
        <v>22</v>
      </c>
      <c r="AA61" s="95">
        <f t="shared" ref="AA61:AA80" si="30">X61-X60</f>
        <v>3076</v>
      </c>
      <c r="AB61" s="96">
        <f t="shared" si="13"/>
        <v>128.46067415730337</v>
      </c>
      <c r="AC61" s="97">
        <f t="shared" ref="AC61:AC86" si="31">AA61/Z61</f>
        <v>139.81818181818181</v>
      </c>
      <c r="AD61" s="97">
        <f>SUM(AA60:AA61)/SUM(Z60:Z61)</f>
        <v>128.46067415730337</v>
      </c>
      <c r="AE61" s="102">
        <f t="shared" si="14"/>
        <v>11433</v>
      </c>
      <c r="AF61" s="103">
        <f t="shared" si="14"/>
        <v>89</v>
      </c>
      <c r="AG61" s="102">
        <f t="shared" si="15"/>
        <v>11433</v>
      </c>
      <c r="AH61" s="103">
        <f t="shared" si="15"/>
        <v>89</v>
      </c>
      <c r="AI61" s="95">
        <f>AE61</f>
        <v>11433</v>
      </c>
      <c r="AJ61" s="98">
        <f t="shared" ref="AJ61:AJ80" si="32">X61-AI61</f>
        <v>0</v>
      </c>
      <c r="AK61" s="105">
        <f>AF61</f>
        <v>89</v>
      </c>
      <c r="AL61" s="80">
        <f t="shared" si="16"/>
        <v>0</v>
      </c>
      <c r="AM61" s="95">
        <f>AG61</f>
        <v>11433</v>
      </c>
      <c r="AN61" s="98">
        <f t="shared" si="17"/>
        <v>0</v>
      </c>
      <c r="AO61" s="105">
        <f>AH61</f>
        <v>89</v>
      </c>
      <c r="AP61" s="80">
        <f t="shared" si="18"/>
        <v>0</v>
      </c>
      <c r="AQ61" s="95">
        <f t="shared" si="19"/>
        <v>3076</v>
      </c>
      <c r="AR61" s="95">
        <f t="shared" si="20"/>
        <v>5716.5</v>
      </c>
      <c r="AS61" s="102">
        <f t="shared" si="21"/>
        <v>11433</v>
      </c>
      <c r="AT61" s="103">
        <f t="shared" si="21"/>
        <v>89</v>
      </c>
      <c r="AU61" s="195">
        <f t="shared" si="21"/>
        <v>22</v>
      </c>
      <c r="AV61" s="195">
        <f t="shared" si="21"/>
        <v>3076</v>
      </c>
      <c r="AW61" s="99">
        <f t="shared" ref="AW61:AW80" si="33">AV61/$AS$80</f>
        <v>8.4859854336790996E-2</v>
      </c>
      <c r="AX61" s="99">
        <f t="shared" ref="AX61:AX80" si="34">AS61/$AS$80</f>
        <v>0.3154105054071949</v>
      </c>
      <c r="AY61" s="100">
        <f t="shared" ref="AY61:AY80" si="35">AU61/$AT$80</f>
        <v>8.1784386617100371E-2</v>
      </c>
      <c r="AZ61" s="100">
        <f>AZ60+AY61</f>
        <v>0.33085501858736061</v>
      </c>
      <c r="BA61" s="102">
        <v>32416</v>
      </c>
      <c r="BB61" s="103">
        <v>172</v>
      </c>
      <c r="BC61" s="195">
        <f t="shared" ref="BC61:BC80" si="36">BA61-BA60</f>
        <v>5691</v>
      </c>
      <c r="BD61" s="99">
        <f>BC61/$BA$80</f>
        <v>4.9409619725646815E-2</v>
      </c>
      <c r="BE61" s="99">
        <f>BE60+BD61</f>
        <v>0.28143774960930718</v>
      </c>
      <c r="BF61" s="195">
        <f t="shared" ref="BF61:BF80" si="37">BB61-BB60</f>
        <v>36</v>
      </c>
      <c r="BG61" s="100">
        <f t="shared" ref="BG61:BG80" si="38">BF61/$BB$80</f>
        <v>5.5813953488372092E-2</v>
      </c>
      <c r="BH61" s="100">
        <f>BH60+BG61</f>
        <v>0.26666666666666666</v>
      </c>
      <c r="BI61" s="102">
        <v>96328</v>
      </c>
      <c r="BJ61" s="103">
        <v>404</v>
      </c>
      <c r="BK61" s="195">
        <f t="shared" ref="BK61:BK80" si="39">BI61-BI60</f>
        <v>13362</v>
      </c>
      <c r="BL61" s="99">
        <f t="shared" ref="BL61:BL80" si="40">BK61/$BI$80</f>
        <v>3.4328787676371146E-2</v>
      </c>
      <c r="BM61" s="99">
        <f t="shared" si="23"/>
        <v>0.24747967813871277</v>
      </c>
      <c r="BN61" s="195">
        <f t="shared" ref="BN61:BN80" si="41">BJ61-BJ60</f>
        <v>63</v>
      </c>
      <c r="BO61" s="100">
        <f t="shared" si="24"/>
        <v>3.8043478260869568E-2</v>
      </c>
      <c r="BP61" s="100">
        <f>BP60+BO61</f>
        <v>0.24396135265700483</v>
      </c>
      <c r="BQ61" s="102">
        <v>114003</v>
      </c>
      <c r="BR61" s="103">
        <v>789</v>
      </c>
      <c r="BS61" s="195">
        <f t="shared" ref="BS61:BS80" si="42">BQ61-BQ60</f>
        <v>24268</v>
      </c>
      <c r="BT61" s="99">
        <f t="shared" ref="BT61:BT80" si="43">BS61/$BQ$80</f>
        <v>0.10145993946184591</v>
      </c>
      <c r="BU61" s="99">
        <f t="shared" si="25"/>
        <v>0.47662508152582905</v>
      </c>
      <c r="BV61" s="195">
        <f t="shared" ref="BV61:BV80" si="44">BR61-BR60</f>
        <v>164</v>
      </c>
      <c r="BW61" s="100">
        <f t="shared" si="26"/>
        <v>9.8557692307692304E-2</v>
      </c>
      <c r="BX61" s="100">
        <f>BX60+BW61</f>
        <v>0.47415865384615385</v>
      </c>
      <c r="BY61" s="99">
        <v>5.4666059266008156E-2</v>
      </c>
      <c r="BZ61" s="99">
        <v>0.27257474916945368</v>
      </c>
      <c r="CA61" s="100">
        <v>6.0728744939271252E-2</v>
      </c>
      <c r="CB61" s="100">
        <v>0.29352226720647773</v>
      </c>
      <c r="CC61" s="99">
        <v>5.0729278990765438E-2</v>
      </c>
      <c r="CD61" s="99">
        <v>0.34586228423638532</v>
      </c>
      <c r="CE61" s="100">
        <v>5.8103975535168197E-2</v>
      </c>
      <c r="CF61" s="100">
        <v>0.35626911314984711</v>
      </c>
      <c r="CG61" s="418"/>
      <c r="CH61" s="99">
        <v>3.5680569481825498E-2</v>
      </c>
      <c r="CI61" s="99" t="e">
        <f t="shared" ref="CI61:CI80" si="45">CG61/$CG$80</f>
        <v>#DIV/0!</v>
      </c>
      <c r="CJ61" s="420">
        <v>3.5714285714285712E-2</v>
      </c>
      <c r="CK61" s="420">
        <f>SUM(CJ$59:CJ61)</f>
        <v>8.8624338624338619E-2</v>
      </c>
      <c r="CL61" s="102">
        <f>Vergleich!C5</f>
        <v>16764</v>
      </c>
      <c r="CM61" s="99">
        <v>3.1967278851551872E-2</v>
      </c>
      <c r="CN61" s="99">
        <f t="shared" ref="CN61:CN80" si="46">CL61/$CL$80</f>
        <v>0.2688908493062796</v>
      </c>
      <c r="CO61" s="420">
        <v>2.5936599423631135E-2</v>
      </c>
      <c r="CP61" s="420">
        <f>SUM(CO$59:CO61)</f>
        <v>6.3400576368876083E-2</v>
      </c>
      <c r="CQ61" s="160"/>
      <c r="CR61" s="160"/>
      <c r="CS61" s="160"/>
      <c r="CT61" s="160"/>
      <c r="CU61" s="160"/>
      <c r="CV61" s="160"/>
      <c r="CW61" s="160"/>
      <c r="CX61" s="160"/>
      <c r="CY61" s="160"/>
      <c r="CZ61" s="160"/>
      <c r="DA61" s="160"/>
      <c r="DB61" s="160"/>
      <c r="DC61" s="160"/>
      <c r="DD61" s="160"/>
      <c r="DE61" s="160"/>
      <c r="DF61" s="160"/>
      <c r="DG61" s="160"/>
      <c r="DH61" s="160"/>
      <c r="DI61" s="160"/>
    </row>
    <row r="62" spans="1:113" s="101" customFormat="1" x14ac:dyDescent="0.3">
      <c r="A62" s="152"/>
      <c r="B62" s="160"/>
      <c r="C62" s="262"/>
      <c r="D62" s="160"/>
      <c r="E62" s="262"/>
      <c r="F62" s="262"/>
      <c r="G62" s="156">
        <v>3</v>
      </c>
      <c r="H62" s="186">
        <f t="shared" si="4"/>
        <v>45185.75</v>
      </c>
      <c r="I62" s="451">
        <f t="shared" si="5"/>
        <v>13158</v>
      </c>
      <c r="J62" s="452">
        <f t="shared" si="6"/>
        <v>13158</v>
      </c>
      <c r="K62" s="453">
        <f t="shared" si="7"/>
        <v>13158</v>
      </c>
      <c r="L62" s="466">
        <f t="shared" si="8"/>
        <v>12188.834368189731</v>
      </c>
      <c r="M62" s="467">
        <f t="shared" si="9"/>
        <v>13808.213683467096</v>
      </c>
      <c r="N62" s="477">
        <v>45273</v>
      </c>
      <c r="O62" s="453">
        <v>38191</v>
      </c>
      <c r="P62" s="69"/>
      <c r="Q62" s="106">
        <v>3</v>
      </c>
      <c r="R62" s="88">
        <f t="shared" si="27"/>
        <v>7</v>
      </c>
      <c r="S62" s="89">
        <f t="shared" si="28"/>
        <v>45185</v>
      </c>
      <c r="T62" s="90">
        <v>0.75</v>
      </c>
      <c r="U62" s="91">
        <f t="shared" si="10"/>
        <v>45185.75</v>
      </c>
      <c r="V62" s="92">
        <f t="shared" si="11"/>
        <v>3</v>
      </c>
      <c r="W62" s="92">
        <f t="shared" si="29"/>
        <v>1</v>
      </c>
      <c r="X62" s="102">
        <v>13158</v>
      </c>
      <c r="Y62" s="103">
        <v>101</v>
      </c>
      <c r="Z62" s="104">
        <f t="shared" si="12"/>
        <v>12</v>
      </c>
      <c r="AA62" s="95">
        <f t="shared" si="30"/>
        <v>1725</v>
      </c>
      <c r="AB62" s="96">
        <f t="shared" si="13"/>
        <v>130.27722772277227</v>
      </c>
      <c r="AC62" s="97">
        <f t="shared" si="31"/>
        <v>143.75</v>
      </c>
      <c r="AD62" s="97">
        <f>SUM(AA60:AA62)/SUM(Z60:Z62)</f>
        <v>130.27722772277227</v>
      </c>
      <c r="AE62" s="102">
        <f t="shared" ref="AE62" si="47">X62</f>
        <v>13158</v>
      </c>
      <c r="AF62" s="103">
        <f t="shared" ref="AF62" si="48">Y62</f>
        <v>101</v>
      </c>
      <c r="AG62" s="102">
        <f t="shared" ref="AG62" si="49">X62</f>
        <v>13158</v>
      </c>
      <c r="AH62" s="103">
        <f t="shared" ref="AH62" si="50">Y62</f>
        <v>101</v>
      </c>
      <c r="AI62" s="95">
        <f t="shared" ref="AI62:AI80" si="51">AI61+(AI$94-$AI$61)*BD91</f>
        <v>12188.834368189731</v>
      </c>
      <c r="AJ62" s="98">
        <f t="shared" si="32"/>
        <v>969.16563181026868</v>
      </c>
      <c r="AK62" s="105">
        <f t="shared" ref="AK62:AK80" si="52">ROUND(AK61+(AK$94-$AK$61)*BG91,)</f>
        <v>94</v>
      </c>
      <c r="AL62" s="80">
        <f t="shared" si="16"/>
        <v>7</v>
      </c>
      <c r="AM62" s="95">
        <f t="shared" ref="AM62:AM80" si="53">AM61+(AM$94-$AM$61)*BT91</f>
        <v>13808.213683467096</v>
      </c>
      <c r="AN62" s="98">
        <f t="shared" si="17"/>
        <v>-650.21368346709642</v>
      </c>
      <c r="AO62" s="105">
        <f t="shared" ref="AO62:AO80" si="54">ROUND(AO61+(AO$94-$AO$61)*BW91,)</f>
        <v>110</v>
      </c>
      <c r="AP62" s="80">
        <f t="shared" si="18"/>
        <v>-9</v>
      </c>
      <c r="AQ62" s="95">
        <f t="shared" si="19"/>
        <v>1725</v>
      </c>
      <c r="AR62" s="95">
        <f t="shared" si="20"/>
        <v>4386</v>
      </c>
      <c r="AS62" s="102">
        <f t="shared" si="21"/>
        <v>13158</v>
      </c>
      <c r="AT62" s="103">
        <f t="shared" si="21"/>
        <v>101</v>
      </c>
      <c r="AU62" s="195">
        <f t="shared" si="21"/>
        <v>12</v>
      </c>
      <c r="AV62" s="195">
        <f t="shared" si="21"/>
        <v>1725</v>
      </c>
      <c r="AW62" s="99">
        <f t="shared" si="33"/>
        <v>4.7588832487309642E-2</v>
      </c>
      <c r="AX62" s="99">
        <f t="shared" si="34"/>
        <v>0.3629993378945045</v>
      </c>
      <c r="AY62" s="100">
        <f t="shared" si="35"/>
        <v>4.4609665427509292E-2</v>
      </c>
      <c r="AZ62" s="100">
        <f t="shared" ref="AZ62:AZ80" si="55">AZ61+AY62</f>
        <v>0.37546468401486988</v>
      </c>
      <c r="BA62" s="102">
        <v>38191</v>
      </c>
      <c r="BB62" s="103">
        <v>199</v>
      </c>
      <c r="BC62" s="195">
        <f t="shared" si="36"/>
        <v>5775</v>
      </c>
      <c r="BD62" s="99">
        <f t="shared" ref="BD62:BD80" si="56">BC62/$BA$80</f>
        <v>5.013891300573016E-2</v>
      </c>
      <c r="BE62" s="99">
        <f t="shared" ref="BE62:BE80" si="57">BE61+BD62</f>
        <v>0.33157666261503732</v>
      </c>
      <c r="BF62" s="195">
        <f t="shared" si="37"/>
        <v>27</v>
      </c>
      <c r="BG62" s="100">
        <f t="shared" si="38"/>
        <v>4.1860465116279069E-2</v>
      </c>
      <c r="BH62" s="100">
        <f t="shared" ref="BH62:BH80" si="58">BH61+BG62</f>
        <v>0.30852713178294572</v>
      </c>
      <c r="BI62" s="102">
        <v>115147</v>
      </c>
      <c r="BJ62" s="103">
        <v>480</v>
      </c>
      <c r="BK62" s="195">
        <f t="shared" si="39"/>
        <v>18819</v>
      </c>
      <c r="BL62" s="99">
        <f t="shared" si="40"/>
        <v>4.8348559742675393E-2</v>
      </c>
      <c r="BM62" s="99">
        <f t="shared" si="23"/>
        <v>0.29582823788138818</v>
      </c>
      <c r="BN62" s="195">
        <f t="shared" si="41"/>
        <v>76</v>
      </c>
      <c r="BO62" s="100">
        <f t="shared" si="24"/>
        <v>4.5893719806763288E-2</v>
      </c>
      <c r="BP62" s="100">
        <f t="shared" ref="BP62:BP80" si="59">BP61+BO62</f>
        <v>0.28985507246376813</v>
      </c>
      <c r="BQ62" s="102">
        <v>122519</v>
      </c>
      <c r="BR62" s="103">
        <v>852</v>
      </c>
      <c r="BS62" s="195">
        <f t="shared" si="42"/>
        <v>8516</v>
      </c>
      <c r="BT62" s="99">
        <f t="shared" si="43"/>
        <v>3.5603792832416339E-2</v>
      </c>
      <c r="BU62" s="99">
        <f t="shared" si="25"/>
        <v>0.51222887435824538</v>
      </c>
      <c r="BV62" s="195">
        <f t="shared" si="44"/>
        <v>63</v>
      </c>
      <c r="BW62" s="100">
        <f t="shared" si="26"/>
        <v>3.786057692307692E-2</v>
      </c>
      <c r="BX62" s="100">
        <f t="shared" ref="BX62:BX80" si="60">BX61+BW62</f>
        <v>0.51201923076923073</v>
      </c>
      <c r="BY62" s="99">
        <v>3.4877390251219428E-2</v>
      </c>
      <c r="BZ62" s="99">
        <v>0.30745213942067312</v>
      </c>
      <c r="CA62" s="100">
        <v>3.4412955465587043E-2</v>
      </c>
      <c r="CB62" s="100">
        <v>0.32793522267206476</v>
      </c>
      <c r="CC62" s="99">
        <v>2.1193277174662115E-2</v>
      </c>
      <c r="CD62" s="99">
        <v>0.36705556141104745</v>
      </c>
      <c r="CE62" s="100">
        <v>2.2935779816513763E-2</v>
      </c>
      <c r="CF62" s="100">
        <v>0.37920489296636084</v>
      </c>
      <c r="CG62" s="418"/>
      <c r="CH62" s="99">
        <v>2.5677109903190436E-2</v>
      </c>
      <c r="CI62" s="99" t="e">
        <f t="shared" si="45"/>
        <v>#DIV/0!</v>
      </c>
      <c r="CJ62" s="420">
        <v>2.3809523809523808E-2</v>
      </c>
      <c r="CK62" s="420">
        <f>SUM(CJ$59:CJ62)</f>
        <v>0.11243386243386243</v>
      </c>
      <c r="CL62" s="102">
        <f>Vergleich!C6</f>
        <v>17674</v>
      </c>
      <c r="CM62" s="99">
        <v>3.3956211404282621E-2</v>
      </c>
      <c r="CN62" s="99">
        <f t="shared" si="46"/>
        <v>0.2834870478787393</v>
      </c>
      <c r="CO62" s="420">
        <v>3.746397694524492E-2</v>
      </c>
      <c r="CP62" s="420">
        <f>SUM(CO$59:CO62)</f>
        <v>0.100864553314121</v>
      </c>
      <c r="CQ62" s="160"/>
      <c r="CR62" s="160"/>
      <c r="CS62" s="160"/>
      <c r="CT62" s="160"/>
      <c r="CU62" s="160"/>
      <c r="CV62" s="160"/>
      <c r="CW62" s="160"/>
      <c r="CX62" s="160"/>
      <c r="CY62" s="160"/>
      <c r="CZ62" s="160"/>
      <c r="DA62" s="160"/>
      <c r="DB62" s="160"/>
      <c r="DC62" s="160"/>
      <c r="DD62" s="160"/>
      <c r="DE62" s="160"/>
      <c r="DF62" s="160"/>
      <c r="DG62" s="160"/>
      <c r="DH62" s="160"/>
      <c r="DI62" s="160"/>
    </row>
    <row r="63" spans="1:113" s="101" customFormat="1" x14ac:dyDescent="0.3">
      <c r="A63" s="152"/>
      <c r="B63" s="160"/>
      <c r="C63" s="262"/>
      <c r="D63" s="160"/>
      <c r="E63" s="262"/>
      <c r="F63" s="262"/>
      <c r="G63" s="156">
        <v>4</v>
      </c>
      <c r="H63" s="186">
        <f t="shared" si="4"/>
        <v>45186.75</v>
      </c>
      <c r="I63" s="451">
        <f t="shared" si="5"/>
        <v>14235</v>
      </c>
      <c r="J63" s="452">
        <f t="shared" si="6"/>
        <v>14235</v>
      </c>
      <c r="K63" s="453">
        <f t="shared" si="7"/>
        <v>14235</v>
      </c>
      <c r="L63" s="466">
        <f t="shared" si="8"/>
        <v>12634.613044909078</v>
      </c>
      <c r="M63" s="467">
        <f t="shared" si="9"/>
        <v>15226.480660971816</v>
      </c>
      <c r="N63" s="477">
        <v>47957</v>
      </c>
      <c r="O63" s="453">
        <v>41597</v>
      </c>
      <c r="P63" s="69"/>
      <c r="Q63" s="106">
        <v>4</v>
      </c>
      <c r="R63" s="421">
        <f t="shared" si="27"/>
        <v>1</v>
      </c>
      <c r="S63" s="89">
        <f t="shared" si="28"/>
        <v>45186</v>
      </c>
      <c r="T63" s="90">
        <v>0.75</v>
      </c>
      <c r="U63" s="91">
        <f t="shared" si="10"/>
        <v>45186.75</v>
      </c>
      <c r="V63" s="92">
        <f t="shared" si="11"/>
        <v>4</v>
      </c>
      <c r="W63" s="92">
        <f t="shared" si="29"/>
        <v>1</v>
      </c>
      <c r="X63" s="102">
        <v>14235</v>
      </c>
      <c r="Y63" s="103">
        <v>110</v>
      </c>
      <c r="Z63" s="104">
        <f t="shared" si="12"/>
        <v>9</v>
      </c>
      <c r="AA63" s="95">
        <f t="shared" si="30"/>
        <v>1077</v>
      </c>
      <c r="AB63" s="96">
        <f t="shared" si="13"/>
        <v>129.40909090909091</v>
      </c>
      <c r="AC63" s="97">
        <f t="shared" si="31"/>
        <v>119.66666666666667</v>
      </c>
      <c r="AD63" s="97">
        <f t="shared" ref="AD63" si="61">SUM(AA60:AA63)/SUM(Z60:Z63)</f>
        <v>129.40909090909091</v>
      </c>
      <c r="AE63" s="102">
        <f t="shared" ref="AE63:AE66" si="62">X63</f>
        <v>14235</v>
      </c>
      <c r="AF63" s="103">
        <f t="shared" ref="AF63:AF66" si="63">Y63</f>
        <v>110</v>
      </c>
      <c r="AG63" s="102">
        <f t="shared" ref="AG63:AG66" si="64">X63</f>
        <v>14235</v>
      </c>
      <c r="AH63" s="103">
        <f t="shared" ref="AH63:AH66" si="65">Y63</f>
        <v>110</v>
      </c>
      <c r="AI63" s="95">
        <f t="shared" si="51"/>
        <v>12634.613044909078</v>
      </c>
      <c r="AJ63" s="95">
        <f t="shared" si="32"/>
        <v>1600.3869550909221</v>
      </c>
      <c r="AK63" s="105">
        <f t="shared" si="52"/>
        <v>98</v>
      </c>
      <c r="AL63" s="71">
        <f t="shared" si="16"/>
        <v>12</v>
      </c>
      <c r="AM63" s="95">
        <f t="shared" si="53"/>
        <v>15226.480660971816</v>
      </c>
      <c r="AN63" s="95">
        <f t="shared" si="17"/>
        <v>-991.48066097181618</v>
      </c>
      <c r="AO63" s="105">
        <f t="shared" si="54"/>
        <v>123</v>
      </c>
      <c r="AP63" s="71">
        <f t="shared" si="18"/>
        <v>-13</v>
      </c>
      <c r="AQ63" s="95">
        <f t="shared" si="19"/>
        <v>1077</v>
      </c>
      <c r="AR63" s="95">
        <f t="shared" si="20"/>
        <v>3558.75</v>
      </c>
      <c r="AS63" s="93">
        <f t="shared" si="21"/>
        <v>14235</v>
      </c>
      <c r="AT63" s="57">
        <f t="shared" si="21"/>
        <v>110</v>
      </c>
      <c r="AU63" s="195">
        <f t="shared" si="21"/>
        <v>9</v>
      </c>
      <c r="AV63" s="195">
        <f t="shared" si="21"/>
        <v>1077</v>
      </c>
      <c r="AW63" s="99">
        <f t="shared" si="33"/>
        <v>2.9711984109468109E-2</v>
      </c>
      <c r="AX63" s="99">
        <f t="shared" si="34"/>
        <v>0.39271132200397263</v>
      </c>
      <c r="AY63" s="100">
        <f t="shared" si="35"/>
        <v>3.3457249070631967E-2</v>
      </c>
      <c r="AZ63" s="100">
        <f t="shared" si="55"/>
        <v>0.40892193308550184</v>
      </c>
      <c r="BA63" s="93">
        <v>41597</v>
      </c>
      <c r="BB63" s="57">
        <v>218</v>
      </c>
      <c r="BC63" s="195">
        <f t="shared" si="36"/>
        <v>3406</v>
      </c>
      <c r="BD63" s="99">
        <f t="shared" si="56"/>
        <v>2.9571106094808126E-2</v>
      </c>
      <c r="BE63" s="99">
        <f t="shared" si="57"/>
        <v>0.36114776870984544</v>
      </c>
      <c r="BF63" s="195">
        <f t="shared" si="37"/>
        <v>19</v>
      </c>
      <c r="BG63" s="100">
        <f t="shared" si="38"/>
        <v>2.9457364341085271E-2</v>
      </c>
      <c r="BH63" s="100">
        <f t="shared" si="58"/>
        <v>0.33798449612403098</v>
      </c>
      <c r="BI63" s="93">
        <v>123834</v>
      </c>
      <c r="BJ63" s="57">
        <v>520</v>
      </c>
      <c r="BK63" s="195">
        <f t="shared" si="39"/>
        <v>8687</v>
      </c>
      <c r="BL63" s="99">
        <f t="shared" si="40"/>
        <v>2.231807951987997E-2</v>
      </c>
      <c r="BM63" s="99">
        <f t="shared" si="23"/>
        <v>0.31814631740126814</v>
      </c>
      <c r="BN63" s="195">
        <f t="shared" si="41"/>
        <v>40</v>
      </c>
      <c r="BO63" s="100">
        <f t="shared" si="24"/>
        <v>2.4154589371980676E-2</v>
      </c>
      <c r="BP63" s="100">
        <f t="shared" si="59"/>
        <v>0.3140096618357488</v>
      </c>
      <c r="BQ63" s="93">
        <v>127604</v>
      </c>
      <c r="BR63" s="57">
        <v>891</v>
      </c>
      <c r="BS63" s="195">
        <f t="shared" si="42"/>
        <v>5085</v>
      </c>
      <c r="BT63" s="99">
        <f t="shared" si="43"/>
        <v>2.125942773048815E-2</v>
      </c>
      <c r="BU63" s="99">
        <f t="shared" si="25"/>
        <v>0.53348830208873355</v>
      </c>
      <c r="BV63" s="195">
        <f t="shared" si="44"/>
        <v>39</v>
      </c>
      <c r="BW63" s="100">
        <f t="shared" si="26"/>
        <v>2.34375E-2</v>
      </c>
      <c r="BX63" s="100">
        <f t="shared" si="60"/>
        <v>0.53545673076923073</v>
      </c>
      <c r="BY63" s="99">
        <v>2.9477450250552772E-2</v>
      </c>
      <c r="BZ63" s="99">
        <v>0.33692958967122588</v>
      </c>
      <c r="CA63" s="100">
        <v>3.2388663967611336E-2</v>
      </c>
      <c r="CB63" s="100">
        <v>0.36032388663967607</v>
      </c>
      <c r="CC63" s="99">
        <v>2.176080946319553E-2</v>
      </c>
      <c r="CD63" s="99">
        <v>0.38881637087424298</v>
      </c>
      <c r="CE63" s="100">
        <v>2.4464831804281346E-2</v>
      </c>
      <c r="CF63" s="100">
        <v>0.40366972477064217</v>
      </c>
      <c r="CG63" s="417"/>
      <c r="CH63" s="99">
        <v>3.5545704551984567E-2</v>
      </c>
      <c r="CI63" s="99" t="e">
        <f t="shared" si="45"/>
        <v>#DIV/0!</v>
      </c>
      <c r="CJ63" s="100">
        <v>3.0423280423280422E-2</v>
      </c>
      <c r="CK63" s="100">
        <f>SUM(CJ$59:CJ63)</f>
        <v>0.14285714285714285</v>
      </c>
      <c r="CL63" s="93">
        <f>Vergleich!C7</f>
        <v>18881</v>
      </c>
      <c r="CM63" s="99">
        <v>2.7524260165209702E-2</v>
      </c>
      <c r="CN63" s="99">
        <f t="shared" si="46"/>
        <v>0.30284706071056222</v>
      </c>
      <c r="CO63" s="100">
        <v>2.8818443804034588E-2</v>
      </c>
      <c r="CP63" s="100">
        <f>SUM(CO$59:CO63)</f>
        <v>0.12968299711815559</v>
      </c>
      <c r="CQ63" s="160"/>
      <c r="CR63" s="160"/>
      <c r="CS63" s="160"/>
      <c r="CT63" s="160"/>
      <c r="CU63" s="160"/>
      <c r="CV63" s="160"/>
      <c r="CW63" s="160"/>
      <c r="CX63" s="160"/>
      <c r="CY63" s="160"/>
      <c r="CZ63" s="160"/>
      <c r="DA63" s="160"/>
      <c r="DB63" s="160"/>
      <c r="DC63" s="160"/>
      <c r="DD63" s="160"/>
      <c r="DE63" s="160"/>
      <c r="DF63" s="160"/>
      <c r="DG63" s="160"/>
      <c r="DH63" s="160"/>
      <c r="DI63" s="160"/>
    </row>
    <row r="64" spans="1:113" s="101" customFormat="1" x14ac:dyDescent="0.3">
      <c r="A64" s="152"/>
      <c r="B64" s="160"/>
      <c r="C64" s="262"/>
      <c r="D64" s="160"/>
      <c r="E64" s="262"/>
      <c r="F64" s="262"/>
      <c r="G64" s="156">
        <v>5</v>
      </c>
      <c r="H64" s="186">
        <f t="shared" si="4"/>
        <v>45187.75</v>
      </c>
      <c r="I64" s="451">
        <f t="shared" si="5"/>
        <v>15015</v>
      </c>
      <c r="J64" s="452">
        <f t="shared" si="6"/>
        <v>15015</v>
      </c>
      <c r="K64" s="453">
        <f t="shared" si="7"/>
        <v>15015</v>
      </c>
      <c r="L64" s="466">
        <f t="shared" si="8"/>
        <v>12995.973857129311</v>
      </c>
      <c r="M64" s="467">
        <f t="shared" si="9"/>
        <v>16250.087309436383</v>
      </c>
      <c r="N64" s="477">
        <v>50763</v>
      </c>
      <c r="O64" s="453">
        <v>44358</v>
      </c>
      <c r="P64" s="69"/>
      <c r="Q64" s="106">
        <v>5</v>
      </c>
      <c r="R64" s="421">
        <f t="shared" si="27"/>
        <v>2</v>
      </c>
      <c r="S64" s="89">
        <f t="shared" si="28"/>
        <v>45187</v>
      </c>
      <c r="T64" s="90">
        <v>0.75</v>
      </c>
      <c r="U64" s="91">
        <f t="shared" si="10"/>
        <v>45187.75</v>
      </c>
      <c r="V64" s="92">
        <f t="shared" si="11"/>
        <v>5</v>
      </c>
      <c r="W64" s="92">
        <f t="shared" si="29"/>
        <v>1</v>
      </c>
      <c r="X64" s="102">
        <v>15015</v>
      </c>
      <c r="Y64" s="103">
        <v>116</v>
      </c>
      <c r="Z64" s="104">
        <f t="shared" si="12"/>
        <v>6</v>
      </c>
      <c r="AA64" s="95">
        <f t="shared" si="30"/>
        <v>780</v>
      </c>
      <c r="AB64" s="96">
        <f t="shared" si="13"/>
        <v>129.43965517241378</v>
      </c>
      <c r="AC64" s="97">
        <f t="shared" si="31"/>
        <v>130</v>
      </c>
      <c r="AD64" s="97">
        <f>SUM(AA60:AA64)/SUM(Z60:Z64)</f>
        <v>129.43965517241378</v>
      </c>
      <c r="AE64" s="102">
        <f t="shared" si="62"/>
        <v>15015</v>
      </c>
      <c r="AF64" s="103">
        <f t="shared" si="63"/>
        <v>116</v>
      </c>
      <c r="AG64" s="102">
        <f t="shared" si="64"/>
        <v>15015</v>
      </c>
      <c r="AH64" s="103">
        <f t="shared" si="65"/>
        <v>116</v>
      </c>
      <c r="AI64" s="95">
        <f t="shared" si="51"/>
        <v>12995.973857129311</v>
      </c>
      <c r="AJ64" s="95">
        <f t="shared" si="32"/>
        <v>2019.026142870689</v>
      </c>
      <c r="AK64" s="105">
        <f t="shared" si="52"/>
        <v>101</v>
      </c>
      <c r="AL64" s="71">
        <f t="shared" si="16"/>
        <v>15</v>
      </c>
      <c r="AM64" s="95">
        <f t="shared" si="53"/>
        <v>16250.087309436383</v>
      </c>
      <c r="AN64" s="95">
        <f t="shared" si="17"/>
        <v>-1235.0873094363833</v>
      </c>
      <c r="AO64" s="105">
        <f t="shared" si="54"/>
        <v>132</v>
      </c>
      <c r="AP64" s="71">
        <f t="shared" si="18"/>
        <v>-16</v>
      </c>
      <c r="AQ64" s="95">
        <f t="shared" si="19"/>
        <v>780</v>
      </c>
      <c r="AR64" s="95">
        <f t="shared" si="20"/>
        <v>3003</v>
      </c>
      <c r="AS64" s="93">
        <f t="shared" si="21"/>
        <v>15015</v>
      </c>
      <c r="AT64" s="57">
        <f t="shared" si="21"/>
        <v>116</v>
      </c>
      <c r="AU64" s="105">
        <f t="shared" si="21"/>
        <v>6</v>
      </c>
      <c r="AV64" s="105">
        <f t="shared" si="21"/>
        <v>780</v>
      </c>
      <c r="AW64" s="99">
        <f t="shared" si="33"/>
        <v>2.1518428602957405E-2</v>
      </c>
      <c r="AX64" s="99">
        <f t="shared" si="34"/>
        <v>0.41422975060693001</v>
      </c>
      <c r="AY64" s="100">
        <f t="shared" si="35"/>
        <v>2.2304832713754646E-2</v>
      </c>
      <c r="AZ64" s="100">
        <f t="shared" si="55"/>
        <v>0.43122676579925651</v>
      </c>
      <c r="BA64" s="93">
        <v>44358</v>
      </c>
      <c r="BB64" s="57">
        <v>235</v>
      </c>
      <c r="BC64" s="195">
        <f t="shared" si="36"/>
        <v>2761</v>
      </c>
      <c r="BD64" s="99">
        <f t="shared" si="56"/>
        <v>2.3971175551310991E-2</v>
      </c>
      <c r="BE64" s="99">
        <f t="shared" si="57"/>
        <v>0.38511894426115645</v>
      </c>
      <c r="BF64" s="195">
        <f t="shared" si="37"/>
        <v>17</v>
      </c>
      <c r="BG64" s="100">
        <f t="shared" si="38"/>
        <v>2.6356589147286821E-2</v>
      </c>
      <c r="BH64" s="100">
        <f t="shared" si="58"/>
        <v>0.36434108527131781</v>
      </c>
      <c r="BI64" s="93">
        <v>132002</v>
      </c>
      <c r="BJ64" s="57">
        <v>564</v>
      </c>
      <c r="BK64" s="195">
        <f t="shared" si="39"/>
        <v>8168</v>
      </c>
      <c r="BL64" s="99">
        <f t="shared" si="40"/>
        <v>2.098469822935186E-2</v>
      </c>
      <c r="BM64" s="99">
        <f t="shared" si="23"/>
        <v>0.33913101563061998</v>
      </c>
      <c r="BN64" s="195">
        <f t="shared" si="41"/>
        <v>44</v>
      </c>
      <c r="BO64" s="100">
        <f t="shared" si="24"/>
        <v>2.6570048309178744E-2</v>
      </c>
      <c r="BP64" s="100">
        <f t="shared" si="59"/>
        <v>0.34057971014492755</v>
      </c>
      <c r="BQ64" s="93">
        <v>131274</v>
      </c>
      <c r="BR64" s="57">
        <v>918</v>
      </c>
      <c r="BS64" s="105">
        <f t="shared" si="42"/>
        <v>3670</v>
      </c>
      <c r="BT64" s="99">
        <f t="shared" si="43"/>
        <v>1.5343579109319865E-2</v>
      </c>
      <c r="BU64" s="99">
        <f t="shared" si="25"/>
        <v>0.54883188119805337</v>
      </c>
      <c r="BV64" s="105">
        <f t="shared" si="44"/>
        <v>27</v>
      </c>
      <c r="BW64" s="100">
        <f t="shared" si="26"/>
        <v>1.622596153846154E-2</v>
      </c>
      <c r="BX64" s="100">
        <f t="shared" si="60"/>
        <v>0.55168269230769229</v>
      </c>
      <c r="BY64" s="99">
        <v>2.5521938645126165E-2</v>
      </c>
      <c r="BZ64" s="99">
        <v>0.36245152831635202</v>
      </c>
      <c r="CA64" s="100">
        <v>2.6315789473684209E-2</v>
      </c>
      <c r="CB64" s="100">
        <v>0.38663967611336025</v>
      </c>
      <c r="CC64" s="99">
        <v>2.2749937166068056E-2</v>
      </c>
      <c r="CD64" s="99">
        <v>0.41156630804031102</v>
      </c>
      <c r="CE64" s="100">
        <v>2.4464831804281346E-2</v>
      </c>
      <c r="CF64" s="100">
        <v>0.4281345565749235</v>
      </c>
      <c r="CG64" s="417"/>
      <c r="CH64" s="99">
        <v>1.8482359080807548E-2</v>
      </c>
      <c r="CI64" s="99" t="e">
        <f t="shared" si="45"/>
        <v>#DIV/0!</v>
      </c>
      <c r="CJ64" s="100">
        <v>2.2486772486772486E-2</v>
      </c>
      <c r="CK64" s="100">
        <f>SUM(CJ$59:CJ64)</f>
        <v>0.16534391534391535</v>
      </c>
      <c r="CL64" s="93">
        <f>Vergleich!C8</f>
        <v>21886</v>
      </c>
      <c r="CM64" s="99">
        <v>2.0675274681209388E-2</v>
      </c>
      <c r="CN64" s="99">
        <f t="shared" si="46"/>
        <v>0.35104659555698131</v>
      </c>
      <c r="CO64" s="100">
        <v>1.7291066282420775E-2</v>
      </c>
      <c r="CP64" s="100">
        <f>SUM(CO$59:CO64)</f>
        <v>0.14697406340057637</v>
      </c>
      <c r="CQ64" s="160"/>
      <c r="CR64" s="160"/>
      <c r="CS64" s="160"/>
      <c r="CT64" s="160"/>
      <c r="CU64" s="160"/>
      <c r="CV64" s="160"/>
      <c r="CW64" s="160"/>
      <c r="CX64" s="160"/>
      <c r="CY64" s="160"/>
      <c r="CZ64" s="160"/>
      <c r="DA64" s="160"/>
      <c r="DB64" s="160"/>
      <c r="DC64" s="160"/>
      <c r="DD64" s="160"/>
      <c r="DE64" s="160"/>
      <c r="DF64" s="160"/>
      <c r="DG64" s="160"/>
      <c r="DH64" s="160"/>
      <c r="DI64" s="160"/>
    </row>
    <row r="65" spans="1:113" s="101" customFormat="1" x14ac:dyDescent="0.3">
      <c r="A65" s="152"/>
      <c r="B65" s="160"/>
      <c r="C65" s="262"/>
      <c r="D65" s="160"/>
      <c r="E65" s="262"/>
      <c r="F65" s="262"/>
      <c r="G65" s="156">
        <v>6</v>
      </c>
      <c r="H65" s="186">
        <f t="shared" si="4"/>
        <v>45188.75</v>
      </c>
      <c r="I65" s="451">
        <f t="shared" si="5"/>
        <v>16237</v>
      </c>
      <c r="J65" s="452">
        <f t="shared" si="6"/>
        <v>16237</v>
      </c>
      <c r="K65" s="453">
        <f t="shared" si="7"/>
        <v>16237</v>
      </c>
      <c r="L65" s="466">
        <f t="shared" si="8"/>
        <v>13153.030349220684</v>
      </c>
      <c r="M65" s="467">
        <f t="shared" si="9"/>
        <v>17454.707776662122</v>
      </c>
      <c r="N65" s="477">
        <v>53829</v>
      </c>
      <c r="O65" s="453">
        <v>45558</v>
      </c>
      <c r="P65" s="69"/>
      <c r="Q65" s="106">
        <v>6</v>
      </c>
      <c r="R65" s="421">
        <f t="shared" si="27"/>
        <v>3</v>
      </c>
      <c r="S65" s="89">
        <f t="shared" si="28"/>
        <v>45188</v>
      </c>
      <c r="T65" s="90">
        <v>0.75</v>
      </c>
      <c r="U65" s="91">
        <f t="shared" si="10"/>
        <v>45188.75</v>
      </c>
      <c r="V65" s="92">
        <f t="shared" si="11"/>
        <v>6</v>
      </c>
      <c r="W65" s="92">
        <f t="shared" si="29"/>
        <v>1</v>
      </c>
      <c r="X65" s="102">
        <v>16237</v>
      </c>
      <c r="Y65" s="103">
        <v>123</v>
      </c>
      <c r="Z65" s="104">
        <f t="shared" si="12"/>
        <v>7</v>
      </c>
      <c r="AA65" s="95">
        <f t="shared" si="30"/>
        <v>1222</v>
      </c>
      <c r="AB65" s="96">
        <f t="shared" si="13"/>
        <v>132.00813008130081</v>
      </c>
      <c r="AC65" s="97">
        <f t="shared" si="31"/>
        <v>174.57142857142858</v>
      </c>
      <c r="AD65" s="97">
        <f>SUM(AA61:AA65)/SUM(Z61:Z65)</f>
        <v>140.71428571428572</v>
      </c>
      <c r="AE65" s="102">
        <f t="shared" si="62"/>
        <v>16237</v>
      </c>
      <c r="AF65" s="103">
        <f t="shared" si="63"/>
        <v>123</v>
      </c>
      <c r="AG65" s="102">
        <f t="shared" si="64"/>
        <v>16237</v>
      </c>
      <c r="AH65" s="103">
        <f t="shared" si="65"/>
        <v>123</v>
      </c>
      <c r="AI65" s="95">
        <f t="shared" si="51"/>
        <v>13153.030349220684</v>
      </c>
      <c r="AJ65" s="95">
        <f t="shared" si="32"/>
        <v>3083.969650779316</v>
      </c>
      <c r="AK65" s="105">
        <f t="shared" si="52"/>
        <v>102</v>
      </c>
      <c r="AL65" s="71">
        <f t="shared" si="16"/>
        <v>21</v>
      </c>
      <c r="AM65" s="95">
        <f t="shared" si="53"/>
        <v>17454.707776662122</v>
      </c>
      <c r="AN65" s="95">
        <f t="shared" si="17"/>
        <v>-1217.7077766621223</v>
      </c>
      <c r="AO65" s="105">
        <f t="shared" si="54"/>
        <v>144</v>
      </c>
      <c r="AP65" s="71">
        <f t="shared" si="18"/>
        <v>-21</v>
      </c>
      <c r="AQ65" s="95">
        <f t="shared" si="19"/>
        <v>1222</v>
      </c>
      <c r="AR65" s="95">
        <f t="shared" si="20"/>
        <v>2706.1666666666665</v>
      </c>
      <c r="AS65" s="93">
        <f t="shared" si="21"/>
        <v>16237</v>
      </c>
      <c r="AT65" s="57">
        <f t="shared" si="21"/>
        <v>123</v>
      </c>
      <c r="AU65" s="105">
        <f t="shared" si="21"/>
        <v>7</v>
      </c>
      <c r="AV65" s="105">
        <f t="shared" si="21"/>
        <v>1222</v>
      </c>
      <c r="AW65" s="99">
        <f t="shared" si="33"/>
        <v>3.3712204811299933E-2</v>
      </c>
      <c r="AX65" s="99">
        <f t="shared" si="34"/>
        <v>0.44794195541822995</v>
      </c>
      <c r="AY65" s="100">
        <f t="shared" si="35"/>
        <v>2.6022304832713755E-2</v>
      </c>
      <c r="AZ65" s="100">
        <f t="shared" si="55"/>
        <v>0.45724907063197029</v>
      </c>
      <c r="BA65" s="93">
        <v>45558</v>
      </c>
      <c r="BB65" s="57">
        <v>241</v>
      </c>
      <c r="BC65" s="195">
        <f t="shared" si="36"/>
        <v>1200</v>
      </c>
      <c r="BD65" s="99">
        <f t="shared" si="56"/>
        <v>1.0418475429762111E-2</v>
      </c>
      <c r="BE65" s="99">
        <f t="shared" si="57"/>
        <v>0.39553741969091855</v>
      </c>
      <c r="BF65" s="195">
        <f t="shared" si="37"/>
        <v>6</v>
      </c>
      <c r="BG65" s="100">
        <f t="shared" si="38"/>
        <v>9.3023255813953487E-3</v>
      </c>
      <c r="BH65" s="100">
        <f t="shared" si="58"/>
        <v>0.37364341085271313</v>
      </c>
      <c r="BI65" s="93">
        <v>150957</v>
      </c>
      <c r="BJ65" s="57">
        <v>652</v>
      </c>
      <c r="BK65" s="195">
        <f t="shared" si="39"/>
        <v>18955</v>
      </c>
      <c r="BL65" s="99">
        <f t="shared" si="40"/>
        <v>4.8697962161773321E-2</v>
      </c>
      <c r="BM65" s="99">
        <f t="shared" si="23"/>
        <v>0.38782897779239328</v>
      </c>
      <c r="BN65" s="195">
        <f t="shared" si="41"/>
        <v>88</v>
      </c>
      <c r="BO65" s="100">
        <f t="shared" si="24"/>
        <v>5.3140096618357488E-2</v>
      </c>
      <c r="BP65" s="100">
        <f t="shared" si="59"/>
        <v>0.39371980676328505</v>
      </c>
      <c r="BQ65" s="93">
        <v>135593</v>
      </c>
      <c r="BR65" s="57">
        <v>953</v>
      </c>
      <c r="BS65" s="105">
        <f t="shared" si="42"/>
        <v>4319</v>
      </c>
      <c r="BT65" s="99">
        <f t="shared" si="43"/>
        <v>1.8056925932739099E-2</v>
      </c>
      <c r="BU65" s="99">
        <f t="shared" si="25"/>
        <v>0.56688880713079248</v>
      </c>
      <c r="BV65" s="105">
        <f t="shared" si="44"/>
        <v>35</v>
      </c>
      <c r="BW65" s="100">
        <f t="shared" si="26"/>
        <v>2.1033653846153848E-2</v>
      </c>
      <c r="BX65" s="100">
        <f t="shared" si="60"/>
        <v>0.57271634615384615</v>
      </c>
      <c r="BY65" s="99">
        <v>5.3999400006666594E-2</v>
      </c>
      <c r="BZ65" s="99">
        <v>0.41645092832301861</v>
      </c>
      <c r="CA65" s="100">
        <v>5.8704453441295545E-2</v>
      </c>
      <c r="CB65" s="100">
        <v>0.4453441295546558</v>
      </c>
      <c r="CC65" s="99">
        <v>2.4857914237763599E-2</v>
      </c>
      <c r="CD65" s="99">
        <v>0.43642422227807465</v>
      </c>
      <c r="CE65" s="100">
        <v>2.1406727828746176E-2</v>
      </c>
      <c r="CF65" s="100">
        <v>0.44954128440366969</v>
      </c>
      <c r="CG65" s="417"/>
      <c r="CH65" s="99">
        <v>1.1920887059416798E-2</v>
      </c>
      <c r="CI65" s="99" t="e">
        <f t="shared" si="45"/>
        <v>#DIV/0!</v>
      </c>
      <c r="CJ65" s="100">
        <v>1.3227513227513227E-2</v>
      </c>
      <c r="CK65" s="100">
        <f>SUM(CJ$59:CJ65)</f>
        <v>0.17857142857142858</v>
      </c>
      <c r="CL65" s="93">
        <f>Vergleich!C9</f>
        <v>22571</v>
      </c>
      <c r="CM65" s="99">
        <v>1.0987248375972425E-2</v>
      </c>
      <c r="CN65" s="99">
        <f t="shared" si="46"/>
        <v>0.36203384393295374</v>
      </c>
      <c r="CO65" s="100">
        <v>1.1527377521613813E-2</v>
      </c>
      <c r="CP65" s="100">
        <f>SUM(CO$59:CO65)</f>
        <v>0.15850144092219018</v>
      </c>
      <c r="CQ65" s="160"/>
      <c r="CR65" s="160"/>
      <c r="CS65" s="160"/>
      <c r="CT65" s="160"/>
      <c r="CU65" s="160"/>
      <c r="CV65" s="160"/>
      <c r="CW65" s="160"/>
      <c r="CX65" s="160"/>
      <c r="CY65" s="160"/>
      <c r="CZ65" s="160"/>
      <c r="DA65" s="160"/>
      <c r="DB65" s="160"/>
      <c r="DC65" s="160"/>
      <c r="DD65" s="160"/>
      <c r="DE65" s="160"/>
      <c r="DF65" s="160"/>
      <c r="DG65" s="160"/>
      <c r="DH65" s="160"/>
      <c r="DI65" s="160"/>
    </row>
    <row r="66" spans="1:113" s="101" customFormat="1" x14ac:dyDescent="0.3">
      <c r="A66" s="152"/>
      <c r="B66" s="160"/>
      <c r="C66" s="262"/>
      <c r="D66" s="160"/>
      <c r="E66" s="262"/>
      <c r="F66" s="262"/>
      <c r="G66" s="156">
        <v>7</v>
      </c>
      <c r="H66" s="186">
        <f t="shared" si="4"/>
        <v>45189.75</v>
      </c>
      <c r="I66" s="451">
        <f t="shared" si="5"/>
        <v>16727</v>
      </c>
      <c r="J66" s="452">
        <f t="shared" si="6"/>
        <v>16727</v>
      </c>
      <c r="K66" s="453">
        <f t="shared" si="7"/>
        <v>16727</v>
      </c>
      <c r="L66" s="466">
        <f t="shared" si="8"/>
        <v>13736.887858570362</v>
      </c>
      <c r="M66" s="467">
        <f t="shared" si="9"/>
        <v>20719.092576016152</v>
      </c>
      <c r="N66" s="477">
        <v>55981</v>
      </c>
      <c r="O66" s="453">
        <v>50019</v>
      </c>
      <c r="P66" s="69"/>
      <c r="Q66" s="106">
        <v>7</v>
      </c>
      <c r="R66" s="421">
        <f t="shared" si="27"/>
        <v>4</v>
      </c>
      <c r="S66" s="89">
        <f t="shared" si="28"/>
        <v>45189</v>
      </c>
      <c r="T66" s="90">
        <v>0.75</v>
      </c>
      <c r="U66" s="91">
        <f t="shared" si="10"/>
        <v>45189.75</v>
      </c>
      <c r="V66" s="92">
        <f t="shared" si="11"/>
        <v>7</v>
      </c>
      <c r="W66" s="92">
        <f t="shared" si="29"/>
        <v>1</v>
      </c>
      <c r="X66" s="102">
        <v>16727</v>
      </c>
      <c r="Y66" s="103">
        <v>127</v>
      </c>
      <c r="Z66" s="104">
        <f t="shared" si="12"/>
        <v>4</v>
      </c>
      <c r="AA66" s="95">
        <f t="shared" si="30"/>
        <v>490</v>
      </c>
      <c r="AB66" s="96">
        <f t="shared" si="13"/>
        <v>131.70866141732284</v>
      </c>
      <c r="AC66" s="97">
        <f t="shared" si="31"/>
        <v>122.5</v>
      </c>
      <c r="AD66" s="97">
        <f t="shared" ref="AD66:AD80" si="66">SUM(AA62:AA66)/SUM(Z62:Z66)</f>
        <v>139.31578947368422</v>
      </c>
      <c r="AE66" s="102">
        <f t="shared" si="62"/>
        <v>16727</v>
      </c>
      <c r="AF66" s="103">
        <f t="shared" si="63"/>
        <v>127</v>
      </c>
      <c r="AG66" s="102">
        <f t="shared" si="64"/>
        <v>16727</v>
      </c>
      <c r="AH66" s="103">
        <f t="shared" si="65"/>
        <v>127</v>
      </c>
      <c r="AI66" s="95">
        <f t="shared" si="51"/>
        <v>13736.887858570362</v>
      </c>
      <c r="AJ66" s="95">
        <f t="shared" si="32"/>
        <v>2990.1121414296376</v>
      </c>
      <c r="AK66" s="105">
        <f t="shared" si="52"/>
        <v>106</v>
      </c>
      <c r="AL66" s="71">
        <f t="shared" si="16"/>
        <v>21</v>
      </c>
      <c r="AM66" s="95">
        <f t="shared" si="53"/>
        <v>20719.092576016152</v>
      </c>
      <c r="AN66" s="95">
        <f t="shared" si="17"/>
        <v>-3992.0925760161517</v>
      </c>
      <c r="AO66" s="105">
        <f t="shared" si="54"/>
        <v>174</v>
      </c>
      <c r="AP66" s="71">
        <f t="shared" si="18"/>
        <v>-47</v>
      </c>
      <c r="AQ66" s="95">
        <f t="shared" si="19"/>
        <v>490</v>
      </c>
      <c r="AR66" s="95">
        <f t="shared" si="20"/>
        <v>2389.5714285714284</v>
      </c>
      <c r="AS66" s="93">
        <f t="shared" si="21"/>
        <v>16727</v>
      </c>
      <c r="AT66" s="57">
        <f t="shared" si="21"/>
        <v>127</v>
      </c>
      <c r="AU66" s="105">
        <f t="shared" si="21"/>
        <v>4</v>
      </c>
      <c r="AV66" s="105">
        <f t="shared" si="21"/>
        <v>490</v>
      </c>
      <c r="AW66" s="99">
        <f t="shared" si="33"/>
        <v>1.3517987199293754E-2</v>
      </c>
      <c r="AX66" s="99">
        <f t="shared" si="34"/>
        <v>0.46145994261752371</v>
      </c>
      <c r="AY66" s="100">
        <f t="shared" si="35"/>
        <v>1.4869888475836431E-2</v>
      </c>
      <c r="AZ66" s="100">
        <f t="shared" si="55"/>
        <v>0.47211895910780671</v>
      </c>
      <c r="BA66" s="93">
        <v>50019</v>
      </c>
      <c r="BB66" s="57">
        <v>262</v>
      </c>
      <c r="BC66" s="195">
        <f t="shared" si="36"/>
        <v>4461</v>
      </c>
      <c r="BD66" s="99">
        <f t="shared" si="56"/>
        <v>3.8730682410140646E-2</v>
      </c>
      <c r="BE66" s="99">
        <f t="shared" si="57"/>
        <v>0.43426810210105921</v>
      </c>
      <c r="BF66" s="195">
        <f t="shared" si="37"/>
        <v>21</v>
      </c>
      <c r="BG66" s="100">
        <f t="shared" si="38"/>
        <v>3.255813953488372E-2</v>
      </c>
      <c r="BH66" s="100">
        <f t="shared" si="58"/>
        <v>0.40620155038759687</v>
      </c>
      <c r="BI66" s="93">
        <v>164491</v>
      </c>
      <c r="BJ66" s="57">
        <v>709</v>
      </c>
      <c r="BK66" s="195">
        <f t="shared" si="39"/>
        <v>13534</v>
      </c>
      <c r="BL66" s="99">
        <f t="shared" si="40"/>
        <v>3.4770678971112641E-2</v>
      </c>
      <c r="BM66" s="99">
        <f t="shared" si="23"/>
        <v>0.42259965676350597</v>
      </c>
      <c r="BN66" s="195">
        <f t="shared" si="41"/>
        <v>57</v>
      </c>
      <c r="BO66" s="100">
        <f t="shared" si="24"/>
        <v>3.4420289855072464E-2</v>
      </c>
      <c r="BP66" s="100">
        <f t="shared" si="59"/>
        <v>0.4281400966183575</v>
      </c>
      <c r="BQ66" s="93">
        <v>147297</v>
      </c>
      <c r="BR66" s="57">
        <v>1044</v>
      </c>
      <c r="BS66" s="105">
        <f t="shared" si="42"/>
        <v>11704</v>
      </c>
      <c r="BT66" s="99">
        <f t="shared" si="43"/>
        <v>4.893222067996722E-2</v>
      </c>
      <c r="BU66" s="99">
        <f t="shared" si="25"/>
        <v>0.61582102781075976</v>
      </c>
      <c r="BV66" s="105">
        <f t="shared" si="44"/>
        <v>91</v>
      </c>
      <c r="BW66" s="100">
        <f t="shared" si="26"/>
        <v>5.46875E-2</v>
      </c>
      <c r="BX66" s="100">
        <f t="shared" si="60"/>
        <v>0.62740384615384615</v>
      </c>
      <c r="BY66" s="99">
        <v>3.0466328151909423E-2</v>
      </c>
      <c r="BZ66" s="99">
        <v>0.44691725647492803</v>
      </c>
      <c r="CA66" s="100">
        <v>3.2388663967611336E-2</v>
      </c>
      <c r="CB66" s="100">
        <v>0.47773279352226716</v>
      </c>
      <c r="CC66" s="99">
        <v>1.7447564070341575E-2</v>
      </c>
      <c r="CD66" s="99">
        <v>0.45387178634841624</v>
      </c>
      <c r="CE66" s="100">
        <v>2.1406727828746176E-2</v>
      </c>
      <c r="CF66" s="100">
        <v>0.47094801223241589</v>
      </c>
      <c r="CG66" s="417"/>
      <c r="CH66" s="99">
        <v>2.6240024392961223E-2</v>
      </c>
      <c r="CI66" s="99" t="e">
        <f t="shared" si="45"/>
        <v>#DIV/0!</v>
      </c>
      <c r="CJ66" s="100">
        <v>2.7777777777777776E-2</v>
      </c>
      <c r="CK66" s="100">
        <f>SUM(CJ$59:CJ66)</f>
        <v>0.20634920634920634</v>
      </c>
      <c r="CL66" s="93">
        <f>Vergleich!C10</f>
        <v>24180</v>
      </c>
      <c r="CM66" s="99">
        <v>2.5808003849546846E-2</v>
      </c>
      <c r="CN66" s="99">
        <f t="shared" si="46"/>
        <v>0.38784184778250058</v>
      </c>
      <c r="CO66" s="100">
        <v>2.5936599423631135E-2</v>
      </c>
      <c r="CP66" s="100">
        <f>SUM(CO$59:CO66)</f>
        <v>0.18443804034582131</v>
      </c>
      <c r="CQ66" s="160"/>
      <c r="CR66" s="160"/>
      <c r="CS66" s="160"/>
      <c r="CT66" s="160"/>
      <c r="CU66" s="160"/>
      <c r="CV66" s="160"/>
      <c r="CW66" s="160"/>
      <c r="CX66" s="160"/>
      <c r="CY66" s="160"/>
      <c r="CZ66" s="160"/>
      <c r="DA66" s="160"/>
      <c r="DB66" s="160"/>
      <c r="DC66" s="160"/>
      <c r="DD66" s="160"/>
      <c r="DE66" s="160"/>
      <c r="DF66" s="160"/>
      <c r="DG66" s="160"/>
      <c r="DH66" s="160"/>
      <c r="DI66" s="160"/>
    </row>
    <row r="67" spans="1:113" s="101" customFormat="1" x14ac:dyDescent="0.3">
      <c r="A67" s="152"/>
      <c r="B67" s="160"/>
      <c r="C67" s="262"/>
      <c r="D67" s="160"/>
      <c r="E67" s="262"/>
      <c r="F67" s="262"/>
      <c r="G67" s="156">
        <v>8</v>
      </c>
      <c r="H67" s="186">
        <f t="shared" si="4"/>
        <v>45190.75</v>
      </c>
      <c r="I67" s="451">
        <f t="shared" si="5"/>
        <v>17672</v>
      </c>
      <c r="J67" s="452">
        <f t="shared" si="6"/>
        <v>17672</v>
      </c>
      <c r="K67" s="453">
        <f t="shared" si="7"/>
        <v>17672</v>
      </c>
      <c r="L67" s="466">
        <f t="shared" si="8"/>
        <v>14321.007128740193</v>
      </c>
      <c r="M67" s="467">
        <f t="shared" si="9"/>
        <v>22631.591428474334</v>
      </c>
      <c r="N67" s="477">
        <v>58795</v>
      </c>
      <c r="O67" s="453">
        <v>54482</v>
      </c>
      <c r="P67" s="69"/>
      <c r="Q67" s="106">
        <v>8</v>
      </c>
      <c r="R67" s="421">
        <f t="shared" si="27"/>
        <v>5</v>
      </c>
      <c r="S67" s="89">
        <f t="shared" si="28"/>
        <v>45190</v>
      </c>
      <c r="T67" s="90">
        <v>0.75</v>
      </c>
      <c r="U67" s="91">
        <f t="shared" si="10"/>
        <v>45190.75</v>
      </c>
      <c r="V67" s="92">
        <f t="shared" si="11"/>
        <v>8</v>
      </c>
      <c r="W67" s="92">
        <f t="shared" si="29"/>
        <v>1</v>
      </c>
      <c r="X67" s="102">
        <v>17672</v>
      </c>
      <c r="Y67" s="103">
        <v>134</v>
      </c>
      <c r="Z67" s="104">
        <f t="shared" si="12"/>
        <v>7</v>
      </c>
      <c r="AA67" s="95">
        <f t="shared" si="30"/>
        <v>945</v>
      </c>
      <c r="AB67" s="96">
        <f t="shared" si="13"/>
        <v>131.88059701492537</v>
      </c>
      <c r="AC67" s="97">
        <f t="shared" si="31"/>
        <v>135</v>
      </c>
      <c r="AD67" s="97">
        <f t="shared" si="66"/>
        <v>136.78787878787878</v>
      </c>
      <c r="AE67" s="102">
        <f t="shared" ref="AE67" si="67">X67</f>
        <v>17672</v>
      </c>
      <c r="AF67" s="103">
        <f t="shared" ref="AF67" si="68">Y67</f>
        <v>134</v>
      </c>
      <c r="AG67" s="102">
        <f t="shared" ref="AG67" si="69">X67</f>
        <v>17672</v>
      </c>
      <c r="AH67" s="103">
        <f t="shared" ref="AH67" si="70">Y67</f>
        <v>134</v>
      </c>
      <c r="AI67" s="95">
        <f t="shared" si="51"/>
        <v>14321.007128740193</v>
      </c>
      <c r="AJ67" s="95">
        <f t="shared" si="32"/>
        <v>3350.9928712598066</v>
      </c>
      <c r="AK67" s="105">
        <f t="shared" si="52"/>
        <v>111</v>
      </c>
      <c r="AL67" s="71">
        <f t="shared" si="16"/>
        <v>23</v>
      </c>
      <c r="AM67" s="95">
        <f t="shared" si="53"/>
        <v>22631.591428474334</v>
      </c>
      <c r="AN67" s="95">
        <f t="shared" si="17"/>
        <v>-4959.591428474334</v>
      </c>
      <c r="AO67" s="105">
        <f t="shared" si="54"/>
        <v>187</v>
      </c>
      <c r="AP67" s="71">
        <f t="shared" si="18"/>
        <v>-53</v>
      </c>
      <c r="AQ67" s="95">
        <f t="shared" si="19"/>
        <v>945</v>
      </c>
      <c r="AR67" s="95">
        <f t="shared" si="20"/>
        <v>2209</v>
      </c>
      <c r="AS67" s="93">
        <f t="shared" si="21"/>
        <v>17672</v>
      </c>
      <c r="AT67" s="57">
        <f t="shared" si="21"/>
        <v>134</v>
      </c>
      <c r="AU67" s="105">
        <f t="shared" si="21"/>
        <v>7</v>
      </c>
      <c r="AV67" s="105">
        <f t="shared" si="21"/>
        <v>945</v>
      </c>
      <c r="AW67" s="99">
        <f t="shared" si="33"/>
        <v>2.607040388435224E-2</v>
      </c>
      <c r="AX67" s="99">
        <f t="shared" si="34"/>
        <v>0.48753034650187599</v>
      </c>
      <c r="AY67" s="100">
        <f t="shared" si="35"/>
        <v>2.6022304832713755E-2</v>
      </c>
      <c r="AZ67" s="100">
        <f t="shared" si="55"/>
        <v>0.4981412639405205</v>
      </c>
      <c r="BA67" s="93">
        <v>54482</v>
      </c>
      <c r="BB67" s="57">
        <v>287</v>
      </c>
      <c r="BC67" s="195">
        <f t="shared" si="36"/>
        <v>4463</v>
      </c>
      <c r="BD67" s="99">
        <f t="shared" si="56"/>
        <v>3.8748046535856923E-2</v>
      </c>
      <c r="BE67" s="99">
        <f t="shared" si="57"/>
        <v>0.4730161486369161</v>
      </c>
      <c r="BF67" s="195">
        <f t="shared" si="37"/>
        <v>25</v>
      </c>
      <c r="BG67" s="100">
        <f t="shared" si="38"/>
        <v>3.875968992248062E-2</v>
      </c>
      <c r="BH67" s="100">
        <f t="shared" si="58"/>
        <v>0.4449612403100775</v>
      </c>
      <c r="BI67" s="93">
        <v>182858</v>
      </c>
      <c r="BJ67" s="57">
        <v>792</v>
      </c>
      <c r="BK67" s="195">
        <f t="shared" si="39"/>
        <v>18367</v>
      </c>
      <c r="BL67" s="99">
        <f t="shared" si="40"/>
        <v>4.7187310526261704E-2</v>
      </c>
      <c r="BM67" s="99">
        <f t="shared" si="23"/>
        <v>0.46978696728976765</v>
      </c>
      <c r="BN67" s="195">
        <f t="shared" si="41"/>
        <v>83</v>
      </c>
      <c r="BO67" s="100">
        <f t="shared" si="24"/>
        <v>5.0120772946859904E-2</v>
      </c>
      <c r="BP67" s="100">
        <f t="shared" si="59"/>
        <v>0.47826086956521741</v>
      </c>
      <c r="BQ67" s="93">
        <v>154154</v>
      </c>
      <c r="BR67" s="57">
        <v>1084</v>
      </c>
      <c r="BS67" s="105">
        <f t="shared" si="42"/>
        <v>6857</v>
      </c>
      <c r="BT67" s="99">
        <f t="shared" si="43"/>
        <v>2.8667826145124337E-2</v>
      </c>
      <c r="BU67" s="99">
        <f t="shared" si="25"/>
        <v>0.64448885395588407</v>
      </c>
      <c r="BV67" s="105">
        <f t="shared" si="44"/>
        <v>40</v>
      </c>
      <c r="BW67" s="100">
        <f t="shared" si="26"/>
        <v>2.403846153846154E-2</v>
      </c>
      <c r="BX67" s="100">
        <f t="shared" si="60"/>
        <v>0.65144230769230771</v>
      </c>
      <c r="BY67" s="99">
        <v>3.9366229264119285E-2</v>
      </c>
      <c r="BZ67" s="99">
        <v>0.48628348573904734</v>
      </c>
      <c r="CA67" s="100">
        <v>3.4412955465587043E-2</v>
      </c>
      <c r="CB67" s="100">
        <v>0.51214574898785425</v>
      </c>
      <c r="CC67" s="99">
        <v>2.2814797999043304E-2</v>
      </c>
      <c r="CD67" s="99">
        <v>0.47668658434745953</v>
      </c>
      <c r="CE67" s="100">
        <v>2.5993883792048929E-2</v>
      </c>
      <c r="CF67" s="100">
        <v>0.49694189602446481</v>
      </c>
      <c r="CG67" s="417"/>
      <c r="CH67" s="99">
        <v>1.852926862162178E-2</v>
      </c>
      <c r="CI67" s="99" t="e">
        <f t="shared" si="45"/>
        <v>#DIV/0!</v>
      </c>
      <c r="CJ67" s="100">
        <v>1.7195767195767195E-2</v>
      </c>
      <c r="CK67" s="100">
        <f>SUM(CJ$59:CJ67)</f>
        <v>0.22354497354497355</v>
      </c>
      <c r="CL67" s="93">
        <f>Vergleich!C11</f>
        <v>26679</v>
      </c>
      <c r="CM67" s="99">
        <v>4.0083406848985481E-2</v>
      </c>
      <c r="CN67" s="99">
        <f t="shared" si="46"/>
        <v>0.42792525463148606</v>
      </c>
      <c r="CO67" s="100">
        <v>3.4582132564841495E-2</v>
      </c>
      <c r="CP67" s="100">
        <f>SUM(CO$59:CO67)</f>
        <v>0.21902017291066281</v>
      </c>
      <c r="CQ67" s="160"/>
      <c r="CR67" s="160"/>
      <c r="CS67" s="160"/>
      <c r="CT67" s="160"/>
      <c r="CU67" s="160"/>
      <c r="CV67" s="160"/>
      <c r="CW67" s="160"/>
      <c r="CX67" s="160"/>
      <c r="CY67" s="160"/>
      <c r="CZ67" s="160"/>
      <c r="DA67" s="160"/>
      <c r="DB67" s="160"/>
      <c r="DC67" s="160"/>
      <c r="DD67" s="160"/>
      <c r="DE67" s="160"/>
      <c r="DF67" s="160"/>
      <c r="DG67" s="160"/>
      <c r="DH67" s="160"/>
      <c r="DI67" s="160"/>
    </row>
    <row r="68" spans="1:113" s="101" customFormat="1" x14ac:dyDescent="0.3">
      <c r="A68" s="152"/>
      <c r="B68" s="160"/>
      <c r="C68" s="262"/>
      <c r="D68" s="160"/>
      <c r="E68" s="262"/>
      <c r="F68" s="262"/>
      <c r="G68" s="156">
        <v>9</v>
      </c>
      <c r="H68" s="186">
        <f t="shared" si="4"/>
        <v>45191.75</v>
      </c>
      <c r="I68" s="451">
        <f t="shared" si="5"/>
        <v>17982</v>
      </c>
      <c r="J68" s="452">
        <f t="shared" si="6"/>
        <v>17982</v>
      </c>
      <c r="K68" s="453">
        <f t="shared" si="7"/>
        <v>17982</v>
      </c>
      <c r="L68" s="466">
        <f t="shared" si="8"/>
        <v>15103.933741815687</v>
      </c>
      <c r="M68" s="467">
        <f t="shared" si="9"/>
        <v>23883.348005670239</v>
      </c>
      <c r="N68" s="477">
        <v>63300</v>
      </c>
      <c r="O68" s="453">
        <v>60464</v>
      </c>
      <c r="P68" s="69"/>
      <c r="Q68" s="106">
        <v>9</v>
      </c>
      <c r="R68" s="421">
        <f t="shared" si="27"/>
        <v>6</v>
      </c>
      <c r="S68" s="89">
        <f t="shared" si="28"/>
        <v>45191</v>
      </c>
      <c r="T68" s="90">
        <v>0.75</v>
      </c>
      <c r="U68" s="91">
        <f t="shared" si="10"/>
        <v>45191.75</v>
      </c>
      <c r="V68" s="92">
        <f t="shared" si="11"/>
        <v>9</v>
      </c>
      <c r="W68" s="92">
        <f t="shared" si="29"/>
        <v>1</v>
      </c>
      <c r="X68" s="102">
        <v>17982</v>
      </c>
      <c r="Y68" s="103">
        <v>138</v>
      </c>
      <c r="Z68" s="104">
        <f t="shared" si="12"/>
        <v>4</v>
      </c>
      <c r="AA68" s="95">
        <f t="shared" si="30"/>
        <v>310</v>
      </c>
      <c r="AB68" s="96">
        <f t="shared" si="13"/>
        <v>130.30434782608697</v>
      </c>
      <c r="AC68" s="97">
        <f t="shared" si="31"/>
        <v>77.5</v>
      </c>
      <c r="AD68" s="97">
        <f t="shared" si="66"/>
        <v>133.82142857142858</v>
      </c>
      <c r="AE68" s="102">
        <f t="shared" ref="AE68:AE69" si="71">X68</f>
        <v>17982</v>
      </c>
      <c r="AF68" s="103">
        <f t="shared" ref="AF68:AF69" si="72">Y68</f>
        <v>138</v>
      </c>
      <c r="AG68" s="102">
        <f t="shared" ref="AG68:AG69" si="73">X68</f>
        <v>17982</v>
      </c>
      <c r="AH68" s="103">
        <f t="shared" ref="AH68:AH69" si="74">Y68</f>
        <v>138</v>
      </c>
      <c r="AI68" s="95">
        <f t="shared" si="51"/>
        <v>15103.933741815687</v>
      </c>
      <c r="AJ68" s="95">
        <f t="shared" si="32"/>
        <v>2878.0662581843135</v>
      </c>
      <c r="AK68" s="105">
        <f t="shared" si="52"/>
        <v>118</v>
      </c>
      <c r="AL68" s="71">
        <f t="shared" si="16"/>
        <v>20</v>
      </c>
      <c r="AM68" s="95">
        <f t="shared" si="53"/>
        <v>23883.348005670239</v>
      </c>
      <c r="AN68" s="95">
        <f t="shared" si="17"/>
        <v>-5901.3480056702392</v>
      </c>
      <c r="AO68" s="105">
        <f t="shared" si="54"/>
        <v>196</v>
      </c>
      <c r="AP68" s="71">
        <f t="shared" si="18"/>
        <v>-58</v>
      </c>
      <c r="AQ68" s="95">
        <f t="shared" si="19"/>
        <v>310</v>
      </c>
      <c r="AR68" s="95">
        <f t="shared" si="20"/>
        <v>1998</v>
      </c>
      <c r="AS68" s="93">
        <f t="shared" si="21"/>
        <v>17982</v>
      </c>
      <c r="AT68" s="57">
        <f t="shared" si="21"/>
        <v>138</v>
      </c>
      <c r="AU68" s="105">
        <f t="shared" si="21"/>
        <v>4</v>
      </c>
      <c r="AV68" s="105">
        <f t="shared" si="21"/>
        <v>310</v>
      </c>
      <c r="AW68" s="99">
        <f t="shared" si="33"/>
        <v>8.5521959832266601E-3</v>
      </c>
      <c r="AX68" s="99">
        <f t="shared" si="34"/>
        <v>0.49608254248510264</v>
      </c>
      <c r="AY68" s="100">
        <f t="shared" si="35"/>
        <v>1.4869888475836431E-2</v>
      </c>
      <c r="AZ68" s="100">
        <f t="shared" si="55"/>
        <v>0.51301115241635697</v>
      </c>
      <c r="BA68" s="93">
        <v>60464</v>
      </c>
      <c r="BB68" s="57">
        <v>324</v>
      </c>
      <c r="BC68" s="195">
        <f t="shared" si="36"/>
        <v>5982</v>
      </c>
      <c r="BD68" s="99">
        <f t="shared" si="56"/>
        <v>5.1936100017364123E-2</v>
      </c>
      <c r="BE68" s="99">
        <f t="shared" si="57"/>
        <v>0.52495224865428025</v>
      </c>
      <c r="BF68" s="195">
        <f t="shared" si="37"/>
        <v>37</v>
      </c>
      <c r="BG68" s="100">
        <f t="shared" si="38"/>
        <v>5.7364341085271317E-2</v>
      </c>
      <c r="BH68" s="100">
        <f t="shared" si="58"/>
        <v>0.50232558139534877</v>
      </c>
      <c r="BI68" s="93">
        <v>195000</v>
      </c>
      <c r="BJ68" s="57">
        <v>851</v>
      </c>
      <c r="BK68" s="195">
        <f t="shared" si="39"/>
        <v>12142</v>
      </c>
      <c r="BL68" s="99">
        <f t="shared" si="40"/>
        <v>3.1194442446227995E-2</v>
      </c>
      <c r="BM68" s="99">
        <f t="shared" si="23"/>
        <v>0.5009814097359957</v>
      </c>
      <c r="BN68" s="195">
        <f t="shared" si="41"/>
        <v>59</v>
      </c>
      <c r="BO68" s="100">
        <f t="shared" si="24"/>
        <v>3.5628019323671496E-2</v>
      </c>
      <c r="BP68" s="100">
        <f t="shared" si="59"/>
        <v>0.51388888888888895</v>
      </c>
      <c r="BQ68" s="93">
        <v>158642</v>
      </c>
      <c r="BR68" s="57">
        <v>1112</v>
      </c>
      <c r="BS68" s="105">
        <f t="shared" si="42"/>
        <v>4488</v>
      </c>
      <c r="BT68" s="99">
        <f t="shared" si="43"/>
        <v>1.8763483117882167E-2</v>
      </c>
      <c r="BU68" s="99">
        <f t="shared" si="25"/>
        <v>0.6632523370737663</v>
      </c>
      <c r="BV68" s="105">
        <f t="shared" si="44"/>
        <v>28</v>
      </c>
      <c r="BW68" s="100">
        <f t="shared" si="26"/>
        <v>1.6826923076923076E-2</v>
      </c>
      <c r="BX68" s="100">
        <f t="shared" si="60"/>
        <v>0.66826923076923084</v>
      </c>
      <c r="BY68" s="99">
        <v>2.4499727780802436E-2</v>
      </c>
      <c r="BZ68" s="99">
        <v>0.51078321351984979</v>
      </c>
      <c r="CA68" s="100">
        <v>2.8340080971659919E-2</v>
      </c>
      <c r="CB68" s="100">
        <v>0.54048582995951422</v>
      </c>
      <c r="CC68" s="99">
        <v>3.6524756569186238E-2</v>
      </c>
      <c r="CD68" s="99">
        <v>0.51321134091664578</v>
      </c>
      <c r="CE68" s="100">
        <v>3.82262996941896E-2</v>
      </c>
      <c r="CF68" s="100">
        <v>0.53516819571865437</v>
      </c>
      <c r="CG68" s="417"/>
      <c r="CH68" s="99">
        <v>2.2364123583185274E-2</v>
      </c>
      <c r="CI68" s="99" t="e">
        <f t="shared" si="45"/>
        <v>#DIV/0!</v>
      </c>
      <c r="CJ68" s="100">
        <v>2.7777777777777776E-2</v>
      </c>
      <c r="CK68" s="100">
        <f>SUM(CJ$59:CJ68)</f>
        <v>0.25132275132275134</v>
      </c>
      <c r="CL68" s="93">
        <f>Vergleich!C12</f>
        <v>27868</v>
      </c>
      <c r="CM68" s="99">
        <v>1.9071296816103978E-2</v>
      </c>
      <c r="CN68" s="99">
        <f t="shared" si="46"/>
        <v>0.44699655144759004</v>
      </c>
      <c r="CO68" s="100">
        <v>1.7291066282420775E-2</v>
      </c>
      <c r="CP68" s="100">
        <f>SUM(CO$59:CO68)</f>
        <v>0.23631123919308358</v>
      </c>
      <c r="CQ68" s="160"/>
      <c r="CR68" s="160"/>
      <c r="CS68" s="160"/>
      <c r="CT68" s="160"/>
      <c r="CU68" s="160"/>
      <c r="CV68" s="160"/>
      <c r="CW68" s="160"/>
      <c r="CX68" s="160"/>
      <c r="CY68" s="160"/>
      <c r="CZ68" s="160"/>
      <c r="DA68" s="160"/>
      <c r="DB68" s="160"/>
      <c r="DC68" s="160"/>
      <c r="DD68" s="160"/>
      <c r="DE68" s="160"/>
      <c r="DF68" s="160"/>
      <c r="DG68" s="160"/>
      <c r="DH68" s="160"/>
      <c r="DI68" s="160"/>
    </row>
    <row r="69" spans="1:113" s="101" customFormat="1" x14ac:dyDescent="0.3">
      <c r="A69" s="152"/>
      <c r="B69" s="160"/>
      <c r="C69" s="262"/>
      <c r="D69" s="160"/>
      <c r="E69" s="262"/>
      <c r="F69" s="262"/>
      <c r="G69" s="156">
        <v>10</v>
      </c>
      <c r="H69" s="186">
        <f t="shared" si="4"/>
        <v>45192.75</v>
      </c>
      <c r="I69" s="451">
        <f t="shared" si="5"/>
        <v>18530</v>
      </c>
      <c r="J69" s="452">
        <f t="shared" si="6"/>
        <v>18530</v>
      </c>
      <c r="K69" s="453">
        <f t="shared" si="7"/>
        <v>18530</v>
      </c>
      <c r="L69" s="466">
        <f t="shared" si="8"/>
        <v>15384.541341018939</v>
      </c>
      <c r="M69" s="467">
        <f t="shared" si="9"/>
        <v>25152.95494403828</v>
      </c>
      <c r="N69" s="477">
        <v>66650</v>
      </c>
      <c r="O69" s="453">
        <v>62608</v>
      </c>
      <c r="P69" s="69"/>
      <c r="Q69" s="106">
        <v>10</v>
      </c>
      <c r="R69" s="421">
        <f t="shared" si="27"/>
        <v>7</v>
      </c>
      <c r="S69" s="89">
        <f t="shared" si="28"/>
        <v>45192</v>
      </c>
      <c r="T69" s="90">
        <v>0.75</v>
      </c>
      <c r="U69" s="91">
        <f t="shared" si="10"/>
        <v>45192.75</v>
      </c>
      <c r="V69" s="92">
        <f t="shared" si="11"/>
        <v>10</v>
      </c>
      <c r="W69" s="92">
        <f t="shared" si="29"/>
        <v>1</v>
      </c>
      <c r="X69" s="102">
        <v>18530</v>
      </c>
      <c r="Y69" s="103">
        <v>143</v>
      </c>
      <c r="Z69" s="104">
        <f t="shared" si="12"/>
        <v>5</v>
      </c>
      <c r="AA69" s="95">
        <f t="shared" si="30"/>
        <v>548</v>
      </c>
      <c r="AB69" s="96">
        <f t="shared" si="13"/>
        <v>129.58041958041957</v>
      </c>
      <c r="AC69" s="97">
        <f t="shared" si="31"/>
        <v>109.6</v>
      </c>
      <c r="AD69" s="97">
        <f t="shared" si="66"/>
        <v>130.18518518518519</v>
      </c>
      <c r="AE69" s="102">
        <f t="shared" si="71"/>
        <v>18530</v>
      </c>
      <c r="AF69" s="103">
        <f t="shared" si="72"/>
        <v>143</v>
      </c>
      <c r="AG69" s="102">
        <f t="shared" si="73"/>
        <v>18530</v>
      </c>
      <c r="AH69" s="103">
        <f t="shared" si="74"/>
        <v>143</v>
      </c>
      <c r="AI69" s="95">
        <f t="shared" si="51"/>
        <v>15384.541341018939</v>
      </c>
      <c r="AJ69" s="95">
        <f t="shared" si="32"/>
        <v>3145.4586589810606</v>
      </c>
      <c r="AK69" s="105">
        <f t="shared" si="52"/>
        <v>120</v>
      </c>
      <c r="AL69" s="71">
        <f t="shared" si="16"/>
        <v>23</v>
      </c>
      <c r="AM69" s="95">
        <f t="shared" si="53"/>
        <v>25152.95494403828</v>
      </c>
      <c r="AN69" s="95">
        <f t="shared" si="17"/>
        <v>-6622.9549440382798</v>
      </c>
      <c r="AO69" s="105">
        <f t="shared" si="54"/>
        <v>205</v>
      </c>
      <c r="AP69" s="71">
        <f t="shared" si="18"/>
        <v>-62</v>
      </c>
      <c r="AQ69" s="95">
        <f t="shared" si="19"/>
        <v>548</v>
      </c>
      <c r="AR69" s="95">
        <f t="shared" si="20"/>
        <v>1853</v>
      </c>
      <c r="AS69" s="93">
        <f t="shared" si="21"/>
        <v>18530</v>
      </c>
      <c r="AT69" s="57">
        <f t="shared" si="21"/>
        <v>143</v>
      </c>
      <c r="AU69" s="105">
        <f t="shared" si="21"/>
        <v>5</v>
      </c>
      <c r="AV69" s="105">
        <f t="shared" si="21"/>
        <v>548</v>
      </c>
      <c r="AW69" s="99">
        <f t="shared" si="33"/>
        <v>1.5118075480026484E-2</v>
      </c>
      <c r="AX69" s="99">
        <f t="shared" si="34"/>
        <v>0.51120061796512906</v>
      </c>
      <c r="AY69" s="100">
        <f t="shared" si="35"/>
        <v>1.858736059479554E-2</v>
      </c>
      <c r="AZ69" s="100">
        <f t="shared" si="55"/>
        <v>0.53159851301115246</v>
      </c>
      <c r="BA69" s="93">
        <v>62608</v>
      </c>
      <c r="BB69" s="57">
        <v>336</v>
      </c>
      <c r="BC69" s="195">
        <f t="shared" si="36"/>
        <v>2144</v>
      </c>
      <c r="BD69" s="99">
        <f t="shared" si="56"/>
        <v>1.861434276784164E-2</v>
      </c>
      <c r="BE69" s="99">
        <f t="shared" si="57"/>
        <v>0.54356659142212194</v>
      </c>
      <c r="BF69" s="195">
        <f t="shared" si="37"/>
        <v>12</v>
      </c>
      <c r="BG69" s="100">
        <f t="shared" si="38"/>
        <v>1.8604651162790697E-2</v>
      </c>
      <c r="BH69" s="100">
        <f t="shared" si="58"/>
        <v>0.52093023255813953</v>
      </c>
      <c r="BI69" s="93">
        <v>203877</v>
      </c>
      <c r="BJ69" s="57">
        <v>893</v>
      </c>
      <c r="BK69" s="195">
        <f t="shared" si="39"/>
        <v>8877</v>
      </c>
      <c r="BL69" s="99">
        <f t="shared" si="40"/>
        <v>2.2806215252443248E-2</v>
      </c>
      <c r="BM69" s="99">
        <f t="shared" si="23"/>
        <v>0.52378762498843889</v>
      </c>
      <c r="BN69" s="195">
        <f t="shared" si="41"/>
        <v>42</v>
      </c>
      <c r="BO69" s="100">
        <f t="shared" si="24"/>
        <v>2.5362318840579712E-2</v>
      </c>
      <c r="BP69" s="100">
        <f t="shared" si="59"/>
        <v>0.53925120772946866</v>
      </c>
      <c r="BQ69" s="93">
        <v>163194</v>
      </c>
      <c r="BR69" s="57">
        <v>1140</v>
      </c>
      <c r="BS69" s="105">
        <f t="shared" si="42"/>
        <v>4552</v>
      </c>
      <c r="BT69" s="99">
        <f t="shared" si="43"/>
        <v>1.9031055069652324E-2</v>
      </c>
      <c r="BU69" s="99">
        <f t="shared" si="25"/>
        <v>0.6822833921434186</v>
      </c>
      <c r="BV69" s="105">
        <f t="shared" si="44"/>
        <v>28</v>
      </c>
      <c r="BW69" s="100">
        <f t="shared" si="26"/>
        <v>1.6826923076923076E-2</v>
      </c>
      <c r="BX69" s="100">
        <f t="shared" si="60"/>
        <v>0.68509615384615397</v>
      </c>
      <c r="BY69" s="99">
        <v>3.2021866423706406E-2</v>
      </c>
      <c r="BZ69" s="99">
        <v>0.5428050799435562</v>
      </c>
      <c r="CA69" s="100">
        <v>3.0364372469635626E-2</v>
      </c>
      <c r="CB69" s="100">
        <v>0.57085020242914986</v>
      </c>
      <c r="CC69" s="99">
        <v>2.7160473808384884E-2</v>
      </c>
      <c r="CD69" s="99">
        <v>0.54037181472503071</v>
      </c>
      <c r="CE69" s="100">
        <v>2.9051987767584098E-2</v>
      </c>
      <c r="CF69" s="100">
        <v>0.56422018348623848</v>
      </c>
      <c r="CG69" s="417"/>
      <c r="CH69" s="99">
        <v>2.7735266006414881E-2</v>
      </c>
      <c r="CI69" s="99" t="e">
        <f t="shared" si="45"/>
        <v>#DIV/0!</v>
      </c>
      <c r="CJ69" s="100">
        <v>2.7777777777777776E-2</v>
      </c>
      <c r="CK69" s="100">
        <f>SUM(CJ$59:CJ69)</f>
        <v>0.27910052910052913</v>
      </c>
      <c r="CL69" s="93">
        <f>Vergleich!C13</f>
        <v>31587</v>
      </c>
      <c r="CM69" s="99">
        <v>5.9651936803272132E-2</v>
      </c>
      <c r="CN69" s="99">
        <f t="shared" si="46"/>
        <v>0.50664848825086217</v>
      </c>
      <c r="CO69" s="100">
        <v>5.4755043227665667E-2</v>
      </c>
      <c r="CP69" s="100">
        <f>SUM(CO$59:CO69)</f>
        <v>0.29106628242074928</v>
      </c>
      <c r="CQ69" s="160"/>
      <c r="CR69" s="160"/>
      <c r="CS69" s="160"/>
      <c r="CT69" s="160"/>
      <c r="CU69" s="160"/>
      <c r="CV69" s="160"/>
      <c r="CW69" s="160"/>
      <c r="CX69" s="160"/>
      <c r="CY69" s="160"/>
      <c r="CZ69" s="160"/>
      <c r="DA69" s="160"/>
      <c r="DB69" s="160"/>
      <c r="DC69" s="160"/>
      <c r="DD69" s="160"/>
      <c r="DE69" s="160"/>
      <c r="DF69" s="160"/>
      <c r="DG69" s="160"/>
      <c r="DH69" s="160"/>
      <c r="DI69" s="160"/>
    </row>
    <row r="70" spans="1:113" s="101" customFormat="1" x14ac:dyDescent="0.3">
      <c r="A70" s="152"/>
      <c r="B70" s="160"/>
      <c r="C70" s="262"/>
      <c r="D70" s="160"/>
      <c r="E70" s="262"/>
      <c r="F70" s="262"/>
      <c r="G70" s="156">
        <v>11</v>
      </c>
      <c r="H70" s="186">
        <f t="shared" si="4"/>
        <v>45193.75</v>
      </c>
      <c r="I70" s="451">
        <f t="shared" si="5"/>
        <v>19542</v>
      </c>
      <c r="J70" s="452">
        <f t="shared" si="6"/>
        <v>19542</v>
      </c>
      <c r="K70" s="453">
        <f t="shared" si="7"/>
        <v>19542</v>
      </c>
      <c r="L70" s="466">
        <f t="shared" si="8"/>
        <v>15528.378911692622</v>
      </c>
      <c r="M70" s="467">
        <f t="shared" si="9"/>
        <v>26048.541033471447</v>
      </c>
      <c r="N70" s="477">
        <v>69668</v>
      </c>
      <c r="O70" s="453">
        <v>63707</v>
      </c>
      <c r="P70" s="69"/>
      <c r="Q70" s="106">
        <v>11</v>
      </c>
      <c r="R70" s="421">
        <f t="shared" si="27"/>
        <v>1</v>
      </c>
      <c r="S70" s="89">
        <f t="shared" si="28"/>
        <v>45193</v>
      </c>
      <c r="T70" s="90">
        <v>0.75</v>
      </c>
      <c r="U70" s="91">
        <f t="shared" si="10"/>
        <v>45193.75</v>
      </c>
      <c r="V70" s="92">
        <f t="shared" si="11"/>
        <v>11</v>
      </c>
      <c r="W70" s="92">
        <f t="shared" si="29"/>
        <v>1</v>
      </c>
      <c r="X70" s="102">
        <v>19542</v>
      </c>
      <c r="Y70" s="103">
        <v>150</v>
      </c>
      <c r="Z70" s="104">
        <f t="shared" si="12"/>
        <v>7</v>
      </c>
      <c r="AA70" s="95">
        <f t="shared" si="30"/>
        <v>1012</v>
      </c>
      <c r="AB70" s="96">
        <f t="shared" si="13"/>
        <v>130.28</v>
      </c>
      <c r="AC70" s="97">
        <f t="shared" si="31"/>
        <v>144.57142857142858</v>
      </c>
      <c r="AD70" s="97">
        <f t="shared" si="66"/>
        <v>122.4074074074074</v>
      </c>
      <c r="AE70" s="102">
        <f t="shared" ref="AE70:AE77" si="75">X70</f>
        <v>19542</v>
      </c>
      <c r="AF70" s="103">
        <f t="shared" ref="AF70:AF77" si="76">Y70</f>
        <v>150</v>
      </c>
      <c r="AG70" s="102">
        <f t="shared" ref="AG70:AG77" si="77">X70</f>
        <v>19542</v>
      </c>
      <c r="AH70" s="103">
        <f t="shared" ref="AH70:AH77" si="78">Y70</f>
        <v>150</v>
      </c>
      <c r="AI70" s="95">
        <f t="shared" si="51"/>
        <v>15528.378911692622</v>
      </c>
      <c r="AJ70" s="95">
        <f t="shared" si="32"/>
        <v>4013.6210883073782</v>
      </c>
      <c r="AK70" s="105">
        <f t="shared" si="52"/>
        <v>122</v>
      </c>
      <c r="AL70" s="71">
        <f t="shared" si="16"/>
        <v>28</v>
      </c>
      <c r="AM70" s="95">
        <f t="shared" si="53"/>
        <v>26048.541033471447</v>
      </c>
      <c r="AN70" s="95">
        <f t="shared" si="17"/>
        <v>-6506.541033471447</v>
      </c>
      <c r="AO70" s="105">
        <f t="shared" si="54"/>
        <v>213</v>
      </c>
      <c r="AP70" s="71">
        <f t="shared" si="18"/>
        <v>-63</v>
      </c>
      <c r="AQ70" s="95">
        <f t="shared" si="19"/>
        <v>1012</v>
      </c>
      <c r="AR70" s="95">
        <f t="shared" si="20"/>
        <v>1776.5454545454545</v>
      </c>
      <c r="AS70" s="93">
        <f t="shared" si="21"/>
        <v>19542</v>
      </c>
      <c r="AT70" s="57">
        <f t="shared" si="21"/>
        <v>150</v>
      </c>
      <c r="AU70" s="105">
        <f t="shared" si="21"/>
        <v>7</v>
      </c>
      <c r="AV70" s="105">
        <f t="shared" si="21"/>
        <v>1012</v>
      </c>
      <c r="AW70" s="99">
        <f t="shared" si="33"/>
        <v>2.7918781725888325E-2</v>
      </c>
      <c r="AX70" s="99">
        <f t="shared" si="34"/>
        <v>0.53911939969101741</v>
      </c>
      <c r="AY70" s="100">
        <f t="shared" si="35"/>
        <v>2.6022304832713755E-2</v>
      </c>
      <c r="AZ70" s="100">
        <f t="shared" si="55"/>
        <v>0.55762081784386619</v>
      </c>
      <c r="BA70" s="93">
        <v>63707</v>
      </c>
      <c r="BB70" s="57">
        <v>345</v>
      </c>
      <c r="BC70" s="195">
        <f t="shared" si="36"/>
        <v>1099</v>
      </c>
      <c r="BD70" s="99">
        <f t="shared" si="56"/>
        <v>9.5415870810904666E-3</v>
      </c>
      <c r="BE70" s="99">
        <f t="shared" si="57"/>
        <v>0.55310817850321237</v>
      </c>
      <c r="BF70" s="195">
        <f t="shared" si="37"/>
        <v>9</v>
      </c>
      <c r="BG70" s="100">
        <f t="shared" si="38"/>
        <v>1.3953488372093023E-2</v>
      </c>
      <c r="BH70" s="100">
        <f t="shared" si="58"/>
        <v>0.53488372093023251</v>
      </c>
      <c r="BI70" s="93">
        <v>212794</v>
      </c>
      <c r="BJ70" s="57">
        <v>935</v>
      </c>
      <c r="BK70" s="195">
        <f t="shared" si="39"/>
        <v>8917</v>
      </c>
      <c r="BL70" s="99">
        <f t="shared" si="40"/>
        <v>2.290898066982499E-2</v>
      </c>
      <c r="BM70" s="99">
        <f t="shared" si="23"/>
        <v>0.54669660565826383</v>
      </c>
      <c r="BN70" s="195">
        <f t="shared" si="41"/>
        <v>42</v>
      </c>
      <c r="BO70" s="100">
        <f t="shared" si="24"/>
        <v>2.5362318840579712E-2</v>
      </c>
      <c r="BP70" s="100">
        <f t="shared" si="59"/>
        <v>0.56461352657004837</v>
      </c>
      <c r="BQ70" s="93">
        <v>166405</v>
      </c>
      <c r="BR70" s="57">
        <v>1163</v>
      </c>
      <c r="BS70" s="105">
        <f t="shared" si="42"/>
        <v>3211</v>
      </c>
      <c r="BT70" s="99">
        <f t="shared" si="43"/>
        <v>1.342458651771828E-2</v>
      </c>
      <c r="BU70" s="99">
        <f t="shared" si="25"/>
        <v>0.69570797866113687</v>
      </c>
      <c r="BV70" s="105">
        <f t="shared" si="44"/>
        <v>23</v>
      </c>
      <c r="BW70" s="100">
        <f t="shared" si="26"/>
        <v>1.3822115384615384E-2</v>
      </c>
      <c r="BX70" s="100">
        <f t="shared" si="60"/>
        <v>0.69891826923076938</v>
      </c>
      <c r="BY70" s="99">
        <v>1.5899823335296274E-2</v>
      </c>
      <c r="BZ70" s="99">
        <v>0.55870490327885247</v>
      </c>
      <c r="CA70" s="100">
        <v>1.8218623481781375E-2</v>
      </c>
      <c r="CB70" s="100">
        <v>0.58906882591093124</v>
      </c>
      <c r="CC70" s="99">
        <v>2.4468749239912112E-2</v>
      </c>
      <c r="CD70" s="99">
        <v>0.56484056396494287</v>
      </c>
      <c r="CE70" s="100">
        <v>2.5993883792048929E-2</v>
      </c>
      <c r="CF70" s="100">
        <v>0.5902140672782874</v>
      </c>
      <c r="CG70" s="417"/>
      <c r="CH70" s="99">
        <v>1.0173506664086642E-2</v>
      </c>
      <c r="CI70" s="99" t="e">
        <f t="shared" si="45"/>
        <v>#DIV/0!</v>
      </c>
      <c r="CJ70" s="100">
        <v>7.9365079365079361E-3</v>
      </c>
      <c r="CK70" s="100">
        <f>SUM(CJ$59:CJ70)</f>
        <v>0.28703703703703709</v>
      </c>
      <c r="CL70" s="93">
        <f>Vergleich!C14</f>
        <v>34703</v>
      </c>
      <c r="CM70" s="99">
        <v>4.9979950276686114E-2</v>
      </c>
      <c r="CN70" s="99">
        <f t="shared" si="46"/>
        <v>0.55662843852754829</v>
      </c>
      <c r="CO70" s="100">
        <v>4.8991354466858816E-2</v>
      </c>
      <c r="CP70" s="100">
        <f>SUM(CO$59:CO70)</f>
        <v>0.34005763688760809</v>
      </c>
      <c r="CQ70" s="160"/>
      <c r="CR70" s="160"/>
      <c r="CS70" s="160"/>
      <c r="CT70" s="160"/>
      <c r="CU70" s="160"/>
      <c r="CV70" s="160"/>
      <c r="CW70" s="160"/>
      <c r="CX70" s="160"/>
      <c r="CY70" s="160"/>
      <c r="CZ70" s="160"/>
      <c r="DA70" s="160"/>
      <c r="DB70" s="160"/>
      <c r="DC70" s="160"/>
      <c r="DD70" s="160"/>
      <c r="DE70" s="160"/>
      <c r="DF70" s="160"/>
      <c r="DG70" s="160"/>
      <c r="DH70" s="160"/>
      <c r="DI70" s="160"/>
    </row>
    <row r="71" spans="1:113" s="101" customFormat="1" x14ac:dyDescent="0.3">
      <c r="A71" s="152"/>
      <c r="B71" s="160"/>
      <c r="C71" s="262"/>
      <c r="D71" s="160"/>
      <c r="E71" s="262"/>
      <c r="F71" s="262"/>
      <c r="G71" s="156">
        <v>12</v>
      </c>
      <c r="H71" s="186">
        <f t="shared" si="4"/>
        <v>45194.75</v>
      </c>
      <c r="I71" s="451">
        <f t="shared" si="5"/>
        <v>20594</v>
      </c>
      <c r="J71" s="452">
        <f t="shared" si="6"/>
        <v>20594</v>
      </c>
      <c r="K71" s="453">
        <f t="shared" si="7"/>
        <v>20594</v>
      </c>
      <c r="L71" s="466">
        <f t="shared" si="8"/>
        <v>15840.790450544378</v>
      </c>
      <c r="M71" s="467">
        <f t="shared" si="9"/>
        <v>26989.868673408208</v>
      </c>
      <c r="N71" s="477">
        <v>71286</v>
      </c>
      <c r="O71" s="453">
        <v>66094</v>
      </c>
      <c r="P71" s="69"/>
      <c r="Q71" s="106">
        <v>12</v>
      </c>
      <c r="R71" s="421">
        <f t="shared" si="27"/>
        <v>2</v>
      </c>
      <c r="S71" s="89">
        <f t="shared" si="28"/>
        <v>45194</v>
      </c>
      <c r="T71" s="90">
        <v>0.75</v>
      </c>
      <c r="U71" s="91">
        <f t="shared" si="10"/>
        <v>45194.75</v>
      </c>
      <c r="V71" s="92">
        <f t="shared" si="11"/>
        <v>12</v>
      </c>
      <c r="W71" s="92">
        <f t="shared" si="29"/>
        <v>1</v>
      </c>
      <c r="X71" s="102">
        <v>20594</v>
      </c>
      <c r="Y71" s="103">
        <v>154</v>
      </c>
      <c r="Z71" s="104">
        <f t="shared" si="12"/>
        <v>4</v>
      </c>
      <c r="AA71" s="95">
        <f t="shared" si="30"/>
        <v>1052</v>
      </c>
      <c r="AB71" s="96">
        <f t="shared" si="13"/>
        <v>133.72727272727272</v>
      </c>
      <c r="AC71" s="97">
        <f t="shared" si="31"/>
        <v>263</v>
      </c>
      <c r="AD71" s="97">
        <f t="shared" si="66"/>
        <v>143.22222222222223</v>
      </c>
      <c r="AE71" s="102">
        <f t="shared" si="75"/>
        <v>20594</v>
      </c>
      <c r="AF71" s="103">
        <f t="shared" si="76"/>
        <v>154</v>
      </c>
      <c r="AG71" s="102">
        <f t="shared" si="77"/>
        <v>20594</v>
      </c>
      <c r="AH71" s="103">
        <f t="shared" si="78"/>
        <v>154</v>
      </c>
      <c r="AI71" s="95">
        <f t="shared" si="51"/>
        <v>15840.790450544378</v>
      </c>
      <c r="AJ71" s="95">
        <f t="shared" si="32"/>
        <v>4753.2095494556215</v>
      </c>
      <c r="AK71" s="105">
        <f t="shared" si="52"/>
        <v>125</v>
      </c>
      <c r="AL71" s="71">
        <f t="shared" si="16"/>
        <v>29</v>
      </c>
      <c r="AM71" s="95">
        <f t="shared" si="53"/>
        <v>26989.868673408208</v>
      </c>
      <c r="AN71" s="95">
        <f t="shared" si="17"/>
        <v>-6395.8686734082075</v>
      </c>
      <c r="AO71" s="105">
        <f t="shared" si="54"/>
        <v>222</v>
      </c>
      <c r="AP71" s="71">
        <f t="shared" si="18"/>
        <v>-68</v>
      </c>
      <c r="AQ71" s="95">
        <f t="shared" si="19"/>
        <v>1052</v>
      </c>
      <c r="AR71" s="95">
        <f t="shared" si="20"/>
        <v>1716.1666666666667</v>
      </c>
      <c r="AS71" s="93">
        <f t="shared" si="21"/>
        <v>20594</v>
      </c>
      <c r="AT71" s="57">
        <f t="shared" si="21"/>
        <v>154</v>
      </c>
      <c r="AU71" s="105">
        <f t="shared" si="21"/>
        <v>4</v>
      </c>
      <c r="AV71" s="105">
        <f t="shared" si="21"/>
        <v>1052</v>
      </c>
      <c r="AW71" s="99">
        <f t="shared" si="33"/>
        <v>2.9022290885014346E-2</v>
      </c>
      <c r="AX71" s="99">
        <f t="shared" si="34"/>
        <v>0.56814169057603181</v>
      </c>
      <c r="AY71" s="100">
        <f t="shared" si="35"/>
        <v>1.4869888475836431E-2</v>
      </c>
      <c r="AZ71" s="100">
        <f t="shared" si="55"/>
        <v>0.57249070631970267</v>
      </c>
      <c r="BA71" s="93">
        <v>66094</v>
      </c>
      <c r="BB71" s="57">
        <v>361</v>
      </c>
      <c r="BC71" s="195">
        <f t="shared" si="36"/>
        <v>2387</v>
      </c>
      <c r="BD71" s="99">
        <f t="shared" si="56"/>
        <v>2.0724084042368467E-2</v>
      </c>
      <c r="BE71" s="99">
        <f t="shared" si="57"/>
        <v>0.57383226254558084</v>
      </c>
      <c r="BF71" s="195">
        <f t="shared" si="37"/>
        <v>16</v>
      </c>
      <c r="BG71" s="100">
        <f t="shared" si="38"/>
        <v>2.4806201550387597E-2</v>
      </c>
      <c r="BH71" s="100">
        <f t="shared" si="58"/>
        <v>0.55968992248062011</v>
      </c>
      <c r="BI71" s="93">
        <v>221864</v>
      </c>
      <c r="BJ71" s="57">
        <v>976</v>
      </c>
      <c r="BK71" s="195">
        <f t="shared" si="39"/>
        <v>9070</v>
      </c>
      <c r="BL71" s="99">
        <f t="shared" si="40"/>
        <v>2.3302058391310155E-2</v>
      </c>
      <c r="BM71" s="99">
        <f t="shared" si="23"/>
        <v>0.569998664049574</v>
      </c>
      <c r="BN71" s="195">
        <f t="shared" si="41"/>
        <v>41</v>
      </c>
      <c r="BO71" s="100">
        <f t="shared" si="24"/>
        <v>2.4758454106280192E-2</v>
      </c>
      <c r="BP71" s="100">
        <f t="shared" si="59"/>
        <v>0.58937198067632857</v>
      </c>
      <c r="BQ71" s="93">
        <v>169780</v>
      </c>
      <c r="BR71" s="57">
        <v>1189</v>
      </c>
      <c r="BS71" s="105">
        <f t="shared" si="42"/>
        <v>3375</v>
      </c>
      <c r="BT71" s="99">
        <f t="shared" si="43"/>
        <v>1.4110239644129304E-2</v>
      </c>
      <c r="BU71" s="99">
        <f t="shared" si="25"/>
        <v>0.70981821830526615</v>
      </c>
      <c r="BV71" s="105">
        <f t="shared" si="44"/>
        <v>26</v>
      </c>
      <c r="BW71" s="100">
        <f t="shared" si="26"/>
        <v>1.5625E-2</v>
      </c>
      <c r="BX71" s="100">
        <f t="shared" si="60"/>
        <v>0.71454326923076938</v>
      </c>
      <c r="BY71" s="99">
        <v>4.371062543749514E-2</v>
      </c>
      <c r="BZ71" s="99">
        <v>0.60241552871634763</v>
      </c>
      <c r="CA71" s="100">
        <v>4.048582995951417E-2</v>
      </c>
      <c r="CB71" s="100">
        <v>0.62955465587044546</v>
      </c>
      <c r="CC71" s="99">
        <v>1.3118103469243804E-2</v>
      </c>
      <c r="CD71" s="99">
        <v>0.57795866743418667</v>
      </c>
      <c r="CE71" s="100">
        <v>1.3761467889908258E-2</v>
      </c>
      <c r="CF71" s="100">
        <v>0.60397553516819569</v>
      </c>
      <c r="CG71" s="417"/>
      <c r="CH71" s="99">
        <v>1.8130537524700806E-2</v>
      </c>
      <c r="CI71" s="99" t="e">
        <f t="shared" si="45"/>
        <v>#DIV/0!</v>
      </c>
      <c r="CJ71" s="100">
        <v>1.984126984126984E-2</v>
      </c>
      <c r="CK71" s="100">
        <f>SUM(CJ$59:CJ71)</f>
        <v>0.30687830687830692</v>
      </c>
      <c r="CL71" s="93">
        <f>Vergleich!C15</f>
        <v>36986</v>
      </c>
      <c r="CM71" s="99">
        <v>3.6618814660357768E-2</v>
      </c>
      <c r="CN71" s="99">
        <f t="shared" si="46"/>
        <v>0.59324725318790605</v>
      </c>
      <c r="CO71" s="100">
        <v>4.3227665706051854E-2</v>
      </c>
      <c r="CP71" s="100">
        <f>SUM(CO$59:CO71)</f>
        <v>0.38328530259365995</v>
      </c>
      <c r="CQ71" s="160"/>
      <c r="CR71" s="160"/>
      <c r="CS71" s="160"/>
      <c r="CT71" s="160"/>
      <c r="CU71" s="160"/>
      <c r="CV71" s="160"/>
      <c r="CW71" s="160"/>
      <c r="CX71" s="160"/>
      <c r="CY71" s="160"/>
      <c r="CZ71" s="160"/>
      <c r="DA71" s="160"/>
      <c r="DB71" s="160"/>
      <c r="DC71" s="160"/>
      <c r="DD71" s="160"/>
      <c r="DE71" s="160"/>
      <c r="DF71" s="160"/>
      <c r="DG71" s="160"/>
      <c r="DH71" s="160"/>
      <c r="DI71" s="160"/>
    </row>
    <row r="72" spans="1:113" s="101" customFormat="1" x14ac:dyDescent="0.3">
      <c r="A72" s="152"/>
      <c r="B72" s="160"/>
      <c r="C72" s="262"/>
      <c r="D72" s="160"/>
      <c r="E72" s="262"/>
      <c r="F72" s="262"/>
      <c r="G72" s="156">
        <v>13</v>
      </c>
      <c r="H72" s="186">
        <f t="shared" si="4"/>
        <v>45195.75</v>
      </c>
      <c r="I72" s="451">
        <f t="shared" si="5"/>
        <v>20809</v>
      </c>
      <c r="J72" s="452">
        <f t="shared" si="6"/>
        <v>20809</v>
      </c>
      <c r="K72" s="453">
        <f t="shared" si="7"/>
        <v>20809</v>
      </c>
      <c r="L72" s="466">
        <f t="shared" si="8"/>
        <v>16127.942070251438</v>
      </c>
      <c r="M72" s="467">
        <f t="shared" si="9"/>
        <v>27730.658662051774</v>
      </c>
      <c r="N72" s="477">
        <v>74079</v>
      </c>
      <c r="O72" s="453">
        <v>68288</v>
      </c>
      <c r="P72" s="69"/>
      <c r="Q72" s="106">
        <v>13</v>
      </c>
      <c r="R72" s="421">
        <f t="shared" si="27"/>
        <v>3</v>
      </c>
      <c r="S72" s="89">
        <f t="shared" si="28"/>
        <v>45195</v>
      </c>
      <c r="T72" s="90">
        <v>0.75</v>
      </c>
      <c r="U72" s="91">
        <f t="shared" si="10"/>
        <v>45195.75</v>
      </c>
      <c r="V72" s="92">
        <f t="shared" si="11"/>
        <v>13</v>
      </c>
      <c r="W72" s="92">
        <f t="shared" si="29"/>
        <v>1</v>
      </c>
      <c r="X72" s="102">
        <v>20809</v>
      </c>
      <c r="Y72" s="103">
        <v>155</v>
      </c>
      <c r="Z72" s="104">
        <f t="shared" si="12"/>
        <v>1</v>
      </c>
      <c r="AA72" s="95">
        <f t="shared" si="30"/>
        <v>215</v>
      </c>
      <c r="AB72" s="96">
        <f t="shared" si="13"/>
        <v>134.2516129032258</v>
      </c>
      <c r="AC72" s="97">
        <f t="shared" si="31"/>
        <v>215</v>
      </c>
      <c r="AD72" s="97">
        <f t="shared" si="66"/>
        <v>149.38095238095238</v>
      </c>
      <c r="AE72" s="102">
        <f t="shared" si="75"/>
        <v>20809</v>
      </c>
      <c r="AF72" s="103">
        <f t="shared" si="76"/>
        <v>155</v>
      </c>
      <c r="AG72" s="102">
        <f t="shared" si="77"/>
        <v>20809</v>
      </c>
      <c r="AH72" s="103">
        <f t="shared" si="78"/>
        <v>155</v>
      </c>
      <c r="AI72" s="95">
        <f t="shared" si="51"/>
        <v>16127.942070251438</v>
      </c>
      <c r="AJ72" s="95">
        <f t="shared" si="32"/>
        <v>4681.0579297485619</v>
      </c>
      <c r="AK72" s="105">
        <f t="shared" si="52"/>
        <v>128</v>
      </c>
      <c r="AL72" s="71">
        <f t="shared" si="16"/>
        <v>27</v>
      </c>
      <c r="AM72" s="95">
        <f t="shared" si="53"/>
        <v>27730.658662051774</v>
      </c>
      <c r="AN72" s="95">
        <f t="shared" si="17"/>
        <v>-6921.6586620517737</v>
      </c>
      <c r="AO72" s="105">
        <f t="shared" si="54"/>
        <v>227</v>
      </c>
      <c r="AP72" s="71">
        <f t="shared" si="18"/>
        <v>-72</v>
      </c>
      <c r="AQ72" s="95">
        <f t="shared" si="19"/>
        <v>215</v>
      </c>
      <c r="AR72" s="95">
        <f t="shared" si="20"/>
        <v>1600.6923076923076</v>
      </c>
      <c r="AS72" s="93">
        <f t="shared" si="21"/>
        <v>20809</v>
      </c>
      <c r="AT72" s="57">
        <f t="shared" si="21"/>
        <v>155</v>
      </c>
      <c r="AU72" s="105">
        <f t="shared" si="21"/>
        <v>1</v>
      </c>
      <c r="AV72" s="105">
        <f t="shared" si="21"/>
        <v>215</v>
      </c>
      <c r="AW72" s="99">
        <f t="shared" si="33"/>
        <v>5.9313617303023616E-3</v>
      </c>
      <c r="AX72" s="99">
        <f t="shared" si="34"/>
        <v>0.5740730523063341</v>
      </c>
      <c r="AY72" s="100">
        <f t="shared" si="35"/>
        <v>3.7174721189591076E-3</v>
      </c>
      <c r="AZ72" s="100">
        <f t="shared" si="55"/>
        <v>0.57620817843866179</v>
      </c>
      <c r="BA72" s="93">
        <v>68288</v>
      </c>
      <c r="BB72" s="57">
        <v>375</v>
      </c>
      <c r="BC72" s="195">
        <f t="shared" si="36"/>
        <v>2194</v>
      </c>
      <c r="BD72" s="99">
        <f t="shared" si="56"/>
        <v>1.9048445910748394E-2</v>
      </c>
      <c r="BE72" s="99">
        <f t="shared" si="57"/>
        <v>0.59288070845632923</v>
      </c>
      <c r="BF72" s="195">
        <f t="shared" si="37"/>
        <v>14</v>
      </c>
      <c r="BG72" s="100">
        <f t="shared" si="38"/>
        <v>2.1705426356589147E-2</v>
      </c>
      <c r="BH72" s="100">
        <f t="shared" si="58"/>
        <v>0.58139534883720922</v>
      </c>
      <c r="BI72" s="93">
        <v>229701</v>
      </c>
      <c r="BJ72" s="57">
        <v>1011</v>
      </c>
      <c r="BK72" s="195">
        <f t="shared" si="39"/>
        <v>7837</v>
      </c>
      <c r="BL72" s="99">
        <f t="shared" si="40"/>
        <v>2.0134314400517939E-2</v>
      </c>
      <c r="BM72" s="99">
        <f t="shared" si="23"/>
        <v>0.59013297845009194</v>
      </c>
      <c r="BN72" s="195">
        <f t="shared" si="41"/>
        <v>35</v>
      </c>
      <c r="BO72" s="100">
        <f t="shared" si="24"/>
        <v>2.1135265700483092E-2</v>
      </c>
      <c r="BP72" s="100">
        <f t="shared" si="59"/>
        <v>0.61050724637681164</v>
      </c>
      <c r="BQ72" s="93">
        <v>172436</v>
      </c>
      <c r="BR72" s="57">
        <v>1205</v>
      </c>
      <c r="BS72" s="105">
        <f t="shared" si="42"/>
        <v>2656</v>
      </c>
      <c r="BT72" s="99">
        <f t="shared" si="43"/>
        <v>1.1104235998461462E-2</v>
      </c>
      <c r="BU72" s="99">
        <f t="shared" si="25"/>
        <v>0.72092245430372759</v>
      </c>
      <c r="BV72" s="105">
        <f t="shared" si="44"/>
        <v>16</v>
      </c>
      <c r="BW72" s="100">
        <f t="shared" si="26"/>
        <v>9.6153846153846159E-3</v>
      </c>
      <c r="BX72" s="100">
        <f t="shared" si="60"/>
        <v>0.72415865384615397</v>
      </c>
      <c r="BY72" s="99">
        <v>1.518872012533194E-2</v>
      </c>
      <c r="BZ72" s="99">
        <v>0.61760424884167953</v>
      </c>
      <c r="CA72" s="100">
        <v>1.6194331983805668E-2</v>
      </c>
      <c r="CB72" s="100">
        <v>0.64574898785425117</v>
      </c>
      <c r="CC72" s="99">
        <v>2.2644538312483278E-2</v>
      </c>
      <c r="CD72" s="99">
        <v>0.60060320574666992</v>
      </c>
      <c r="CE72" s="100">
        <v>2.2935779816513763E-2</v>
      </c>
      <c r="CF72" s="100">
        <v>0.62691131498470942</v>
      </c>
      <c r="CG72" s="417"/>
      <c r="CH72" s="99">
        <v>1.7051618085973462E-2</v>
      </c>
      <c r="CI72" s="99" t="e">
        <f t="shared" si="45"/>
        <v>#DIV/0!</v>
      </c>
      <c r="CJ72" s="100">
        <v>1.984126984126984E-2</v>
      </c>
      <c r="CK72" s="100">
        <f>SUM(CJ$59:CJ72)</f>
        <v>0.32671957671957674</v>
      </c>
      <c r="CL72" s="93">
        <f>Vergleich!C16</f>
        <v>37704</v>
      </c>
      <c r="CM72" s="99">
        <v>1.1516561071457154E-2</v>
      </c>
      <c r="CN72" s="99">
        <f t="shared" si="46"/>
        <v>0.60476381425936321</v>
      </c>
      <c r="CO72" s="100">
        <v>1.1527377521613813E-2</v>
      </c>
      <c r="CP72" s="100">
        <f>SUM(CO$59:CO72)</f>
        <v>0.39481268011527376</v>
      </c>
      <c r="CQ72" s="160"/>
      <c r="CR72" s="160"/>
      <c r="CS72" s="160"/>
      <c r="CT72" s="160"/>
      <c r="CU72" s="160"/>
      <c r="CV72" s="160"/>
      <c r="CW72" s="160"/>
      <c r="CX72" s="160"/>
      <c r="CY72" s="160"/>
      <c r="CZ72" s="160"/>
      <c r="DA72" s="160"/>
      <c r="DB72" s="160"/>
      <c r="DC72" s="160"/>
      <c r="DD72" s="160"/>
      <c r="DE72" s="160"/>
      <c r="DF72" s="160"/>
      <c r="DG72" s="160"/>
      <c r="DH72" s="160"/>
      <c r="DI72" s="160"/>
    </row>
    <row r="73" spans="1:113" s="101" customFormat="1" x14ac:dyDescent="0.3">
      <c r="A73" s="152"/>
      <c r="B73" s="160"/>
      <c r="C73" s="262"/>
      <c r="D73" s="160"/>
      <c r="E73" s="262"/>
      <c r="F73" s="262"/>
      <c r="G73" s="156">
        <v>14</v>
      </c>
      <c r="H73" s="186">
        <f t="shared" si="4"/>
        <v>45196.75</v>
      </c>
      <c r="I73" s="451">
        <f t="shared" si="5"/>
        <v>21426</v>
      </c>
      <c r="J73" s="452">
        <f t="shared" si="6"/>
        <v>21426</v>
      </c>
      <c r="K73" s="453">
        <f t="shared" si="7"/>
        <v>21426</v>
      </c>
      <c r="L73" s="466">
        <f t="shared" si="8"/>
        <v>16567.700248107281</v>
      </c>
      <c r="M73" s="467">
        <f t="shared" si="9"/>
        <v>28900.136230719872</v>
      </c>
      <c r="N73" s="477">
        <v>75411</v>
      </c>
      <c r="O73" s="453">
        <v>71648</v>
      </c>
      <c r="P73" s="69"/>
      <c r="Q73" s="106">
        <v>14</v>
      </c>
      <c r="R73" s="421">
        <f t="shared" si="27"/>
        <v>4</v>
      </c>
      <c r="S73" s="89">
        <f t="shared" si="28"/>
        <v>45196</v>
      </c>
      <c r="T73" s="90">
        <v>0.75</v>
      </c>
      <c r="U73" s="91">
        <f t="shared" si="10"/>
        <v>45196.75</v>
      </c>
      <c r="V73" s="92">
        <f t="shared" si="11"/>
        <v>14</v>
      </c>
      <c r="W73" s="92">
        <f t="shared" si="29"/>
        <v>1</v>
      </c>
      <c r="X73" s="102">
        <v>21426</v>
      </c>
      <c r="Y73" s="103">
        <v>159</v>
      </c>
      <c r="Z73" s="104">
        <f t="shared" si="12"/>
        <v>4</v>
      </c>
      <c r="AA73" s="95">
        <f t="shared" si="30"/>
        <v>617</v>
      </c>
      <c r="AB73" s="96">
        <f t="shared" si="13"/>
        <v>134.75471698113208</v>
      </c>
      <c r="AC73" s="97">
        <f t="shared" si="31"/>
        <v>154.25</v>
      </c>
      <c r="AD73" s="97">
        <f t="shared" si="66"/>
        <v>164</v>
      </c>
      <c r="AE73" s="102">
        <f t="shared" si="75"/>
        <v>21426</v>
      </c>
      <c r="AF73" s="103">
        <f t="shared" si="76"/>
        <v>159</v>
      </c>
      <c r="AG73" s="102">
        <f t="shared" si="77"/>
        <v>21426</v>
      </c>
      <c r="AH73" s="103">
        <f t="shared" si="78"/>
        <v>159</v>
      </c>
      <c r="AI73" s="95">
        <f t="shared" si="51"/>
        <v>16567.700248107281</v>
      </c>
      <c r="AJ73" s="95">
        <f t="shared" si="32"/>
        <v>4858.2997518927186</v>
      </c>
      <c r="AK73" s="105">
        <f t="shared" si="52"/>
        <v>132</v>
      </c>
      <c r="AL73" s="71">
        <f t="shared" si="16"/>
        <v>27</v>
      </c>
      <c r="AM73" s="95">
        <f t="shared" si="53"/>
        <v>28900.136230719872</v>
      </c>
      <c r="AN73" s="95">
        <f t="shared" si="17"/>
        <v>-7474.1362307198724</v>
      </c>
      <c r="AO73" s="105">
        <f t="shared" si="54"/>
        <v>236</v>
      </c>
      <c r="AP73" s="71">
        <f t="shared" si="18"/>
        <v>-77</v>
      </c>
      <c r="AQ73" s="95">
        <f t="shared" si="19"/>
        <v>617</v>
      </c>
      <c r="AR73" s="95">
        <f t="shared" si="20"/>
        <v>1530.4285714285713</v>
      </c>
      <c r="AS73" s="93">
        <f t="shared" si="21"/>
        <v>21426</v>
      </c>
      <c r="AT73" s="57">
        <f t="shared" si="21"/>
        <v>159</v>
      </c>
      <c r="AU73" s="105">
        <f t="shared" si="21"/>
        <v>4</v>
      </c>
      <c r="AV73" s="105">
        <f t="shared" si="21"/>
        <v>617</v>
      </c>
      <c r="AW73" s="99">
        <f t="shared" si="33"/>
        <v>1.702162877951887E-2</v>
      </c>
      <c r="AX73" s="99">
        <f t="shared" si="34"/>
        <v>0.59109468108585306</v>
      </c>
      <c r="AY73" s="100">
        <f t="shared" si="35"/>
        <v>1.4869888475836431E-2</v>
      </c>
      <c r="AZ73" s="100">
        <f t="shared" si="55"/>
        <v>0.59107806691449827</v>
      </c>
      <c r="BA73" s="93">
        <v>71648</v>
      </c>
      <c r="BB73" s="57">
        <v>395</v>
      </c>
      <c r="BC73" s="195">
        <f t="shared" si="36"/>
        <v>3360</v>
      </c>
      <c r="BD73" s="99">
        <f t="shared" si="56"/>
        <v>2.9171731203333912E-2</v>
      </c>
      <c r="BE73" s="99">
        <f t="shared" si="57"/>
        <v>0.62205243965966317</v>
      </c>
      <c r="BF73" s="195">
        <f t="shared" si="37"/>
        <v>20</v>
      </c>
      <c r="BG73" s="100">
        <f t="shared" si="38"/>
        <v>3.1007751937984496E-2</v>
      </c>
      <c r="BH73" s="100">
        <f t="shared" si="58"/>
        <v>0.61240310077519378</v>
      </c>
      <c r="BI73" s="93">
        <v>240791</v>
      </c>
      <c r="BJ73" s="57">
        <v>1060</v>
      </c>
      <c r="BK73" s="195">
        <f t="shared" si="39"/>
        <v>11090</v>
      </c>
      <c r="BL73" s="99">
        <f t="shared" si="40"/>
        <v>2.8491711969088163E-2</v>
      </c>
      <c r="BM73" s="99">
        <f t="shared" si="23"/>
        <v>0.61862469041918011</v>
      </c>
      <c r="BN73" s="195">
        <f t="shared" si="41"/>
        <v>49</v>
      </c>
      <c r="BO73" s="100">
        <f t="shared" si="24"/>
        <v>2.9589371980676328E-2</v>
      </c>
      <c r="BP73" s="100">
        <f t="shared" si="59"/>
        <v>0.64009661835748799</v>
      </c>
      <c r="BQ73" s="93">
        <v>176629</v>
      </c>
      <c r="BR73" s="57">
        <v>1232</v>
      </c>
      <c r="BS73" s="105">
        <f t="shared" si="42"/>
        <v>4193</v>
      </c>
      <c r="BT73" s="99">
        <f t="shared" si="43"/>
        <v>1.7530143652691607E-2</v>
      </c>
      <c r="BU73" s="99">
        <f t="shared" si="25"/>
        <v>0.73845259795641927</v>
      </c>
      <c r="BV73" s="105">
        <f t="shared" si="44"/>
        <v>27</v>
      </c>
      <c r="BW73" s="100">
        <f t="shared" si="26"/>
        <v>1.622596153846154E-2</v>
      </c>
      <c r="BX73" s="100">
        <f t="shared" si="60"/>
        <v>0.74038461538461553</v>
      </c>
      <c r="BY73" s="99">
        <v>2.3033077410250999E-2</v>
      </c>
      <c r="BZ73" s="99">
        <v>0.64063732625193048</v>
      </c>
      <c r="CA73" s="100">
        <v>2.2267206477732792E-2</v>
      </c>
      <c r="CB73" s="100">
        <v>0.668016194331984</v>
      </c>
      <c r="CC73" s="99">
        <v>1.0799328690378706E-2</v>
      </c>
      <c r="CD73" s="99">
        <v>0.61140253443704862</v>
      </c>
      <c r="CE73" s="100">
        <v>1.0703363914373088E-2</v>
      </c>
      <c r="CF73" s="100">
        <v>0.63761467889908252</v>
      </c>
      <c r="CG73" s="417"/>
      <c r="CH73" s="99">
        <v>2.3730363959399793E-2</v>
      </c>
      <c r="CI73" s="99" t="e">
        <f t="shared" si="45"/>
        <v>#DIV/0!</v>
      </c>
      <c r="CJ73" s="100">
        <v>2.2486772486772486E-2</v>
      </c>
      <c r="CK73" s="100">
        <f>SUM(CJ$59:CJ73)</f>
        <v>0.34920634920634924</v>
      </c>
      <c r="CL73" s="93">
        <f>Vergleich!C17</f>
        <v>38541</v>
      </c>
      <c r="CM73" s="99">
        <v>1.342529473093268E-2</v>
      </c>
      <c r="CN73" s="99">
        <f t="shared" si="46"/>
        <v>0.61818910899029589</v>
      </c>
      <c r="CO73" s="100">
        <v>2.3054755043227737E-2</v>
      </c>
      <c r="CP73" s="100">
        <f>SUM(CO$59:CO73)</f>
        <v>0.4178674351585015</v>
      </c>
      <c r="CQ73" s="160"/>
      <c r="CR73" s="160"/>
      <c r="CS73" s="160"/>
      <c r="CT73" s="160"/>
      <c r="CU73" s="160"/>
      <c r="CV73" s="160"/>
      <c r="CW73" s="160"/>
      <c r="CX73" s="160"/>
      <c r="CY73" s="160"/>
      <c r="CZ73" s="160"/>
      <c r="DA73" s="160"/>
      <c r="DB73" s="160"/>
      <c r="DC73" s="160"/>
      <c r="DD73" s="160"/>
      <c r="DE73" s="160"/>
      <c r="DF73" s="160"/>
      <c r="DG73" s="160"/>
      <c r="DH73" s="160"/>
      <c r="DI73" s="160"/>
    </row>
    <row r="74" spans="1:113" s="101" customFormat="1" x14ac:dyDescent="0.3">
      <c r="A74" s="152"/>
      <c r="B74" s="160"/>
      <c r="C74" s="262"/>
      <c r="D74" s="160"/>
      <c r="E74" s="262"/>
      <c r="F74" s="262"/>
      <c r="G74" s="156">
        <v>15</v>
      </c>
      <c r="H74" s="186">
        <f t="shared" si="4"/>
        <v>45197.75</v>
      </c>
      <c r="I74" s="451">
        <f t="shared" si="5"/>
        <v>22523</v>
      </c>
      <c r="J74" s="452">
        <f t="shared" si="6"/>
        <v>22523</v>
      </c>
      <c r="K74" s="453">
        <f t="shared" si="7"/>
        <v>22523</v>
      </c>
      <c r="L74" s="466">
        <f t="shared" si="8"/>
        <v>17031.409541007059</v>
      </c>
      <c r="M74" s="467">
        <f t="shared" si="9"/>
        <v>32147.786316475023</v>
      </c>
      <c r="N74" s="477">
        <v>77016</v>
      </c>
      <c r="O74" s="453">
        <v>75191</v>
      </c>
      <c r="P74" s="69"/>
      <c r="Q74" s="106">
        <v>15</v>
      </c>
      <c r="R74" s="421">
        <f t="shared" si="27"/>
        <v>5</v>
      </c>
      <c r="S74" s="89">
        <f t="shared" si="28"/>
        <v>45197</v>
      </c>
      <c r="T74" s="90">
        <v>0.75</v>
      </c>
      <c r="U74" s="91">
        <f t="shared" si="10"/>
        <v>45197.75</v>
      </c>
      <c r="V74" s="92">
        <f t="shared" si="11"/>
        <v>15</v>
      </c>
      <c r="W74" s="92">
        <f t="shared" si="29"/>
        <v>1</v>
      </c>
      <c r="X74" s="102">
        <v>22523</v>
      </c>
      <c r="Y74" s="103">
        <v>164</v>
      </c>
      <c r="Z74" s="104">
        <f t="shared" si="12"/>
        <v>5</v>
      </c>
      <c r="AA74" s="95">
        <f t="shared" si="30"/>
        <v>1097</v>
      </c>
      <c r="AB74" s="96">
        <f t="shared" si="13"/>
        <v>137.33536585365854</v>
      </c>
      <c r="AC74" s="97">
        <f t="shared" si="31"/>
        <v>219.4</v>
      </c>
      <c r="AD74" s="97">
        <f t="shared" si="66"/>
        <v>190.14285714285714</v>
      </c>
      <c r="AE74" s="102">
        <f t="shared" si="75"/>
        <v>22523</v>
      </c>
      <c r="AF74" s="103">
        <f t="shared" si="76"/>
        <v>164</v>
      </c>
      <c r="AG74" s="102">
        <f t="shared" si="77"/>
        <v>22523</v>
      </c>
      <c r="AH74" s="103">
        <f t="shared" si="78"/>
        <v>164</v>
      </c>
      <c r="AI74" s="95">
        <f t="shared" si="51"/>
        <v>17031.409541007059</v>
      </c>
      <c r="AJ74" s="95">
        <f t="shared" si="32"/>
        <v>5491.5904589929414</v>
      </c>
      <c r="AK74" s="105">
        <f t="shared" si="52"/>
        <v>136</v>
      </c>
      <c r="AL74" s="71">
        <f t="shared" si="16"/>
        <v>28</v>
      </c>
      <c r="AM74" s="95">
        <f t="shared" si="53"/>
        <v>32147.786316475023</v>
      </c>
      <c r="AN74" s="95">
        <f t="shared" si="17"/>
        <v>-9624.7863164750233</v>
      </c>
      <c r="AO74" s="105">
        <f t="shared" si="54"/>
        <v>263</v>
      </c>
      <c r="AP74" s="71">
        <f t="shared" si="18"/>
        <v>-99</v>
      </c>
      <c r="AQ74" s="95">
        <f t="shared" si="19"/>
        <v>1097</v>
      </c>
      <c r="AR74" s="95">
        <f t="shared" si="20"/>
        <v>1501.5333333333333</v>
      </c>
      <c r="AS74" s="93">
        <f t="shared" si="21"/>
        <v>22523</v>
      </c>
      <c r="AT74" s="57">
        <f t="shared" si="21"/>
        <v>164</v>
      </c>
      <c r="AU74" s="105">
        <f t="shared" si="21"/>
        <v>5</v>
      </c>
      <c r="AV74" s="105">
        <f t="shared" si="21"/>
        <v>1097</v>
      </c>
      <c r="AW74" s="99">
        <f t="shared" si="33"/>
        <v>3.0263738689031119E-2</v>
      </c>
      <c r="AX74" s="99">
        <f t="shared" si="34"/>
        <v>0.62135841977488415</v>
      </c>
      <c r="AY74" s="100">
        <f t="shared" si="35"/>
        <v>1.858736059479554E-2</v>
      </c>
      <c r="AZ74" s="100">
        <f t="shared" si="55"/>
        <v>0.60966542750929376</v>
      </c>
      <c r="BA74" s="93">
        <v>75191</v>
      </c>
      <c r="BB74" s="57">
        <v>415</v>
      </c>
      <c r="BC74" s="195">
        <f t="shared" si="36"/>
        <v>3543</v>
      </c>
      <c r="BD74" s="99">
        <f t="shared" si="56"/>
        <v>3.0760548706372633E-2</v>
      </c>
      <c r="BE74" s="99">
        <f t="shared" si="57"/>
        <v>0.65281298836603585</v>
      </c>
      <c r="BF74" s="195">
        <f t="shared" si="37"/>
        <v>20</v>
      </c>
      <c r="BG74" s="100">
        <f t="shared" si="38"/>
        <v>3.1007751937984496E-2</v>
      </c>
      <c r="BH74" s="100">
        <f t="shared" si="58"/>
        <v>0.64341085271317833</v>
      </c>
      <c r="BI74" s="93">
        <v>249000</v>
      </c>
      <c r="BJ74" s="57">
        <v>1096</v>
      </c>
      <c r="BK74" s="195">
        <f t="shared" si="39"/>
        <v>8209</v>
      </c>
      <c r="BL74" s="99">
        <f t="shared" si="40"/>
        <v>2.1090032782168144E-2</v>
      </c>
      <c r="BM74" s="99">
        <f t="shared" si="23"/>
        <v>0.63971472320134826</v>
      </c>
      <c r="BN74" s="195">
        <f t="shared" si="41"/>
        <v>36</v>
      </c>
      <c r="BO74" s="100">
        <f t="shared" si="24"/>
        <v>2.1739130434782608E-2</v>
      </c>
      <c r="BP74" s="100">
        <f t="shared" si="59"/>
        <v>0.66183574879227058</v>
      </c>
      <c r="BQ74" s="93">
        <v>188273</v>
      </c>
      <c r="BR74" s="57">
        <v>1313</v>
      </c>
      <c r="BS74" s="105">
        <f t="shared" si="42"/>
        <v>11644</v>
      </c>
      <c r="BT74" s="99">
        <f t="shared" si="43"/>
        <v>4.86813719751827E-2</v>
      </c>
      <c r="BU74" s="99">
        <f t="shared" si="25"/>
        <v>0.7871339699316019</v>
      </c>
      <c r="BV74" s="105">
        <f t="shared" si="44"/>
        <v>81</v>
      </c>
      <c r="BW74" s="100">
        <f t="shared" si="26"/>
        <v>4.8677884615384616E-2</v>
      </c>
      <c r="BX74" s="100">
        <f t="shared" si="60"/>
        <v>0.78906250000000011</v>
      </c>
      <c r="BY74" s="99">
        <v>1.6622037532916301E-2</v>
      </c>
      <c r="BZ74" s="99">
        <v>0.65725936378484673</v>
      </c>
      <c r="CA74" s="100">
        <v>1.417004048582996E-2</v>
      </c>
      <c r="CB74" s="100">
        <v>0.68218623481781393</v>
      </c>
      <c r="CC74" s="99">
        <v>1.3012704615659027E-2</v>
      </c>
      <c r="CD74" s="99">
        <v>0.62441523905270768</v>
      </c>
      <c r="CE74" s="100">
        <v>1.5290519877675841E-2</v>
      </c>
      <c r="CF74" s="100">
        <v>0.65290519877675834</v>
      </c>
      <c r="CG74" s="417"/>
      <c r="CH74" s="99">
        <v>2.5548108665951298E-2</v>
      </c>
      <c r="CI74" s="99" t="e">
        <f t="shared" si="45"/>
        <v>#DIV/0!</v>
      </c>
      <c r="CJ74" s="100">
        <v>2.5132275132275131E-2</v>
      </c>
      <c r="CK74" s="100">
        <f>SUM(CJ$59:CJ74)</f>
        <v>0.37433862433862436</v>
      </c>
      <c r="CL74" s="93">
        <f>Vergleich!C18</f>
        <v>40401</v>
      </c>
      <c r="CM74" s="99">
        <v>2.9833988290961622E-2</v>
      </c>
      <c r="CN74" s="99">
        <f t="shared" si="46"/>
        <v>0.64802309728125751</v>
      </c>
      <c r="CO74" s="100">
        <v>2.5936599423631135E-2</v>
      </c>
      <c r="CP74" s="100">
        <f>SUM(CO$59:CO74)</f>
        <v>0.44380403458213263</v>
      </c>
      <c r="CQ74" s="160"/>
      <c r="CR74" s="160"/>
      <c r="CS74" s="160"/>
      <c r="CT74" s="160"/>
      <c r="CU74" s="160"/>
      <c r="CV74" s="160"/>
      <c r="CW74" s="160"/>
      <c r="CX74" s="160"/>
      <c r="CY74" s="160"/>
      <c r="CZ74" s="160"/>
      <c r="DA74" s="160"/>
      <c r="DB74" s="160"/>
      <c r="DC74" s="160"/>
      <c r="DD74" s="160"/>
      <c r="DE74" s="160"/>
      <c r="DF74" s="160"/>
      <c r="DG74" s="160"/>
      <c r="DH74" s="160"/>
      <c r="DI74" s="160"/>
    </row>
    <row r="75" spans="1:113" s="101" customFormat="1" x14ac:dyDescent="0.3">
      <c r="A75" s="152"/>
      <c r="B75" s="160"/>
      <c r="C75" s="262"/>
      <c r="D75" s="160"/>
      <c r="E75" s="262"/>
      <c r="F75" s="262"/>
      <c r="G75" s="156">
        <v>16</v>
      </c>
      <c r="H75" s="186">
        <f t="shared" si="4"/>
        <v>45198.75</v>
      </c>
      <c r="I75" s="451">
        <f t="shared" si="5"/>
        <v>23503</v>
      </c>
      <c r="J75" s="452">
        <f t="shared" si="6"/>
        <v>23503</v>
      </c>
      <c r="K75" s="453">
        <f t="shared" si="7"/>
        <v>23503</v>
      </c>
      <c r="L75" s="466">
        <f t="shared" si="8"/>
        <v>17486.480726841812</v>
      </c>
      <c r="M75" s="467">
        <f t="shared" si="9"/>
        <v>33539.835576008169</v>
      </c>
      <c r="N75" s="477">
        <v>80049</v>
      </c>
      <c r="O75" s="453">
        <v>78668</v>
      </c>
      <c r="P75" s="69"/>
      <c r="Q75" s="106">
        <v>16</v>
      </c>
      <c r="R75" s="421">
        <f t="shared" si="27"/>
        <v>6</v>
      </c>
      <c r="S75" s="89">
        <f t="shared" si="28"/>
        <v>45198</v>
      </c>
      <c r="T75" s="90">
        <v>0.75</v>
      </c>
      <c r="U75" s="91">
        <f t="shared" si="10"/>
        <v>45198.75</v>
      </c>
      <c r="V75" s="92">
        <f t="shared" si="11"/>
        <v>16</v>
      </c>
      <c r="W75" s="92">
        <f t="shared" si="29"/>
        <v>1</v>
      </c>
      <c r="X75" s="102">
        <v>23503</v>
      </c>
      <c r="Y75" s="103">
        <v>172</v>
      </c>
      <c r="Z75" s="104">
        <f t="shared" si="12"/>
        <v>8</v>
      </c>
      <c r="AA75" s="95">
        <f t="shared" si="30"/>
        <v>980</v>
      </c>
      <c r="AB75" s="96">
        <f t="shared" si="13"/>
        <v>136.6453488372093</v>
      </c>
      <c r="AC75" s="97">
        <f t="shared" si="31"/>
        <v>122.5</v>
      </c>
      <c r="AD75" s="97">
        <f t="shared" si="66"/>
        <v>180.04545454545453</v>
      </c>
      <c r="AE75" s="102">
        <f t="shared" si="75"/>
        <v>23503</v>
      </c>
      <c r="AF75" s="103">
        <f t="shared" si="76"/>
        <v>172</v>
      </c>
      <c r="AG75" s="102">
        <f t="shared" si="77"/>
        <v>23503</v>
      </c>
      <c r="AH75" s="103">
        <f t="shared" si="78"/>
        <v>172</v>
      </c>
      <c r="AI75" s="95">
        <f t="shared" si="51"/>
        <v>17486.480726841812</v>
      </c>
      <c r="AJ75" s="95">
        <f t="shared" si="32"/>
        <v>6016.5192731581883</v>
      </c>
      <c r="AK75" s="105">
        <f t="shared" si="52"/>
        <v>140</v>
      </c>
      <c r="AL75" s="71">
        <f t="shared" si="16"/>
        <v>32</v>
      </c>
      <c r="AM75" s="95">
        <f t="shared" si="53"/>
        <v>33539.835576008169</v>
      </c>
      <c r="AN75" s="95">
        <f t="shared" si="17"/>
        <v>-10036.835576008169</v>
      </c>
      <c r="AO75" s="105">
        <f t="shared" si="54"/>
        <v>275</v>
      </c>
      <c r="AP75" s="71">
        <f t="shared" si="18"/>
        <v>-103</v>
      </c>
      <c r="AQ75" s="95">
        <f t="shared" si="19"/>
        <v>980</v>
      </c>
      <c r="AR75" s="95">
        <f t="shared" si="20"/>
        <v>1468.9375</v>
      </c>
      <c r="AS75" s="93">
        <f t="shared" si="21"/>
        <v>23503</v>
      </c>
      <c r="AT75" s="57">
        <f t="shared" si="21"/>
        <v>172</v>
      </c>
      <c r="AU75" s="105">
        <f t="shared" si="21"/>
        <v>8</v>
      </c>
      <c r="AV75" s="105">
        <f t="shared" si="21"/>
        <v>980</v>
      </c>
      <c r="AW75" s="99">
        <f t="shared" si="33"/>
        <v>2.7035974398587508E-2</v>
      </c>
      <c r="AX75" s="99">
        <f t="shared" si="34"/>
        <v>0.64839439417347167</v>
      </c>
      <c r="AY75" s="100">
        <f t="shared" si="35"/>
        <v>2.9739776951672861E-2</v>
      </c>
      <c r="AZ75" s="100">
        <f t="shared" si="55"/>
        <v>0.6394052044609666</v>
      </c>
      <c r="BA75" s="93">
        <v>78668</v>
      </c>
      <c r="BB75" s="57">
        <v>438</v>
      </c>
      <c r="BC75" s="195">
        <f t="shared" si="36"/>
        <v>3477</v>
      </c>
      <c r="BD75" s="99">
        <f t="shared" si="56"/>
        <v>3.0187532557735718E-2</v>
      </c>
      <c r="BE75" s="99">
        <f t="shared" si="57"/>
        <v>0.68300052092377161</v>
      </c>
      <c r="BF75" s="195">
        <f t="shared" si="37"/>
        <v>23</v>
      </c>
      <c r="BG75" s="100">
        <f t="shared" si="38"/>
        <v>3.565891472868217E-2</v>
      </c>
      <c r="BH75" s="100">
        <f t="shared" si="58"/>
        <v>0.67906976744186054</v>
      </c>
      <c r="BI75" s="93">
        <v>257666</v>
      </c>
      <c r="BJ75" s="57">
        <v>1134</v>
      </c>
      <c r="BK75" s="195">
        <f t="shared" si="39"/>
        <v>8666</v>
      </c>
      <c r="BL75" s="99">
        <f t="shared" si="40"/>
        <v>2.2264127675754555E-2</v>
      </c>
      <c r="BM75" s="99">
        <f t="shared" si="23"/>
        <v>0.66197885087710284</v>
      </c>
      <c r="BN75" s="195">
        <f t="shared" si="41"/>
        <v>38</v>
      </c>
      <c r="BO75" s="100">
        <f t="shared" si="24"/>
        <v>2.2946859903381644E-2</v>
      </c>
      <c r="BP75" s="100">
        <f t="shared" si="59"/>
        <v>0.68478260869565222</v>
      </c>
      <c r="BQ75" s="93">
        <v>193264</v>
      </c>
      <c r="BR75" s="57">
        <v>1350</v>
      </c>
      <c r="BS75" s="105">
        <f t="shared" si="42"/>
        <v>4991</v>
      </c>
      <c r="BT75" s="99">
        <f t="shared" si="43"/>
        <v>2.0866431426325736E-2</v>
      </c>
      <c r="BU75" s="99">
        <f t="shared" si="25"/>
        <v>0.80800040135792761</v>
      </c>
      <c r="BV75" s="105">
        <f t="shared" si="44"/>
        <v>37</v>
      </c>
      <c r="BW75" s="100">
        <f t="shared" si="26"/>
        <v>2.2235576923076924E-2</v>
      </c>
      <c r="BX75" s="100">
        <f t="shared" si="60"/>
        <v>0.81129807692307698</v>
      </c>
      <c r="BY75" s="99">
        <v>2.9866334818502017E-2</v>
      </c>
      <c r="BZ75" s="99">
        <v>0.68712569860334871</v>
      </c>
      <c r="CA75" s="100">
        <v>2.4291497975708502E-2</v>
      </c>
      <c r="CB75" s="100">
        <v>0.70647773279352244</v>
      </c>
      <c r="CC75" s="99">
        <v>2.4590363301740702E-2</v>
      </c>
      <c r="CD75" s="99">
        <v>0.64900560235444837</v>
      </c>
      <c r="CE75" s="100">
        <v>2.5993883792048929E-2</v>
      </c>
      <c r="CF75" s="100">
        <v>0.67889908256880727</v>
      </c>
      <c r="CG75" s="417"/>
      <c r="CH75" s="99">
        <v>3.5100063914249358E-2</v>
      </c>
      <c r="CI75" s="99" t="e">
        <f t="shared" si="45"/>
        <v>#DIV/0!</v>
      </c>
      <c r="CJ75" s="100">
        <v>3.0423280423280422E-2</v>
      </c>
      <c r="CK75" s="100">
        <f>SUM(CJ$59:CJ75)</f>
        <v>0.40476190476190477</v>
      </c>
      <c r="CL75" s="93">
        <f>Vergleich!C19</f>
        <v>42277</v>
      </c>
      <c r="CM75" s="99">
        <v>3.0090624749378514E-2</v>
      </c>
      <c r="CN75" s="99">
        <f t="shared" si="46"/>
        <v>0.67811372203063602</v>
      </c>
      <c r="CO75" s="100">
        <v>2.8818443804034533E-2</v>
      </c>
      <c r="CP75" s="100">
        <f>SUM(CO$59:CO75)</f>
        <v>0.47262247838616717</v>
      </c>
      <c r="CQ75" s="160"/>
      <c r="CR75" s="160"/>
      <c r="CS75" s="160"/>
      <c r="CT75" s="160"/>
      <c r="CU75" s="160"/>
      <c r="CV75" s="160"/>
      <c r="CW75" s="160"/>
      <c r="CX75" s="160"/>
      <c r="CY75" s="160"/>
      <c r="CZ75" s="160"/>
      <c r="DA75" s="160"/>
      <c r="DB75" s="160"/>
      <c r="DC75" s="160"/>
      <c r="DD75" s="160"/>
      <c r="DE75" s="160"/>
      <c r="DF75" s="160"/>
      <c r="DG75" s="160"/>
      <c r="DH75" s="160"/>
      <c r="DI75" s="160"/>
    </row>
    <row r="76" spans="1:113" s="101" customFormat="1" x14ac:dyDescent="0.3">
      <c r="A76" s="152"/>
      <c r="B76" s="160"/>
      <c r="C76" s="262"/>
      <c r="D76" s="160"/>
      <c r="E76" s="262"/>
      <c r="F76" s="262"/>
      <c r="G76" s="156">
        <v>17</v>
      </c>
      <c r="H76" s="186">
        <f t="shared" si="4"/>
        <v>45199.75</v>
      </c>
      <c r="I76" s="451">
        <f t="shared" si="5"/>
        <v>23945</v>
      </c>
      <c r="J76" s="452">
        <f t="shared" si="6"/>
        <v>23945</v>
      </c>
      <c r="K76" s="453">
        <f t="shared" si="7"/>
        <v>23945</v>
      </c>
      <c r="L76" s="466">
        <f t="shared" si="8"/>
        <v>18176.482248763245</v>
      </c>
      <c r="M76" s="467">
        <f t="shared" si="9"/>
        <v>34933.558306901206</v>
      </c>
      <c r="N76" s="477">
        <v>86833</v>
      </c>
      <c r="O76" s="453">
        <v>83940</v>
      </c>
      <c r="P76" s="69"/>
      <c r="Q76" s="106">
        <v>17</v>
      </c>
      <c r="R76" s="421">
        <f t="shared" si="27"/>
        <v>7</v>
      </c>
      <c r="S76" s="89">
        <f t="shared" si="28"/>
        <v>45199</v>
      </c>
      <c r="T76" s="90">
        <v>0.75</v>
      </c>
      <c r="U76" s="91">
        <f t="shared" si="10"/>
        <v>45199.75</v>
      </c>
      <c r="V76" s="92">
        <f t="shared" si="11"/>
        <v>17</v>
      </c>
      <c r="W76" s="92">
        <f t="shared" si="29"/>
        <v>1</v>
      </c>
      <c r="X76" s="102">
        <v>23945</v>
      </c>
      <c r="Y76" s="103">
        <v>175</v>
      </c>
      <c r="Z76" s="104">
        <f t="shared" si="12"/>
        <v>3</v>
      </c>
      <c r="AA76" s="95">
        <f t="shared" si="30"/>
        <v>442</v>
      </c>
      <c r="AB76" s="96">
        <f t="shared" si="13"/>
        <v>136.82857142857142</v>
      </c>
      <c r="AC76" s="97">
        <f t="shared" si="31"/>
        <v>147.33333333333334</v>
      </c>
      <c r="AD76" s="97">
        <f t="shared" si="66"/>
        <v>159.57142857142858</v>
      </c>
      <c r="AE76" s="102">
        <f t="shared" si="75"/>
        <v>23945</v>
      </c>
      <c r="AF76" s="103">
        <f t="shared" si="76"/>
        <v>175</v>
      </c>
      <c r="AG76" s="102">
        <f t="shared" si="77"/>
        <v>23945</v>
      </c>
      <c r="AH76" s="103">
        <f t="shared" si="78"/>
        <v>175</v>
      </c>
      <c r="AI76" s="95">
        <f t="shared" si="51"/>
        <v>18176.482248763245</v>
      </c>
      <c r="AJ76" s="95">
        <f t="shared" si="32"/>
        <v>5768.5177512367554</v>
      </c>
      <c r="AK76" s="105">
        <f t="shared" si="52"/>
        <v>146</v>
      </c>
      <c r="AL76" s="71">
        <f t="shared" si="16"/>
        <v>29</v>
      </c>
      <c r="AM76" s="95">
        <f t="shared" si="53"/>
        <v>34933.558306901206</v>
      </c>
      <c r="AN76" s="95">
        <f t="shared" si="17"/>
        <v>-10988.558306901206</v>
      </c>
      <c r="AO76" s="105">
        <f t="shared" si="54"/>
        <v>286</v>
      </c>
      <c r="AP76" s="71">
        <f t="shared" si="18"/>
        <v>-111</v>
      </c>
      <c r="AQ76" s="95">
        <f t="shared" si="19"/>
        <v>442</v>
      </c>
      <c r="AR76" s="95">
        <f t="shared" si="20"/>
        <v>1408.5294117647059</v>
      </c>
      <c r="AS76" s="93">
        <f t="shared" si="21"/>
        <v>23945</v>
      </c>
      <c r="AT76" s="57">
        <f t="shared" si="21"/>
        <v>175</v>
      </c>
      <c r="AU76" s="105">
        <f t="shared" si="21"/>
        <v>3</v>
      </c>
      <c r="AV76" s="105">
        <f t="shared" si="21"/>
        <v>442</v>
      </c>
      <c r="AW76" s="99">
        <f t="shared" si="33"/>
        <v>1.2193776208342529E-2</v>
      </c>
      <c r="AX76" s="99">
        <f t="shared" si="34"/>
        <v>0.66058817038181417</v>
      </c>
      <c r="AY76" s="100">
        <f t="shared" si="35"/>
        <v>1.1152416356877323E-2</v>
      </c>
      <c r="AZ76" s="100">
        <f t="shared" si="55"/>
        <v>0.65055762081784396</v>
      </c>
      <c r="BA76" s="93">
        <v>83940</v>
      </c>
      <c r="BB76" s="57">
        <v>471</v>
      </c>
      <c r="BC76" s="195">
        <f t="shared" si="36"/>
        <v>5272</v>
      </c>
      <c r="BD76" s="99">
        <f t="shared" si="56"/>
        <v>4.5771835388088211E-2</v>
      </c>
      <c r="BE76" s="99">
        <f t="shared" si="57"/>
        <v>0.72877235631185977</v>
      </c>
      <c r="BF76" s="195">
        <f t="shared" si="37"/>
        <v>33</v>
      </c>
      <c r="BG76" s="100">
        <f t="shared" si="38"/>
        <v>5.1162790697674418E-2</v>
      </c>
      <c r="BH76" s="100">
        <f t="shared" si="58"/>
        <v>0.73023255813953492</v>
      </c>
      <c r="BI76" s="93">
        <v>268894</v>
      </c>
      <c r="BJ76" s="57">
        <v>1160</v>
      </c>
      <c r="BK76" s="195">
        <f t="shared" si="39"/>
        <v>11228</v>
      </c>
      <c r="BL76" s="99">
        <f t="shared" si="40"/>
        <v>2.8846252659055174E-2</v>
      </c>
      <c r="BM76" s="99">
        <f t="shared" si="23"/>
        <v>0.690825103536158</v>
      </c>
      <c r="BN76" s="195">
        <f t="shared" si="41"/>
        <v>26</v>
      </c>
      <c r="BO76" s="100">
        <f t="shared" si="24"/>
        <v>1.570048309178744E-2</v>
      </c>
      <c r="BP76" s="100">
        <f t="shared" si="59"/>
        <v>0.70048309178743962</v>
      </c>
      <c r="BQ76" s="93">
        <v>198261</v>
      </c>
      <c r="BR76" s="57">
        <v>1384</v>
      </c>
      <c r="BS76" s="105">
        <f t="shared" si="42"/>
        <v>4997</v>
      </c>
      <c r="BT76" s="99">
        <f t="shared" si="43"/>
        <v>2.0891516296804188E-2</v>
      </c>
      <c r="BU76" s="99">
        <f t="shared" si="25"/>
        <v>0.8288919176547318</v>
      </c>
      <c r="BV76" s="105">
        <f t="shared" si="44"/>
        <v>34</v>
      </c>
      <c r="BW76" s="100">
        <f t="shared" si="26"/>
        <v>2.0432692307692308E-2</v>
      </c>
      <c r="BX76" s="100">
        <f t="shared" si="60"/>
        <v>0.83173076923076927</v>
      </c>
      <c r="BY76" s="99">
        <v>2.6844146176153598E-2</v>
      </c>
      <c r="BZ76" s="99">
        <v>0.71396984477950232</v>
      </c>
      <c r="CA76" s="100">
        <v>2.8340080971659919E-2</v>
      </c>
      <c r="CB76" s="100">
        <v>0.7348178137651824</v>
      </c>
      <c r="CC76" s="99">
        <v>5.5001986363009868E-2</v>
      </c>
      <c r="CD76" s="99">
        <v>0.70400758871745828</v>
      </c>
      <c r="CE76" s="100">
        <v>6.5749235474006115E-2</v>
      </c>
      <c r="CF76" s="100">
        <v>0.7446483180428134</v>
      </c>
      <c r="CG76" s="417"/>
      <c r="CH76" s="99">
        <v>3.5739206407843276E-2</v>
      </c>
      <c r="CI76" s="99" t="e">
        <f t="shared" si="45"/>
        <v>#DIV/0!</v>
      </c>
      <c r="CJ76" s="100">
        <v>3.439153439153439E-2</v>
      </c>
      <c r="CK76" s="100">
        <f>SUM(CJ61:CJ76)</f>
        <v>0.38624338624338628</v>
      </c>
      <c r="CL76" s="93">
        <f>Vergleich!C20</f>
        <v>44039</v>
      </c>
      <c r="CM76" s="99">
        <v>2.8262089983158156E-2</v>
      </c>
      <c r="CN76" s="99">
        <f t="shared" si="46"/>
        <v>0.70637581201379418</v>
      </c>
      <c r="CO76" s="100">
        <v>2.5936599423631135E-2</v>
      </c>
      <c r="CP76" s="100">
        <f>SUM(CO61:CO76)</f>
        <v>0.46109510086455335</v>
      </c>
      <c r="CQ76" s="160"/>
      <c r="CR76" s="160"/>
      <c r="CS76" s="160"/>
      <c r="CT76" s="160"/>
      <c r="CU76" s="160"/>
      <c r="CV76" s="160"/>
      <c r="CW76" s="160"/>
      <c r="CX76" s="160"/>
      <c r="CY76" s="160"/>
      <c r="CZ76" s="160"/>
      <c r="DA76" s="160"/>
      <c r="DB76" s="160"/>
      <c r="DC76" s="160"/>
      <c r="DD76" s="160"/>
      <c r="DE76" s="160"/>
      <c r="DF76" s="160"/>
      <c r="DG76" s="160"/>
      <c r="DH76" s="160"/>
      <c r="DI76" s="160"/>
    </row>
    <row r="77" spans="1:113" s="101" customFormat="1" x14ac:dyDescent="0.3">
      <c r="A77" s="152"/>
      <c r="B77" s="160"/>
      <c r="C77" s="262"/>
      <c r="D77" s="160"/>
      <c r="E77" s="262"/>
      <c r="F77" s="262"/>
      <c r="G77" s="156">
        <v>18</v>
      </c>
      <c r="H77" s="186">
        <f t="shared" si="4"/>
        <v>45200.75</v>
      </c>
      <c r="I77" s="451">
        <f t="shared" si="5"/>
        <v>25263</v>
      </c>
      <c r="J77" s="452">
        <f t="shared" si="6"/>
        <v>25263</v>
      </c>
      <c r="K77" s="453">
        <f t="shared" si="7"/>
        <v>25263</v>
      </c>
      <c r="L77" s="466">
        <f t="shared" si="8"/>
        <v>18588.886420913175</v>
      </c>
      <c r="M77" s="467">
        <f t="shared" si="9"/>
        <v>36288.51228462351</v>
      </c>
      <c r="N77" s="477">
        <v>91974</v>
      </c>
      <c r="O77" s="453">
        <v>87091</v>
      </c>
      <c r="P77" s="69"/>
      <c r="Q77" s="106">
        <v>18</v>
      </c>
      <c r="R77" s="421">
        <f t="shared" si="27"/>
        <v>1</v>
      </c>
      <c r="S77" s="89">
        <f t="shared" si="28"/>
        <v>45200</v>
      </c>
      <c r="T77" s="90">
        <v>0.75</v>
      </c>
      <c r="U77" s="91">
        <f t="shared" si="10"/>
        <v>45200.75</v>
      </c>
      <c r="V77" s="92">
        <f t="shared" si="11"/>
        <v>18</v>
      </c>
      <c r="W77" s="92">
        <f t="shared" si="29"/>
        <v>1</v>
      </c>
      <c r="X77" s="102">
        <v>25263</v>
      </c>
      <c r="Y77" s="103">
        <v>186</v>
      </c>
      <c r="Z77" s="104">
        <f t="shared" si="12"/>
        <v>11</v>
      </c>
      <c r="AA77" s="95">
        <f t="shared" si="30"/>
        <v>1318</v>
      </c>
      <c r="AB77" s="96">
        <f t="shared" si="13"/>
        <v>135.82258064516128</v>
      </c>
      <c r="AC77" s="97">
        <f t="shared" si="31"/>
        <v>119.81818181818181</v>
      </c>
      <c r="AD77" s="97">
        <f t="shared" si="66"/>
        <v>143.67741935483872</v>
      </c>
      <c r="AE77" s="102">
        <f t="shared" si="75"/>
        <v>25263</v>
      </c>
      <c r="AF77" s="103">
        <f t="shared" si="76"/>
        <v>186</v>
      </c>
      <c r="AG77" s="102">
        <f t="shared" si="77"/>
        <v>25263</v>
      </c>
      <c r="AH77" s="103">
        <f t="shared" si="78"/>
        <v>186</v>
      </c>
      <c r="AI77" s="95">
        <f t="shared" si="51"/>
        <v>18588.886420913175</v>
      </c>
      <c r="AJ77" s="95">
        <f t="shared" si="32"/>
        <v>6674.1135790868248</v>
      </c>
      <c r="AK77" s="105">
        <f t="shared" si="52"/>
        <v>150</v>
      </c>
      <c r="AL77" s="71">
        <f t="shared" si="16"/>
        <v>36</v>
      </c>
      <c r="AM77" s="95">
        <f t="shared" si="53"/>
        <v>36288.51228462351</v>
      </c>
      <c r="AN77" s="95">
        <f t="shared" si="17"/>
        <v>-11025.51228462351</v>
      </c>
      <c r="AO77" s="105">
        <f t="shared" si="54"/>
        <v>298</v>
      </c>
      <c r="AP77" s="71">
        <f t="shared" si="18"/>
        <v>-112</v>
      </c>
      <c r="AQ77" s="95">
        <f t="shared" si="19"/>
        <v>1318</v>
      </c>
      <c r="AR77" s="95">
        <f t="shared" si="20"/>
        <v>1403.5</v>
      </c>
      <c r="AS77" s="93">
        <f t="shared" si="21"/>
        <v>25263</v>
      </c>
      <c r="AT77" s="57">
        <f t="shared" si="21"/>
        <v>186</v>
      </c>
      <c r="AU77" s="105">
        <f t="shared" si="21"/>
        <v>11</v>
      </c>
      <c r="AV77" s="105">
        <f t="shared" si="21"/>
        <v>1318</v>
      </c>
      <c r="AW77" s="99">
        <f t="shared" si="33"/>
        <v>3.6360626793202386E-2</v>
      </c>
      <c r="AX77" s="99">
        <f t="shared" si="34"/>
        <v>0.69694879717501657</v>
      </c>
      <c r="AY77" s="100">
        <f t="shared" si="35"/>
        <v>4.0892193308550186E-2</v>
      </c>
      <c r="AZ77" s="100">
        <f t="shared" si="55"/>
        <v>0.69144981412639417</v>
      </c>
      <c r="BA77" s="93">
        <v>87091</v>
      </c>
      <c r="BB77" s="57">
        <v>491</v>
      </c>
      <c r="BC77" s="195">
        <f t="shared" si="36"/>
        <v>3151</v>
      </c>
      <c r="BD77" s="99">
        <f t="shared" si="56"/>
        <v>2.7357180065983679E-2</v>
      </c>
      <c r="BE77" s="99">
        <f t="shared" si="57"/>
        <v>0.75612953637784341</v>
      </c>
      <c r="BF77" s="195">
        <f t="shared" si="37"/>
        <v>20</v>
      </c>
      <c r="BG77" s="100">
        <f t="shared" si="38"/>
        <v>3.1007751937984496E-2</v>
      </c>
      <c r="BH77" s="100">
        <f t="shared" si="58"/>
        <v>0.76124031007751936</v>
      </c>
      <c r="BI77" s="93">
        <v>280832</v>
      </c>
      <c r="BJ77" s="57">
        <v>1210</v>
      </c>
      <c r="BK77" s="195">
        <f t="shared" si="39"/>
        <v>11938</v>
      </c>
      <c r="BL77" s="99">
        <f t="shared" si="40"/>
        <v>3.0670338817581109E-2</v>
      </c>
      <c r="BM77" s="99">
        <f t="shared" si="23"/>
        <v>0.72149544235373908</v>
      </c>
      <c r="BN77" s="195">
        <f t="shared" si="41"/>
        <v>50</v>
      </c>
      <c r="BO77" s="100">
        <f t="shared" si="24"/>
        <v>3.0193236714975844E-2</v>
      </c>
      <c r="BP77" s="100">
        <f t="shared" si="59"/>
        <v>0.73067632850241548</v>
      </c>
      <c r="BQ77" s="93">
        <v>203119</v>
      </c>
      <c r="BR77" s="57">
        <v>1419</v>
      </c>
      <c r="BS77" s="105">
        <f t="shared" si="42"/>
        <v>4858</v>
      </c>
      <c r="BT77" s="99">
        <f t="shared" si="43"/>
        <v>2.031038346405338E-2</v>
      </c>
      <c r="BU77" s="99">
        <f t="shared" si="25"/>
        <v>0.84920230111878525</v>
      </c>
      <c r="BV77" s="105">
        <f t="shared" si="44"/>
        <v>35</v>
      </c>
      <c r="BW77" s="100">
        <f t="shared" si="26"/>
        <v>2.1033653846153848E-2</v>
      </c>
      <c r="BX77" s="100">
        <f t="shared" si="60"/>
        <v>0.85276442307692313</v>
      </c>
      <c r="BY77" s="99">
        <v>2.7677470250330551E-2</v>
      </c>
      <c r="BZ77" s="99">
        <v>0.74164731502983283</v>
      </c>
      <c r="CA77" s="100">
        <v>2.8340080971659919E-2</v>
      </c>
      <c r="CB77" s="100">
        <v>0.76315789473684237</v>
      </c>
      <c r="CC77" s="99">
        <v>4.1681192790718413E-2</v>
      </c>
      <c r="CD77" s="99">
        <v>0.74568878150817675</v>
      </c>
      <c r="CE77" s="100">
        <v>4.1284403669724773E-2</v>
      </c>
      <c r="CF77" s="100">
        <v>0.78593272171253814</v>
      </c>
      <c r="CG77" s="417"/>
      <c r="CH77" s="99">
        <v>3.4437466650248327E-2</v>
      </c>
      <c r="CI77" s="99" t="e">
        <f t="shared" si="45"/>
        <v>#DIV/0!</v>
      </c>
      <c r="CJ77" s="100">
        <v>3.968253968253968E-2</v>
      </c>
      <c r="CK77" s="100">
        <f>SUM(CJ$59:CJ77)</f>
        <v>0.47883597883597884</v>
      </c>
      <c r="CL77" s="93">
        <f>Vergleich!C21</f>
        <v>46661</v>
      </c>
      <c r="CM77" s="99">
        <v>4.205629962306523E-2</v>
      </c>
      <c r="CN77" s="99">
        <f t="shared" si="46"/>
        <v>0.74843211163685941</v>
      </c>
      <c r="CO77" s="100">
        <v>4.8991354466858761E-2</v>
      </c>
      <c r="CP77" s="100">
        <f>SUM(CO$59:CO77)</f>
        <v>0.54755043227665712</v>
      </c>
      <c r="CQ77" s="160"/>
      <c r="CR77" s="160"/>
      <c r="CS77" s="160"/>
      <c r="CT77" s="160"/>
      <c r="CU77" s="160"/>
      <c r="CV77" s="160"/>
      <c r="CW77" s="160"/>
      <c r="CX77" s="160"/>
      <c r="CY77" s="160"/>
      <c r="CZ77" s="160"/>
      <c r="DA77" s="160"/>
      <c r="DB77" s="160"/>
      <c r="DC77" s="160"/>
      <c r="DD77" s="160"/>
      <c r="DE77" s="160"/>
      <c r="DF77" s="160"/>
      <c r="DG77" s="160"/>
      <c r="DH77" s="160"/>
      <c r="DI77" s="160"/>
    </row>
    <row r="78" spans="1:113" s="101" customFormat="1" x14ac:dyDescent="0.3">
      <c r="A78" s="152"/>
      <c r="B78" s="160"/>
      <c r="C78" s="262"/>
      <c r="D78" s="160"/>
      <c r="E78" s="262"/>
      <c r="F78" s="262"/>
      <c r="G78" s="156">
        <v>19</v>
      </c>
      <c r="H78" s="186">
        <f t="shared" si="4"/>
        <v>45201.75</v>
      </c>
      <c r="I78" s="451">
        <f t="shared" si="5"/>
        <v>26708</v>
      </c>
      <c r="J78" s="452">
        <f t="shared" si="6"/>
        <v>26708</v>
      </c>
      <c r="K78" s="453">
        <f t="shared" si="7"/>
        <v>26708</v>
      </c>
      <c r="L78" s="466">
        <f t="shared" si="8"/>
        <v>19178.764429126357</v>
      </c>
      <c r="M78" s="467">
        <f t="shared" si="9"/>
        <v>38817.406421306951</v>
      </c>
      <c r="N78" s="477">
        <v>101170</v>
      </c>
      <c r="O78" s="453">
        <v>91598</v>
      </c>
      <c r="P78" s="69"/>
      <c r="Q78" s="106">
        <v>19</v>
      </c>
      <c r="R78" s="421">
        <f t="shared" si="27"/>
        <v>2</v>
      </c>
      <c r="S78" s="89">
        <f t="shared" si="28"/>
        <v>45201</v>
      </c>
      <c r="T78" s="90">
        <v>0.75</v>
      </c>
      <c r="U78" s="91">
        <f t="shared" si="10"/>
        <v>45201.75</v>
      </c>
      <c r="V78" s="92">
        <f t="shared" si="11"/>
        <v>19</v>
      </c>
      <c r="W78" s="92">
        <f t="shared" si="29"/>
        <v>1</v>
      </c>
      <c r="X78" s="102">
        <v>26708</v>
      </c>
      <c r="Y78" s="103">
        <v>198</v>
      </c>
      <c r="Z78" s="104">
        <f t="shared" si="12"/>
        <v>12</v>
      </c>
      <c r="AA78" s="95">
        <f t="shared" si="30"/>
        <v>1445</v>
      </c>
      <c r="AB78" s="96">
        <f t="shared" si="13"/>
        <v>134.88888888888889</v>
      </c>
      <c r="AC78" s="97">
        <f t="shared" si="31"/>
        <v>120.41666666666667</v>
      </c>
      <c r="AD78" s="97">
        <f t="shared" si="66"/>
        <v>135.43589743589743</v>
      </c>
      <c r="AE78" s="102">
        <f t="shared" ref="AE78" si="79">X78</f>
        <v>26708</v>
      </c>
      <c r="AF78" s="103">
        <f t="shared" ref="AF78" si="80">Y78</f>
        <v>198</v>
      </c>
      <c r="AG78" s="102">
        <f t="shared" ref="AG78" si="81">X78</f>
        <v>26708</v>
      </c>
      <c r="AH78" s="103">
        <f t="shared" ref="AH78" si="82">Y78</f>
        <v>198</v>
      </c>
      <c r="AI78" s="95">
        <f t="shared" si="51"/>
        <v>19178.764429126357</v>
      </c>
      <c r="AJ78" s="95">
        <f t="shared" si="32"/>
        <v>7529.2355708736432</v>
      </c>
      <c r="AK78" s="105">
        <f t="shared" si="52"/>
        <v>155</v>
      </c>
      <c r="AL78" s="71">
        <f t="shared" si="16"/>
        <v>43</v>
      </c>
      <c r="AM78" s="95">
        <f t="shared" si="53"/>
        <v>38817.406421306951</v>
      </c>
      <c r="AN78" s="95">
        <f t="shared" si="17"/>
        <v>-12109.406421306951</v>
      </c>
      <c r="AO78" s="105">
        <f t="shared" si="54"/>
        <v>319</v>
      </c>
      <c r="AP78" s="71">
        <f t="shared" si="18"/>
        <v>-121</v>
      </c>
      <c r="AQ78" s="95">
        <f t="shared" si="19"/>
        <v>1445</v>
      </c>
      <c r="AR78" s="95">
        <f t="shared" si="20"/>
        <v>1405.6842105263158</v>
      </c>
      <c r="AS78" s="93">
        <f t="shared" si="21"/>
        <v>26708</v>
      </c>
      <c r="AT78" s="57">
        <f t="shared" si="21"/>
        <v>198</v>
      </c>
      <c r="AU78" s="105">
        <f t="shared" si="21"/>
        <v>12</v>
      </c>
      <c r="AV78" s="105">
        <f t="shared" si="21"/>
        <v>1445</v>
      </c>
      <c r="AW78" s="99">
        <f t="shared" si="33"/>
        <v>3.9864268373427499E-2</v>
      </c>
      <c r="AX78" s="99">
        <f t="shared" si="34"/>
        <v>0.73681306554844406</v>
      </c>
      <c r="AY78" s="100">
        <f t="shared" si="35"/>
        <v>4.4609665427509292E-2</v>
      </c>
      <c r="AZ78" s="100">
        <f t="shared" si="55"/>
        <v>0.7360594795539035</v>
      </c>
      <c r="BA78" s="93">
        <v>91598</v>
      </c>
      <c r="BB78" s="57">
        <v>519</v>
      </c>
      <c r="BC78" s="195">
        <f t="shared" si="36"/>
        <v>4507</v>
      </c>
      <c r="BD78" s="99">
        <f t="shared" si="56"/>
        <v>3.9130057301614861E-2</v>
      </c>
      <c r="BE78" s="99">
        <f t="shared" si="57"/>
        <v>0.79525959367945831</v>
      </c>
      <c r="BF78" s="195">
        <f t="shared" si="37"/>
        <v>28</v>
      </c>
      <c r="BG78" s="100">
        <f t="shared" si="38"/>
        <v>4.3410852713178294E-2</v>
      </c>
      <c r="BH78" s="100">
        <f t="shared" si="58"/>
        <v>0.80465116279069759</v>
      </c>
      <c r="BI78" s="93">
        <v>299641</v>
      </c>
      <c r="BJ78" s="57">
        <v>1290</v>
      </c>
      <c r="BK78" s="195">
        <f t="shared" si="39"/>
        <v>18809</v>
      </c>
      <c r="BL78" s="99">
        <f t="shared" si="40"/>
        <v>4.8322868388329956E-2</v>
      </c>
      <c r="BM78" s="99">
        <f t="shared" si="23"/>
        <v>0.76981831074206908</v>
      </c>
      <c r="BN78" s="195">
        <f t="shared" si="41"/>
        <v>80</v>
      </c>
      <c r="BO78" s="100">
        <f t="shared" si="24"/>
        <v>4.8309178743961352E-2</v>
      </c>
      <c r="BP78" s="100">
        <f t="shared" si="59"/>
        <v>0.77898550724637683</v>
      </c>
      <c r="BQ78" s="93">
        <v>212186</v>
      </c>
      <c r="BR78" s="57">
        <v>1483</v>
      </c>
      <c r="BS78" s="105">
        <f t="shared" si="42"/>
        <v>9067</v>
      </c>
      <c r="BT78" s="99">
        <f t="shared" si="43"/>
        <v>3.7907420104687527E-2</v>
      </c>
      <c r="BU78" s="99">
        <f t="shared" si="25"/>
        <v>0.88710972122347276</v>
      </c>
      <c r="BV78" s="105">
        <f t="shared" si="44"/>
        <v>64</v>
      </c>
      <c r="BW78" s="100">
        <f t="shared" si="26"/>
        <v>3.8461538461538464E-2</v>
      </c>
      <c r="BX78" s="100">
        <f t="shared" si="60"/>
        <v>0.89122596153846156</v>
      </c>
      <c r="BY78" s="99">
        <v>5.2043866179264674E-2</v>
      </c>
      <c r="BZ78" s="99">
        <v>0.79369118120909754</v>
      </c>
      <c r="CA78" s="100">
        <v>4.8582995951417005E-2</v>
      </c>
      <c r="CB78" s="100">
        <v>0.81174089068825939</v>
      </c>
      <c r="CC78" s="99">
        <v>7.4557527505046989E-2</v>
      </c>
      <c r="CD78" s="99">
        <v>0.82024630901322371</v>
      </c>
      <c r="CE78" s="100">
        <v>5.3516819571865444E-2</v>
      </c>
      <c r="CF78" s="100">
        <v>0.83944954128440363</v>
      </c>
      <c r="CG78" s="417"/>
      <c r="CH78" s="99">
        <v>4.76249113116494E-2</v>
      </c>
      <c r="CI78" s="99" t="e">
        <f t="shared" si="45"/>
        <v>#DIV/0!</v>
      </c>
      <c r="CJ78" s="100">
        <v>4.7619047619047616E-2</v>
      </c>
      <c r="CK78" s="100">
        <f>SUM(CJ$59:CJ78)</f>
        <v>0.52645502645502651</v>
      </c>
      <c r="CL78" s="93">
        <f>Vergleich!C22</f>
        <v>49576</v>
      </c>
      <c r="CM78" s="99">
        <v>4.6755954767824237E-2</v>
      </c>
      <c r="CN78" s="99">
        <f t="shared" si="46"/>
        <v>0.79518806640468365</v>
      </c>
      <c r="CO78" s="100">
        <v>4.8991354466858761E-2</v>
      </c>
      <c r="CP78" s="100">
        <f>SUM(CO$59:CO78)</f>
        <v>0.59654178674351588</v>
      </c>
      <c r="CQ78" s="160"/>
      <c r="CR78" s="160"/>
      <c r="CS78" s="160"/>
      <c r="CT78" s="160"/>
      <c r="CU78" s="160"/>
      <c r="CV78" s="160"/>
      <c r="CW78" s="160"/>
      <c r="CX78" s="160"/>
      <c r="CY78" s="160"/>
      <c r="CZ78" s="160"/>
      <c r="DA78" s="160"/>
      <c r="DB78" s="160"/>
      <c r="DC78" s="160"/>
      <c r="DD78" s="160"/>
      <c r="DE78" s="160"/>
      <c r="DF78" s="160"/>
      <c r="DG78" s="160"/>
      <c r="DH78" s="160"/>
      <c r="DI78" s="160"/>
    </row>
    <row r="79" spans="1:113" s="101" customFormat="1" x14ac:dyDescent="0.3">
      <c r="A79" s="152"/>
      <c r="B79" s="160"/>
      <c r="C79" s="262"/>
      <c r="D79" s="160"/>
      <c r="E79" s="262"/>
      <c r="F79" s="262"/>
      <c r="G79" s="156">
        <v>20</v>
      </c>
      <c r="H79" s="186">
        <f t="shared" si="4"/>
        <v>45202.75</v>
      </c>
      <c r="I79" s="451">
        <f t="shared" si="5"/>
        <v>30138</v>
      </c>
      <c r="J79" s="452">
        <f t="shared" si="6"/>
        <v>30138</v>
      </c>
      <c r="K79" s="453">
        <f t="shared" si="7"/>
        <v>30138</v>
      </c>
      <c r="L79" s="466">
        <f t="shared" si="8"/>
        <v>20239.419272383428</v>
      </c>
      <c r="M79" s="467">
        <f t="shared" si="9"/>
        <v>41247.007923970392</v>
      </c>
      <c r="N79" s="477">
        <v>108862</v>
      </c>
      <c r="O79" s="453">
        <v>99702</v>
      </c>
      <c r="P79" s="69"/>
      <c r="Q79" s="106">
        <v>20</v>
      </c>
      <c r="R79" s="421">
        <f t="shared" si="27"/>
        <v>3</v>
      </c>
      <c r="S79" s="89">
        <f t="shared" si="28"/>
        <v>45202</v>
      </c>
      <c r="T79" s="90">
        <v>0.75</v>
      </c>
      <c r="U79" s="91">
        <f t="shared" si="10"/>
        <v>45202.75</v>
      </c>
      <c r="V79" s="92">
        <f t="shared" si="11"/>
        <v>20</v>
      </c>
      <c r="W79" s="92">
        <f t="shared" si="29"/>
        <v>1</v>
      </c>
      <c r="X79" s="102">
        <v>30138</v>
      </c>
      <c r="Y79" s="103">
        <v>227</v>
      </c>
      <c r="Z79" s="104">
        <f t="shared" si="12"/>
        <v>29</v>
      </c>
      <c r="AA79" s="95">
        <f t="shared" si="30"/>
        <v>3430</v>
      </c>
      <c r="AB79" s="96">
        <f t="shared" si="13"/>
        <v>132.76651982378854</v>
      </c>
      <c r="AC79" s="97">
        <f t="shared" si="31"/>
        <v>118.27586206896552</v>
      </c>
      <c r="AD79" s="97">
        <f t="shared" si="66"/>
        <v>120.87301587301587</v>
      </c>
      <c r="AE79" s="102">
        <f t="shared" ref="AE79" si="83">X79</f>
        <v>30138</v>
      </c>
      <c r="AF79" s="103">
        <f t="shared" ref="AF79" si="84">Y79</f>
        <v>227</v>
      </c>
      <c r="AG79" s="102">
        <f t="shared" ref="AG79" si="85">X79</f>
        <v>30138</v>
      </c>
      <c r="AH79" s="103">
        <f t="shared" ref="AH79" si="86">Y79</f>
        <v>227</v>
      </c>
      <c r="AI79" s="95">
        <f t="shared" si="51"/>
        <v>20239.419272383428</v>
      </c>
      <c r="AJ79" s="95">
        <f t="shared" si="32"/>
        <v>9898.5807276165724</v>
      </c>
      <c r="AK79" s="105">
        <f t="shared" si="52"/>
        <v>162</v>
      </c>
      <c r="AL79" s="71">
        <f t="shared" si="16"/>
        <v>65</v>
      </c>
      <c r="AM79" s="95">
        <f t="shared" si="53"/>
        <v>41247.007923970392</v>
      </c>
      <c r="AN79" s="95">
        <f t="shared" si="17"/>
        <v>-11109.007923970392</v>
      </c>
      <c r="AO79" s="105">
        <f t="shared" si="54"/>
        <v>339</v>
      </c>
      <c r="AP79" s="71">
        <f t="shared" si="18"/>
        <v>-112</v>
      </c>
      <c r="AQ79" s="95">
        <f t="shared" si="19"/>
        <v>3430</v>
      </c>
      <c r="AR79" s="95">
        <f t="shared" si="20"/>
        <v>1506.9</v>
      </c>
      <c r="AS79" s="93">
        <f t="shared" si="21"/>
        <v>30138</v>
      </c>
      <c r="AT79" s="57">
        <f t="shared" si="21"/>
        <v>227</v>
      </c>
      <c r="AU79" s="105">
        <f t="shared" si="21"/>
        <v>29</v>
      </c>
      <c r="AV79" s="105">
        <f t="shared" si="21"/>
        <v>3430</v>
      </c>
      <c r="AW79" s="99">
        <f t="shared" si="33"/>
        <v>9.4625910395056273E-2</v>
      </c>
      <c r="AX79" s="99">
        <f t="shared" si="34"/>
        <v>0.83143897594350036</v>
      </c>
      <c r="AY79" s="100">
        <f t="shared" si="35"/>
        <v>0.10780669144981413</v>
      </c>
      <c r="AZ79" s="100">
        <f t="shared" si="55"/>
        <v>0.84386617100371764</v>
      </c>
      <c r="BA79" s="93">
        <v>99702</v>
      </c>
      <c r="BB79" s="57">
        <v>558</v>
      </c>
      <c r="BC79" s="195">
        <f t="shared" si="36"/>
        <v>8104</v>
      </c>
      <c r="BD79" s="99">
        <f t="shared" si="56"/>
        <v>7.0359437402326794E-2</v>
      </c>
      <c r="BE79" s="99">
        <f t="shared" si="57"/>
        <v>0.86561903108178506</v>
      </c>
      <c r="BF79" s="195">
        <f t="shared" si="37"/>
        <v>39</v>
      </c>
      <c r="BG79" s="100">
        <f t="shared" si="38"/>
        <v>6.0465116279069767E-2</v>
      </c>
      <c r="BH79" s="100">
        <f t="shared" si="58"/>
        <v>0.8651162790697674</v>
      </c>
      <c r="BI79" s="93">
        <v>330836</v>
      </c>
      <c r="BJ79" s="57">
        <v>1421</v>
      </c>
      <c r="BK79" s="195">
        <f t="shared" si="39"/>
        <v>31195</v>
      </c>
      <c r="BL79" s="99">
        <f t="shared" si="40"/>
        <v>8.0144179880586586E-2</v>
      </c>
      <c r="BM79" s="99">
        <f t="shared" si="23"/>
        <v>0.84996249062265561</v>
      </c>
      <c r="BN79" s="195">
        <f t="shared" si="41"/>
        <v>131</v>
      </c>
      <c r="BO79" s="100">
        <f t="shared" si="24"/>
        <v>7.9106280193236719E-2</v>
      </c>
      <c r="BP79" s="100">
        <f t="shared" si="59"/>
        <v>0.85809178743961356</v>
      </c>
      <c r="BQ79" s="93">
        <v>220897</v>
      </c>
      <c r="BR79" s="57">
        <v>1545</v>
      </c>
      <c r="BS79" s="105">
        <f t="shared" si="42"/>
        <v>8711</v>
      </c>
      <c r="BT79" s="99">
        <f t="shared" si="43"/>
        <v>3.6419051122966034E-2</v>
      </c>
      <c r="BU79" s="99">
        <f t="shared" si="25"/>
        <v>0.92352877234643882</v>
      </c>
      <c r="BV79" s="105">
        <f t="shared" si="44"/>
        <v>62</v>
      </c>
      <c r="BW79" s="100">
        <f t="shared" si="26"/>
        <v>3.7259615384615384E-2</v>
      </c>
      <c r="BX79" s="100">
        <f t="shared" si="60"/>
        <v>0.92848557692307698</v>
      </c>
      <c r="BY79" s="99">
        <v>8.3999066677036924E-2</v>
      </c>
      <c r="BZ79" s="99">
        <v>0.87769024788613448</v>
      </c>
      <c r="CA79" s="100">
        <v>7.8947368421052627E-2</v>
      </c>
      <c r="CB79" s="100">
        <v>0.89068825910931204</v>
      </c>
      <c r="CC79" s="99">
        <v>6.2363690905700458E-2</v>
      </c>
      <c r="CD79" s="99">
        <v>0.88260999991892419</v>
      </c>
      <c r="CE79" s="100">
        <v>5.3516819571865444E-2</v>
      </c>
      <c r="CF79" s="100">
        <v>0.89296636085626913</v>
      </c>
      <c r="CG79" s="417"/>
      <c r="CH79" s="99">
        <v>3.9767563225265479E-2</v>
      </c>
      <c r="CI79" s="99" t="e">
        <f t="shared" si="45"/>
        <v>#DIV/0!</v>
      </c>
      <c r="CJ79" s="100">
        <v>5.1587301587301584E-2</v>
      </c>
      <c r="CK79" s="100">
        <f>SUM(CJ$59:CJ79)</f>
        <v>0.57804232804232814</v>
      </c>
      <c r="CL79" s="93">
        <f>Vergleich!C23</f>
        <v>54612</v>
      </c>
      <c r="CM79" s="99">
        <v>8.077632528671097E-2</v>
      </c>
      <c r="CN79" s="99">
        <f t="shared" si="46"/>
        <v>0.87596439169139462</v>
      </c>
      <c r="CO79" s="100">
        <v>9.5100864553314124E-2</v>
      </c>
      <c r="CP79" s="100">
        <f>SUM(CO$59:CO79)</f>
        <v>0.69164265129683</v>
      </c>
      <c r="CQ79" s="160"/>
      <c r="CR79" s="160"/>
      <c r="CS79" s="160"/>
      <c r="CT79" s="160"/>
      <c r="CU79" s="160"/>
      <c r="CV79" s="160"/>
      <c r="CW79" s="160"/>
      <c r="CX79" s="160"/>
      <c r="CY79" s="160"/>
      <c r="CZ79" s="160"/>
      <c r="DA79" s="160"/>
      <c r="DB79" s="160"/>
      <c r="DC79" s="160"/>
      <c r="DD79" s="160"/>
      <c r="DE79" s="160"/>
      <c r="DF79" s="160"/>
      <c r="DG79" s="160"/>
      <c r="DH79" s="160"/>
      <c r="DI79" s="160"/>
    </row>
    <row r="80" spans="1:113" s="121" customFormat="1" x14ac:dyDescent="0.3">
      <c r="A80" s="153"/>
      <c r="B80" s="154"/>
      <c r="C80" s="263"/>
      <c r="D80" s="154"/>
      <c r="E80" s="263"/>
      <c r="F80" s="263"/>
      <c r="G80" s="156">
        <v>21</v>
      </c>
      <c r="H80" s="186">
        <f t="shared" si="4"/>
        <v>45203.75</v>
      </c>
      <c r="I80" s="454">
        <f t="shared" si="5"/>
        <v>36248</v>
      </c>
      <c r="J80" s="174">
        <f t="shared" si="6"/>
        <v>32163.766987158553</v>
      </c>
      <c r="K80" s="455">
        <f t="shared" si="7"/>
        <v>35239.577440617271</v>
      </c>
      <c r="L80" s="468">
        <f>AI94</f>
        <v>22265.186259541984</v>
      </c>
      <c r="M80" s="455">
        <f t="shared" si="9"/>
        <v>46348.585364587663</v>
      </c>
      <c r="N80" s="478">
        <v>123694</v>
      </c>
      <c r="O80" s="479">
        <v>115180</v>
      </c>
      <c r="P80" s="107"/>
      <c r="Q80" s="108">
        <v>21</v>
      </c>
      <c r="R80" s="109">
        <f t="shared" si="27"/>
        <v>4</v>
      </c>
      <c r="S80" s="110">
        <f t="shared" si="28"/>
        <v>45203</v>
      </c>
      <c r="T80" s="111">
        <v>0.75</v>
      </c>
      <c r="U80" s="112">
        <f t="shared" si="10"/>
        <v>45203.75</v>
      </c>
      <c r="V80" s="113">
        <f t="shared" si="11"/>
        <v>21</v>
      </c>
      <c r="W80" s="113">
        <f t="shared" si="29"/>
        <v>1</v>
      </c>
      <c r="X80" s="102">
        <v>36248</v>
      </c>
      <c r="Y80" s="103">
        <v>269</v>
      </c>
      <c r="Z80" s="104">
        <f t="shared" si="12"/>
        <v>42</v>
      </c>
      <c r="AA80" s="116">
        <f t="shared" si="30"/>
        <v>6110</v>
      </c>
      <c r="AB80" s="114">
        <f t="shared" si="13"/>
        <v>134.75092936802974</v>
      </c>
      <c r="AC80" s="115">
        <f t="shared" si="31"/>
        <v>145.47619047619048</v>
      </c>
      <c r="AD80" s="115">
        <f t="shared" si="66"/>
        <v>131.39175257731958</v>
      </c>
      <c r="AE80" s="254">
        <f t="shared" ref="AE80" si="87">AE79+AI80-AI79</f>
        <v>32163.766987158553</v>
      </c>
      <c r="AF80" s="255">
        <f t="shared" ref="AF80" si="88">AF79+AK80-AK79</f>
        <v>243</v>
      </c>
      <c r="AG80" s="254">
        <f t="shared" ref="AG80" si="89">AG79+AM80-AM79</f>
        <v>35239.577440617271</v>
      </c>
      <c r="AH80" s="255">
        <f t="shared" ref="AH80" si="90">AH79+AO80-AO79</f>
        <v>266</v>
      </c>
      <c r="AI80" s="116">
        <f t="shared" si="51"/>
        <v>22265.186259541984</v>
      </c>
      <c r="AJ80" s="98">
        <f t="shared" si="32"/>
        <v>13982.813740458016</v>
      </c>
      <c r="AK80" s="117">
        <f t="shared" si="52"/>
        <v>178</v>
      </c>
      <c r="AL80" s="80">
        <f t="shared" si="16"/>
        <v>91</v>
      </c>
      <c r="AM80" s="116">
        <f t="shared" si="53"/>
        <v>46348.585364587663</v>
      </c>
      <c r="AN80" s="98">
        <f t="shared" si="17"/>
        <v>-10100.585364587663</v>
      </c>
      <c r="AO80" s="117">
        <f t="shared" si="54"/>
        <v>378</v>
      </c>
      <c r="AP80" s="80">
        <f t="shared" si="18"/>
        <v>-109</v>
      </c>
      <c r="AQ80" s="116">
        <f t="shared" si="19"/>
        <v>6110</v>
      </c>
      <c r="AR80" s="116">
        <f t="shared" si="20"/>
        <v>1726.0952380952381</v>
      </c>
      <c r="AS80" s="196">
        <f t="shared" si="21"/>
        <v>36248</v>
      </c>
      <c r="AT80" s="64">
        <f t="shared" si="21"/>
        <v>269</v>
      </c>
      <c r="AU80" s="117">
        <f t="shared" si="21"/>
        <v>42</v>
      </c>
      <c r="AV80" s="117">
        <f t="shared" si="21"/>
        <v>6110</v>
      </c>
      <c r="AW80" s="118">
        <f t="shared" si="33"/>
        <v>0.16856102405649967</v>
      </c>
      <c r="AX80" s="118">
        <f t="shared" si="34"/>
        <v>1</v>
      </c>
      <c r="AY80" s="119">
        <f t="shared" si="35"/>
        <v>0.15613382899628253</v>
      </c>
      <c r="AZ80" s="119">
        <f t="shared" si="55"/>
        <v>1.0000000000000002</v>
      </c>
      <c r="BA80" s="196">
        <v>115180</v>
      </c>
      <c r="BB80" s="64">
        <v>645</v>
      </c>
      <c r="BC80" s="129">
        <f t="shared" si="36"/>
        <v>15478</v>
      </c>
      <c r="BD80" s="118">
        <f t="shared" si="56"/>
        <v>0.13438096891821497</v>
      </c>
      <c r="BE80" s="118">
        <f t="shared" si="57"/>
        <v>1</v>
      </c>
      <c r="BF80" s="129">
        <f t="shared" si="37"/>
        <v>87</v>
      </c>
      <c r="BG80" s="119">
        <f t="shared" si="38"/>
        <v>0.13488372093023257</v>
      </c>
      <c r="BH80" s="119">
        <f t="shared" si="58"/>
        <v>1</v>
      </c>
      <c r="BI80" s="196">
        <v>389236</v>
      </c>
      <c r="BJ80" s="64">
        <v>1656</v>
      </c>
      <c r="BK80" s="129">
        <f t="shared" si="39"/>
        <v>58400</v>
      </c>
      <c r="BL80" s="118">
        <f t="shared" si="40"/>
        <v>0.15003750937734434</v>
      </c>
      <c r="BM80" s="118">
        <f t="shared" si="23"/>
        <v>1</v>
      </c>
      <c r="BN80" s="129">
        <f t="shared" si="41"/>
        <v>235</v>
      </c>
      <c r="BO80" s="119">
        <f t="shared" si="24"/>
        <v>0.14190821256038647</v>
      </c>
      <c r="BP80" s="119">
        <f t="shared" si="59"/>
        <v>1</v>
      </c>
      <c r="BQ80" s="196">
        <v>239188</v>
      </c>
      <c r="BR80" s="64">
        <v>1664</v>
      </c>
      <c r="BS80" s="117">
        <f t="shared" si="42"/>
        <v>18291</v>
      </c>
      <c r="BT80" s="118">
        <f t="shared" si="43"/>
        <v>7.6471227653561222E-2</v>
      </c>
      <c r="BU80" s="118">
        <f t="shared" si="25"/>
        <v>1</v>
      </c>
      <c r="BV80" s="117">
        <f t="shared" si="44"/>
        <v>119</v>
      </c>
      <c r="BW80" s="119">
        <f t="shared" si="26"/>
        <v>7.1514423076923073E-2</v>
      </c>
      <c r="BX80" s="119">
        <f t="shared" si="60"/>
        <v>1</v>
      </c>
      <c r="BY80" s="118">
        <v>0.1223097521138654</v>
      </c>
      <c r="BZ80" s="118">
        <v>0.99999999999999989</v>
      </c>
      <c r="CA80" s="119">
        <v>0.11336032388663968</v>
      </c>
      <c r="CB80" s="119">
        <v>1.0040485829959518</v>
      </c>
      <c r="CC80" s="118">
        <v>0.11739000008107604</v>
      </c>
      <c r="CD80" s="118">
        <v>1.0000000000000002</v>
      </c>
      <c r="CE80" s="119">
        <v>0.10703363914373089</v>
      </c>
      <c r="CF80" s="119">
        <v>1</v>
      </c>
      <c r="CG80" s="419"/>
      <c r="CH80" s="118">
        <v>0.23582012536574781</v>
      </c>
      <c r="CI80" s="118" t="e">
        <f t="shared" si="45"/>
        <v>#DIV/0!</v>
      </c>
      <c r="CJ80" s="420">
        <v>0.23809523809523808</v>
      </c>
      <c r="CK80" s="420">
        <f>SUM(CJ$59:CJ80)</f>
        <v>0.81613756613756627</v>
      </c>
      <c r="CL80" s="196">
        <f>Vergleich!C24</f>
        <v>62345</v>
      </c>
      <c r="CM80" s="118">
        <v>0.12403560830860538</v>
      </c>
      <c r="CN80" s="118">
        <f t="shared" si="46"/>
        <v>1</v>
      </c>
      <c r="CO80" s="420">
        <v>0.13544668587896258</v>
      </c>
      <c r="CP80" s="420">
        <f>SUM(CO$59:CO80)</f>
        <v>0.82708933717579258</v>
      </c>
      <c r="CQ80" s="154"/>
      <c r="CR80" s="154"/>
      <c r="CS80" s="154"/>
      <c r="CT80" s="154"/>
      <c r="CU80" s="154"/>
      <c r="CV80" s="154"/>
      <c r="CW80" s="154"/>
      <c r="CX80" s="154"/>
      <c r="CY80" s="154"/>
      <c r="CZ80" s="154"/>
      <c r="DA80" s="154"/>
      <c r="DB80" s="154"/>
      <c r="DC80" s="154"/>
      <c r="DD80" s="154"/>
      <c r="DE80" s="154"/>
      <c r="DF80" s="154"/>
      <c r="DG80" s="154"/>
      <c r="DH80" s="154"/>
      <c r="DI80" s="154"/>
    </row>
    <row r="81" spans="1:113" s="121" customFormat="1" x14ac:dyDescent="0.3">
      <c r="A81" s="153"/>
      <c r="B81" s="154"/>
      <c r="C81" s="263"/>
      <c r="D81" s="154"/>
      <c r="E81" s="263"/>
      <c r="F81" s="263"/>
      <c r="G81" s="159"/>
      <c r="H81" s="187"/>
      <c r="I81" s="456"/>
      <c r="J81" s="174"/>
      <c r="K81" s="455"/>
      <c r="L81" s="469"/>
      <c r="M81" s="470"/>
      <c r="N81" s="478"/>
      <c r="O81" s="479"/>
      <c r="P81" s="107"/>
      <c r="Q81" s="108"/>
      <c r="R81" s="109"/>
      <c r="S81" s="110"/>
      <c r="T81" s="111"/>
      <c r="U81" s="112"/>
      <c r="V81" s="113"/>
      <c r="W81" s="113"/>
      <c r="X81" s="116"/>
      <c r="Y81" s="129"/>
      <c r="Z81" s="129"/>
      <c r="AA81" s="129"/>
      <c r="AB81" s="129"/>
      <c r="AC81" s="129"/>
      <c r="AD81" s="129"/>
      <c r="AE81" s="129"/>
      <c r="AF81" s="129"/>
      <c r="AG81" s="129"/>
      <c r="AH81" s="129"/>
      <c r="AI81" s="116"/>
      <c r="AJ81" s="98"/>
      <c r="AK81" s="117"/>
      <c r="AL81" s="80"/>
      <c r="AM81" s="116"/>
      <c r="AN81" s="98"/>
      <c r="AO81" s="117"/>
      <c r="AP81" s="80"/>
      <c r="AQ81" s="116"/>
      <c r="AR81" s="116"/>
      <c r="AS81" s="116"/>
      <c r="AT81" s="117"/>
      <c r="AU81" s="117"/>
      <c r="AV81" s="117"/>
      <c r="AW81" s="118"/>
      <c r="AX81" s="118"/>
      <c r="AY81" s="119"/>
      <c r="AZ81" s="119"/>
      <c r="BA81" s="116"/>
      <c r="BB81" s="117"/>
      <c r="BC81" s="129"/>
      <c r="BD81" s="118"/>
      <c r="BE81" s="118"/>
      <c r="BF81" s="129"/>
      <c r="BG81" s="119"/>
      <c r="BH81" s="119"/>
      <c r="BI81" s="116"/>
      <c r="BJ81" s="117"/>
      <c r="BK81" s="129"/>
      <c r="BL81" s="118"/>
      <c r="BM81" s="118"/>
      <c r="BN81" s="129"/>
      <c r="BO81" s="119"/>
      <c r="BP81" s="119"/>
      <c r="BQ81" s="116"/>
      <c r="BR81" s="117"/>
      <c r="BS81" s="117"/>
      <c r="BT81" s="118"/>
      <c r="BU81" s="118"/>
      <c r="BV81" s="117"/>
      <c r="BW81" s="119"/>
      <c r="BX81" s="119"/>
      <c r="BY81" s="118"/>
      <c r="BZ81" s="118"/>
      <c r="CA81" s="119"/>
      <c r="CB81" s="119"/>
      <c r="CC81" s="118"/>
      <c r="CD81" s="118"/>
      <c r="CE81" s="119"/>
      <c r="CF81" s="119"/>
      <c r="CG81" s="119"/>
      <c r="CH81" s="118"/>
      <c r="CI81" s="118"/>
      <c r="CJ81" s="119"/>
      <c r="CK81" s="119"/>
      <c r="CL81" s="120"/>
      <c r="CM81" s="118"/>
      <c r="CN81" s="118"/>
      <c r="CO81" s="119"/>
      <c r="CP81" s="119"/>
      <c r="CQ81" s="154"/>
      <c r="CR81" s="154"/>
      <c r="CS81" s="154"/>
      <c r="CT81" s="154"/>
      <c r="CU81" s="154"/>
      <c r="CV81" s="154"/>
      <c r="CW81" s="154"/>
      <c r="CX81" s="154"/>
      <c r="CY81" s="154"/>
      <c r="CZ81" s="154"/>
      <c r="DA81" s="154"/>
      <c r="DB81" s="154"/>
      <c r="DC81" s="154"/>
      <c r="DD81" s="154"/>
      <c r="DE81" s="154"/>
      <c r="DF81" s="154"/>
      <c r="DG81" s="154"/>
      <c r="DH81" s="154"/>
      <c r="DI81" s="154"/>
    </row>
    <row r="82" spans="1:113" s="121" customFormat="1" x14ac:dyDescent="0.3">
      <c r="A82" s="153"/>
      <c r="B82" s="154"/>
      <c r="C82" s="263"/>
      <c r="D82" s="154"/>
      <c r="E82" s="263"/>
      <c r="F82" s="263"/>
      <c r="G82" s="159"/>
      <c r="H82" s="187"/>
      <c r="I82" s="456"/>
      <c r="J82" s="174"/>
      <c r="K82" s="455"/>
      <c r="L82" s="469"/>
      <c r="M82" s="470"/>
      <c r="N82" s="478"/>
      <c r="O82" s="479"/>
      <c r="P82" s="107"/>
      <c r="Q82" s="108"/>
      <c r="R82" s="109"/>
      <c r="S82" s="110"/>
      <c r="T82" s="111"/>
      <c r="U82" s="112"/>
      <c r="V82" s="113"/>
      <c r="W82" s="113"/>
      <c r="X82" s="116"/>
      <c r="Y82" s="129"/>
      <c r="Z82" s="129"/>
      <c r="AA82" s="129"/>
      <c r="AB82" s="129"/>
      <c r="AC82" s="129"/>
      <c r="AD82" s="129"/>
      <c r="AE82" s="129"/>
      <c r="AF82" s="129"/>
      <c r="AG82" s="129"/>
      <c r="AH82" s="129"/>
      <c r="AI82" s="116"/>
      <c r="AJ82" s="98"/>
      <c r="AK82" s="117"/>
      <c r="AL82" s="80"/>
      <c r="AM82" s="116"/>
      <c r="AN82" s="98"/>
      <c r="AO82" s="117"/>
      <c r="AP82" s="80"/>
      <c r="AQ82" s="116"/>
      <c r="AR82" s="116"/>
      <c r="AS82" s="116"/>
      <c r="AT82" s="117"/>
      <c r="AU82" s="117"/>
      <c r="AV82" s="117"/>
      <c r="AW82" s="118"/>
      <c r="AX82" s="118"/>
      <c r="AY82" s="119"/>
      <c r="AZ82" s="119"/>
      <c r="BA82" s="116"/>
      <c r="BB82" s="117"/>
      <c r="BC82" s="129"/>
      <c r="BD82" s="118"/>
      <c r="BE82" s="118"/>
      <c r="BF82" s="129"/>
      <c r="BG82" s="119"/>
      <c r="BH82" s="119"/>
      <c r="BI82" s="116"/>
      <c r="BJ82" s="117"/>
      <c r="BK82" s="129"/>
      <c r="BL82" s="118"/>
      <c r="BM82" s="118"/>
      <c r="BN82" s="129"/>
      <c r="BO82" s="119"/>
      <c r="BP82" s="119"/>
      <c r="BQ82" s="116"/>
      <c r="BR82" s="117"/>
      <c r="BS82" s="117"/>
      <c r="BT82" s="118"/>
      <c r="BU82" s="118"/>
      <c r="BV82" s="117"/>
      <c r="BW82" s="119"/>
      <c r="BX82" s="119"/>
      <c r="BY82" s="118"/>
      <c r="BZ82" s="118"/>
      <c r="CA82" s="119"/>
      <c r="CB82" s="119"/>
      <c r="CC82" s="118"/>
      <c r="CD82" s="118"/>
      <c r="CE82" s="119"/>
      <c r="CF82" s="119"/>
      <c r="CG82" s="119"/>
      <c r="CH82" s="118"/>
      <c r="CI82" s="118"/>
      <c r="CJ82" s="119"/>
      <c r="CK82" s="119"/>
      <c r="CL82" s="120"/>
      <c r="CM82" s="118"/>
      <c r="CN82" s="118"/>
      <c r="CO82" s="119"/>
      <c r="CP82" s="119"/>
      <c r="CQ82" s="154"/>
      <c r="CR82" s="154"/>
      <c r="CS82" s="154"/>
      <c r="CT82" s="154"/>
      <c r="CU82" s="154"/>
      <c r="CV82" s="154"/>
      <c r="CW82" s="154"/>
      <c r="CX82" s="154"/>
      <c r="CY82" s="154"/>
      <c r="CZ82" s="154"/>
      <c r="DA82" s="154"/>
      <c r="DB82" s="154"/>
      <c r="DC82" s="154"/>
      <c r="DD82" s="154"/>
      <c r="DE82" s="154"/>
      <c r="DF82" s="154"/>
      <c r="DG82" s="154"/>
      <c r="DH82" s="154"/>
      <c r="DI82" s="154"/>
    </row>
    <row r="83" spans="1:113" s="121" customFormat="1" x14ac:dyDescent="0.3">
      <c r="A83" s="153"/>
      <c r="B83" s="154"/>
      <c r="C83" s="263"/>
      <c r="D83" s="154"/>
      <c r="E83" s="263"/>
      <c r="F83" s="263"/>
      <c r="G83" s="159"/>
      <c r="H83" s="187"/>
      <c r="I83" s="456"/>
      <c r="J83" s="174"/>
      <c r="K83" s="455"/>
      <c r="L83" s="469"/>
      <c r="M83" s="470"/>
      <c r="N83" s="478"/>
      <c r="O83" s="479"/>
      <c r="P83" s="107"/>
      <c r="Q83" s="108"/>
      <c r="R83" s="109"/>
      <c r="S83" s="110"/>
      <c r="T83" s="111"/>
      <c r="U83" s="112"/>
      <c r="V83" s="113"/>
      <c r="W83" s="113"/>
      <c r="X83" s="116"/>
      <c r="Y83" s="129"/>
      <c r="Z83" s="129"/>
      <c r="AA83" s="129"/>
      <c r="AB83" s="129"/>
      <c r="AC83" s="129"/>
      <c r="AD83" s="129"/>
      <c r="AE83" s="129"/>
      <c r="AF83" s="129"/>
      <c r="AG83" s="129"/>
      <c r="AH83" s="129"/>
      <c r="AI83" s="116"/>
      <c r="AJ83" s="98"/>
      <c r="AK83" s="117"/>
      <c r="AL83" s="80"/>
      <c r="AM83" s="116"/>
      <c r="AN83" s="98"/>
      <c r="AO83" s="117"/>
      <c r="AP83" s="80"/>
      <c r="AQ83" s="116"/>
      <c r="AR83" s="116"/>
      <c r="AS83" s="116"/>
      <c r="AT83" s="117"/>
      <c r="AU83" s="117"/>
      <c r="AV83" s="117"/>
      <c r="AW83" s="118"/>
      <c r="AX83" s="118"/>
      <c r="AY83" s="119"/>
      <c r="AZ83" s="119"/>
      <c r="BA83" s="116"/>
      <c r="BB83" s="117"/>
      <c r="BC83" s="129"/>
      <c r="BD83" s="118"/>
      <c r="BE83" s="118"/>
      <c r="BF83" s="129"/>
      <c r="BG83" s="119"/>
      <c r="BH83" s="119"/>
      <c r="BI83" s="116"/>
      <c r="BJ83" s="117"/>
      <c r="BK83" s="129"/>
      <c r="BL83" s="118"/>
      <c r="BM83" s="118"/>
      <c r="BN83" s="129"/>
      <c r="BO83" s="119"/>
      <c r="BP83" s="119"/>
      <c r="BQ83" s="116"/>
      <c r="BR83" s="117"/>
      <c r="BS83" s="117"/>
      <c r="BT83" s="118"/>
      <c r="BU83" s="118"/>
      <c r="BV83" s="117"/>
      <c r="BW83" s="119"/>
      <c r="BX83" s="119"/>
      <c r="BY83" s="118"/>
      <c r="BZ83" s="118"/>
      <c r="CA83" s="119"/>
      <c r="CB83" s="119"/>
      <c r="CC83" s="118"/>
      <c r="CD83" s="118"/>
      <c r="CE83" s="119"/>
      <c r="CF83" s="119"/>
      <c r="CG83" s="119"/>
      <c r="CH83" s="118"/>
      <c r="CI83" s="118"/>
      <c r="CJ83" s="119"/>
      <c r="CK83" s="119"/>
      <c r="CL83" s="120"/>
      <c r="CM83" s="118"/>
      <c r="CN83" s="118"/>
      <c r="CO83" s="119"/>
      <c r="CP83" s="119"/>
      <c r="CQ83" s="154"/>
      <c r="CR83" s="154"/>
      <c r="CS83" s="154"/>
      <c r="CT83" s="154"/>
      <c r="CU83" s="154"/>
      <c r="CV83" s="154"/>
      <c r="CW83" s="154"/>
      <c r="CX83" s="154"/>
      <c r="CY83" s="154"/>
      <c r="CZ83" s="154"/>
      <c r="DA83" s="154"/>
      <c r="DB83" s="154"/>
      <c r="DC83" s="154"/>
      <c r="DD83" s="154"/>
      <c r="DE83" s="154"/>
      <c r="DF83" s="154"/>
      <c r="DG83" s="154"/>
      <c r="DH83" s="154"/>
      <c r="DI83" s="154"/>
    </row>
    <row r="84" spans="1:113" s="121" customFormat="1" x14ac:dyDescent="0.3">
      <c r="A84" s="153"/>
      <c r="B84" s="154"/>
      <c r="C84" s="263"/>
      <c r="D84" s="154"/>
      <c r="E84" s="263"/>
      <c r="F84" s="263"/>
      <c r="G84" s="159"/>
      <c r="H84" s="187"/>
      <c r="I84" s="456"/>
      <c r="J84" s="174"/>
      <c r="K84" s="455"/>
      <c r="L84" s="469"/>
      <c r="M84" s="470"/>
      <c r="N84" s="478"/>
      <c r="O84" s="479"/>
      <c r="P84" s="107"/>
      <c r="Q84" s="108"/>
      <c r="R84" s="109"/>
      <c r="S84" s="110"/>
      <c r="T84" s="111"/>
      <c r="U84" s="112"/>
      <c r="V84" s="113"/>
      <c r="W84" s="113"/>
      <c r="X84" s="116"/>
      <c r="Y84" s="129"/>
      <c r="Z84" s="129"/>
      <c r="AA84" s="129"/>
      <c r="AB84" s="129"/>
      <c r="AC84" s="129"/>
      <c r="AD84" s="129"/>
      <c r="AE84" s="129"/>
      <c r="AF84" s="129"/>
      <c r="AG84" s="129"/>
      <c r="AH84" s="129"/>
      <c r="AI84" s="116"/>
      <c r="AJ84" s="98"/>
      <c r="AK84" s="117"/>
      <c r="AL84" s="80"/>
      <c r="AM84" s="116"/>
      <c r="AN84" s="98"/>
      <c r="AO84" s="117"/>
      <c r="AP84" s="80"/>
      <c r="AQ84" s="116"/>
      <c r="AR84" s="116"/>
      <c r="AS84" s="116"/>
      <c r="AT84" s="117"/>
      <c r="AU84" s="117"/>
      <c r="AV84" s="117"/>
      <c r="AW84" s="118"/>
      <c r="AX84" s="118"/>
      <c r="AY84" s="119"/>
      <c r="AZ84" s="119"/>
      <c r="BA84" s="116"/>
      <c r="BB84" s="117"/>
      <c r="BC84" s="129"/>
      <c r="BD84" s="118"/>
      <c r="BE84" s="118"/>
      <c r="BF84" s="129"/>
      <c r="BG84" s="119"/>
      <c r="BH84" s="119"/>
      <c r="BI84" s="116"/>
      <c r="BJ84" s="117"/>
      <c r="BK84" s="129"/>
      <c r="BL84" s="118"/>
      <c r="BM84" s="118"/>
      <c r="BN84" s="129"/>
      <c r="BO84" s="119"/>
      <c r="BP84" s="119"/>
      <c r="BQ84" s="116"/>
      <c r="BR84" s="117"/>
      <c r="BS84" s="117"/>
      <c r="BT84" s="118"/>
      <c r="BU84" s="118"/>
      <c r="BV84" s="117"/>
      <c r="BW84" s="119"/>
      <c r="BX84" s="119"/>
      <c r="BY84" s="118"/>
      <c r="BZ84" s="118"/>
      <c r="CA84" s="119"/>
      <c r="CB84" s="119"/>
      <c r="CC84" s="118"/>
      <c r="CD84" s="118"/>
      <c r="CE84" s="119"/>
      <c r="CF84" s="119"/>
      <c r="CG84" s="119"/>
      <c r="CH84" s="118"/>
      <c r="CI84" s="118"/>
      <c r="CJ84" s="119"/>
      <c r="CK84" s="119"/>
      <c r="CL84" s="120"/>
      <c r="CM84" s="118"/>
      <c r="CN84" s="118"/>
      <c r="CO84" s="119"/>
      <c r="CP84" s="119"/>
      <c r="CQ84" s="154"/>
      <c r="CR84" s="154"/>
      <c r="CS84" s="154"/>
      <c r="CT84" s="154"/>
      <c r="CU84" s="154"/>
      <c r="CV84" s="154"/>
      <c r="CW84" s="154"/>
      <c r="CX84" s="154"/>
      <c r="CY84" s="154"/>
      <c r="CZ84" s="154"/>
      <c r="DA84" s="154"/>
      <c r="DB84" s="154"/>
      <c r="DC84" s="154"/>
      <c r="DD84" s="154"/>
      <c r="DE84" s="154"/>
      <c r="DF84" s="154"/>
      <c r="DG84" s="154"/>
      <c r="DH84" s="154"/>
      <c r="DI84" s="154"/>
    </row>
    <row r="85" spans="1:113" s="121" customFormat="1" x14ac:dyDescent="0.3">
      <c r="A85" s="153"/>
      <c r="B85" s="154"/>
      <c r="C85" s="263"/>
      <c r="D85" s="154"/>
      <c r="E85" s="263"/>
      <c r="F85" s="263"/>
      <c r="G85" s="159"/>
      <c r="H85" s="187"/>
      <c r="I85" s="456"/>
      <c r="J85" s="174"/>
      <c r="K85" s="455"/>
      <c r="L85" s="469"/>
      <c r="M85" s="470"/>
      <c r="N85" s="478"/>
      <c r="O85" s="479"/>
      <c r="P85" s="107"/>
      <c r="Q85" s="108"/>
      <c r="R85" s="109"/>
      <c r="S85" s="110"/>
      <c r="T85" s="111"/>
      <c r="U85" s="112"/>
      <c r="V85" s="113"/>
      <c r="W85" s="113"/>
      <c r="X85" s="116"/>
      <c r="Y85" s="129"/>
      <c r="Z85" s="129"/>
      <c r="AA85" s="129"/>
      <c r="AB85" s="129"/>
      <c r="AC85" s="129"/>
      <c r="AD85" s="129"/>
      <c r="AE85" s="129"/>
      <c r="AF85" s="129"/>
      <c r="AG85" s="129"/>
      <c r="AH85" s="129"/>
      <c r="AI85" s="116"/>
      <c r="AJ85" s="98"/>
      <c r="AK85" s="117"/>
      <c r="AL85" s="80"/>
      <c r="AM85" s="116"/>
      <c r="AN85" s="98"/>
      <c r="AO85" s="117"/>
      <c r="AP85" s="80"/>
      <c r="AQ85" s="116"/>
      <c r="AR85" s="116"/>
      <c r="AS85" s="116"/>
      <c r="AT85" s="117"/>
      <c r="AU85" s="117"/>
      <c r="AV85" s="117"/>
      <c r="AW85" s="118"/>
      <c r="AX85" s="118"/>
      <c r="AY85" s="119"/>
      <c r="AZ85" s="119"/>
      <c r="BA85" s="116"/>
      <c r="BB85" s="117"/>
      <c r="BC85" s="129"/>
      <c r="BD85" s="118"/>
      <c r="BE85" s="118"/>
      <c r="BF85" s="129"/>
      <c r="BG85" s="119"/>
      <c r="BH85" s="119"/>
      <c r="BI85" s="116"/>
      <c r="BJ85" s="117"/>
      <c r="BK85" s="129"/>
      <c r="BL85" s="118"/>
      <c r="BM85" s="118"/>
      <c r="BN85" s="129"/>
      <c r="BO85" s="119"/>
      <c r="BP85" s="119"/>
      <c r="BQ85" s="116"/>
      <c r="BR85" s="117"/>
      <c r="BS85" s="117"/>
      <c r="BT85" s="118"/>
      <c r="BU85" s="118"/>
      <c r="BV85" s="117"/>
      <c r="BW85" s="119"/>
      <c r="BX85" s="119"/>
      <c r="BY85" s="118"/>
      <c r="BZ85" s="118"/>
      <c r="CA85" s="119"/>
      <c r="CB85" s="119"/>
      <c r="CC85" s="118"/>
      <c r="CD85" s="118"/>
      <c r="CE85" s="119"/>
      <c r="CF85" s="119"/>
      <c r="CG85" s="119"/>
      <c r="CH85" s="118"/>
      <c r="CI85" s="118"/>
      <c r="CJ85" s="119"/>
      <c r="CK85" s="119"/>
      <c r="CL85" s="120"/>
      <c r="CM85" s="118"/>
      <c r="CN85" s="118"/>
      <c r="CO85" s="119"/>
      <c r="CP85" s="119"/>
      <c r="CQ85" s="154"/>
      <c r="CR85" s="154"/>
      <c r="CS85" s="154"/>
      <c r="CT85" s="154"/>
      <c r="CU85" s="154"/>
      <c r="CV85" s="154"/>
      <c r="CW85" s="154"/>
      <c r="CX85" s="154"/>
      <c r="CY85" s="154"/>
      <c r="CZ85" s="154"/>
      <c r="DA85" s="154"/>
      <c r="DB85" s="154"/>
      <c r="DC85" s="154"/>
      <c r="DD85" s="154"/>
      <c r="DE85" s="154"/>
      <c r="DF85" s="154"/>
      <c r="DG85" s="154"/>
      <c r="DH85" s="154"/>
      <c r="DI85" s="154"/>
    </row>
    <row r="86" spans="1:113" s="121" customFormat="1" x14ac:dyDescent="0.3">
      <c r="A86" s="154"/>
      <c r="B86" s="175"/>
      <c r="C86" s="263"/>
      <c r="D86" s="154"/>
      <c r="E86" s="263"/>
      <c r="F86" s="263"/>
      <c r="G86" s="161"/>
      <c r="H86" s="161"/>
      <c r="I86" s="448" t="s">
        <v>16</v>
      </c>
      <c r="J86" s="449" t="s">
        <v>189</v>
      </c>
      <c r="K86" s="450" t="s">
        <v>190</v>
      </c>
      <c r="L86" s="465" t="s">
        <v>16</v>
      </c>
      <c r="M86" s="450" t="s">
        <v>16</v>
      </c>
      <c r="N86" s="475" t="s">
        <v>16</v>
      </c>
      <c r="O86" s="476" t="s">
        <v>16</v>
      </c>
      <c r="P86" s="122"/>
      <c r="Q86" s="122"/>
      <c r="R86" s="122"/>
      <c r="S86" s="122"/>
      <c r="T86" s="122"/>
      <c r="U86" s="122"/>
      <c r="V86" s="107"/>
      <c r="W86" s="122"/>
      <c r="X86" s="122"/>
      <c r="Y86" s="123"/>
      <c r="Z86" s="143">
        <f>SUM(Z59:Z80)</f>
        <v>269</v>
      </c>
      <c r="AA86" s="124">
        <f>SUM(AA59:AA80)</f>
        <v>36248</v>
      </c>
      <c r="AB86" s="123"/>
      <c r="AC86" s="125">
        <f t="shared" si="31"/>
        <v>134.75092936802974</v>
      </c>
      <c r="AD86" s="125"/>
      <c r="AE86" s="116"/>
      <c r="AF86" s="117"/>
      <c r="AG86" s="116"/>
      <c r="AH86" s="117"/>
      <c r="AI86" s="123" t="s">
        <v>107</v>
      </c>
      <c r="AJ86" s="80"/>
      <c r="AK86" s="126" t="s">
        <v>107</v>
      </c>
      <c r="AL86" s="80"/>
      <c r="AM86" s="123" t="s">
        <v>108</v>
      </c>
      <c r="AN86" s="54"/>
      <c r="AO86" s="126" t="s">
        <v>108</v>
      </c>
      <c r="AP86" s="80"/>
      <c r="AQ86" s="123"/>
      <c r="AR86" s="39"/>
      <c r="AS86" s="521" t="s">
        <v>325</v>
      </c>
      <c r="AT86" s="521"/>
      <c r="AU86" s="521"/>
      <c r="AV86" s="521"/>
      <c r="AW86" s="521"/>
      <c r="AX86" s="521"/>
      <c r="AY86" s="521"/>
      <c r="AZ86" s="521"/>
      <c r="BA86" s="522" t="s">
        <v>326</v>
      </c>
      <c r="BB86" s="523"/>
      <c r="BC86" s="523"/>
      <c r="BD86" s="523"/>
      <c r="BE86" s="523"/>
      <c r="BF86" s="523"/>
      <c r="BG86" s="523"/>
      <c r="BH86" s="524"/>
      <c r="BI86" s="522" t="s">
        <v>158</v>
      </c>
      <c r="BJ86" s="523"/>
      <c r="BK86" s="523"/>
      <c r="BL86" s="523"/>
      <c r="BM86" s="523"/>
      <c r="BN86" s="523"/>
      <c r="BO86" s="523"/>
      <c r="BP86" s="524"/>
      <c r="BQ86" s="522" t="s">
        <v>146</v>
      </c>
      <c r="BR86" s="523"/>
      <c r="BS86" s="523"/>
      <c r="BT86" s="523"/>
      <c r="BU86" s="523"/>
      <c r="BV86" s="523"/>
      <c r="BW86" s="523"/>
      <c r="BX86" s="524"/>
      <c r="BY86" s="522" t="s">
        <v>103</v>
      </c>
      <c r="BZ86" s="523"/>
      <c r="CA86" s="523"/>
      <c r="CB86" s="524"/>
      <c r="CC86" s="522" t="s">
        <v>48</v>
      </c>
      <c r="CD86" s="523"/>
      <c r="CE86" s="523"/>
      <c r="CF86" s="524"/>
      <c r="CG86" s="367"/>
      <c r="CH86" s="522" t="s">
        <v>50</v>
      </c>
      <c r="CI86" s="523"/>
      <c r="CJ86" s="523"/>
      <c r="CK86" s="523"/>
      <c r="CL86" s="521" t="s">
        <v>49</v>
      </c>
      <c r="CM86" s="521"/>
      <c r="CN86" s="521"/>
      <c r="CO86" s="521"/>
      <c r="CP86" s="521"/>
      <c r="CQ86" s="154"/>
      <c r="CR86" s="154"/>
      <c r="CS86" s="154"/>
      <c r="CT86" s="154"/>
      <c r="CU86" s="154"/>
      <c r="CV86" s="154"/>
      <c r="CW86" s="154"/>
      <c r="CX86" s="154"/>
      <c r="CY86" s="154"/>
      <c r="CZ86" s="154"/>
      <c r="DA86" s="154"/>
      <c r="DB86" s="154"/>
      <c r="DC86" s="154"/>
      <c r="DD86" s="154"/>
      <c r="DE86" s="154"/>
      <c r="DF86" s="154"/>
      <c r="DG86" s="154"/>
      <c r="DH86" s="154"/>
      <c r="DI86" s="154"/>
    </row>
    <row r="87" spans="1:113" s="121" customFormat="1" ht="30" x14ac:dyDescent="0.3">
      <c r="A87" s="154"/>
      <c r="B87" s="175"/>
      <c r="C87" s="263"/>
      <c r="D87" s="154"/>
      <c r="E87" s="263"/>
      <c r="F87" s="263"/>
      <c r="G87" s="409" t="s">
        <v>32</v>
      </c>
      <c r="H87" s="409" t="s">
        <v>15</v>
      </c>
      <c r="I87" s="448" t="str">
        <f>I58</f>
        <v>Stand Ist/HR</v>
      </c>
      <c r="J87" s="449" t="str">
        <f t="shared" ref="J87:K87" si="91">J58</f>
        <v>Stand Ist/HR</v>
      </c>
      <c r="K87" s="450" t="str">
        <f t="shared" si="91"/>
        <v>Stand Ist/HR</v>
      </c>
      <c r="L87" s="465" t="str">
        <f>L58</f>
        <v>Min. Schätzung</v>
      </c>
      <c r="M87" s="450" t="str">
        <f>M58</f>
        <v>Max. Schätzung</v>
      </c>
      <c r="N87" s="475" t="str">
        <f>N58</f>
        <v>DSK Fasar</v>
      </c>
      <c r="O87" s="476" t="str">
        <f>O58</f>
        <v>Schleichender Verfall</v>
      </c>
      <c r="P87" s="122"/>
      <c r="Q87" s="122"/>
      <c r="R87" s="122"/>
      <c r="S87" s="122"/>
      <c r="T87" s="122"/>
      <c r="U87" s="122"/>
      <c r="V87" s="107"/>
      <c r="W87" s="122"/>
      <c r="X87" s="122"/>
      <c r="Y87" s="123"/>
      <c r="Z87" s="237"/>
      <c r="AA87" s="124"/>
      <c r="AB87" s="123"/>
      <c r="AC87" s="115"/>
      <c r="AD87" s="115"/>
      <c r="AE87" s="116"/>
      <c r="AF87" s="117"/>
      <c r="AG87" s="116"/>
      <c r="AH87" s="117"/>
      <c r="AI87" s="123"/>
      <c r="AJ87" s="80"/>
      <c r="AK87" s="126"/>
      <c r="AL87" s="80"/>
      <c r="AM87" s="123"/>
      <c r="AN87" s="54"/>
      <c r="AO87" s="126"/>
      <c r="AP87" s="80"/>
      <c r="AQ87" s="123"/>
      <c r="AR87" s="39"/>
      <c r="AS87" s="39"/>
      <c r="AT87" s="39"/>
      <c r="AU87" s="39"/>
      <c r="AV87" s="39"/>
      <c r="AW87" s="59" t="s">
        <v>247</v>
      </c>
      <c r="AX87" s="127" t="s">
        <v>331</v>
      </c>
      <c r="AY87" s="59" t="s">
        <v>333</v>
      </c>
      <c r="AZ87" s="59" t="s">
        <v>332</v>
      </c>
      <c r="BA87" s="39"/>
      <c r="BB87" s="39"/>
      <c r="BC87" s="358"/>
      <c r="BD87" s="59" t="s">
        <v>327</v>
      </c>
      <c r="BE87" s="127" t="s">
        <v>328</v>
      </c>
      <c r="BF87" s="358"/>
      <c r="BG87" s="59" t="s">
        <v>329</v>
      </c>
      <c r="BH87" s="59" t="s">
        <v>330</v>
      </c>
      <c r="BI87" s="39"/>
      <c r="BJ87" s="39"/>
      <c r="BK87" s="358"/>
      <c r="BL87" s="59" t="s">
        <v>152</v>
      </c>
      <c r="BM87" s="127" t="s">
        <v>173</v>
      </c>
      <c r="BN87" s="358"/>
      <c r="BO87" s="59" t="s">
        <v>174</v>
      </c>
      <c r="BP87" s="59" t="s">
        <v>175</v>
      </c>
      <c r="BQ87" s="39"/>
      <c r="BR87" s="39"/>
      <c r="BS87" s="39"/>
      <c r="BT87" s="59" t="s">
        <v>133</v>
      </c>
      <c r="BU87" s="127" t="s">
        <v>149</v>
      </c>
      <c r="BV87" s="39"/>
      <c r="BW87" s="59" t="s">
        <v>150</v>
      </c>
      <c r="BX87" s="59" t="s">
        <v>151</v>
      </c>
      <c r="BY87" s="59" t="s">
        <v>116</v>
      </c>
      <c r="BZ87" s="127" t="s">
        <v>120</v>
      </c>
      <c r="CA87" s="59" t="s">
        <v>117</v>
      </c>
      <c r="CB87" s="59" t="s">
        <v>121</v>
      </c>
      <c r="CC87" s="59" t="s">
        <v>72</v>
      </c>
      <c r="CD87" s="59" t="s">
        <v>122</v>
      </c>
      <c r="CE87" s="59" t="s">
        <v>113</v>
      </c>
      <c r="CF87" s="59" t="s">
        <v>123</v>
      </c>
      <c r="CG87" s="59"/>
      <c r="CH87" s="59" t="s">
        <v>114</v>
      </c>
      <c r="CI87" s="128" t="s">
        <v>124</v>
      </c>
      <c r="CJ87" s="59" t="s">
        <v>115</v>
      </c>
      <c r="CK87" s="128" t="s">
        <v>125</v>
      </c>
      <c r="CL87" s="39"/>
      <c r="CM87" s="127" t="s">
        <v>118</v>
      </c>
      <c r="CN87" s="127" t="s">
        <v>126</v>
      </c>
      <c r="CO87" s="127" t="s">
        <v>119</v>
      </c>
      <c r="CP87" s="127" t="s">
        <v>127</v>
      </c>
      <c r="CQ87" s="154"/>
      <c r="CR87" s="154"/>
      <c r="CS87" s="154"/>
      <c r="CT87" s="154"/>
      <c r="CU87" s="154"/>
      <c r="CV87" s="154"/>
      <c r="CW87" s="154"/>
      <c r="CX87" s="154"/>
      <c r="CY87" s="154"/>
      <c r="CZ87" s="154"/>
      <c r="DA87" s="154"/>
      <c r="DB87" s="154"/>
      <c r="DC87" s="154"/>
      <c r="DD87" s="154"/>
      <c r="DE87" s="154"/>
      <c r="DF87" s="154"/>
      <c r="DG87" s="154"/>
      <c r="DH87" s="154"/>
      <c r="DI87" s="154"/>
    </row>
    <row r="88" spans="1:113" s="121" customFormat="1" ht="15.75" thickBot="1" x14ac:dyDescent="0.35">
      <c r="A88" s="154"/>
      <c r="B88" s="175"/>
      <c r="C88" s="263"/>
      <c r="D88" s="154"/>
      <c r="E88" s="263"/>
      <c r="F88" s="263"/>
      <c r="G88" s="156">
        <v>0</v>
      </c>
      <c r="H88" s="186">
        <f t="shared" ref="H88:H109" si="92">H59</f>
        <v>45182.75</v>
      </c>
      <c r="I88" s="457">
        <f t="shared" ref="I88:I109" si="93">Y59</f>
        <v>0</v>
      </c>
      <c r="J88" s="160">
        <f t="shared" ref="J88:J109" si="94">AF59</f>
        <v>0</v>
      </c>
      <c r="K88" s="458">
        <f t="shared" ref="K88:K109" si="95">AH59</f>
        <v>0</v>
      </c>
      <c r="L88" s="457">
        <f>AI87</f>
        <v>0</v>
      </c>
      <c r="M88" s="471">
        <f>AM87</f>
        <v>0</v>
      </c>
      <c r="N88" s="457">
        <v>0</v>
      </c>
      <c r="O88" s="471">
        <v>0</v>
      </c>
      <c r="P88" s="122"/>
      <c r="Q88" s="122"/>
      <c r="R88" s="122"/>
      <c r="S88" s="122"/>
      <c r="T88" s="122"/>
      <c r="U88" s="122"/>
      <c r="V88" s="107"/>
      <c r="W88" s="122"/>
      <c r="X88" s="122"/>
      <c r="Y88" s="123"/>
      <c r="Z88" s="237"/>
      <c r="AA88" s="124"/>
      <c r="AB88" s="123"/>
      <c r="AC88" s="115"/>
      <c r="AD88" s="115"/>
      <c r="AE88" s="116"/>
      <c r="AF88" s="117"/>
      <c r="AG88" s="116"/>
      <c r="AH88" s="117"/>
      <c r="AI88" s="123"/>
      <c r="AJ88" s="80"/>
      <c r="AK88" s="126"/>
      <c r="AL88" s="80"/>
      <c r="AM88" s="123"/>
      <c r="AN88" s="54"/>
      <c r="AO88" s="126"/>
      <c r="AP88" s="80"/>
      <c r="AQ88" s="123"/>
      <c r="AR88" s="39"/>
      <c r="AS88" s="39"/>
      <c r="AT88" s="39"/>
      <c r="AU88" s="39"/>
      <c r="AV88" s="39"/>
      <c r="AW88" s="65"/>
      <c r="AX88" s="132"/>
      <c r="AY88" s="65"/>
      <c r="AZ88" s="132"/>
      <c r="BA88" s="39"/>
      <c r="BB88" s="39"/>
      <c r="BC88" s="358"/>
      <c r="BD88" s="65"/>
      <c r="BE88" s="132"/>
      <c r="BF88" s="358"/>
      <c r="BG88" s="65"/>
      <c r="BH88" s="132"/>
      <c r="BI88" s="39"/>
      <c r="BJ88" s="39"/>
      <c r="BK88" s="358"/>
      <c r="BL88" s="65"/>
      <c r="BM88" s="132"/>
      <c r="BN88" s="358"/>
      <c r="BO88" s="65"/>
      <c r="BP88" s="132"/>
      <c r="BQ88" s="39"/>
      <c r="BR88" s="39"/>
      <c r="BS88" s="39"/>
      <c r="BT88" s="65"/>
      <c r="BU88" s="132"/>
      <c r="BV88" s="39"/>
      <c r="BW88" s="65"/>
      <c r="BX88" s="132"/>
      <c r="BY88" s="65"/>
      <c r="BZ88" s="130"/>
      <c r="CA88" s="65"/>
      <c r="CB88" s="65"/>
      <c r="CC88" s="65"/>
      <c r="CD88" s="65"/>
      <c r="CE88" s="65"/>
      <c r="CF88" s="65"/>
      <c r="CG88" s="65"/>
      <c r="CH88" s="65"/>
      <c r="CI88" s="131"/>
      <c r="CJ88" s="65"/>
      <c r="CK88" s="131"/>
      <c r="CL88" s="39"/>
      <c r="CM88" s="130"/>
      <c r="CN88" s="130"/>
      <c r="CO88" s="130"/>
      <c r="CP88" s="130"/>
      <c r="CQ88" s="154"/>
      <c r="CR88" s="154"/>
      <c r="CS88" s="154"/>
      <c r="CT88" s="154"/>
      <c r="CU88" s="154"/>
      <c r="CV88" s="154"/>
      <c r="CW88" s="154"/>
      <c r="CX88" s="154"/>
      <c r="CY88" s="154"/>
      <c r="CZ88" s="154"/>
      <c r="DA88" s="154"/>
      <c r="DB88" s="154"/>
      <c r="DC88" s="154"/>
      <c r="DD88" s="154"/>
      <c r="DE88" s="154"/>
      <c r="DF88" s="154"/>
      <c r="DG88" s="154"/>
      <c r="DH88" s="154"/>
      <c r="DI88" s="154"/>
    </row>
    <row r="89" spans="1:113" s="121" customFormat="1" x14ac:dyDescent="0.3">
      <c r="A89" s="154"/>
      <c r="B89" s="175"/>
      <c r="C89" s="263"/>
      <c r="D89" s="154"/>
      <c r="E89" s="263"/>
      <c r="F89" s="263"/>
      <c r="G89" s="156">
        <v>1</v>
      </c>
      <c r="H89" s="186">
        <f t="shared" si="92"/>
        <v>45183.75</v>
      </c>
      <c r="I89" s="457">
        <f t="shared" si="93"/>
        <v>67</v>
      </c>
      <c r="J89" s="459">
        <f t="shared" si="94"/>
        <v>67</v>
      </c>
      <c r="K89" s="460">
        <f t="shared" si="95"/>
        <v>67</v>
      </c>
      <c r="L89" s="457">
        <f t="shared" ref="L89:L109" si="96">AK60</f>
        <v>67</v>
      </c>
      <c r="M89" s="471">
        <f t="shared" ref="M89:M109" si="97">AO60</f>
        <v>67</v>
      </c>
      <c r="N89" s="457">
        <v>195</v>
      </c>
      <c r="O89" s="471">
        <v>136</v>
      </c>
      <c r="P89" s="122"/>
      <c r="Q89" s="122"/>
      <c r="R89" s="122"/>
      <c r="S89" s="122"/>
      <c r="T89" s="122"/>
      <c r="U89" s="122"/>
      <c r="V89" s="107"/>
      <c r="W89" s="124"/>
      <c r="X89" s="138" t="s">
        <v>105</v>
      </c>
      <c r="Y89" s="39"/>
      <c r="Z89" s="39"/>
      <c r="AA89" s="39"/>
      <c r="AB89" s="39"/>
      <c r="AC89" s="39"/>
      <c r="AD89" s="115"/>
      <c r="AE89" s="116"/>
      <c r="AF89" s="117"/>
      <c r="AG89" s="116"/>
      <c r="AH89" s="315" t="s">
        <v>105</v>
      </c>
      <c r="AI89" s="290">
        <f>AI60*Vergleich!AS8</f>
        <v>22265.186259541984</v>
      </c>
      <c r="AJ89" s="291"/>
      <c r="AK89" s="292">
        <f>ROUND(Y60*Vergleich!AT8,)</f>
        <v>178</v>
      </c>
      <c r="AL89" s="293"/>
      <c r="AM89" s="290">
        <f>AM60*Vergleich!AS9</f>
        <v>39334.992635537448</v>
      </c>
      <c r="AN89" s="294"/>
      <c r="AO89" s="295">
        <f>ROUND(Y60*Vergleich!AT9,)</f>
        <v>326</v>
      </c>
      <c r="AP89" s="80"/>
      <c r="AQ89" s="123"/>
      <c r="AR89" s="39">
        <v>1</v>
      </c>
      <c r="AS89" s="122"/>
      <c r="AT89" s="122"/>
      <c r="AU89" s="122"/>
      <c r="AV89" s="122"/>
      <c r="AW89" s="130"/>
      <c r="AX89" s="130"/>
      <c r="AY89" s="130"/>
      <c r="AZ89" s="130"/>
      <c r="BA89" s="122"/>
      <c r="BB89" s="122"/>
      <c r="BC89" s="38"/>
      <c r="BD89" s="130"/>
      <c r="BE89" s="130"/>
      <c r="BF89" s="38"/>
      <c r="BG89" s="130"/>
      <c r="BH89" s="130"/>
      <c r="BI89" s="122"/>
      <c r="BJ89" s="122"/>
      <c r="BK89" s="38"/>
      <c r="BL89" s="130"/>
      <c r="BM89" s="130"/>
      <c r="BN89" s="38"/>
      <c r="BO89" s="130"/>
      <c r="BP89" s="130"/>
      <c r="BQ89" s="122"/>
      <c r="BR89" s="122"/>
      <c r="BS89" s="122"/>
      <c r="BT89" s="130"/>
      <c r="BU89" s="130"/>
      <c r="BV89" s="122"/>
      <c r="BW89" s="130"/>
      <c r="BX89" s="130"/>
      <c r="BY89" s="130"/>
      <c r="BZ89" s="130"/>
      <c r="CA89" s="130"/>
      <c r="CB89" s="130"/>
      <c r="CC89" s="130"/>
      <c r="CD89" s="130"/>
      <c r="CE89" s="130"/>
      <c r="CF89" s="130"/>
      <c r="CG89" s="130"/>
      <c r="CH89" s="130"/>
      <c r="CI89" s="130"/>
      <c r="CJ89" s="130"/>
      <c r="CK89" s="130"/>
      <c r="CL89" s="122"/>
      <c r="CM89" s="130"/>
      <c r="CN89" s="130"/>
      <c r="CO89" s="130"/>
      <c r="CP89" s="130"/>
      <c r="CQ89" s="154"/>
      <c r="CR89" s="154"/>
      <c r="CS89" s="154"/>
      <c r="CT89" s="154"/>
      <c r="CU89" s="154"/>
      <c r="CV89" s="154"/>
      <c r="CW89" s="154"/>
      <c r="CX89" s="154"/>
      <c r="CY89" s="154"/>
      <c r="CZ89" s="154"/>
      <c r="DA89" s="154"/>
      <c r="DB89" s="154"/>
      <c r="DC89" s="154"/>
      <c r="DD89" s="154"/>
      <c r="DE89" s="154"/>
      <c r="DF89" s="154"/>
      <c r="DG89" s="154"/>
      <c r="DH89" s="154"/>
      <c r="DI89" s="154"/>
    </row>
    <row r="90" spans="1:113" s="121" customFormat="1" ht="15.75" thickBot="1" x14ac:dyDescent="0.35">
      <c r="A90" s="154"/>
      <c r="B90" s="175"/>
      <c r="C90" s="263"/>
      <c r="D90" s="154"/>
      <c r="E90" s="263"/>
      <c r="F90" s="263"/>
      <c r="G90" s="156">
        <v>2</v>
      </c>
      <c r="H90" s="186">
        <f t="shared" si="92"/>
        <v>45184.75</v>
      </c>
      <c r="I90" s="457">
        <f t="shared" si="93"/>
        <v>89</v>
      </c>
      <c r="J90" s="459">
        <f t="shared" si="94"/>
        <v>89</v>
      </c>
      <c r="K90" s="460">
        <f t="shared" si="95"/>
        <v>89</v>
      </c>
      <c r="L90" s="457">
        <f t="shared" si="96"/>
        <v>89</v>
      </c>
      <c r="M90" s="471">
        <f t="shared" si="97"/>
        <v>89</v>
      </c>
      <c r="N90" s="457">
        <v>233</v>
      </c>
      <c r="O90" s="471">
        <v>172</v>
      </c>
      <c r="P90" s="122"/>
      <c r="Q90" s="122"/>
      <c r="R90" s="122"/>
      <c r="S90" s="122"/>
      <c r="T90" s="122"/>
      <c r="U90" s="122"/>
      <c r="V90" s="107"/>
      <c r="W90" s="39"/>
      <c r="X90" s="39" t="s">
        <v>106</v>
      </c>
      <c r="Y90" s="39"/>
      <c r="Z90" s="39"/>
      <c r="AA90" s="39"/>
      <c r="AB90" s="39"/>
      <c r="AC90" s="39"/>
      <c r="AD90" s="115"/>
      <c r="AE90" s="116"/>
      <c r="AF90" s="117"/>
      <c r="AG90" s="116"/>
      <c r="AH90" s="360" t="s">
        <v>106</v>
      </c>
      <c r="AI90" s="354">
        <f>AI61*Vergleich!AS13</f>
        <v>23976.275545380387</v>
      </c>
      <c r="AJ90" s="361"/>
      <c r="AK90" s="362">
        <f>ROUND(Y61*Vergleich!AT13,)</f>
        <v>188</v>
      </c>
      <c r="AL90" s="363"/>
      <c r="AM90" s="354">
        <f>AM61*Vergleich!AS14</f>
        <v>46348.585364587656</v>
      </c>
      <c r="AN90" s="364"/>
      <c r="AO90" s="365">
        <f>ROUND(Y61*Vergleich!AT14,)</f>
        <v>377</v>
      </c>
      <c r="AP90" s="80"/>
      <c r="AQ90" s="123"/>
      <c r="AR90" s="39">
        <v>2</v>
      </c>
      <c r="AS90" s="122"/>
      <c r="AT90" s="122"/>
      <c r="AU90" s="122"/>
      <c r="AV90" s="122"/>
      <c r="AW90" s="130"/>
      <c r="AX90" s="130"/>
      <c r="AY90" s="130"/>
      <c r="AZ90" s="130"/>
      <c r="BA90" s="122"/>
      <c r="BB90" s="122"/>
      <c r="BC90" s="38"/>
      <c r="BD90" s="130"/>
      <c r="BE90" s="130"/>
      <c r="BF90" s="38"/>
      <c r="BG90" s="130"/>
      <c r="BH90" s="130"/>
      <c r="BI90" s="122"/>
      <c r="BJ90" s="122"/>
      <c r="BK90" s="38"/>
      <c r="BL90" s="130"/>
      <c r="BM90" s="130"/>
      <c r="BN90" s="38"/>
      <c r="BO90" s="130"/>
      <c r="BP90" s="130"/>
      <c r="BQ90" s="122"/>
      <c r="BR90" s="122"/>
      <c r="BS90" s="122"/>
      <c r="BT90" s="130"/>
      <c r="BU90" s="130"/>
      <c r="BV90" s="122"/>
      <c r="BW90" s="130"/>
      <c r="BX90" s="130"/>
      <c r="BY90" s="130"/>
      <c r="BZ90" s="130"/>
      <c r="CA90" s="130"/>
      <c r="CB90" s="130"/>
      <c r="CC90" s="130"/>
      <c r="CD90" s="130"/>
      <c r="CE90" s="130"/>
      <c r="CF90" s="130"/>
      <c r="CG90" s="130"/>
      <c r="CH90" s="130"/>
      <c r="CI90" s="130"/>
      <c r="CJ90" s="130"/>
      <c r="CK90" s="130"/>
      <c r="CL90" s="122"/>
      <c r="CM90" s="130"/>
      <c r="CN90" s="130"/>
      <c r="CO90" s="130"/>
      <c r="CP90" s="130"/>
      <c r="CQ90" s="154"/>
      <c r="CR90" s="154"/>
      <c r="CS90" s="154"/>
      <c r="CT90" s="154"/>
      <c r="CU90" s="154"/>
      <c r="CV90" s="154"/>
      <c r="CW90" s="154"/>
      <c r="CX90" s="154"/>
      <c r="CY90" s="154"/>
      <c r="CZ90" s="154"/>
      <c r="DA90" s="154"/>
      <c r="DB90" s="154"/>
      <c r="DC90" s="154"/>
      <c r="DD90" s="154"/>
      <c r="DE90" s="154"/>
      <c r="DF90" s="154"/>
      <c r="DG90" s="154"/>
      <c r="DH90" s="154"/>
      <c r="DI90" s="154"/>
    </row>
    <row r="91" spans="1:113" s="101" customFormat="1" x14ac:dyDescent="0.3">
      <c r="A91" s="160"/>
      <c r="B91" s="399"/>
      <c r="C91" s="262"/>
      <c r="D91" s="160"/>
      <c r="E91" s="262"/>
      <c r="F91" s="262"/>
      <c r="G91" s="156">
        <v>3</v>
      </c>
      <c r="H91" s="186">
        <f t="shared" si="92"/>
        <v>45185.75</v>
      </c>
      <c r="I91" s="457">
        <f t="shared" si="93"/>
        <v>101</v>
      </c>
      <c r="J91" s="459">
        <f t="shared" si="94"/>
        <v>101</v>
      </c>
      <c r="K91" s="460">
        <f t="shared" si="95"/>
        <v>101</v>
      </c>
      <c r="L91" s="457">
        <f t="shared" si="96"/>
        <v>94</v>
      </c>
      <c r="M91" s="471">
        <f t="shared" si="97"/>
        <v>110</v>
      </c>
      <c r="N91" s="457">
        <v>248</v>
      </c>
      <c r="O91" s="471">
        <v>199</v>
      </c>
      <c r="P91" s="197"/>
      <c r="Q91" s="122"/>
      <c r="R91" s="122"/>
      <c r="S91" s="122"/>
      <c r="T91" s="122"/>
      <c r="U91" s="122"/>
      <c r="V91" s="69"/>
      <c r="W91" s="197"/>
      <c r="X91" s="197" t="s">
        <v>128</v>
      </c>
      <c r="Y91" s="197"/>
      <c r="Z91" s="197"/>
      <c r="AA91" s="197"/>
      <c r="AB91" s="198"/>
      <c r="AC91" s="197"/>
      <c r="AD91" s="97"/>
      <c r="AE91" s="95"/>
      <c r="AF91" s="105"/>
      <c r="AG91" s="95"/>
      <c r="AH91" s="400" t="s">
        <v>128</v>
      </c>
      <c r="AI91" s="401">
        <f>AI62*Vergleich!AS18</f>
        <v>23784.637111335356</v>
      </c>
      <c r="AJ91" s="402"/>
      <c r="AK91" s="403">
        <f>ROUND(Y62*Vergleich!AT18,)</f>
        <v>197</v>
      </c>
      <c r="AL91" s="404"/>
      <c r="AM91" s="401">
        <f>AM62*Vergleich!AS19</f>
        <v>48708.446423885711</v>
      </c>
      <c r="AN91" s="401"/>
      <c r="AO91" s="403">
        <f>ROUND(Y62*Vergleich!AT19,)</f>
        <v>389</v>
      </c>
      <c r="AP91" s="71"/>
      <c r="AQ91" s="359"/>
      <c r="AR91" s="197">
        <v>3</v>
      </c>
      <c r="AS91" s="197"/>
      <c r="AT91" s="197"/>
      <c r="AU91" s="197"/>
      <c r="AV91" s="197"/>
      <c r="AW91" s="132">
        <f t="shared" ref="AW91:AW109" si="98">AW62/SUM(AW$62:AW$80)</f>
        <v>6.9514406608905913E-2</v>
      </c>
      <c r="AX91" s="132">
        <f t="shared" ref="AX91:AX109" si="99">AX90+AW91</f>
        <v>6.9514406608905913E-2</v>
      </c>
      <c r="AY91" s="132">
        <f t="shared" ref="AY91:AY109" si="100">AY62/SUM(AY$62:AY$80)</f>
        <v>6.6666666666666666E-2</v>
      </c>
      <c r="AZ91" s="132">
        <f t="shared" ref="AZ91:AZ109" si="101">AZ90+AY91</f>
        <v>6.6666666666666666E-2</v>
      </c>
      <c r="BA91" s="197"/>
      <c r="BB91" s="197"/>
      <c r="BC91" s="405"/>
      <c r="BD91" s="132">
        <f t="shared" ref="BD91:BD109" si="102">BD62/SUM(BD$62:BD$80)</f>
        <v>6.9776714513556617E-2</v>
      </c>
      <c r="BE91" s="132">
        <f t="shared" ref="BE91:BE109" si="103">BE90+BD91</f>
        <v>6.9776714513556617E-2</v>
      </c>
      <c r="BF91" s="405"/>
      <c r="BG91" s="132">
        <f t="shared" ref="BG91:BG109" si="104">BG62/SUM(BG$62:BG$80)</f>
        <v>5.7082452431289635E-2</v>
      </c>
      <c r="BH91" s="132">
        <f t="shared" ref="BH91:BH109" si="105">BH90+BG91</f>
        <v>5.7082452431289635E-2</v>
      </c>
      <c r="BI91" s="197"/>
      <c r="BJ91" s="197"/>
      <c r="BK91" s="405"/>
      <c r="BL91" s="132">
        <f t="shared" ref="BL91:BL109" si="106">BL62/SUM(BL$62:BL$80)</f>
        <v>6.4248842640009823E-2</v>
      </c>
      <c r="BM91" s="132">
        <f t="shared" ref="BM91:BM109" si="107">BM90+BL91</f>
        <v>6.4248842640009823E-2</v>
      </c>
      <c r="BN91" s="405"/>
      <c r="BO91" s="132">
        <f t="shared" ref="BO91:BO109" si="108">BO62/SUM(BO$62:BO$80)</f>
        <v>6.0702875399361027E-2</v>
      </c>
      <c r="BP91" s="132">
        <f t="shared" ref="BP91:BP109" si="109">BP90+BO91</f>
        <v>6.0702875399361027E-2</v>
      </c>
      <c r="BQ91" s="197"/>
      <c r="BR91" s="197"/>
      <c r="BS91" s="197"/>
      <c r="BT91" s="132">
        <f t="shared" ref="BT91:BT109" si="110">BT62/SUM(BT$62:BT$80)</f>
        <v>6.8027319567040792E-2</v>
      </c>
      <c r="BU91" s="132">
        <f t="shared" ref="BU91:BU109" si="111">BU90+BT91</f>
        <v>6.8027319567040792E-2</v>
      </c>
      <c r="BV91" s="197"/>
      <c r="BW91" s="132">
        <f t="shared" ref="BW91:BW109" si="112">BW62/SUM(BW$62:BW$80)</f>
        <v>7.1999999999999995E-2</v>
      </c>
      <c r="BX91" s="132">
        <f t="shared" ref="BX91:BX109" si="113">BX90+BW91</f>
        <v>7.1999999999999995E-2</v>
      </c>
      <c r="BY91" s="132">
        <f t="shared" ref="BY91:BY109" si="114">BY62/SUM(BY$62:BY$80)</f>
        <v>4.7946356290763555E-2</v>
      </c>
      <c r="BZ91" s="132">
        <f t="shared" ref="BZ91:CK106" si="115">BZ90+BY91</f>
        <v>4.7946356290763555E-2</v>
      </c>
      <c r="CA91" s="132">
        <f t="shared" ref="CA91:CA109" si="116">CA62/SUM(CA$62:CA$80)</f>
        <v>4.8433048433048437E-2</v>
      </c>
      <c r="CB91" s="132">
        <f t="shared" si="115"/>
        <v>4.8433048433048437E-2</v>
      </c>
      <c r="CC91" s="132">
        <f t="shared" ref="CC91:CC109" si="117">CC62/SUM(CC$62:CC$80)</f>
        <v>3.2398800228055823E-2</v>
      </c>
      <c r="CD91" s="132">
        <f t="shared" si="115"/>
        <v>3.2398800228055823E-2</v>
      </c>
      <c r="CE91" s="132">
        <f t="shared" ref="CE91:CE109" si="118">CE62/SUM(CE$62:CE$80)</f>
        <v>3.5629453681710214E-2</v>
      </c>
      <c r="CF91" s="132">
        <f t="shared" ref="CF91:CF94" si="119">CF90+CE91</f>
        <v>3.5629453681710214E-2</v>
      </c>
      <c r="CG91" s="132"/>
      <c r="CH91" s="132">
        <f t="shared" ref="CH91:CH109" si="120">CH62/SUM(CH$62:CH$80)</f>
        <v>3.6184400796569136E-2</v>
      </c>
      <c r="CI91" s="132">
        <f t="shared" ref="CI91:CI94" si="121">CI90+CH91</f>
        <v>3.6184400796569136E-2</v>
      </c>
      <c r="CJ91" s="132">
        <f t="shared" ref="CJ91:CJ109" si="122">CJ62/SUM(CJ$62:CJ$80)</f>
        <v>3.272727272727273E-2</v>
      </c>
      <c r="CK91" s="132">
        <f t="shared" ref="CK91:CK94" si="123">CK90+CJ91</f>
        <v>3.272727272727273E-2</v>
      </c>
      <c r="CL91" s="197"/>
      <c r="CM91" s="132">
        <f t="shared" ref="CM91:CM109" si="124">CM62/SUM(CM$62:CM$80)</f>
        <v>4.6444790592571471E-2</v>
      </c>
      <c r="CN91" s="132">
        <f t="shared" ref="CN91:CN109" si="125">CN90+CM91</f>
        <v>4.6444790592571471E-2</v>
      </c>
      <c r="CO91" s="132">
        <f t="shared" ref="CO91:CO109" si="126">CO62/SUM(CO$62:CO$80)</f>
        <v>4.905660377358486E-2</v>
      </c>
      <c r="CP91" s="132">
        <f t="shared" ref="CP91:CP109" si="127">CP90+CO91</f>
        <v>4.905660377358486E-2</v>
      </c>
      <c r="CQ91" s="160"/>
      <c r="CR91" s="160"/>
      <c r="CS91" s="160"/>
      <c r="CT91" s="160"/>
      <c r="CU91" s="160"/>
      <c r="CV91" s="160"/>
      <c r="CW91" s="160"/>
      <c r="CX91" s="160"/>
      <c r="CY91" s="160"/>
      <c r="CZ91" s="160"/>
      <c r="DA91" s="160"/>
      <c r="DB91" s="160"/>
      <c r="DC91" s="160"/>
      <c r="DD91" s="160"/>
      <c r="DE91" s="160"/>
      <c r="DF91" s="160"/>
      <c r="DG91" s="160"/>
      <c r="DH91" s="160"/>
      <c r="DI91" s="160"/>
    </row>
    <row r="92" spans="1:113" s="101" customFormat="1" x14ac:dyDescent="0.3">
      <c r="A92" s="160"/>
      <c r="B92" s="399"/>
      <c r="C92" s="262"/>
      <c r="D92" s="160"/>
      <c r="E92" s="262"/>
      <c r="F92" s="262"/>
      <c r="G92" s="156">
        <v>4</v>
      </c>
      <c r="H92" s="186">
        <f t="shared" si="92"/>
        <v>45186.75</v>
      </c>
      <c r="I92" s="457">
        <f t="shared" si="93"/>
        <v>110</v>
      </c>
      <c r="J92" s="459">
        <f t="shared" si="94"/>
        <v>110</v>
      </c>
      <c r="K92" s="460">
        <f t="shared" si="95"/>
        <v>110</v>
      </c>
      <c r="L92" s="457">
        <f t="shared" si="96"/>
        <v>98</v>
      </c>
      <c r="M92" s="471">
        <f t="shared" si="97"/>
        <v>123</v>
      </c>
      <c r="N92" s="457">
        <v>264</v>
      </c>
      <c r="O92" s="471">
        <v>218</v>
      </c>
      <c r="P92" s="197"/>
      <c r="Q92" s="122"/>
      <c r="R92" s="122"/>
      <c r="S92" s="122"/>
      <c r="T92" s="122"/>
      <c r="U92" s="122"/>
      <c r="V92" s="69"/>
      <c r="W92" s="197"/>
      <c r="X92" s="197" t="s">
        <v>129</v>
      </c>
      <c r="Y92" s="103">
        <f>ROUND(AVERAGE(AK94,AO94),)</f>
        <v>278</v>
      </c>
      <c r="Z92" s="197"/>
      <c r="AA92" s="197"/>
      <c r="AB92" s="198"/>
      <c r="AC92" s="197"/>
      <c r="AD92" s="97"/>
      <c r="AE92" s="95"/>
      <c r="AF92" s="105"/>
      <c r="AG92" s="95"/>
      <c r="AH92" s="422" t="s">
        <v>138</v>
      </c>
      <c r="AI92" s="95">
        <f>AI63*Vergleich!AS23</f>
        <v>23672.027388935516</v>
      </c>
      <c r="AJ92" s="423"/>
      <c r="AK92" s="424">
        <f>ROUND(Y63*Vergleich!AT23,)</f>
        <v>205</v>
      </c>
      <c r="AL92" s="197"/>
      <c r="AM92" s="95">
        <f>AM63*Vergleich!AS24</f>
        <v>50277.789142963185</v>
      </c>
      <c r="AN92" s="95"/>
      <c r="AO92" s="424">
        <f>ROUND(Y63*Vergleich!AT24,)</f>
        <v>402</v>
      </c>
      <c r="AP92" s="71"/>
      <c r="AQ92" s="359"/>
      <c r="AR92" s="197">
        <v>4</v>
      </c>
      <c r="AS92" s="197"/>
      <c r="AT92" s="197"/>
      <c r="AU92" s="197"/>
      <c r="AV92" s="197"/>
      <c r="AW92" s="132">
        <f t="shared" si="98"/>
        <v>4.3401168647995168E-2</v>
      </c>
      <c r="AX92" s="132">
        <f t="shared" si="99"/>
        <v>0.11291557525690107</v>
      </c>
      <c r="AY92" s="132">
        <f t="shared" si="100"/>
        <v>0.05</v>
      </c>
      <c r="AZ92" s="132">
        <f t="shared" si="101"/>
        <v>0.11666666666666667</v>
      </c>
      <c r="BA92" s="197"/>
      <c r="BB92" s="197"/>
      <c r="BC92" s="405"/>
      <c r="BD92" s="132">
        <f t="shared" si="102"/>
        <v>4.1153158378038762E-2</v>
      </c>
      <c r="BE92" s="132">
        <f t="shared" si="103"/>
        <v>0.11092987289159538</v>
      </c>
      <c r="BF92" s="405"/>
      <c r="BG92" s="132">
        <f t="shared" si="104"/>
        <v>4.0169133192389003E-2</v>
      </c>
      <c r="BH92" s="132">
        <f t="shared" si="105"/>
        <v>9.7251585623678638E-2</v>
      </c>
      <c r="BI92" s="197"/>
      <c r="BJ92" s="197"/>
      <c r="BK92" s="405"/>
      <c r="BL92" s="132">
        <f t="shared" si="106"/>
        <v>2.9657776503202369E-2</v>
      </c>
      <c r="BM92" s="132">
        <f t="shared" si="107"/>
        <v>9.3906619143212189E-2</v>
      </c>
      <c r="BN92" s="405"/>
      <c r="BO92" s="132">
        <f t="shared" si="108"/>
        <v>3.1948881789137379E-2</v>
      </c>
      <c r="BP92" s="132">
        <f t="shared" si="109"/>
        <v>9.2651757188498413E-2</v>
      </c>
      <c r="BQ92" s="197"/>
      <c r="BR92" s="197"/>
      <c r="BS92" s="197"/>
      <c r="BT92" s="132">
        <f t="shared" si="110"/>
        <v>4.0619882573790796E-2</v>
      </c>
      <c r="BU92" s="132">
        <f t="shared" si="111"/>
        <v>0.10864720214083159</v>
      </c>
      <c r="BV92" s="197"/>
      <c r="BW92" s="132">
        <f t="shared" si="112"/>
        <v>4.4571428571428574E-2</v>
      </c>
      <c r="BX92" s="132">
        <f t="shared" si="113"/>
        <v>0.11657142857142858</v>
      </c>
      <c r="BY92" s="132">
        <f t="shared" si="114"/>
        <v>4.0522995616245852E-2</v>
      </c>
      <c r="BZ92" s="132">
        <f t="shared" si="115"/>
        <v>8.8469351907009414E-2</v>
      </c>
      <c r="CA92" s="132">
        <f t="shared" si="116"/>
        <v>4.5584045584045593E-2</v>
      </c>
      <c r="CB92" s="132">
        <f t="shared" si="115"/>
        <v>9.401709401709403E-2</v>
      </c>
      <c r="CC92" s="132">
        <f t="shared" si="117"/>
        <v>3.326640390669542E-2</v>
      </c>
      <c r="CD92" s="132">
        <f t="shared" si="115"/>
        <v>6.5665204134751243E-2</v>
      </c>
      <c r="CE92" s="132">
        <f t="shared" si="118"/>
        <v>3.800475059382423E-2</v>
      </c>
      <c r="CF92" s="132">
        <f t="shared" si="119"/>
        <v>7.3634204275534437E-2</v>
      </c>
      <c r="CG92" s="132"/>
      <c r="CH92" s="132">
        <f t="shared" si="120"/>
        <v>5.0091307976433457E-2</v>
      </c>
      <c r="CI92" s="132">
        <f t="shared" si="121"/>
        <v>8.6275708773002585E-2</v>
      </c>
      <c r="CJ92" s="132">
        <f t="shared" si="122"/>
        <v>4.1818181818181817E-2</v>
      </c>
      <c r="CK92" s="132">
        <f t="shared" si="123"/>
        <v>7.4545454545454554E-2</v>
      </c>
      <c r="CL92" s="197"/>
      <c r="CM92" s="132">
        <f t="shared" si="124"/>
        <v>3.7647265307913361E-2</v>
      </c>
      <c r="CN92" s="132">
        <f t="shared" si="125"/>
        <v>8.4092055900484824E-2</v>
      </c>
      <c r="CO92" s="132">
        <f t="shared" si="126"/>
        <v>3.7735849056603786E-2</v>
      </c>
      <c r="CP92" s="132">
        <f t="shared" si="127"/>
        <v>8.6792452830188646E-2</v>
      </c>
      <c r="CQ92" s="160"/>
      <c r="CR92" s="160"/>
      <c r="CS92" s="160"/>
      <c r="CT92" s="160"/>
      <c r="CU92" s="160"/>
      <c r="CV92" s="160"/>
      <c r="CW92" s="160"/>
      <c r="CX92" s="160"/>
      <c r="CY92" s="160"/>
      <c r="CZ92" s="160"/>
      <c r="DA92" s="160"/>
      <c r="DB92" s="160"/>
      <c r="DC92" s="160"/>
      <c r="DD92" s="160"/>
      <c r="DE92" s="160"/>
      <c r="DF92" s="160"/>
      <c r="DG92" s="160"/>
      <c r="DH92" s="160"/>
      <c r="DI92" s="160"/>
    </row>
    <row r="93" spans="1:113" s="101" customFormat="1" ht="15.75" thickBot="1" x14ac:dyDescent="0.35">
      <c r="A93" s="160"/>
      <c r="B93" s="399"/>
      <c r="C93" s="262"/>
      <c r="D93" s="160"/>
      <c r="E93" s="262"/>
      <c r="F93" s="262"/>
      <c r="G93" s="156">
        <v>5</v>
      </c>
      <c r="H93" s="186">
        <f t="shared" si="92"/>
        <v>45187.75</v>
      </c>
      <c r="I93" s="457">
        <f t="shared" si="93"/>
        <v>116</v>
      </c>
      <c r="J93" s="459">
        <f t="shared" si="94"/>
        <v>116</v>
      </c>
      <c r="K93" s="460">
        <f t="shared" si="95"/>
        <v>116</v>
      </c>
      <c r="L93" s="457">
        <f t="shared" si="96"/>
        <v>101</v>
      </c>
      <c r="M93" s="471">
        <f t="shared" si="97"/>
        <v>132</v>
      </c>
      <c r="N93" s="457">
        <v>280</v>
      </c>
      <c r="O93" s="471">
        <v>235</v>
      </c>
      <c r="P93" s="197"/>
      <c r="Q93" s="122"/>
      <c r="R93" s="122"/>
      <c r="S93" s="122"/>
      <c r="T93" s="122"/>
      <c r="U93" s="122"/>
      <c r="V93" s="69"/>
      <c r="W93" s="197"/>
      <c r="X93" s="197"/>
      <c r="Y93" s="359"/>
      <c r="Z93" s="426"/>
      <c r="AA93" s="427"/>
      <c r="AB93" s="359"/>
      <c r="AC93" s="97"/>
      <c r="AD93" s="97"/>
      <c r="AE93" s="95"/>
      <c r="AF93" s="105"/>
      <c r="AG93" s="95"/>
      <c r="AH93" s="428" t="s">
        <v>139</v>
      </c>
      <c r="AI93" s="429">
        <f>AI64*Vergleich!AS28</f>
        <v>23668.345916486924</v>
      </c>
      <c r="AJ93" s="430"/>
      <c r="AK93" s="431">
        <f>ROUND(Y64*Vergleich!AT28,)</f>
        <v>210</v>
      </c>
      <c r="AL93" s="432"/>
      <c r="AM93" s="429">
        <f>AM64*Vergleich!AS29</f>
        <v>48073.308320677519</v>
      </c>
      <c r="AN93" s="429"/>
      <c r="AO93" s="431">
        <f>ROUND(Y64*Vergleich!AT29,)</f>
        <v>363</v>
      </c>
      <c r="AP93" s="71"/>
      <c r="AQ93" s="359"/>
      <c r="AR93" s="197">
        <v>5</v>
      </c>
      <c r="AS93" s="197"/>
      <c r="AT93" s="197"/>
      <c r="AU93" s="197"/>
      <c r="AV93" s="197"/>
      <c r="AW93" s="132">
        <f t="shared" si="98"/>
        <v>3.1432601249244414E-2</v>
      </c>
      <c r="AX93" s="132">
        <f t="shared" si="99"/>
        <v>0.14434817650614548</v>
      </c>
      <c r="AY93" s="132">
        <f t="shared" si="100"/>
        <v>3.3333333333333333E-2</v>
      </c>
      <c r="AZ93" s="132">
        <f t="shared" si="101"/>
        <v>0.15</v>
      </c>
      <c r="BA93" s="197"/>
      <c r="BB93" s="197"/>
      <c r="BC93" s="405"/>
      <c r="BD93" s="132">
        <f t="shared" si="102"/>
        <v>3.3359914938862312E-2</v>
      </c>
      <c r="BE93" s="132">
        <f t="shared" si="103"/>
        <v>0.14428978783045771</v>
      </c>
      <c r="BF93" s="405"/>
      <c r="BG93" s="132">
        <f t="shared" si="104"/>
        <v>3.5940803382663845E-2</v>
      </c>
      <c r="BH93" s="132">
        <f t="shared" si="105"/>
        <v>0.13319238900634248</v>
      </c>
      <c r="BI93" s="197"/>
      <c r="BJ93" s="197"/>
      <c r="BK93" s="405"/>
      <c r="BL93" s="132">
        <f t="shared" si="106"/>
        <v>2.7885889084627257E-2</v>
      </c>
      <c r="BM93" s="132">
        <f t="shared" si="107"/>
        <v>0.12179250822783945</v>
      </c>
      <c r="BN93" s="405"/>
      <c r="BO93" s="132">
        <f t="shared" si="108"/>
        <v>3.5143769968051117E-2</v>
      </c>
      <c r="BP93" s="132">
        <f t="shared" si="109"/>
        <v>0.12779552715654952</v>
      </c>
      <c r="BQ93" s="197"/>
      <c r="BR93" s="197"/>
      <c r="BS93" s="197"/>
      <c r="BT93" s="132">
        <f t="shared" si="110"/>
        <v>2.9316611415105651E-2</v>
      </c>
      <c r="BU93" s="132">
        <f t="shared" si="111"/>
        <v>0.13796381355593723</v>
      </c>
      <c r="BV93" s="197"/>
      <c r="BW93" s="132">
        <f t="shared" si="112"/>
        <v>3.0857142857142861E-2</v>
      </c>
      <c r="BX93" s="132">
        <f t="shared" si="113"/>
        <v>0.14742857142857144</v>
      </c>
      <c r="BY93" s="132">
        <f t="shared" si="114"/>
        <v>3.508530755013823E-2</v>
      </c>
      <c r="BZ93" s="132">
        <f t="shared" si="115"/>
        <v>0.12355465945714764</v>
      </c>
      <c r="CA93" s="132">
        <f t="shared" si="116"/>
        <v>3.7037037037037042E-2</v>
      </c>
      <c r="CB93" s="132">
        <f t="shared" si="115"/>
        <v>0.13105413105413108</v>
      </c>
      <c r="CC93" s="132">
        <f t="shared" si="117"/>
        <v>3.4778513175181582E-2</v>
      </c>
      <c r="CD93" s="132">
        <f t="shared" si="115"/>
        <v>0.10044371730993282</v>
      </c>
      <c r="CE93" s="132">
        <f t="shared" si="118"/>
        <v>3.800475059382423E-2</v>
      </c>
      <c r="CF93" s="132">
        <f t="shared" si="119"/>
        <v>0.11163895486935867</v>
      </c>
      <c r="CG93" s="132"/>
      <c r="CH93" s="132">
        <f t="shared" si="120"/>
        <v>2.6045496988076254E-2</v>
      </c>
      <c r="CI93" s="132">
        <f t="shared" si="121"/>
        <v>0.11232120576107885</v>
      </c>
      <c r="CJ93" s="132">
        <f t="shared" si="122"/>
        <v>3.090909090909091E-2</v>
      </c>
      <c r="CK93" s="132">
        <f t="shared" si="123"/>
        <v>0.10545454545454547</v>
      </c>
      <c r="CL93" s="197"/>
      <c r="CM93" s="132">
        <f t="shared" si="124"/>
        <v>2.827932691252933E-2</v>
      </c>
      <c r="CN93" s="132">
        <f t="shared" si="125"/>
        <v>0.11237138281301415</v>
      </c>
      <c r="CO93" s="132">
        <f t="shared" si="126"/>
        <v>2.2641509433962297E-2</v>
      </c>
      <c r="CP93" s="132">
        <f t="shared" si="127"/>
        <v>0.10943396226415095</v>
      </c>
      <c r="CQ93" s="160"/>
      <c r="CR93" s="160"/>
      <c r="CS93" s="160"/>
      <c r="CT93" s="160"/>
      <c r="CU93" s="160"/>
      <c r="CV93" s="160"/>
      <c r="CW93" s="160"/>
      <c r="CX93" s="160"/>
      <c r="CY93" s="160"/>
      <c r="CZ93" s="160"/>
      <c r="DA93" s="160"/>
      <c r="DB93" s="160"/>
      <c r="DC93" s="160"/>
      <c r="DD93" s="160"/>
      <c r="DE93" s="160"/>
      <c r="DF93" s="160"/>
      <c r="DG93" s="160"/>
      <c r="DH93" s="160"/>
      <c r="DI93" s="160"/>
    </row>
    <row r="94" spans="1:113" s="101" customFormat="1" x14ac:dyDescent="0.3">
      <c r="A94" s="160"/>
      <c r="B94" s="399"/>
      <c r="C94" s="262"/>
      <c r="D94" s="160"/>
      <c r="E94" s="262"/>
      <c r="F94" s="262"/>
      <c r="G94" s="156">
        <v>6</v>
      </c>
      <c r="H94" s="186">
        <f t="shared" si="92"/>
        <v>45188.75</v>
      </c>
      <c r="I94" s="457">
        <f t="shared" si="93"/>
        <v>123</v>
      </c>
      <c r="J94" s="459">
        <f t="shared" si="94"/>
        <v>123</v>
      </c>
      <c r="K94" s="460">
        <f t="shared" si="95"/>
        <v>123</v>
      </c>
      <c r="L94" s="457">
        <f t="shared" si="96"/>
        <v>102</v>
      </c>
      <c r="M94" s="471">
        <f t="shared" si="97"/>
        <v>144</v>
      </c>
      <c r="N94" s="457">
        <v>294</v>
      </c>
      <c r="O94" s="471">
        <v>241</v>
      </c>
      <c r="P94" s="197"/>
      <c r="Q94" s="122"/>
      <c r="R94" s="122"/>
      <c r="S94" s="122"/>
      <c r="T94" s="122"/>
      <c r="U94" s="122"/>
      <c r="V94" s="69"/>
      <c r="W94" s="197"/>
      <c r="X94" s="197"/>
      <c r="Y94" s="359"/>
      <c r="Z94" s="426"/>
      <c r="AA94" s="427"/>
      <c r="AB94" s="359"/>
      <c r="AC94" s="97"/>
      <c r="AD94" s="97"/>
      <c r="AE94" s="95"/>
      <c r="AF94" s="105"/>
      <c r="AG94" s="95"/>
      <c r="AH94" s="433" t="s">
        <v>334</v>
      </c>
      <c r="AI94" s="427">
        <f>MIN(AI89:AI90)</f>
        <v>22265.186259541984</v>
      </c>
      <c r="AJ94" s="423"/>
      <c r="AK94" s="426">
        <f>MIN(AK89:AK90)</f>
        <v>178</v>
      </c>
      <c r="AL94" s="197"/>
      <c r="AM94" s="427">
        <f>MAX(AM89:AM90)</f>
        <v>46348.585364587656</v>
      </c>
      <c r="AN94" s="95"/>
      <c r="AO94" s="426">
        <f>MAX(AO89:AO90)</f>
        <v>377</v>
      </c>
      <c r="AP94" s="71"/>
      <c r="AQ94" s="359"/>
      <c r="AR94" s="197">
        <v>6</v>
      </c>
      <c r="AS94" s="197"/>
      <c r="AT94" s="197"/>
      <c r="AU94" s="197"/>
      <c r="AV94" s="197"/>
      <c r="AW94" s="132">
        <f t="shared" si="98"/>
        <v>4.9244408623816245E-2</v>
      </c>
      <c r="AX94" s="132">
        <f t="shared" si="99"/>
        <v>0.19359258512996172</v>
      </c>
      <c r="AY94" s="132">
        <f t="shared" si="100"/>
        <v>3.8888888888888896E-2</v>
      </c>
      <c r="AZ94" s="132">
        <f t="shared" si="101"/>
        <v>0.18888888888888888</v>
      </c>
      <c r="BA94" s="197"/>
      <c r="BB94" s="197"/>
      <c r="BC94" s="405"/>
      <c r="BD94" s="132">
        <f t="shared" si="102"/>
        <v>1.449905756125852E-2</v>
      </c>
      <c r="BE94" s="132">
        <f t="shared" si="103"/>
        <v>0.15878884539171623</v>
      </c>
      <c r="BF94" s="405"/>
      <c r="BG94" s="132">
        <f t="shared" si="104"/>
        <v>1.2684989429175475E-2</v>
      </c>
      <c r="BH94" s="132">
        <f t="shared" si="105"/>
        <v>0.14587737843551796</v>
      </c>
      <c r="BI94" s="197"/>
      <c r="BJ94" s="197"/>
      <c r="BK94" s="405"/>
      <c r="BL94" s="132">
        <f t="shared" si="106"/>
        <v>6.4713152252584435E-2</v>
      </c>
      <c r="BM94" s="132">
        <f t="shared" si="107"/>
        <v>0.18650566048042388</v>
      </c>
      <c r="BN94" s="405"/>
      <c r="BO94" s="132">
        <f t="shared" si="108"/>
        <v>7.0287539936102233E-2</v>
      </c>
      <c r="BP94" s="132">
        <f t="shared" si="109"/>
        <v>0.19808306709265175</v>
      </c>
      <c r="BQ94" s="197"/>
      <c r="BR94" s="197"/>
      <c r="BS94" s="197"/>
      <c r="BT94" s="132">
        <f t="shared" si="110"/>
        <v>3.4500938610855937E-2</v>
      </c>
      <c r="BU94" s="132">
        <f t="shared" si="111"/>
        <v>0.17246475216679316</v>
      </c>
      <c r="BV94" s="197"/>
      <c r="BW94" s="132">
        <f t="shared" si="112"/>
        <v>0.04</v>
      </c>
      <c r="BX94" s="132">
        <f t="shared" si="113"/>
        <v>0.18742857142857144</v>
      </c>
      <c r="BY94" s="132">
        <f t="shared" si="114"/>
        <v>7.4233606745177094E-2</v>
      </c>
      <c r="BZ94" s="132">
        <f t="shared" si="115"/>
        <v>0.19778826620232473</v>
      </c>
      <c r="CA94" s="132">
        <f t="shared" si="116"/>
        <v>8.2621082621082628E-2</v>
      </c>
      <c r="CB94" s="132">
        <f t="shared" si="115"/>
        <v>0.21367521367521369</v>
      </c>
      <c r="CC94" s="132">
        <f t="shared" si="117"/>
        <v>3.8001041124414367E-2</v>
      </c>
      <c r="CD94" s="132">
        <f t="shared" si="115"/>
        <v>0.13844475843434717</v>
      </c>
      <c r="CE94" s="132">
        <f t="shared" si="118"/>
        <v>3.3254156769596199E-2</v>
      </c>
      <c r="CF94" s="132">
        <f t="shared" si="119"/>
        <v>0.14489311163895485</v>
      </c>
      <c r="CG94" s="132"/>
      <c r="CH94" s="132">
        <f t="shared" si="120"/>
        <v>1.679901503069766E-2</v>
      </c>
      <c r="CI94" s="132">
        <f t="shared" si="121"/>
        <v>0.12912022079177651</v>
      </c>
      <c r="CJ94" s="132">
        <f t="shared" si="122"/>
        <v>1.8181818181818181E-2</v>
      </c>
      <c r="CK94" s="132">
        <f t="shared" si="123"/>
        <v>0.12363636363636366</v>
      </c>
      <c r="CL94" s="197"/>
      <c r="CM94" s="132">
        <f t="shared" si="124"/>
        <v>1.5028191571049359E-2</v>
      </c>
      <c r="CN94" s="132">
        <f t="shared" si="125"/>
        <v>0.12739957438406352</v>
      </c>
      <c r="CO94" s="132">
        <f t="shared" si="126"/>
        <v>1.5094339622641484E-2</v>
      </c>
      <c r="CP94" s="132">
        <f t="shared" si="127"/>
        <v>0.12452830188679243</v>
      </c>
      <c r="CQ94" s="160"/>
      <c r="CR94" s="160"/>
      <c r="CS94" s="160"/>
      <c r="CT94" s="160"/>
      <c r="CU94" s="160"/>
      <c r="CV94" s="160"/>
      <c r="CW94" s="160"/>
      <c r="CX94" s="160"/>
      <c r="CY94" s="160"/>
      <c r="CZ94" s="160"/>
      <c r="DA94" s="160"/>
      <c r="DB94" s="160"/>
      <c r="DC94" s="160"/>
      <c r="DD94" s="160"/>
      <c r="DE94" s="160"/>
      <c r="DF94" s="160"/>
      <c r="DG94" s="160"/>
      <c r="DH94" s="160"/>
      <c r="DI94" s="160"/>
    </row>
    <row r="95" spans="1:113" s="101" customFormat="1" x14ac:dyDescent="0.3">
      <c r="A95" s="160"/>
      <c r="B95" s="399"/>
      <c r="C95" s="262"/>
      <c r="D95" s="160"/>
      <c r="E95" s="262"/>
      <c r="F95" s="262"/>
      <c r="G95" s="156">
        <v>7</v>
      </c>
      <c r="H95" s="186">
        <f t="shared" si="92"/>
        <v>45189.75</v>
      </c>
      <c r="I95" s="457">
        <f t="shared" si="93"/>
        <v>127</v>
      </c>
      <c r="J95" s="459">
        <f t="shared" si="94"/>
        <v>127</v>
      </c>
      <c r="K95" s="460">
        <f t="shared" si="95"/>
        <v>127</v>
      </c>
      <c r="L95" s="457">
        <f t="shared" si="96"/>
        <v>106</v>
      </c>
      <c r="M95" s="471">
        <f t="shared" si="97"/>
        <v>174</v>
      </c>
      <c r="N95" s="457">
        <v>308</v>
      </c>
      <c r="O95" s="471">
        <v>262</v>
      </c>
      <c r="P95" s="197"/>
      <c r="Q95" s="122"/>
      <c r="R95" s="122"/>
      <c r="S95" s="122"/>
      <c r="T95" s="122"/>
      <c r="U95" s="122"/>
      <c r="V95" s="69"/>
      <c r="W95" s="197"/>
      <c r="X95" s="197"/>
      <c r="Y95" s="359"/>
      <c r="Z95" s="426"/>
      <c r="AA95" s="427"/>
      <c r="AB95" s="359"/>
      <c r="AC95" s="97"/>
      <c r="AD95" s="97"/>
      <c r="AE95" s="95"/>
      <c r="AF95" s="105"/>
      <c r="AG95" s="95"/>
      <c r="AH95" s="105"/>
      <c r="AI95" s="95">
        <f>AI94/AK94</f>
        <v>125.08531606484262</v>
      </c>
      <c r="AJ95" s="423"/>
      <c r="AK95" s="424"/>
      <c r="AL95" s="197"/>
      <c r="AM95" s="95">
        <f>AM94/AO94</f>
        <v>122.94054473365426</v>
      </c>
      <c r="AN95" s="95"/>
      <c r="AO95" s="424"/>
      <c r="AP95" s="71"/>
      <c r="AQ95" s="359"/>
      <c r="AR95" s="197">
        <v>7</v>
      </c>
      <c r="AS95" s="197"/>
      <c r="AT95" s="197"/>
      <c r="AU95" s="197"/>
      <c r="AV95" s="197"/>
      <c r="AW95" s="132">
        <f t="shared" si="98"/>
        <v>1.9746121297602257E-2</v>
      </c>
      <c r="AX95" s="132">
        <f t="shared" si="99"/>
        <v>0.21333870642756397</v>
      </c>
      <c r="AY95" s="132">
        <f t="shared" si="100"/>
        <v>2.2222222222222223E-2</v>
      </c>
      <c r="AZ95" s="132">
        <f t="shared" si="101"/>
        <v>0.21111111111111111</v>
      </c>
      <c r="BA95" s="197"/>
      <c r="BB95" s="197"/>
      <c r="BC95" s="405"/>
      <c r="BD95" s="132">
        <f t="shared" si="102"/>
        <v>5.3900246483978544E-2</v>
      </c>
      <c r="BE95" s="132">
        <f t="shared" si="103"/>
        <v>0.21268909187569476</v>
      </c>
      <c r="BF95" s="405"/>
      <c r="BG95" s="132">
        <f t="shared" si="104"/>
        <v>4.4397463002114161E-2</v>
      </c>
      <c r="BH95" s="132">
        <f t="shared" si="105"/>
        <v>0.19027484143763213</v>
      </c>
      <c r="BI95" s="197"/>
      <c r="BJ95" s="197"/>
      <c r="BK95" s="405"/>
      <c r="BL95" s="132">
        <f t="shared" si="106"/>
        <v>4.6205634533710245E-2</v>
      </c>
      <c r="BM95" s="132">
        <f t="shared" si="107"/>
        <v>0.23271129501413412</v>
      </c>
      <c r="BN95" s="405"/>
      <c r="BO95" s="132">
        <f t="shared" si="108"/>
        <v>4.5527156549520768E-2</v>
      </c>
      <c r="BP95" s="132">
        <f t="shared" si="109"/>
        <v>0.24361022364217252</v>
      </c>
      <c r="BQ95" s="197"/>
      <c r="BR95" s="197"/>
      <c r="BS95" s="197"/>
      <c r="BT95" s="132">
        <f t="shared" si="110"/>
        <v>9.3493629428445912E-2</v>
      </c>
      <c r="BU95" s="132">
        <f t="shared" si="111"/>
        <v>0.2659583815952391</v>
      </c>
      <c r="BV95" s="197"/>
      <c r="BW95" s="132">
        <f t="shared" si="112"/>
        <v>0.104</v>
      </c>
      <c r="BX95" s="132">
        <f t="shared" si="113"/>
        <v>0.29142857142857143</v>
      </c>
      <c r="BY95" s="132">
        <f t="shared" si="114"/>
        <v>4.1882417632772756E-2</v>
      </c>
      <c r="BZ95" s="132">
        <f t="shared" si="115"/>
        <v>0.23967068383509749</v>
      </c>
      <c r="CA95" s="132">
        <f t="shared" si="116"/>
        <v>4.5584045584045593E-2</v>
      </c>
      <c r="CB95" s="132">
        <f t="shared" si="115"/>
        <v>0.2592592592592593</v>
      </c>
      <c r="CC95" s="132">
        <f t="shared" si="117"/>
        <v>2.6672615949034483E-2</v>
      </c>
      <c r="CD95" s="132">
        <f t="shared" si="115"/>
        <v>0.16511737438338164</v>
      </c>
      <c r="CE95" s="132">
        <f t="shared" si="118"/>
        <v>3.3254156769596199E-2</v>
      </c>
      <c r="CF95" s="132">
        <f t="shared" si="115"/>
        <v>0.17814726840855105</v>
      </c>
      <c r="CG95" s="132"/>
      <c r="CH95" s="132">
        <f t="shared" si="120"/>
        <v>3.6977664664226279E-2</v>
      </c>
      <c r="CI95" s="132">
        <f t="shared" si="115"/>
        <v>0.16609788545600279</v>
      </c>
      <c r="CJ95" s="132">
        <f t="shared" si="122"/>
        <v>3.8181818181818185E-2</v>
      </c>
      <c r="CK95" s="132">
        <f t="shared" si="115"/>
        <v>0.16181818181818183</v>
      </c>
      <c r="CL95" s="197"/>
      <c r="CM95" s="132">
        <f t="shared" si="124"/>
        <v>3.5299795967618043E-2</v>
      </c>
      <c r="CN95" s="132">
        <f t="shared" si="125"/>
        <v>0.16269937035168155</v>
      </c>
      <c r="CO95" s="132">
        <f t="shared" si="126"/>
        <v>3.396226415094341E-2</v>
      </c>
      <c r="CP95" s="132">
        <f t="shared" si="127"/>
        <v>0.15849056603773584</v>
      </c>
      <c r="CQ95" s="160"/>
      <c r="CR95" s="160"/>
      <c r="CS95" s="160"/>
      <c r="CT95" s="160"/>
      <c r="CU95" s="160"/>
      <c r="CV95" s="160"/>
      <c r="CW95" s="160"/>
      <c r="CX95" s="160"/>
      <c r="CY95" s="160"/>
      <c r="CZ95" s="160"/>
      <c r="DA95" s="160"/>
      <c r="DB95" s="160"/>
      <c r="DC95" s="160"/>
      <c r="DD95" s="160"/>
      <c r="DE95" s="160"/>
      <c r="DF95" s="160"/>
      <c r="DG95" s="160"/>
      <c r="DH95" s="160"/>
      <c r="DI95" s="160"/>
    </row>
    <row r="96" spans="1:113" s="101" customFormat="1" x14ac:dyDescent="0.3">
      <c r="A96" s="160"/>
      <c r="B96" s="399"/>
      <c r="C96" s="262"/>
      <c r="D96" s="160"/>
      <c r="E96" s="262"/>
      <c r="F96" s="262"/>
      <c r="G96" s="156">
        <v>8</v>
      </c>
      <c r="H96" s="186">
        <f t="shared" si="92"/>
        <v>45190.75</v>
      </c>
      <c r="I96" s="457">
        <f t="shared" si="93"/>
        <v>134</v>
      </c>
      <c r="J96" s="459">
        <f t="shared" si="94"/>
        <v>134</v>
      </c>
      <c r="K96" s="460">
        <f t="shared" si="95"/>
        <v>134</v>
      </c>
      <c r="L96" s="457">
        <f t="shared" si="96"/>
        <v>111</v>
      </c>
      <c r="M96" s="471">
        <f t="shared" si="97"/>
        <v>187</v>
      </c>
      <c r="N96" s="457">
        <v>325</v>
      </c>
      <c r="O96" s="471">
        <v>287</v>
      </c>
      <c r="P96" s="197"/>
      <c r="Q96" s="197"/>
      <c r="R96" s="197"/>
      <c r="S96" s="197"/>
      <c r="T96" s="197"/>
      <c r="U96" s="197"/>
      <c r="V96" s="69"/>
      <c r="W96" s="197"/>
      <c r="X96" s="197"/>
      <c r="Y96" s="359"/>
      <c r="Z96" s="426"/>
      <c r="AA96" s="427"/>
      <c r="AB96" s="359"/>
      <c r="AC96" s="97"/>
      <c r="AD96" s="97"/>
      <c r="AE96" s="95"/>
      <c r="AF96" s="105"/>
      <c r="AG96" s="95"/>
      <c r="AH96" s="105"/>
      <c r="AI96" s="359"/>
      <c r="AJ96" s="71"/>
      <c r="AK96" s="444"/>
      <c r="AL96" s="71"/>
      <c r="AM96" s="359"/>
      <c r="AN96" s="198"/>
      <c r="AO96" s="444"/>
      <c r="AP96" s="71"/>
      <c r="AQ96" s="359"/>
      <c r="AR96" s="197">
        <v>8</v>
      </c>
      <c r="AS96" s="197"/>
      <c r="AT96" s="197"/>
      <c r="AU96" s="197"/>
      <c r="AV96" s="197"/>
      <c r="AW96" s="132">
        <f t="shared" si="98"/>
        <v>3.8081805359661498E-2</v>
      </c>
      <c r="AX96" s="132">
        <f t="shared" si="99"/>
        <v>0.25142051178722546</v>
      </c>
      <c r="AY96" s="132">
        <f t="shared" si="100"/>
        <v>3.8888888888888896E-2</v>
      </c>
      <c r="AZ96" s="132">
        <f t="shared" si="101"/>
        <v>0.25</v>
      </c>
      <c r="BA96" s="197"/>
      <c r="BB96" s="197"/>
      <c r="BC96" s="405"/>
      <c r="BD96" s="132">
        <f t="shared" si="102"/>
        <v>5.3924411579913983E-2</v>
      </c>
      <c r="BE96" s="132">
        <f t="shared" si="103"/>
        <v>0.26661350345560875</v>
      </c>
      <c r="BF96" s="405"/>
      <c r="BG96" s="132">
        <f t="shared" si="104"/>
        <v>5.2854122621564477E-2</v>
      </c>
      <c r="BH96" s="132">
        <f t="shared" si="105"/>
        <v>0.2431289640591966</v>
      </c>
      <c r="BI96" s="197"/>
      <c r="BJ96" s="197"/>
      <c r="BK96" s="405"/>
      <c r="BL96" s="132">
        <f t="shared" si="106"/>
        <v>6.2705695986453092E-2</v>
      </c>
      <c r="BM96" s="132">
        <f t="shared" si="107"/>
        <v>0.29541699100058721</v>
      </c>
      <c r="BN96" s="405"/>
      <c r="BO96" s="132">
        <f t="shared" si="108"/>
        <v>6.6293929712460065E-2</v>
      </c>
      <c r="BP96" s="132">
        <f t="shared" si="109"/>
        <v>0.30990415335463262</v>
      </c>
      <c r="BQ96" s="197"/>
      <c r="BR96" s="197"/>
      <c r="BS96" s="197"/>
      <c r="BT96" s="132">
        <f t="shared" si="110"/>
        <v>5.4774933099013469E-2</v>
      </c>
      <c r="BU96" s="132">
        <f t="shared" si="111"/>
        <v>0.32073331469425259</v>
      </c>
      <c r="BV96" s="197"/>
      <c r="BW96" s="132">
        <f t="shared" si="112"/>
        <v>4.5714285714285714E-2</v>
      </c>
      <c r="BX96" s="132">
        <f t="shared" si="113"/>
        <v>0.33714285714285713</v>
      </c>
      <c r="BY96" s="132">
        <f t="shared" si="114"/>
        <v>5.4117215781514905E-2</v>
      </c>
      <c r="BZ96" s="132">
        <f t="shared" si="115"/>
        <v>0.29378789961661239</v>
      </c>
      <c r="CA96" s="132">
        <f t="shared" si="116"/>
        <v>4.8433048433048437E-2</v>
      </c>
      <c r="CB96" s="132">
        <f t="shared" si="115"/>
        <v>0.30769230769230771</v>
      </c>
      <c r="CC96" s="132">
        <f t="shared" si="117"/>
        <v>3.4877667881311823E-2</v>
      </c>
      <c r="CD96" s="132">
        <f t="shared" si="115"/>
        <v>0.19999504226469347</v>
      </c>
      <c r="CE96" s="132">
        <f t="shared" si="118"/>
        <v>4.0380047505938245E-2</v>
      </c>
      <c r="CF96" s="132">
        <f t="shared" si="115"/>
        <v>0.21852731591448929</v>
      </c>
      <c r="CG96" s="132"/>
      <c r="CH96" s="132">
        <f t="shared" si="120"/>
        <v>2.6111602310381017E-2</v>
      </c>
      <c r="CI96" s="132">
        <f t="shared" si="115"/>
        <v>0.1922094877663838</v>
      </c>
      <c r="CJ96" s="132">
        <f t="shared" si="122"/>
        <v>2.3636363636363636E-2</v>
      </c>
      <c r="CK96" s="132">
        <f t="shared" si="115"/>
        <v>0.18545454545454548</v>
      </c>
      <c r="CL96" s="197"/>
      <c r="CM96" s="132">
        <f t="shared" si="124"/>
        <v>5.4825475527083653E-2</v>
      </c>
      <c r="CN96" s="132">
        <f t="shared" si="125"/>
        <v>0.21752484587876519</v>
      </c>
      <c r="CO96" s="132">
        <f t="shared" si="126"/>
        <v>4.5283018867924525E-2</v>
      </c>
      <c r="CP96" s="132">
        <f t="shared" si="127"/>
        <v>0.20377358490566036</v>
      </c>
      <c r="CQ96" s="160"/>
      <c r="CR96" s="160"/>
      <c r="CS96" s="160"/>
      <c r="CT96" s="160"/>
      <c r="CU96" s="160"/>
      <c r="CV96" s="160"/>
      <c r="CW96" s="160"/>
      <c r="CX96" s="160"/>
      <c r="CY96" s="160"/>
      <c r="CZ96" s="160"/>
      <c r="DA96" s="160"/>
      <c r="DB96" s="160"/>
      <c r="DC96" s="160"/>
      <c r="DD96" s="160"/>
      <c r="DE96" s="160"/>
      <c r="DF96" s="160"/>
      <c r="DG96" s="160"/>
      <c r="DH96" s="160"/>
      <c r="DI96" s="160"/>
    </row>
    <row r="97" spans="1:113" s="101" customFormat="1" x14ac:dyDescent="0.3">
      <c r="A97" s="160"/>
      <c r="B97" s="399"/>
      <c r="C97" s="262"/>
      <c r="D97" s="160"/>
      <c r="E97" s="262"/>
      <c r="F97" s="262"/>
      <c r="G97" s="156">
        <v>9</v>
      </c>
      <c r="H97" s="186">
        <f t="shared" si="92"/>
        <v>45191.75</v>
      </c>
      <c r="I97" s="457">
        <f t="shared" si="93"/>
        <v>138</v>
      </c>
      <c r="J97" s="459">
        <f t="shared" si="94"/>
        <v>138</v>
      </c>
      <c r="K97" s="460">
        <f t="shared" si="95"/>
        <v>138</v>
      </c>
      <c r="L97" s="457">
        <f t="shared" si="96"/>
        <v>118</v>
      </c>
      <c r="M97" s="471">
        <f t="shared" si="97"/>
        <v>196</v>
      </c>
      <c r="N97" s="457">
        <v>350</v>
      </c>
      <c r="O97" s="471">
        <v>324</v>
      </c>
      <c r="P97" s="197"/>
      <c r="Q97" s="197"/>
      <c r="R97" s="197"/>
      <c r="S97" s="197"/>
      <c r="T97" s="197"/>
      <c r="U97" s="197"/>
      <c r="V97" s="69"/>
      <c r="W97" s="197"/>
      <c r="X97" s="197"/>
      <c r="Y97" s="359"/>
      <c r="Z97" s="426"/>
      <c r="AA97" s="427"/>
      <c r="AB97" s="359"/>
      <c r="AC97" s="97"/>
      <c r="AD97" s="97"/>
      <c r="AE97" s="95"/>
      <c r="AF97" s="105"/>
      <c r="AG97" s="95"/>
      <c r="AH97" s="105"/>
      <c r="AI97" s="359"/>
      <c r="AJ97" s="71"/>
      <c r="AK97" s="444"/>
      <c r="AL97" s="71"/>
      <c r="AM97" s="359"/>
      <c r="AN97" s="198"/>
      <c r="AO97" s="444"/>
      <c r="AP97" s="71"/>
      <c r="AQ97" s="359"/>
      <c r="AR97" s="197">
        <v>9</v>
      </c>
      <c r="AS97" s="197"/>
      <c r="AT97" s="197"/>
      <c r="AU97" s="197"/>
      <c r="AV97" s="197"/>
      <c r="AW97" s="132">
        <f t="shared" si="98"/>
        <v>1.2492444086238163E-2</v>
      </c>
      <c r="AX97" s="132">
        <f t="shared" si="99"/>
        <v>0.26391295587346364</v>
      </c>
      <c r="AY97" s="132">
        <f t="shared" si="100"/>
        <v>2.2222222222222223E-2</v>
      </c>
      <c r="AZ97" s="132">
        <f t="shared" si="101"/>
        <v>0.2722222222222222</v>
      </c>
      <c r="BA97" s="197"/>
      <c r="BB97" s="197"/>
      <c r="BC97" s="405"/>
      <c r="BD97" s="132">
        <f t="shared" si="102"/>
        <v>7.2277801942873712E-2</v>
      </c>
      <c r="BE97" s="132">
        <f t="shared" si="103"/>
        <v>0.33889130539848245</v>
      </c>
      <c r="BF97" s="405"/>
      <c r="BG97" s="132">
        <f t="shared" si="104"/>
        <v>7.8224101479915431E-2</v>
      </c>
      <c r="BH97" s="132">
        <f t="shared" si="105"/>
        <v>0.32135306553911203</v>
      </c>
      <c r="BI97" s="197"/>
      <c r="BJ97" s="197"/>
      <c r="BK97" s="405"/>
      <c r="BL97" s="132">
        <f t="shared" si="106"/>
        <v>4.1453289087358486E-2</v>
      </c>
      <c r="BM97" s="132">
        <f t="shared" si="107"/>
        <v>0.33687028008794573</v>
      </c>
      <c r="BN97" s="405"/>
      <c r="BO97" s="132">
        <f t="shared" si="108"/>
        <v>4.712460063897763E-2</v>
      </c>
      <c r="BP97" s="132">
        <f t="shared" si="109"/>
        <v>0.35702875399361023</v>
      </c>
      <c r="BQ97" s="197"/>
      <c r="BR97" s="197"/>
      <c r="BS97" s="197"/>
      <c r="BT97" s="132">
        <f t="shared" si="110"/>
        <v>3.5850940607900311E-2</v>
      </c>
      <c r="BU97" s="132">
        <f t="shared" si="111"/>
        <v>0.35658425530215287</v>
      </c>
      <c r="BV97" s="197"/>
      <c r="BW97" s="132">
        <f t="shared" si="112"/>
        <v>3.2000000000000001E-2</v>
      </c>
      <c r="BX97" s="132">
        <f t="shared" si="113"/>
        <v>0.36914285714285711</v>
      </c>
      <c r="BY97" s="132">
        <f t="shared" si="114"/>
        <v>3.3680062319571089E-2</v>
      </c>
      <c r="BZ97" s="132">
        <f t="shared" si="115"/>
        <v>0.32746796193618349</v>
      </c>
      <c r="CA97" s="132">
        <f t="shared" si="116"/>
        <v>3.9886039886039892E-2</v>
      </c>
      <c r="CB97" s="132">
        <f t="shared" si="115"/>
        <v>0.3475783475783476</v>
      </c>
      <c r="CC97" s="132">
        <f t="shared" si="117"/>
        <v>5.5836493889591235E-2</v>
      </c>
      <c r="CD97" s="132">
        <f t="shared" si="115"/>
        <v>0.25583153615428472</v>
      </c>
      <c r="CE97" s="132">
        <f t="shared" si="118"/>
        <v>5.9382422802850353E-2</v>
      </c>
      <c r="CF97" s="132">
        <f t="shared" si="115"/>
        <v>0.27790973871733965</v>
      </c>
      <c r="CG97" s="132"/>
      <c r="CH97" s="132">
        <f t="shared" si="120"/>
        <v>3.1515712408795311E-2</v>
      </c>
      <c r="CI97" s="132">
        <f t="shared" si="115"/>
        <v>0.22372520017517911</v>
      </c>
      <c r="CJ97" s="132">
        <f t="shared" si="122"/>
        <v>3.8181818181818185E-2</v>
      </c>
      <c r="CK97" s="132">
        <f t="shared" si="115"/>
        <v>0.22363636363636366</v>
      </c>
      <c r="CL97" s="197"/>
      <c r="CM97" s="132">
        <f t="shared" si="124"/>
        <v>2.6085430332814165E-2</v>
      </c>
      <c r="CN97" s="132">
        <f t="shared" si="125"/>
        <v>0.24361027621157935</v>
      </c>
      <c r="CO97" s="132">
        <f t="shared" si="126"/>
        <v>2.2641509433962297E-2</v>
      </c>
      <c r="CP97" s="132">
        <f t="shared" si="127"/>
        <v>0.22641509433962265</v>
      </c>
      <c r="CQ97" s="160"/>
      <c r="CR97" s="160"/>
      <c r="CS97" s="160"/>
      <c r="CT97" s="160"/>
      <c r="CU97" s="160"/>
      <c r="CV97" s="160"/>
      <c r="CW97" s="160"/>
      <c r="CX97" s="160"/>
      <c r="CY97" s="160"/>
      <c r="CZ97" s="160"/>
      <c r="DA97" s="160"/>
      <c r="DB97" s="160"/>
      <c r="DC97" s="160"/>
      <c r="DD97" s="160"/>
      <c r="DE97" s="160"/>
      <c r="DF97" s="160"/>
      <c r="DG97" s="160"/>
      <c r="DH97" s="160"/>
      <c r="DI97" s="160"/>
    </row>
    <row r="98" spans="1:113" s="101" customFormat="1" x14ac:dyDescent="0.3">
      <c r="A98" s="160"/>
      <c r="B98" s="399"/>
      <c r="C98" s="262"/>
      <c r="D98" s="160"/>
      <c r="E98" s="262"/>
      <c r="F98" s="262"/>
      <c r="G98" s="156">
        <v>10</v>
      </c>
      <c r="H98" s="186">
        <f t="shared" si="92"/>
        <v>45192.75</v>
      </c>
      <c r="I98" s="457">
        <f t="shared" si="93"/>
        <v>143</v>
      </c>
      <c r="J98" s="459">
        <f t="shared" si="94"/>
        <v>143</v>
      </c>
      <c r="K98" s="460">
        <f t="shared" si="95"/>
        <v>143</v>
      </c>
      <c r="L98" s="457">
        <f t="shared" si="96"/>
        <v>120</v>
      </c>
      <c r="M98" s="471">
        <f t="shared" si="97"/>
        <v>205</v>
      </c>
      <c r="N98" s="457">
        <v>369</v>
      </c>
      <c r="O98" s="471">
        <v>336</v>
      </c>
      <c r="P98" s="197"/>
      <c r="Q98" s="197"/>
      <c r="R98" s="197"/>
      <c r="S98" s="197"/>
      <c r="T98" s="197"/>
      <c r="U98" s="197"/>
      <c r="V98" s="69"/>
      <c r="W98" s="197"/>
      <c r="X98" s="197"/>
      <c r="Y98" s="359"/>
      <c r="Z98" s="426"/>
      <c r="AA98" s="427"/>
      <c r="AB98" s="359"/>
      <c r="AC98" s="97"/>
      <c r="AD98" s="97"/>
      <c r="AE98" s="95"/>
      <c r="AF98" s="105"/>
      <c r="AG98" s="95"/>
      <c r="AH98" s="105"/>
      <c r="AI98" s="359"/>
      <c r="AJ98" s="71"/>
      <c r="AK98" s="444"/>
      <c r="AL98" s="71"/>
      <c r="AM98" s="359"/>
      <c r="AN98" s="198"/>
      <c r="AO98" s="444"/>
      <c r="AP98" s="71"/>
      <c r="AQ98" s="359"/>
      <c r="AR98" s="197">
        <v>10</v>
      </c>
      <c r="AS98" s="197"/>
      <c r="AT98" s="197"/>
      <c r="AU98" s="197"/>
      <c r="AV98" s="197"/>
      <c r="AW98" s="132">
        <f t="shared" si="98"/>
        <v>2.2083417287930687E-2</v>
      </c>
      <c r="AX98" s="132">
        <f t="shared" si="99"/>
        <v>0.28599637316139431</v>
      </c>
      <c r="AY98" s="132">
        <f t="shared" si="100"/>
        <v>2.7777777777777783E-2</v>
      </c>
      <c r="AZ98" s="132">
        <f t="shared" si="101"/>
        <v>0.3</v>
      </c>
      <c r="BA98" s="197"/>
      <c r="BB98" s="197"/>
      <c r="BC98" s="405"/>
      <c r="BD98" s="132">
        <f t="shared" si="102"/>
        <v>2.5904982842781889E-2</v>
      </c>
      <c r="BE98" s="132">
        <f t="shared" si="103"/>
        <v>0.36479628824126431</v>
      </c>
      <c r="BF98" s="405"/>
      <c r="BG98" s="132">
        <f t="shared" si="104"/>
        <v>2.5369978858350951E-2</v>
      </c>
      <c r="BH98" s="132">
        <f t="shared" si="105"/>
        <v>0.34672304439746299</v>
      </c>
      <c r="BI98" s="197"/>
      <c r="BJ98" s="197"/>
      <c r="BK98" s="405"/>
      <c r="BL98" s="132">
        <f t="shared" si="106"/>
        <v>3.0306444344299233E-2</v>
      </c>
      <c r="BM98" s="132">
        <f t="shared" si="107"/>
        <v>0.36717672443224497</v>
      </c>
      <c r="BN98" s="405"/>
      <c r="BO98" s="132">
        <f t="shared" si="108"/>
        <v>3.3546325878594248E-2</v>
      </c>
      <c r="BP98" s="132">
        <f t="shared" si="109"/>
        <v>0.39057507987220447</v>
      </c>
      <c r="BQ98" s="197"/>
      <c r="BR98" s="197"/>
      <c r="BS98" s="197"/>
      <c r="BT98" s="132">
        <f t="shared" si="110"/>
        <v>3.6362183967727772E-2</v>
      </c>
      <c r="BU98" s="132">
        <f t="shared" si="111"/>
        <v>0.39294643926988065</v>
      </c>
      <c r="BV98" s="197"/>
      <c r="BW98" s="132">
        <f t="shared" si="112"/>
        <v>3.2000000000000001E-2</v>
      </c>
      <c r="BX98" s="132">
        <f t="shared" si="113"/>
        <v>0.40114285714285713</v>
      </c>
      <c r="BY98" s="132">
        <f t="shared" si="114"/>
        <v>4.4020834287983625E-2</v>
      </c>
      <c r="BZ98" s="132">
        <f t="shared" si="115"/>
        <v>0.37148879622416714</v>
      </c>
      <c r="CA98" s="132">
        <f t="shared" si="116"/>
        <v>4.2735042735042743E-2</v>
      </c>
      <c r="CB98" s="132">
        <f t="shared" si="115"/>
        <v>0.39031339031339035</v>
      </c>
      <c r="CC98" s="132">
        <f t="shared" si="117"/>
        <v>4.1521033192037878E-2</v>
      </c>
      <c r="CD98" s="132">
        <f t="shared" si="115"/>
        <v>0.29735256934632259</v>
      </c>
      <c r="CE98" s="132">
        <f t="shared" si="118"/>
        <v>4.5130641330166275E-2</v>
      </c>
      <c r="CF98" s="132">
        <f t="shared" si="115"/>
        <v>0.3230403800475059</v>
      </c>
      <c r="CG98" s="132"/>
      <c r="CH98" s="132">
        <f t="shared" si="120"/>
        <v>3.9084771812690572E-2</v>
      </c>
      <c r="CI98" s="132">
        <f t="shared" si="115"/>
        <v>0.26280997198786971</v>
      </c>
      <c r="CJ98" s="132">
        <f t="shared" si="122"/>
        <v>3.8181818181818185E-2</v>
      </c>
      <c r="CK98" s="132">
        <f t="shared" si="115"/>
        <v>0.26181818181818184</v>
      </c>
      <c r="CL98" s="197"/>
      <c r="CM98" s="132">
        <f t="shared" si="124"/>
        <v>8.1591013799609508E-2</v>
      </c>
      <c r="CN98" s="132">
        <f t="shared" si="125"/>
        <v>0.32520129001118886</v>
      </c>
      <c r="CO98" s="132">
        <f t="shared" si="126"/>
        <v>7.1698113207547126E-2</v>
      </c>
      <c r="CP98" s="132">
        <f t="shared" si="127"/>
        <v>0.29811320754716975</v>
      </c>
      <c r="CQ98" s="160"/>
      <c r="CR98" s="160"/>
      <c r="CS98" s="160"/>
      <c r="CT98" s="160"/>
      <c r="CU98" s="160"/>
      <c r="CV98" s="160"/>
      <c r="CW98" s="160"/>
      <c r="CX98" s="160"/>
      <c r="CY98" s="160"/>
      <c r="CZ98" s="160"/>
      <c r="DA98" s="160"/>
      <c r="DB98" s="160"/>
      <c r="DC98" s="160"/>
      <c r="DD98" s="160"/>
      <c r="DE98" s="160"/>
      <c r="DF98" s="160"/>
      <c r="DG98" s="160"/>
      <c r="DH98" s="160"/>
      <c r="DI98" s="160"/>
    </row>
    <row r="99" spans="1:113" s="101" customFormat="1" x14ac:dyDescent="0.3">
      <c r="A99" s="160"/>
      <c r="B99" s="399"/>
      <c r="C99" s="262"/>
      <c r="D99" s="160"/>
      <c r="E99" s="262"/>
      <c r="F99" s="262"/>
      <c r="G99" s="156">
        <v>11</v>
      </c>
      <c r="H99" s="186">
        <f t="shared" si="92"/>
        <v>45193.75</v>
      </c>
      <c r="I99" s="457">
        <f t="shared" si="93"/>
        <v>150</v>
      </c>
      <c r="J99" s="459">
        <f t="shared" si="94"/>
        <v>150</v>
      </c>
      <c r="K99" s="460">
        <f t="shared" si="95"/>
        <v>150</v>
      </c>
      <c r="L99" s="457">
        <f t="shared" si="96"/>
        <v>122</v>
      </c>
      <c r="M99" s="471">
        <f t="shared" si="97"/>
        <v>213</v>
      </c>
      <c r="N99" s="457">
        <v>386</v>
      </c>
      <c r="O99" s="471">
        <v>345</v>
      </c>
      <c r="P99" s="197"/>
      <c r="Q99" s="197"/>
      <c r="R99" s="197"/>
      <c r="S99" s="197"/>
      <c r="T99" s="197"/>
      <c r="U99" s="197"/>
      <c r="V99" s="69"/>
      <c r="W99" s="197"/>
      <c r="X99" s="197"/>
      <c r="Y99" s="359"/>
      <c r="Z99" s="426"/>
      <c r="AA99" s="427"/>
      <c r="AB99" s="359"/>
      <c r="AC99" s="97"/>
      <c r="AD99" s="97"/>
      <c r="AE99" s="95"/>
      <c r="AF99" s="105"/>
      <c r="AG99" s="95"/>
      <c r="AH99" s="105"/>
      <c r="AI99" s="359"/>
      <c r="AJ99" s="71"/>
      <c r="AK99" s="444"/>
      <c r="AL99" s="71"/>
      <c r="AM99" s="359"/>
      <c r="AN99" s="198"/>
      <c r="AO99" s="444"/>
      <c r="AP99" s="71"/>
      <c r="AQ99" s="359"/>
      <c r="AR99" s="197">
        <v>11</v>
      </c>
      <c r="AS99" s="197"/>
      <c r="AT99" s="197"/>
      <c r="AU99" s="197"/>
      <c r="AV99" s="197"/>
      <c r="AW99" s="132">
        <f t="shared" si="98"/>
        <v>4.0781785210558134E-2</v>
      </c>
      <c r="AX99" s="132">
        <f t="shared" si="99"/>
        <v>0.32677815837195245</v>
      </c>
      <c r="AY99" s="132">
        <f t="shared" si="100"/>
        <v>3.8888888888888896E-2</v>
      </c>
      <c r="AZ99" s="132">
        <f t="shared" si="101"/>
        <v>0.33888888888888891</v>
      </c>
      <c r="BA99" s="197"/>
      <c r="BB99" s="197"/>
      <c r="BC99" s="405"/>
      <c r="BD99" s="132">
        <f t="shared" si="102"/>
        <v>1.327872021651926E-2</v>
      </c>
      <c r="BE99" s="132">
        <f t="shared" si="103"/>
        <v>0.37807500845778358</v>
      </c>
      <c r="BF99" s="405"/>
      <c r="BG99" s="132">
        <f t="shared" si="104"/>
        <v>1.902748414376321E-2</v>
      </c>
      <c r="BH99" s="132">
        <f t="shared" si="105"/>
        <v>0.36575052854122619</v>
      </c>
      <c r="BI99" s="197"/>
      <c r="BJ99" s="197"/>
      <c r="BK99" s="405"/>
      <c r="BL99" s="132">
        <f t="shared" si="106"/>
        <v>3.0443005995056466E-2</v>
      </c>
      <c r="BM99" s="132">
        <f t="shared" si="107"/>
        <v>0.39761973042730142</v>
      </c>
      <c r="BN99" s="405"/>
      <c r="BO99" s="132">
        <f t="shared" si="108"/>
        <v>3.3546325878594248E-2</v>
      </c>
      <c r="BP99" s="132">
        <f t="shared" si="109"/>
        <v>0.42412140575079871</v>
      </c>
      <c r="BQ99" s="197"/>
      <c r="BR99" s="197"/>
      <c r="BS99" s="197"/>
      <c r="BT99" s="132">
        <f t="shared" si="110"/>
        <v>2.5650037943843119E-2</v>
      </c>
      <c r="BU99" s="132">
        <f t="shared" si="111"/>
        <v>0.41859647721372378</v>
      </c>
      <c r="BV99" s="197"/>
      <c r="BW99" s="132">
        <f t="shared" si="112"/>
        <v>2.6285714285714284E-2</v>
      </c>
      <c r="BX99" s="132">
        <f t="shared" si="113"/>
        <v>0.42742857142857144</v>
      </c>
      <c r="BY99" s="132">
        <f t="shared" si="114"/>
        <v>2.1857673097191034E-2</v>
      </c>
      <c r="BZ99" s="132">
        <f t="shared" si="115"/>
        <v>0.39334646932135819</v>
      </c>
      <c r="CA99" s="132">
        <f t="shared" si="116"/>
        <v>2.5641025641025644E-2</v>
      </c>
      <c r="CB99" s="132">
        <f t="shared" si="115"/>
        <v>0.41595441595441601</v>
      </c>
      <c r="CC99" s="132">
        <f t="shared" si="117"/>
        <v>3.7406112887632931E-2</v>
      </c>
      <c r="CD99" s="132">
        <f t="shared" si="115"/>
        <v>0.33475868223395555</v>
      </c>
      <c r="CE99" s="132">
        <f t="shared" si="118"/>
        <v>4.0380047505938245E-2</v>
      </c>
      <c r="CF99" s="132">
        <f t="shared" si="115"/>
        <v>0.36342042755344417</v>
      </c>
      <c r="CG99" s="132"/>
      <c r="CH99" s="132">
        <f t="shared" si="120"/>
        <v>1.4336591774845274E-2</v>
      </c>
      <c r="CI99" s="132">
        <f t="shared" si="115"/>
        <v>0.27714656376271496</v>
      </c>
      <c r="CJ99" s="132">
        <f t="shared" si="122"/>
        <v>1.090909090909091E-2</v>
      </c>
      <c r="CK99" s="132">
        <f t="shared" si="115"/>
        <v>0.27272727272727276</v>
      </c>
      <c r="CL99" s="197"/>
      <c r="CM99" s="132">
        <f t="shared" si="124"/>
        <v>6.8361817423926552E-2</v>
      </c>
      <c r="CN99" s="132">
        <f t="shared" si="125"/>
        <v>0.39356310743511541</v>
      </c>
      <c r="CO99" s="132">
        <f t="shared" si="126"/>
        <v>6.4150943396226456E-2</v>
      </c>
      <c r="CP99" s="132">
        <f t="shared" si="127"/>
        <v>0.3622641509433962</v>
      </c>
      <c r="CQ99" s="160"/>
      <c r="CR99" s="160"/>
      <c r="CS99" s="160"/>
      <c r="CT99" s="160"/>
      <c r="CU99" s="160"/>
      <c r="CV99" s="160"/>
      <c r="CW99" s="160"/>
      <c r="CX99" s="160"/>
      <c r="CY99" s="160"/>
      <c r="CZ99" s="160"/>
      <c r="DA99" s="160"/>
      <c r="DB99" s="160"/>
      <c r="DC99" s="160"/>
      <c r="DD99" s="160"/>
      <c r="DE99" s="160"/>
      <c r="DF99" s="160"/>
      <c r="DG99" s="160"/>
      <c r="DH99" s="160"/>
      <c r="DI99" s="160"/>
    </row>
    <row r="100" spans="1:113" s="101" customFormat="1" x14ac:dyDescent="0.3">
      <c r="A100" s="160"/>
      <c r="B100" s="399"/>
      <c r="C100" s="262"/>
      <c r="D100" s="160"/>
      <c r="E100" s="262"/>
      <c r="F100" s="262"/>
      <c r="G100" s="156">
        <v>12</v>
      </c>
      <c r="H100" s="186">
        <f t="shared" si="92"/>
        <v>45194.75</v>
      </c>
      <c r="I100" s="457">
        <f t="shared" si="93"/>
        <v>154</v>
      </c>
      <c r="J100" s="459">
        <f t="shared" si="94"/>
        <v>154</v>
      </c>
      <c r="K100" s="460">
        <f t="shared" si="95"/>
        <v>154</v>
      </c>
      <c r="L100" s="457">
        <f t="shared" si="96"/>
        <v>125</v>
      </c>
      <c r="M100" s="471">
        <f t="shared" si="97"/>
        <v>222</v>
      </c>
      <c r="N100" s="457">
        <v>395</v>
      </c>
      <c r="O100" s="471">
        <v>361</v>
      </c>
      <c r="P100" s="197"/>
      <c r="Q100" s="197"/>
      <c r="R100" s="197"/>
      <c r="S100" s="197"/>
      <c r="T100" s="197"/>
      <c r="U100" s="197"/>
      <c r="V100" s="69"/>
      <c r="W100" s="197"/>
      <c r="X100" s="197"/>
      <c r="Y100" s="359"/>
      <c r="Z100" s="426"/>
      <c r="AA100" s="427"/>
      <c r="AB100" s="359"/>
      <c r="AC100" s="97"/>
      <c r="AD100" s="97"/>
      <c r="AE100" s="95"/>
      <c r="AF100" s="105"/>
      <c r="AG100" s="95"/>
      <c r="AH100" s="105"/>
      <c r="AI100" s="359"/>
      <c r="AJ100" s="71"/>
      <c r="AK100" s="444"/>
      <c r="AL100" s="71"/>
      <c r="AM100" s="359"/>
      <c r="AN100" s="198"/>
      <c r="AO100" s="444"/>
      <c r="AP100" s="71"/>
      <c r="AQ100" s="359"/>
      <c r="AR100" s="197">
        <v>12</v>
      </c>
      <c r="AS100" s="197"/>
      <c r="AT100" s="197"/>
      <c r="AU100" s="197"/>
      <c r="AV100" s="197"/>
      <c r="AW100" s="132">
        <f t="shared" si="98"/>
        <v>4.2393713479750156E-2</v>
      </c>
      <c r="AX100" s="132">
        <f t="shared" si="99"/>
        <v>0.36917187185170264</v>
      </c>
      <c r="AY100" s="132">
        <f t="shared" si="100"/>
        <v>2.2222222222222223E-2</v>
      </c>
      <c r="AZ100" s="132">
        <f t="shared" si="101"/>
        <v>0.3611111111111111</v>
      </c>
      <c r="BA100" s="197"/>
      <c r="BB100" s="197"/>
      <c r="BC100" s="405"/>
      <c r="BD100" s="132">
        <f t="shared" si="102"/>
        <v>2.8841041998936737E-2</v>
      </c>
      <c r="BE100" s="132">
        <f t="shared" si="103"/>
        <v>0.4069160504567203</v>
      </c>
      <c r="BF100" s="405"/>
      <c r="BG100" s="132">
        <f t="shared" si="104"/>
        <v>3.3826638477801263E-2</v>
      </c>
      <c r="BH100" s="132">
        <f t="shared" si="105"/>
        <v>0.39957716701902746</v>
      </c>
      <c r="BI100" s="197"/>
      <c r="BJ100" s="197"/>
      <c r="BK100" s="405"/>
      <c r="BL100" s="132">
        <f t="shared" si="106"/>
        <v>3.0965354309202886E-2</v>
      </c>
      <c r="BM100" s="132">
        <f t="shared" si="107"/>
        <v>0.42858508473650431</v>
      </c>
      <c r="BN100" s="405"/>
      <c r="BO100" s="132">
        <f t="shared" si="108"/>
        <v>3.274760383386581E-2</v>
      </c>
      <c r="BP100" s="132">
        <f t="shared" si="109"/>
        <v>0.45686900958466453</v>
      </c>
      <c r="BQ100" s="197"/>
      <c r="BR100" s="197"/>
      <c r="BS100" s="197"/>
      <c r="BT100" s="132">
        <f t="shared" si="110"/>
        <v>2.6960099053400972E-2</v>
      </c>
      <c r="BU100" s="132">
        <f t="shared" si="111"/>
        <v>0.44555657626712475</v>
      </c>
      <c r="BV100" s="197"/>
      <c r="BW100" s="132">
        <f t="shared" si="112"/>
        <v>2.9714285714285714E-2</v>
      </c>
      <c r="BX100" s="132">
        <f t="shared" si="113"/>
        <v>0.45714285714285713</v>
      </c>
      <c r="BY100" s="132">
        <f t="shared" si="114"/>
        <v>6.0089508011425249E-2</v>
      </c>
      <c r="BZ100" s="132">
        <f t="shared" si="115"/>
        <v>0.45343597733278346</v>
      </c>
      <c r="CA100" s="132">
        <f t="shared" si="116"/>
        <v>5.6980056980056988E-2</v>
      </c>
      <c r="CB100" s="132">
        <f t="shared" si="115"/>
        <v>0.47293447293447299</v>
      </c>
      <c r="CC100" s="132">
        <f t="shared" si="117"/>
        <v>2.0054039314840982E-2</v>
      </c>
      <c r="CD100" s="132">
        <f t="shared" si="115"/>
        <v>0.35481272154879651</v>
      </c>
      <c r="CE100" s="132">
        <f t="shared" si="118"/>
        <v>2.137767220902613E-2</v>
      </c>
      <c r="CF100" s="132">
        <f t="shared" si="115"/>
        <v>0.38479809976247031</v>
      </c>
      <c r="CG100" s="132"/>
      <c r="CH100" s="132">
        <f t="shared" si="120"/>
        <v>2.5549707070790538E-2</v>
      </c>
      <c r="CI100" s="132">
        <f t="shared" si="115"/>
        <v>0.30269627083350548</v>
      </c>
      <c r="CJ100" s="132">
        <f t="shared" si="122"/>
        <v>2.7272727272727275E-2</v>
      </c>
      <c r="CK100" s="132">
        <f t="shared" si="115"/>
        <v>0.30000000000000004</v>
      </c>
      <c r="CL100" s="197"/>
      <c r="CM100" s="132">
        <f t="shared" si="124"/>
        <v>5.0086658914898864E-2</v>
      </c>
      <c r="CN100" s="132">
        <f t="shared" si="125"/>
        <v>0.4436497663500143</v>
      </c>
      <c r="CO100" s="132">
        <f t="shared" si="126"/>
        <v>5.6603773584905641E-2</v>
      </c>
      <c r="CP100" s="132">
        <f t="shared" si="127"/>
        <v>0.41886792452830185</v>
      </c>
      <c r="CQ100" s="160"/>
      <c r="CR100" s="160"/>
      <c r="CS100" s="160"/>
      <c r="CT100" s="160"/>
      <c r="CU100" s="160"/>
      <c r="CV100" s="160"/>
      <c r="CW100" s="160"/>
      <c r="CX100" s="160"/>
      <c r="CY100" s="160"/>
      <c r="CZ100" s="160"/>
      <c r="DA100" s="160"/>
      <c r="DB100" s="160"/>
      <c r="DC100" s="160"/>
      <c r="DD100" s="160"/>
      <c r="DE100" s="160"/>
      <c r="DF100" s="160"/>
      <c r="DG100" s="160"/>
      <c r="DH100" s="160"/>
      <c r="DI100" s="160"/>
    </row>
    <row r="101" spans="1:113" s="101" customFormat="1" x14ac:dyDescent="0.3">
      <c r="A101" s="160"/>
      <c r="B101" s="399"/>
      <c r="C101" s="262"/>
      <c r="D101" s="160"/>
      <c r="E101" s="262"/>
      <c r="F101" s="262"/>
      <c r="G101" s="156">
        <v>13</v>
      </c>
      <c r="H101" s="186">
        <f t="shared" si="92"/>
        <v>45195.75</v>
      </c>
      <c r="I101" s="457">
        <f t="shared" si="93"/>
        <v>155</v>
      </c>
      <c r="J101" s="459">
        <f t="shared" si="94"/>
        <v>155</v>
      </c>
      <c r="K101" s="460">
        <f t="shared" si="95"/>
        <v>155</v>
      </c>
      <c r="L101" s="457">
        <f t="shared" si="96"/>
        <v>128</v>
      </c>
      <c r="M101" s="471">
        <f t="shared" si="97"/>
        <v>227</v>
      </c>
      <c r="N101" s="457">
        <v>410</v>
      </c>
      <c r="O101" s="471">
        <v>375</v>
      </c>
      <c r="P101" s="197"/>
      <c r="Q101" s="197"/>
      <c r="R101" s="197"/>
      <c r="S101" s="197"/>
      <c r="T101" s="197"/>
      <c r="U101" s="197"/>
      <c r="V101" s="69"/>
      <c r="W101" s="197"/>
      <c r="X101" s="197"/>
      <c r="Y101" s="359"/>
      <c r="Z101" s="426"/>
      <c r="AA101" s="427"/>
      <c r="AB101" s="359"/>
      <c r="AC101" s="97"/>
      <c r="AD101" s="97"/>
      <c r="AE101" s="95"/>
      <c r="AF101" s="105"/>
      <c r="AG101" s="95"/>
      <c r="AH101" s="105"/>
      <c r="AI101" s="359"/>
      <c r="AJ101" s="71"/>
      <c r="AK101" s="444"/>
      <c r="AL101" s="71"/>
      <c r="AM101" s="359"/>
      <c r="AN101" s="198"/>
      <c r="AO101" s="444"/>
      <c r="AP101" s="71"/>
      <c r="AQ101" s="359"/>
      <c r="AR101" s="197">
        <v>13</v>
      </c>
      <c r="AS101" s="197"/>
      <c r="AT101" s="197"/>
      <c r="AU101" s="197"/>
      <c r="AV101" s="197"/>
      <c r="AW101" s="132">
        <f t="shared" si="98"/>
        <v>8.6641144469071143E-3</v>
      </c>
      <c r="AX101" s="132">
        <f t="shared" si="99"/>
        <v>0.37783598629860976</v>
      </c>
      <c r="AY101" s="132">
        <f t="shared" si="100"/>
        <v>5.5555555555555558E-3</v>
      </c>
      <c r="AZ101" s="132">
        <f t="shared" si="101"/>
        <v>0.36666666666666664</v>
      </c>
      <c r="BA101" s="197"/>
      <c r="BB101" s="197"/>
      <c r="BC101" s="405"/>
      <c r="BD101" s="132">
        <f t="shared" si="102"/>
        <v>2.6509110241167661E-2</v>
      </c>
      <c r="BE101" s="132">
        <f t="shared" si="103"/>
        <v>0.43342516069788795</v>
      </c>
      <c r="BF101" s="405"/>
      <c r="BG101" s="132">
        <f t="shared" si="104"/>
        <v>2.9598308668076109E-2</v>
      </c>
      <c r="BH101" s="132">
        <f t="shared" si="105"/>
        <v>0.42917547568710357</v>
      </c>
      <c r="BI101" s="197"/>
      <c r="BJ101" s="197"/>
      <c r="BK101" s="405"/>
      <c r="BL101" s="132">
        <f t="shared" si="106"/>
        <v>2.675584142461114E-2</v>
      </c>
      <c r="BM101" s="132">
        <f t="shared" si="107"/>
        <v>0.45534092616111543</v>
      </c>
      <c r="BN101" s="405"/>
      <c r="BO101" s="132">
        <f t="shared" si="108"/>
        <v>2.7955271565495207E-2</v>
      </c>
      <c r="BP101" s="132">
        <f t="shared" si="109"/>
        <v>0.48482428115015974</v>
      </c>
      <c r="BQ101" s="197"/>
      <c r="BR101" s="197"/>
      <c r="BS101" s="197"/>
      <c r="BT101" s="132">
        <f t="shared" si="110"/>
        <v>2.1216599432839402E-2</v>
      </c>
      <c r="BU101" s="132">
        <f t="shared" si="111"/>
        <v>0.46677317569996413</v>
      </c>
      <c r="BV101" s="197"/>
      <c r="BW101" s="132">
        <f t="shared" si="112"/>
        <v>1.8285714285714287E-2</v>
      </c>
      <c r="BX101" s="132">
        <f t="shared" si="113"/>
        <v>0.47542857142857142</v>
      </c>
      <c r="BY101" s="132">
        <f t="shared" si="114"/>
        <v>2.0880111197666067E-2</v>
      </c>
      <c r="BZ101" s="132">
        <f t="shared" si="115"/>
        <v>0.47431608853044954</v>
      </c>
      <c r="CA101" s="132">
        <f t="shared" si="116"/>
        <v>2.2792022792022797E-2</v>
      </c>
      <c r="CB101" s="132">
        <f t="shared" si="115"/>
        <v>0.4957264957264958</v>
      </c>
      <c r="CC101" s="132">
        <f t="shared" si="117"/>
        <v>3.4617386777719937E-2</v>
      </c>
      <c r="CD101" s="132">
        <f t="shared" si="115"/>
        <v>0.38943010832651642</v>
      </c>
      <c r="CE101" s="132">
        <f t="shared" si="118"/>
        <v>3.5629453681710214E-2</v>
      </c>
      <c r="CF101" s="132">
        <f t="shared" si="115"/>
        <v>0.42042755344418054</v>
      </c>
      <c r="CG101" s="132"/>
      <c r="CH101" s="132">
        <f t="shared" si="120"/>
        <v>2.4029284657781012E-2</v>
      </c>
      <c r="CI101" s="132">
        <f t="shared" si="115"/>
        <v>0.32672555549128651</v>
      </c>
      <c r="CJ101" s="132">
        <f t="shared" si="122"/>
        <v>2.7272727272727275E-2</v>
      </c>
      <c r="CK101" s="132">
        <f t="shared" si="115"/>
        <v>0.32727272727272733</v>
      </c>
      <c r="CL101" s="197"/>
      <c r="CM101" s="132">
        <f t="shared" si="124"/>
        <v>1.5752177442355287E-2</v>
      </c>
      <c r="CN101" s="132">
        <f t="shared" si="125"/>
        <v>0.45940194379236959</v>
      </c>
      <c r="CO101" s="132">
        <f t="shared" si="126"/>
        <v>1.5094339622641484E-2</v>
      </c>
      <c r="CP101" s="132">
        <f t="shared" si="127"/>
        <v>0.43396226415094336</v>
      </c>
      <c r="CQ101" s="160"/>
      <c r="CR101" s="160"/>
      <c r="CS101" s="160"/>
      <c r="CT101" s="160"/>
      <c r="CU101" s="160"/>
      <c r="CV101" s="160"/>
      <c r="CW101" s="160"/>
      <c r="CX101" s="160"/>
      <c r="CY101" s="160"/>
      <c r="CZ101" s="160"/>
      <c r="DA101" s="160"/>
      <c r="DB101" s="160"/>
      <c r="DC101" s="160"/>
      <c r="DD101" s="160"/>
      <c r="DE101" s="160"/>
      <c r="DF101" s="160"/>
      <c r="DG101" s="160"/>
      <c r="DH101" s="160"/>
      <c r="DI101" s="160"/>
    </row>
    <row r="102" spans="1:113" s="101" customFormat="1" x14ac:dyDescent="0.3">
      <c r="A102" s="160"/>
      <c r="B102" s="399"/>
      <c r="C102" s="262"/>
      <c r="D102" s="160"/>
      <c r="E102" s="262"/>
      <c r="F102" s="262"/>
      <c r="G102" s="156">
        <v>14</v>
      </c>
      <c r="H102" s="186">
        <f t="shared" si="92"/>
        <v>45196.75</v>
      </c>
      <c r="I102" s="457">
        <f t="shared" si="93"/>
        <v>159</v>
      </c>
      <c r="J102" s="459">
        <f t="shared" si="94"/>
        <v>159</v>
      </c>
      <c r="K102" s="460">
        <f t="shared" si="95"/>
        <v>159</v>
      </c>
      <c r="L102" s="457">
        <f t="shared" si="96"/>
        <v>132</v>
      </c>
      <c r="M102" s="471">
        <f t="shared" si="97"/>
        <v>236</v>
      </c>
      <c r="N102" s="457">
        <v>417</v>
      </c>
      <c r="O102" s="471">
        <v>395</v>
      </c>
      <c r="P102" s="197"/>
      <c r="Q102" s="197"/>
      <c r="R102" s="197"/>
      <c r="S102" s="197"/>
      <c r="T102" s="197"/>
      <c r="U102" s="197"/>
      <c r="V102" s="69"/>
      <c r="W102" s="197"/>
      <c r="X102" s="197"/>
      <c r="Y102" s="359"/>
      <c r="Z102" s="426"/>
      <c r="AA102" s="427"/>
      <c r="AB102" s="359"/>
      <c r="AC102" s="97"/>
      <c r="AD102" s="97"/>
      <c r="AE102" s="95"/>
      <c r="AF102" s="105"/>
      <c r="AG102" s="95"/>
      <c r="AH102" s="105"/>
      <c r="AI102" s="359"/>
      <c r="AJ102" s="71"/>
      <c r="AK102" s="444"/>
      <c r="AL102" s="71"/>
      <c r="AM102" s="359"/>
      <c r="AN102" s="198"/>
      <c r="AO102" s="444"/>
      <c r="AP102" s="71"/>
      <c r="AQ102" s="359"/>
      <c r="AR102" s="197">
        <v>14</v>
      </c>
      <c r="AS102" s="197"/>
      <c r="AT102" s="197"/>
      <c r="AU102" s="197"/>
      <c r="AV102" s="197"/>
      <c r="AW102" s="132">
        <f t="shared" si="98"/>
        <v>2.4863993552286925E-2</v>
      </c>
      <c r="AX102" s="132">
        <f t="shared" si="99"/>
        <v>0.40269997985089667</v>
      </c>
      <c r="AY102" s="132">
        <f t="shared" si="100"/>
        <v>2.2222222222222223E-2</v>
      </c>
      <c r="AZ102" s="132">
        <f t="shared" si="101"/>
        <v>0.38888888888888884</v>
      </c>
      <c r="BA102" s="197"/>
      <c r="BB102" s="197"/>
      <c r="BC102" s="405"/>
      <c r="BD102" s="132">
        <f t="shared" si="102"/>
        <v>4.0597361171523856E-2</v>
      </c>
      <c r="BE102" s="132">
        <f t="shared" si="103"/>
        <v>0.47402252186941179</v>
      </c>
      <c r="BF102" s="405"/>
      <c r="BG102" s="132">
        <f t="shared" si="104"/>
        <v>4.2283298097251579E-2</v>
      </c>
      <c r="BH102" s="132">
        <f t="shared" si="105"/>
        <v>0.47145877378435513</v>
      </c>
      <c r="BI102" s="197"/>
      <c r="BJ102" s="197"/>
      <c r="BK102" s="405"/>
      <c r="BL102" s="132">
        <f t="shared" si="106"/>
        <v>3.7861717672443222E-2</v>
      </c>
      <c r="BM102" s="132">
        <f t="shared" si="107"/>
        <v>0.49320264383355866</v>
      </c>
      <c r="BN102" s="405"/>
      <c r="BO102" s="132">
        <f t="shared" si="108"/>
        <v>3.9137380191693286E-2</v>
      </c>
      <c r="BP102" s="132">
        <f t="shared" si="109"/>
        <v>0.52396166134185307</v>
      </c>
      <c r="BQ102" s="197"/>
      <c r="BR102" s="197"/>
      <c r="BS102" s="197"/>
      <c r="BT102" s="132">
        <f t="shared" si="110"/>
        <v>3.349442824619564E-2</v>
      </c>
      <c r="BU102" s="132">
        <f t="shared" si="111"/>
        <v>0.50026760394615977</v>
      </c>
      <c r="BV102" s="197"/>
      <c r="BW102" s="132">
        <f t="shared" si="112"/>
        <v>3.0857142857142861E-2</v>
      </c>
      <c r="BX102" s="132">
        <f t="shared" si="113"/>
        <v>0.50628571428571423</v>
      </c>
      <c r="BY102" s="132">
        <f t="shared" si="114"/>
        <v>3.1663840901800848E-2</v>
      </c>
      <c r="BZ102" s="132">
        <f t="shared" si="115"/>
        <v>0.50597992943225034</v>
      </c>
      <c r="CA102" s="132">
        <f t="shared" si="116"/>
        <v>3.1339031339031341E-2</v>
      </c>
      <c r="CB102" s="132">
        <f t="shared" si="115"/>
        <v>0.52706552706552712</v>
      </c>
      <c r="CC102" s="132">
        <f t="shared" si="117"/>
        <v>1.6509258570684911E-2</v>
      </c>
      <c r="CD102" s="132">
        <f t="shared" si="115"/>
        <v>0.40593936689720134</v>
      </c>
      <c r="CE102" s="132">
        <f t="shared" si="118"/>
        <v>1.66270783847981E-2</v>
      </c>
      <c r="CF102" s="132">
        <f t="shared" si="115"/>
        <v>0.43705463182897863</v>
      </c>
      <c r="CG102" s="132"/>
      <c r="CH102" s="132">
        <f t="shared" si="120"/>
        <v>3.344102992092151E-2</v>
      </c>
      <c r="CI102" s="132">
        <f t="shared" si="115"/>
        <v>0.36016658541220803</v>
      </c>
      <c r="CJ102" s="132">
        <f t="shared" si="122"/>
        <v>3.090909090909091E-2</v>
      </c>
      <c r="CK102" s="132">
        <f t="shared" si="115"/>
        <v>0.35818181818181821</v>
      </c>
      <c r="CL102" s="197"/>
      <c r="CM102" s="132">
        <f t="shared" si="124"/>
        <v>1.836291437221645E-2</v>
      </c>
      <c r="CN102" s="132">
        <f t="shared" si="125"/>
        <v>0.47776485816458603</v>
      </c>
      <c r="CO102" s="132">
        <f t="shared" si="126"/>
        <v>3.0188679245283113E-2</v>
      </c>
      <c r="CP102" s="132">
        <f t="shared" si="127"/>
        <v>0.46415094339622648</v>
      </c>
      <c r="CQ102" s="160"/>
      <c r="CR102" s="160"/>
      <c r="CS102" s="160"/>
      <c r="CT102" s="160"/>
      <c r="CU102" s="160"/>
      <c r="CV102" s="160"/>
      <c r="CW102" s="160"/>
      <c r="CX102" s="160"/>
      <c r="CY102" s="160"/>
      <c r="CZ102" s="160"/>
      <c r="DA102" s="160"/>
      <c r="DB102" s="160"/>
      <c r="DC102" s="160"/>
      <c r="DD102" s="160"/>
      <c r="DE102" s="160"/>
      <c r="DF102" s="160"/>
      <c r="DG102" s="160"/>
      <c r="DH102" s="160"/>
      <c r="DI102" s="160"/>
    </row>
    <row r="103" spans="1:113" s="101" customFormat="1" x14ac:dyDescent="0.3">
      <c r="A103" s="160"/>
      <c r="B103" s="399"/>
      <c r="C103" s="262"/>
      <c r="D103" s="160"/>
      <c r="E103" s="262"/>
      <c r="F103" s="262"/>
      <c r="G103" s="156">
        <v>15</v>
      </c>
      <c r="H103" s="186">
        <f t="shared" si="92"/>
        <v>45197.75</v>
      </c>
      <c r="I103" s="457">
        <f t="shared" si="93"/>
        <v>164</v>
      </c>
      <c r="J103" s="459">
        <f t="shared" si="94"/>
        <v>164</v>
      </c>
      <c r="K103" s="460">
        <f t="shared" si="95"/>
        <v>164</v>
      </c>
      <c r="L103" s="457">
        <f t="shared" si="96"/>
        <v>136</v>
      </c>
      <c r="M103" s="471">
        <f t="shared" si="97"/>
        <v>263</v>
      </c>
      <c r="N103" s="457">
        <v>427</v>
      </c>
      <c r="O103" s="471">
        <v>415</v>
      </c>
      <c r="P103" s="197"/>
      <c r="Q103" s="197"/>
      <c r="R103" s="197"/>
      <c r="S103" s="197"/>
      <c r="T103" s="197"/>
      <c r="U103" s="197"/>
      <c r="V103" s="69"/>
      <c r="W103" s="197"/>
      <c r="X103" s="197"/>
      <c r="Y103" s="359"/>
      <c r="Z103" s="426"/>
      <c r="AA103" s="427"/>
      <c r="AB103" s="359"/>
      <c r="AC103" s="97"/>
      <c r="AD103" s="97"/>
      <c r="AE103" s="95"/>
      <c r="AF103" s="105"/>
      <c r="AG103" s="95"/>
      <c r="AH103" s="105"/>
      <c r="AI103" s="359"/>
      <c r="AJ103" s="71"/>
      <c r="AK103" s="444"/>
      <c r="AL103" s="71"/>
      <c r="AM103" s="359"/>
      <c r="AN103" s="198"/>
      <c r="AO103" s="444"/>
      <c r="AP103" s="71"/>
      <c r="AQ103" s="359"/>
      <c r="AR103" s="197">
        <v>15</v>
      </c>
      <c r="AS103" s="197"/>
      <c r="AT103" s="197"/>
      <c r="AU103" s="197"/>
      <c r="AV103" s="197"/>
      <c r="AW103" s="132">
        <f t="shared" si="98"/>
        <v>4.4207132782591176E-2</v>
      </c>
      <c r="AX103" s="132">
        <f t="shared" si="99"/>
        <v>0.44690711263348787</v>
      </c>
      <c r="AY103" s="132">
        <f t="shared" si="100"/>
        <v>2.7777777777777783E-2</v>
      </c>
      <c r="AZ103" s="132">
        <f t="shared" si="101"/>
        <v>0.41666666666666663</v>
      </c>
      <c r="BA103" s="197"/>
      <c r="BB103" s="197"/>
      <c r="BC103" s="405"/>
      <c r="BD103" s="132">
        <f t="shared" si="102"/>
        <v>4.2808467449615778E-2</v>
      </c>
      <c r="BE103" s="132">
        <f t="shared" si="103"/>
        <v>0.5168309893190276</v>
      </c>
      <c r="BF103" s="405"/>
      <c r="BG103" s="132">
        <f t="shared" si="104"/>
        <v>4.2283298097251579E-2</v>
      </c>
      <c r="BH103" s="132">
        <f t="shared" si="105"/>
        <v>0.5137420718816067</v>
      </c>
      <c r="BI103" s="197"/>
      <c r="BJ103" s="197"/>
      <c r="BK103" s="405"/>
      <c r="BL103" s="132">
        <f t="shared" si="106"/>
        <v>2.802586477665342E-2</v>
      </c>
      <c r="BM103" s="132">
        <f t="shared" si="107"/>
        <v>0.52122850861021208</v>
      </c>
      <c r="BN103" s="405"/>
      <c r="BO103" s="132">
        <f t="shared" si="108"/>
        <v>2.8753993610223641E-2</v>
      </c>
      <c r="BP103" s="132">
        <f t="shared" si="109"/>
        <v>0.55271565495207675</v>
      </c>
      <c r="BQ103" s="197"/>
      <c r="BR103" s="197"/>
      <c r="BS103" s="197"/>
      <c r="BT103" s="132">
        <f t="shared" si="110"/>
        <v>9.301433877860768E-2</v>
      </c>
      <c r="BU103" s="132">
        <f t="shared" si="111"/>
        <v>0.59328194272476742</v>
      </c>
      <c r="BV103" s="197"/>
      <c r="BW103" s="132">
        <f t="shared" si="112"/>
        <v>9.2571428571428568E-2</v>
      </c>
      <c r="BX103" s="132">
        <f t="shared" si="113"/>
        <v>0.59885714285714275</v>
      </c>
      <c r="BY103" s="132">
        <f t="shared" si="114"/>
        <v>2.2850509401396078E-2</v>
      </c>
      <c r="BZ103" s="132">
        <f t="shared" si="115"/>
        <v>0.52883043883364644</v>
      </c>
      <c r="CA103" s="132">
        <f t="shared" si="116"/>
        <v>1.9943019943019946E-2</v>
      </c>
      <c r="CB103" s="132">
        <f t="shared" si="115"/>
        <v>0.54700854700854706</v>
      </c>
      <c r="CC103" s="132">
        <f t="shared" si="117"/>
        <v>1.9892912917379341E-2</v>
      </c>
      <c r="CD103" s="132">
        <f t="shared" si="115"/>
        <v>0.42583227981458066</v>
      </c>
      <c r="CE103" s="132">
        <f t="shared" si="118"/>
        <v>2.3752969121140142E-2</v>
      </c>
      <c r="CF103" s="132">
        <f t="shared" si="115"/>
        <v>0.4608076009501188</v>
      </c>
      <c r="CG103" s="132"/>
      <c r="CH103" s="132">
        <f t="shared" si="120"/>
        <v>3.6002611160231041E-2</v>
      </c>
      <c r="CI103" s="132">
        <f t="shared" si="115"/>
        <v>0.3961691965724391</v>
      </c>
      <c r="CJ103" s="132">
        <f t="shared" si="122"/>
        <v>3.4545454545454546E-2</v>
      </c>
      <c r="CK103" s="132">
        <f t="shared" si="115"/>
        <v>0.39272727272727276</v>
      </c>
      <c r="CL103" s="197"/>
      <c r="CM103" s="132">
        <f t="shared" si="124"/>
        <v>4.080647638270337E-2</v>
      </c>
      <c r="CN103" s="132">
        <f t="shared" si="125"/>
        <v>0.51857133454728943</v>
      </c>
      <c r="CO103" s="132">
        <f t="shared" si="126"/>
        <v>3.396226415094341E-2</v>
      </c>
      <c r="CP103" s="132">
        <f t="shared" si="127"/>
        <v>0.49811320754716987</v>
      </c>
      <c r="CQ103" s="160"/>
      <c r="CR103" s="160"/>
      <c r="CS103" s="160"/>
      <c r="CT103" s="160"/>
      <c r="CU103" s="160"/>
      <c r="CV103" s="160"/>
      <c r="CW103" s="160"/>
      <c r="CX103" s="160"/>
      <c r="CY103" s="160"/>
      <c r="CZ103" s="160"/>
      <c r="DA103" s="160"/>
      <c r="DB103" s="160"/>
      <c r="DC103" s="160"/>
      <c r="DD103" s="160"/>
      <c r="DE103" s="160"/>
      <c r="DF103" s="160"/>
      <c r="DG103" s="160"/>
      <c r="DH103" s="160"/>
      <c r="DI103" s="160"/>
    </row>
    <row r="104" spans="1:113" s="101" customFormat="1" x14ac:dyDescent="0.3">
      <c r="A104" s="160"/>
      <c r="B104" s="399"/>
      <c r="C104" s="262"/>
      <c r="D104" s="160"/>
      <c r="E104" s="262"/>
      <c r="F104" s="262"/>
      <c r="G104" s="156">
        <v>16</v>
      </c>
      <c r="H104" s="186">
        <f t="shared" si="92"/>
        <v>45198.75</v>
      </c>
      <c r="I104" s="457">
        <f t="shared" si="93"/>
        <v>172</v>
      </c>
      <c r="J104" s="459">
        <f t="shared" si="94"/>
        <v>172</v>
      </c>
      <c r="K104" s="460">
        <f t="shared" si="95"/>
        <v>172</v>
      </c>
      <c r="L104" s="457">
        <f t="shared" si="96"/>
        <v>140</v>
      </c>
      <c r="M104" s="471">
        <f t="shared" si="97"/>
        <v>275</v>
      </c>
      <c r="N104" s="457">
        <v>444</v>
      </c>
      <c r="O104" s="471">
        <v>438</v>
      </c>
      <c r="P104" s="197"/>
      <c r="Q104" s="197"/>
      <c r="R104" s="197"/>
      <c r="S104" s="197"/>
      <c r="T104" s="197"/>
      <c r="U104" s="197"/>
      <c r="V104" s="69"/>
      <c r="W104" s="197"/>
      <c r="X104" s="197"/>
      <c r="Y104" s="359"/>
      <c r="Z104" s="426"/>
      <c r="AA104" s="427"/>
      <c r="AB104" s="359"/>
      <c r="AC104" s="97"/>
      <c r="AD104" s="97"/>
      <c r="AE104" s="95"/>
      <c r="AF104" s="105"/>
      <c r="AG104" s="95"/>
      <c r="AH104" s="105"/>
      <c r="AI104" s="359"/>
      <c r="AJ104" s="71"/>
      <c r="AK104" s="444"/>
      <c r="AL104" s="71"/>
      <c r="AM104" s="359"/>
      <c r="AN104" s="198"/>
      <c r="AO104" s="444"/>
      <c r="AP104" s="71"/>
      <c r="AQ104" s="359"/>
      <c r="AR104" s="197">
        <v>16</v>
      </c>
      <c r="AS104" s="197"/>
      <c r="AT104" s="197"/>
      <c r="AU104" s="197"/>
      <c r="AV104" s="197"/>
      <c r="AW104" s="132">
        <f t="shared" si="98"/>
        <v>3.9492242595204514E-2</v>
      </c>
      <c r="AX104" s="132">
        <f t="shared" si="99"/>
        <v>0.48639935522869238</v>
      </c>
      <c r="AY104" s="132">
        <f t="shared" si="100"/>
        <v>4.4444444444444446E-2</v>
      </c>
      <c r="AZ104" s="132">
        <f t="shared" si="101"/>
        <v>0.46111111111111108</v>
      </c>
      <c r="BA104" s="197"/>
      <c r="BB104" s="197"/>
      <c r="BC104" s="405"/>
      <c r="BD104" s="132">
        <f t="shared" si="102"/>
        <v>4.2011019283746558E-2</v>
      </c>
      <c r="BE104" s="132">
        <f t="shared" si="103"/>
        <v>0.55884200860277411</v>
      </c>
      <c r="BF104" s="405"/>
      <c r="BG104" s="132">
        <f t="shared" si="104"/>
        <v>4.8625792811839319E-2</v>
      </c>
      <c r="BH104" s="132">
        <f t="shared" si="105"/>
        <v>0.56236786469344602</v>
      </c>
      <c r="BI104" s="197"/>
      <c r="BJ104" s="197"/>
      <c r="BK104" s="405"/>
      <c r="BL104" s="132">
        <f t="shared" si="106"/>
        <v>2.9586081636554823E-2</v>
      </c>
      <c r="BM104" s="132">
        <f t="shared" si="107"/>
        <v>0.55081459024676693</v>
      </c>
      <c r="BN104" s="405"/>
      <c r="BO104" s="132">
        <f t="shared" si="108"/>
        <v>3.0351437699680513E-2</v>
      </c>
      <c r="BP104" s="132">
        <f t="shared" si="109"/>
        <v>0.58306709265175727</v>
      </c>
      <c r="BQ104" s="197"/>
      <c r="BR104" s="197"/>
      <c r="BS104" s="197"/>
      <c r="BT104" s="132">
        <f t="shared" si="110"/>
        <v>3.9868993889044226E-2</v>
      </c>
      <c r="BU104" s="132">
        <f t="shared" si="111"/>
        <v>0.63315093661381161</v>
      </c>
      <c r="BV104" s="197"/>
      <c r="BW104" s="132">
        <f t="shared" si="112"/>
        <v>4.2285714285714288E-2</v>
      </c>
      <c r="BX104" s="132">
        <f t="shared" si="113"/>
        <v>0.64114285714285701</v>
      </c>
      <c r="BY104" s="132">
        <f t="shared" si="114"/>
        <v>4.1057599780048568E-2</v>
      </c>
      <c r="BZ104" s="132">
        <f t="shared" si="115"/>
        <v>0.56988803861369497</v>
      </c>
      <c r="CA104" s="132">
        <f t="shared" si="116"/>
        <v>3.4188034188034191E-2</v>
      </c>
      <c r="CB104" s="132">
        <f t="shared" si="115"/>
        <v>0.58119658119658124</v>
      </c>
      <c r="CC104" s="132">
        <f t="shared" si="117"/>
        <v>3.7592027961627132E-2</v>
      </c>
      <c r="CD104" s="132">
        <f t="shared" si="115"/>
        <v>0.4634243077762078</v>
      </c>
      <c r="CE104" s="132">
        <f t="shared" si="118"/>
        <v>4.0380047505938245E-2</v>
      </c>
      <c r="CF104" s="132">
        <f t="shared" si="115"/>
        <v>0.50118764845605701</v>
      </c>
      <c r="CG104" s="132"/>
      <c r="CH104" s="132">
        <f t="shared" si="120"/>
        <v>4.9463307414538214E-2</v>
      </c>
      <c r="CI104" s="132">
        <f t="shared" si="115"/>
        <v>0.44563250398697729</v>
      </c>
      <c r="CJ104" s="132">
        <f t="shared" si="122"/>
        <v>4.1818181818181817E-2</v>
      </c>
      <c r="CK104" s="132">
        <f t="shared" si="115"/>
        <v>0.43454545454545457</v>
      </c>
      <c r="CL104" s="197"/>
      <c r="CM104" s="132">
        <f t="shared" si="124"/>
        <v>4.1157499835457835E-2</v>
      </c>
      <c r="CN104" s="132">
        <f t="shared" si="125"/>
        <v>0.55972883438274723</v>
      </c>
      <c r="CO104" s="132">
        <f t="shared" si="126"/>
        <v>3.773584905660371E-2</v>
      </c>
      <c r="CP104" s="132">
        <f t="shared" si="127"/>
        <v>0.53584905660377358</v>
      </c>
      <c r="CQ104" s="160"/>
      <c r="CR104" s="160"/>
      <c r="CS104" s="160"/>
      <c r="CT104" s="160"/>
      <c r="CU104" s="160"/>
      <c r="CV104" s="160"/>
      <c r="CW104" s="160"/>
      <c r="CX104" s="160"/>
      <c r="CY104" s="160"/>
      <c r="CZ104" s="160"/>
      <c r="DA104" s="160"/>
      <c r="DB104" s="160"/>
      <c r="DC104" s="160"/>
      <c r="DD104" s="160"/>
      <c r="DE104" s="160"/>
      <c r="DF104" s="160"/>
      <c r="DG104" s="160"/>
      <c r="DH104" s="160"/>
      <c r="DI104" s="160"/>
    </row>
    <row r="105" spans="1:113" s="101" customFormat="1" x14ac:dyDescent="0.3">
      <c r="A105" s="160"/>
      <c r="B105" s="399"/>
      <c r="C105" s="262"/>
      <c r="D105" s="160"/>
      <c r="E105" s="262"/>
      <c r="F105" s="262"/>
      <c r="G105" s="156">
        <v>17</v>
      </c>
      <c r="H105" s="186">
        <f t="shared" si="92"/>
        <v>45199.75</v>
      </c>
      <c r="I105" s="457">
        <f t="shared" si="93"/>
        <v>175</v>
      </c>
      <c r="J105" s="459">
        <f t="shared" si="94"/>
        <v>175</v>
      </c>
      <c r="K105" s="460">
        <f t="shared" si="95"/>
        <v>175</v>
      </c>
      <c r="L105" s="457">
        <f t="shared" si="96"/>
        <v>146</v>
      </c>
      <c r="M105" s="471">
        <f t="shared" si="97"/>
        <v>286</v>
      </c>
      <c r="N105" s="457">
        <v>487</v>
      </c>
      <c r="O105" s="471">
        <v>471</v>
      </c>
      <c r="P105" s="197"/>
      <c r="Q105" s="197"/>
      <c r="R105" s="197"/>
      <c r="S105" s="197"/>
      <c r="T105" s="197"/>
      <c r="U105" s="197"/>
      <c r="V105" s="69"/>
      <c r="W105" s="197"/>
      <c r="X105" s="197"/>
      <c r="Y105" s="359"/>
      <c r="Z105" s="426"/>
      <c r="AA105" s="427"/>
      <c r="AB105" s="359"/>
      <c r="AC105" s="97"/>
      <c r="AD105" s="97"/>
      <c r="AE105" s="95"/>
      <c r="AF105" s="105"/>
      <c r="AG105" s="95"/>
      <c r="AH105" s="105"/>
      <c r="AI105" s="359"/>
      <c r="AJ105" s="71"/>
      <c r="AK105" s="444"/>
      <c r="AL105" s="71"/>
      <c r="AM105" s="359"/>
      <c r="AN105" s="198"/>
      <c r="AO105" s="444"/>
      <c r="AP105" s="71"/>
      <c r="AQ105" s="359"/>
      <c r="AR105" s="197">
        <v>17</v>
      </c>
      <c r="AS105" s="197"/>
      <c r="AT105" s="197"/>
      <c r="AU105" s="197"/>
      <c r="AV105" s="197"/>
      <c r="AW105" s="132">
        <f t="shared" si="98"/>
        <v>1.7811807374571834E-2</v>
      </c>
      <c r="AX105" s="132">
        <f t="shared" si="99"/>
        <v>0.50421116260326426</v>
      </c>
      <c r="AY105" s="132">
        <f t="shared" si="100"/>
        <v>1.6666666666666666E-2</v>
      </c>
      <c r="AZ105" s="132">
        <f t="shared" si="101"/>
        <v>0.47777777777777775</v>
      </c>
      <c r="BA105" s="197"/>
      <c r="BB105" s="197"/>
      <c r="BC105" s="405"/>
      <c r="BD105" s="132">
        <f t="shared" si="102"/>
        <v>6.3699192885795758E-2</v>
      </c>
      <c r="BE105" s="132">
        <f t="shared" si="103"/>
        <v>0.62254120148856984</v>
      </c>
      <c r="BF105" s="405"/>
      <c r="BG105" s="132">
        <f t="shared" si="104"/>
        <v>6.9767441860465115E-2</v>
      </c>
      <c r="BH105" s="132">
        <f t="shared" si="105"/>
        <v>0.63213530655391115</v>
      </c>
      <c r="BI105" s="197"/>
      <c r="BJ105" s="197"/>
      <c r="BK105" s="405"/>
      <c r="BL105" s="132">
        <f t="shared" si="106"/>
        <v>3.8332855367555679E-2</v>
      </c>
      <c r="BM105" s="132">
        <f t="shared" si="107"/>
        <v>0.58914744561432264</v>
      </c>
      <c r="BN105" s="405"/>
      <c r="BO105" s="132">
        <f t="shared" si="108"/>
        <v>2.0766773162939296E-2</v>
      </c>
      <c r="BP105" s="132">
        <f t="shared" si="109"/>
        <v>0.60383386581469656</v>
      </c>
      <c r="BQ105" s="197"/>
      <c r="BR105" s="197"/>
      <c r="BS105" s="197"/>
      <c r="BT105" s="132">
        <f t="shared" si="110"/>
        <v>3.9916922954028045E-2</v>
      </c>
      <c r="BU105" s="132">
        <f t="shared" si="111"/>
        <v>0.67306785956783965</v>
      </c>
      <c r="BV105" s="197"/>
      <c r="BW105" s="132">
        <f t="shared" si="112"/>
        <v>3.8857142857142861E-2</v>
      </c>
      <c r="BX105" s="132">
        <f t="shared" si="113"/>
        <v>0.67999999999999983</v>
      </c>
      <c r="BY105" s="132">
        <f t="shared" si="114"/>
        <v>3.6902961707067458E-2</v>
      </c>
      <c r="BZ105" s="132">
        <f t="shared" si="115"/>
        <v>0.60679100032076239</v>
      </c>
      <c r="CA105" s="132">
        <f t="shared" si="116"/>
        <v>3.9886039886039892E-2</v>
      </c>
      <c r="CB105" s="132">
        <f t="shared" si="115"/>
        <v>0.62108262108262113</v>
      </c>
      <c r="CC105" s="132">
        <f t="shared" si="117"/>
        <v>8.4083190798443272E-2</v>
      </c>
      <c r="CD105" s="132">
        <f t="shared" si="115"/>
        <v>0.54750749857465109</v>
      </c>
      <c r="CE105" s="132">
        <f t="shared" si="118"/>
        <v>0.10213776722090261</v>
      </c>
      <c r="CF105" s="132">
        <f t="shared" si="115"/>
        <v>0.60332541567695963</v>
      </c>
      <c r="CG105" s="132"/>
      <c r="CH105" s="132">
        <f t="shared" si="120"/>
        <v>5.0363992430940599E-2</v>
      </c>
      <c r="CI105" s="132">
        <f t="shared" si="115"/>
        <v>0.49599649641791788</v>
      </c>
      <c r="CJ105" s="132">
        <f t="shared" si="122"/>
        <v>4.7272727272727272E-2</v>
      </c>
      <c r="CK105" s="132">
        <f t="shared" si="115"/>
        <v>0.48181818181818181</v>
      </c>
      <c r="CL105" s="197"/>
      <c r="CM105" s="132">
        <f t="shared" si="124"/>
        <v>3.8656457734582289E-2</v>
      </c>
      <c r="CN105" s="132">
        <f t="shared" si="125"/>
        <v>0.59838529211732949</v>
      </c>
      <c r="CO105" s="132">
        <f t="shared" si="126"/>
        <v>3.396226415094341E-2</v>
      </c>
      <c r="CP105" s="132">
        <f t="shared" si="127"/>
        <v>0.56981132075471697</v>
      </c>
      <c r="CQ105" s="160"/>
      <c r="CR105" s="160"/>
      <c r="CS105" s="160"/>
      <c r="CT105" s="160"/>
      <c r="CU105" s="160"/>
      <c r="CV105" s="160"/>
      <c r="CW105" s="160"/>
      <c r="CX105" s="160"/>
      <c r="CY105" s="160"/>
      <c r="CZ105" s="160"/>
      <c r="DA105" s="160"/>
      <c r="DB105" s="160"/>
      <c r="DC105" s="160"/>
      <c r="DD105" s="160"/>
      <c r="DE105" s="160"/>
      <c r="DF105" s="160"/>
      <c r="DG105" s="160"/>
      <c r="DH105" s="160"/>
      <c r="DI105" s="160"/>
    </row>
    <row r="106" spans="1:113" s="101" customFormat="1" x14ac:dyDescent="0.3">
      <c r="A106" s="160"/>
      <c r="B106" s="399"/>
      <c r="C106" s="262"/>
      <c r="D106" s="160"/>
      <c r="E106" s="262"/>
      <c r="F106" s="262"/>
      <c r="G106" s="156">
        <v>18</v>
      </c>
      <c r="H106" s="186">
        <f t="shared" si="92"/>
        <v>45200.75</v>
      </c>
      <c r="I106" s="457">
        <f t="shared" si="93"/>
        <v>186</v>
      </c>
      <c r="J106" s="459">
        <f t="shared" si="94"/>
        <v>186</v>
      </c>
      <c r="K106" s="460">
        <f t="shared" si="95"/>
        <v>186</v>
      </c>
      <c r="L106" s="457">
        <f t="shared" si="96"/>
        <v>150</v>
      </c>
      <c r="M106" s="471">
        <f t="shared" si="97"/>
        <v>298</v>
      </c>
      <c r="N106" s="457">
        <v>514</v>
      </c>
      <c r="O106" s="471">
        <v>491</v>
      </c>
      <c r="P106" s="197"/>
      <c r="Q106" s="197"/>
      <c r="R106" s="197"/>
      <c r="S106" s="197"/>
      <c r="T106" s="197"/>
      <c r="U106" s="197"/>
      <c r="V106" s="69"/>
      <c r="W106" s="197"/>
      <c r="X106" s="197"/>
      <c r="Y106" s="359"/>
      <c r="Z106" s="426"/>
      <c r="AA106" s="427"/>
      <c r="AB106" s="359"/>
      <c r="AC106" s="97"/>
      <c r="AD106" s="97"/>
      <c r="AE106" s="95"/>
      <c r="AF106" s="105"/>
      <c r="AG106" s="95"/>
      <c r="AH106" s="105"/>
      <c r="AI106" s="359"/>
      <c r="AJ106" s="71"/>
      <c r="AK106" s="444"/>
      <c r="AL106" s="71"/>
      <c r="AM106" s="359"/>
      <c r="AN106" s="198"/>
      <c r="AO106" s="444"/>
      <c r="AP106" s="71"/>
      <c r="AQ106" s="359"/>
      <c r="AR106" s="197">
        <v>18</v>
      </c>
      <c r="AS106" s="197"/>
      <c r="AT106" s="197"/>
      <c r="AU106" s="197"/>
      <c r="AV106" s="197"/>
      <c r="AW106" s="132">
        <f t="shared" si="98"/>
        <v>5.3113036469877098E-2</v>
      </c>
      <c r="AX106" s="132">
        <f t="shared" si="99"/>
        <v>0.55732419907314135</v>
      </c>
      <c r="AY106" s="132">
        <f t="shared" si="100"/>
        <v>6.1111111111111116E-2</v>
      </c>
      <c r="AZ106" s="132">
        <f t="shared" si="101"/>
        <v>0.53888888888888886</v>
      </c>
      <c r="BA106" s="197"/>
      <c r="BB106" s="197"/>
      <c r="BC106" s="405"/>
      <c r="BD106" s="132">
        <f t="shared" si="102"/>
        <v>3.8072108646271328E-2</v>
      </c>
      <c r="BE106" s="132">
        <f t="shared" si="103"/>
        <v>0.66061331013484115</v>
      </c>
      <c r="BF106" s="405"/>
      <c r="BG106" s="132">
        <f t="shared" si="104"/>
        <v>4.2283298097251579E-2</v>
      </c>
      <c r="BH106" s="132">
        <f t="shared" si="105"/>
        <v>0.67441860465116277</v>
      </c>
      <c r="BI106" s="197"/>
      <c r="BJ106" s="197"/>
      <c r="BK106" s="405"/>
      <c r="BL106" s="132">
        <f t="shared" si="106"/>
        <v>4.0756824668496595E-2</v>
      </c>
      <c r="BM106" s="132">
        <f t="shared" si="107"/>
        <v>0.62990427028281926</v>
      </c>
      <c r="BN106" s="405"/>
      <c r="BO106" s="132">
        <f t="shared" si="108"/>
        <v>3.9936102236421724E-2</v>
      </c>
      <c r="BP106" s="132">
        <f t="shared" si="109"/>
        <v>0.6437699680511183</v>
      </c>
      <c r="BQ106" s="197"/>
      <c r="BR106" s="197"/>
      <c r="BS106" s="197"/>
      <c r="BT106" s="132">
        <f t="shared" si="110"/>
        <v>3.8806566281902793E-2</v>
      </c>
      <c r="BU106" s="132">
        <f t="shared" si="111"/>
        <v>0.71187442584974248</v>
      </c>
      <c r="BV106" s="197"/>
      <c r="BW106" s="132">
        <f t="shared" si="112"/>
        <v>0.04</v>
      </c>
      <c r="BX106" s="132">
        <f t="shared" si="113"/>
        <v>0.71999999999999986</v>
      </c>
      <c r="BY106" s="132">
        <f t="shared" si="114"/>
        <v>3.804854205807328E-2</v>
      </c>
      <c r="BZ106" s="132">
        <f t="shared" si="115"/>
        <v>0.64483954237883567</v>
      </c>
      <c r="CA106" s="132">
        <f t="shared" si="116"/>
        <v>3.9886039886039892E-2</v>
      </c>
      <c r="CB106" s="132">
        <f t="shared" si="115"/>
        <v>0.66096866096866103</v>
      </c>
      <c r="CC106" s="132">
        <f t="shared" si="117"/>
        <v>6.371929302694529E-2</v>
      </c>
      <c r="CD106" s="132">
        <f t="shared" si="115"/>
        <v>0.61122679160159632</v>
      </c>
      <c r="CE106" s="132">
        <f t="shared" si="118"/>
        <v>6.413301662707839E-2</v>
      </c>
      <c r="CF106" s="132">
        <f t="shared" si="115"/>
        <v>0.66745843230403801</v>
      </c>
      <c r="CG106" s="132"/>
      <c r="CH106" s="132">
        <f t="shared" si="120"/>
        <v>4.8529569736983455E-2</v>
      </c>
      <c r="CI106" s="132">
        <f t="shared" si="115"/>
        <v>0.54452606615490129</v>
      </c>
      <c r="CJ106" s="132">
        <f t="shared" si="122"/>
        <v>5.454545454545455E-2</v>
      </c>
      <c r="CK106" s="132">
        <f t="shared" si="115"/>
        <v>0.53636363636363638</v>
      </c>
      <c r="CL106" s="197"/>
      <c r="CM106" s="132">
        <f t="shared" si="124"/>
        <v>5.7523968320133428E-2</v>
      </c>
      <c r="CN106" s="132">
        <f t="shared" si="125"/>
        <v>0.65590926043746289</v>
      </c>
      <c r="CO106" s="132">
        <f t="shared" si="126"/>
        <v>6.4150943396226387E-2</v>
      </c>
      <c r="CP106" s="132">
        <f t="shared" si="127"/>
        <v>0.63396226415094337</v>
      </c>
      <c r="CQ106" s="160"/>
      <c r="CR106" s="160"/>
      <c r="CS106" s="160"/>
      <c r="CT106" s="160"/>
      <c r="CU106" s="160"/>
      <c r="CV106" s="160"/>
      <c r="CW106" s="160"/>
      <c r="CX106" s="160"/>
      <c r="CY106" s="160"/>
      <c r="CZ106" s="160"/>
      <c r="DA106" s="160"/>
      <c r="DB106" s="160"/>
      <c r="DC106" s="160"/>
      <c r="DD106" s="160"/>
      <c r="DE106" s="160"/>
      <c r="DF106" s="160"/>
      <c r="DG106" s="160"/>
      <c r="DH106" s="160"/>
      <c r="DI106" s="160"/>
    </row>
    <row r="107" spans="1:113" s="101" customFormat="1" x14ac:dyDescent="0.3">
      <c r="A107" s="160"/>
      <c r="B107" s="399"/>
      <c r="C107" s="262"/>
      <c r="D107" s="160"/>
      <c r="E107" s="262"/>
      <c r="F107" s="262"/>
      <c r="G107" s="156">
        <v>19</v>
      </c>
      <c r="H107" s="186">
        <f t="shared" si="92"/>
        <v>45201.75</v>
      </c>
      <c r="I107" s="457">
        <f t="shared" si="93"/>
        <v>198</v>
      </c>
      <c r="J107" s="459">
        <f t="shared" si="94"/>
        <v>198</v>
      </c>
      <c r="K107" s="460">
        <f t="shared" si="95"/>
        <v>198</v>
      </c>
      <c r="L107" s="457">
        <f t="shared" si="96"/>
        <v>155</v>
      </c>
      <c r="M107" s="471">
        <f t="shared" si="97"/>
        <v>319</v>
      </c>
      <c r="N107" s="457">
        <v>549</v>
      </c>
      <c r="O107" s="471">
        <v>519</v>
      </c>
      <c r="P107" s="197"/>
      <c r="Q107" s="197"/>
      <c r="R107" s="197"/>
      <c r="S107" s="197"/>
      <c r="T107" s="197"/>
      <c r="U107" s="197"/>
      <c r="V107" s="69"/>
      <c r="W107" s="197"/>
      <c r="X107" s="197"/>
      <c r="Y107" s="359"/>
      <c r="Z107" s="426"/>
      <c r="AA107" s="427"/>
      <c r="AB107" s="359"/>
      <c r="AC107" s="97"/>
      <c r="AD107" s="97"/>
      <c r="AE107" s="95"/>
      <c r="AF107" s="105"/>
      <c r="AG107" s="95"/>
      <c r="AH107" s="105"/>
      <c r="AI107" s="359"/>
      <c r="AJ107" s="71"/>
      <c r="AK107" s="444"/>
      <c r="AL107" s="71"/>
      <c r="AM107" s="359"/>
      <c r="AN107" s="198"/>
      <c r="AO107" s="444"/>
      <c r="AP107" s="71"/>
      <c r="AQ107" s="359"/>
      <c r="AR107" s="197">
        <v>19</v>
      </c>
      <c r="AS107" s="197"/>
      <c r="AT107" s="197"/>
      <c r="AU107" s="197"/>
      <c r="AV107" s="197"/>
      <c r="AW107" s="132">
        <f t="shared" si="98"/>
        <v>5.8230908724561763E-2</v>
      </c>
      <c r="AX107" s="132">
        <f t="shared" si="99"/>
        <v>0.61555510779770306</v>
      </c>
      <c r="AY107" s="132">
        <f t="shared" si="100"/>
        <v>6.6666666666666666E-2</v>
      </c>
      <c r="AZ107" s="132">
        <f t="shared" si="101"/>
        <v>0.60555555555555551</v>
      </c>
      <c r="BA107" s="197"/>
      <c r="BB107" s="197"/>
      <c r="BC107" s="405"/>
      <c r="BD107" s="132">
        <f t="shared" si="102"/>
        <v>5.445604369049345E-2</v>
      </c>
      <c r="BE107" s="132">
        <f t="shared" si="103"/>
        <v>0.71506935382533454</v>
      </c>
      <c r="BF107" s="405"/>
      <c r="BG107" s="132">
        <f t="shared" si="104"/>
        <v>5.9196617336152217E-2</v>
      </c>
      <c r="BH107" s="132">
        <f t="shared" si="105"/>
        <v>0.73361522198731499</v>
      </c>
      <c r="BI107" s="197"/>
      <c r="BJ107" s="197"/>
      <c r="BK107" s="405"/>
      <c r="BL107" s="132">
        <f t="shared" si="106"/>
        <v>6.4214702227320522E-2</v>
      </c>
      <c r="BM107" s="132">
        <f t="shared" si="107"/>
        <v>0.69411897251013976</v>
      </c>
      <c r="BN107" s="405"/>
      <c r="BO107" s="132">
        <f t="shared" si="108"/>
        <v>6.3897763578274758E-2</v>
      </c>
      <c r="BP107" s="132">
        <f t="shared" si="109"/>
        <v>0.70766773162939312</v>
      </c>
      <c r="BQ107" s="197"/>
      <c r="BR107" s="197"/>
      <c r="BS107" s="197"/>
      <c r="BT107" s="132">
        <f t="shared" si="110"/>
        <v>7.2428805368055293E-2</v>
      </c>
      <c r="BU107" s="132">
        <f t="shared" si="111"/>
        <v>0.78430323121779777</v>
      </c>
      <c r="BV107" s="197"/>
      <c r="BW107" s="132">
        <f t="shared" si="112"/>
        <v>7.3142857142857148E-2</v>
      </c>
      <c r="BX107" s="132">
        <f t="shared" si="113"/>
        <v>0.79314285714285704</v>
      </c>
      <c r="BY107" s="132">
        <f t="shared" si="114"/>
        <v>7.154531152148344E-2</v>
      </c>
      <c r="BZ107" s="132">
        <f t="shared" ref="BZ107:CK109" si="128">BZ106+BY107</f>
        <v>0.71638485390031914</v>
      </c>
      <c r="CA107" s="132">
        <f t="shared" si="116"/>
        <v>6.8376068376068383E-2</v>
      </c>
      <c r="CB107" s="132">
        <f t="shared" si="128"/>
        <v>0.72934472934472938</v>
      </c>
      <c r="CC107" s="132">
        <f t="shared" si="117"/>
        <v>0.11397833469671055</v>
      </c>
      <c r="CD107" s="132">
        <f t="shared" si="128"/>
        <v>0.72520512629830691</v>
      </c>
      <c r="CE107" s="132">
        <f t="shared" si="118"/>
        <v>8.3135391923990498E-2</v>
      </c>
      <c r="CF107" s="132">
        <f t="shared" si="128"/>
        <v>0.75059382422802856</v>
      </c>
      <c r="CG107" s="132"/>
      <c r="CH107" s="132">
        <f t="shared" si="120"/>
        <v>6.7113428469909683E-2</v>
      </c>
      <c r="CI107" s="132">
        <f t="shared" si="128"/>
        <v>0.61163949462481093</v>
      </c>
      <c r="CJ107" s="132">
        <f t="shared" si="122"/>
        <v>6.545454545454546E-2</v>
      </c>
      <c r="CK107" s="132">
        <f t="shared" si="128"/>
        <v>0.60181818181818181</v>
      </c>
      <c r="CL107" s="197"/>
      <c r="CM107" s="132">
        <f t="shared" si="124"/>
        <v>6.3952085298699071E-2</v>
      </c>
      <c r="CN107" s="132">
        <f t="shared" si="125"/>
        <v>0.71986134573616201</v>
      </c>
      <c r="CO107" s="132">
        <f t="shared" si="126"/>
        <v>6.4150943396226387E-2</v>
      </c>
      <c r="CP107" s="132">
        <f t="shared" si="127"/>
        <v>0.69811320754716977</v>
      </c>
      <c r="CQ107" s="160"/>
      <c r="CR107" s="160"/>
      <c r="CS107" s="160"/>
      <c r="CT107" s="160"/>
      <c r="CU107" s="160"/>
      <c r="CV107" s="160"/>
      <c r="CW107" s="160"/>
      <c r="CX107" s="160"/>
      <c r="CY107" s="160"/>
      <c r="CZ107" s="160"/>
      <c r="DA107" s="160"/>
      <c r="DB107" s="160"/>
      <c r="DC107" s="160"/>
      <c r="DD107" s="160"/>
      <c r="DE107" s="160"/>
      <c r="DF107" s="160"/>
      <c r="DG107" s="160"/>
      <c r="DH107" s="160"/>
      <c r="DI107" s="160"/>
    </row>
    <row r="108" spans="1:113" s="101" customFormat="1" x14ac:dyDescent="0.3">
      <c r="A108" s="160"/>
      <c r="B108" s="399"/>
      <c r="C108" s="262"/>
      <c r="D108" s="160"/>
      <c r="E108" s="262"/>
      <c r="F108" s="262"/>
      <c r="G108" s="156">
        <v>20</v>
      </c>
      <c r="H108" s="186">
        <f t="shared" si="92"/>
        <v>45202.75</v>
      </c>
      <c r="I108" s="457">
        <f t="shared" si="93"/>
        <v>227</v>
      </c>
      <c r="J108" s="459">
        <f t="shared" si="94"/>
        <v>227</v>
      </c>
      <c r="K108" s="460">
        <f t="shared" si="95"/>
        <v>227</v>
      </c>
      <c r="L108" s="457">
        <f t="shared" si="96"/>
        <v>162</v>
      </c>
      <c r="M108" s="471">
        <f t="shared" si="97"/>
        <v>339</v>
      </c>
      <c r="N108" s="457">
        <v>584</v>
      </c>
      <c r="O108" s="471">
        <v>558</v>
      </c>
      <c r="P108" s="197"/>
      <c r="Q108" s="197"/>
      <c r="R108" s="197"/>
      <c r="S108" s="197"/>
      <c r="T108" s="197"/>
      <c r="U108" s="197"/>
      <c r="V108" s="69"/>
      <c r="W108" s="197"/>
      <c r="X108" s="197"/>
      <c r="Y108" s="359"/>
      <c r="Z108" s="426"/>
      <c r="AA108" s="427"/>
      <c r="AB108" s="359"/>
      <c r="AC108" s="97"/>
      <c r="AD108" s="97"/>
      <c r="AE108" s="95"/>
      <c r="AF108" s="105"/>
      <c r="AG108" s="95"/>
      <c r="AH108" s="105"/>
      <c r="AI108" s="359"/>
      <c r="AJ108" s="71"/>
      <c r="AK108" s="444"/>
      <c r="AL108" s="71"/>
      <c r="AM108" s="359"/>
      <c r="AN108" s="198"/>
      <c r="AO108" s="444"/>
      <c r="AP108" s="71"/>
      <c r="AQ108" s="359"/>
      <c r="AR108" s="197">
        <v>20</v>
      </c>
      <c r="AS108" s="197"/>
      <c r="AT108" s="197"/>
      <c r="AU108" s="197"/>
      <c r="AV108" s="197"/>
      <c r="AW108" s="132">
        <f t="shared" si="98"/>
        <v>0.1382228490832158</v>
      </c>
      <c r="AX108" s="132">
        <f t="shared" si="99"/>
        <v>0.75377795688091886</v>
      </c>
      <c r="AY108" s="132">
        <f t="shared" si="100"/>
        <v>0.16111111111111112</v>
      </c>
      <c r="AZ108" s="132">
        <f t="shared" si="101"/>
        <v>0.76666666666666661</v>
      </c>
      <c r="BA108" s="197"/>
      <c r="BB108" s="197"/>
      <c r="BC108" s="405"/>
      <c r="BD108" s="132">
        <f t="shared" si="102"/>
        <v>9.7916968730365872E-2</v>
      </c>
      <c r="BE108" s="132">
        <f t="shared" si="103"/>
        <v>0.81298632255570036</v>
      </c>
      <c r="BF108" s="405"/>
      <c r="BG108" s="132">
        <f t="shared" si="104"/>
        <v>8.2452431289640582E-2</v>
      </c>
      <c r="BH108" s="132">
        <f t="shared" si="105"/>
        <v>0.81606765327695552</v>
      </c>
      <c r="BI108" s="197"/>
      <c r="BJ108" s="197"/>
      <c r="BK108" s="405"/>
      <c r="BL108" s="132">
        <f t="shared" si="106"/>
        <v>0.10650101738429814</v>
      </c>
      <c r="BM108" s="132">
        <f t="shared" si="107"/>
        <v>0.80061998989443794</v>
      </c>
      <c r="BN108" s="405"/>
      <c r="BO108" s="132">
        <f t="shared" si="108"/>
        <v>0.10463258785942492</v>
      </c>
      <c r="BP108" s="132">
        <f t="shared" si="109"/>
        <v>0.81230031948881809</v>
      </c>
      <c r="BQ108" s="197"/>
      <c r="BR108" s="197"/>
      <c r="BS108" s="197"/>
      <c r="BT108" s="132">
        <f t="shared" si="110"/>
        <v>6.9585014179015067E-2</v>
      </c>
      <c r="BU108" s="132">
        <f t="shared" si="111"/>
        <v>0.85388824539681285</v>
      </c>
      <c r="BV108" s="197"/>
      <c r="BW108" s="132">
        <f t="shared" si="112"/>
        <v>7.0857142857142855E-2</v>
      </c>
      <c r="BX108" s="132">
        <f t="shared" si="113"/>
        <v>0.86399999999999988</v>
      </c>
      <c r="BY108" s="132">
        <f t="shared" si="114"/>
        <v>0.1154744993813866</v>
      </c>
      <c r="BZ108" s="132">
        <f t="shared" si="128"/>
        <v>0.83185935328170579</v>
      </c>
      <c r="CA108" s="132">
        <f t="shared" si="116"/>
        <v>0.11111111111111112</v>
      </c>
      <c r="CB108" s="132">
        <f t="shared" si="128"/>
        <v>0.84045584045584054</v>
      </c>
      <c r="CC108" s="132">
        <f t="shared" si="117"/>
        <v>9.5337249944225488E-2</v>
      </c>
      <c r="CD108" s="132">
        <f t="shared" si="128"/>
        <v>0.82054237624253235</v>
      </c>
      <c r="CE108" s="132">
        <f t="shared" si="118"/>
        <v>8.3135391923990498E-2</v>
      </c>
      <c r="CF108" s="132">
        <f t="shared" si="128"/>
        <v>0.83372921615201911</v>
      </c>
      <c r="CG108" s="132"/>
      <c r="CH108" s="132">
        <f t="shared" si="120"/>
        <v>5.6040786983862043E-2</v>
      </c>
      <c r="CI108" s="132">
        <f t="shared" si="128"/>
        <v>0.66768028160867299</v>
      </c>
      <c r="CJ108" s="132">
        <f t="shared" si="122"/>
        <v>7.0909090909090908E-2</v>
      </c>
      <c r="CK108" s="132">
        <f t="shared" si="128"/>
        <v>0.67272727272727273</v>
      </c>
      <c r="CL108" s="197"/>
      <c r="CM108" s="132">
        <f t="shared" si="124"/>
        <v>0.110484631754459</v>
      </c>
      <c r="CN108" s="132">
        <f t="shared" si="125"/>
        <v>0.830345977490621</v>
      </c>
      <c r="CO108" s="132">
        <f t="shared" si="126"/>
        <v>0.12452830188679247</v>
      </c>
      <c r="CP108" s="132">
        <f t="shared" si="127"/>
        <v>0.82264150943396219</v>
      </c>
      <c r="CQ108" s="160"/>
      <c r="CR108" s="160"/>
      <c r="CS108" s="160"/>
      <c r="CT108" s="160"/>
      <c r="CU108" s="160"/>
      <c r="CV108" s="160"/>
      <c r="CW108" s="160"/>
      <c r="CX108" s="160"/>
      <c r="CY108" s="160"/>
      <c r="CZ108" s="160"/>
      <c r="DA108" s="160"/>
      <c r="DB108" s="160"/>
      <c r="DC108" s="160"/>
      <c r="DD108" s="160"/>
      <c r="DE108" s="160"/>
      <c r="DF108" s="160"/>
      <c r="DG108" s="160"/>
      <c r="DH108" s="160"/>
      <c r="DI108" s="160"/>
    </row>
    <row r="109" spans="1:113" s="2" customFormat="1" x14ac:dyDescent="0.3">
      <c r="A109" s="144"/>
      <c r="B109" s="144"/>
      <c r="C109" s="161"/>
      <c r="D109" s="144"/>
      <c r="E109" s="161"/>
      <c r="F109" s="161"/>
      <c r="G109" s="156">
        <v>21</v>
      </c>
      <c r="H109" s="186">
        <f t="shared" si="92"/>
        <v>45203.75</v>
      </c>
      <c r="I109" s="461">
        <f t="shared" si="93"/>
        <v>269</v>
      </c>
      <c r="J109" s="462">
        <f t="shared" si="94"/>
        <v>243</v>
      </c>
      <c r="K109" s="463">
        <f t="shared" si="95"/>
        <v>266</v>
      </c>
      <c r="L109" s="472">
        <f t="shared" si="96"/>
        <v>178</v>
      </c>
      <c r="M109" s="463">
        <f t="shared" si="97"/>
        <v>378</v>
      </c>
      <c r="N109" s="480">
        <v>658</v>
      </c>
      <c r="O109" s="481">
        <v>645</v>
      </c>
      <c r="P109" s="39"/>
      <c r="Q109" s="39"/>
      <c r="R109" s="39"/>
      <c r="S109" s="39"/>
      <c r="T109" s="39"/>
      <c r="U109" s="39"/>
      <c r="V109" s="39"/>
      <c r="W109" s="39"/>
      <c r="X109" s="39"/>
      <c r="Y109" s="123"/>
      <c r="Z109" s="237"/>
      <c r="AA109" s="124"/>
      <c r="AB109" s="123"/>
      <c r="AC109" s="115"/>
      <c r="AD109" s="115"/>
      <c r="AE109" s="116"/>
      <c r="AF109" s="117"/>
      <c r="AG109" s="116"/>
      <c r="AH109" s="117"/>
      <c r="AI109" s="123"/>
      <c r="AJ109" s="80"/>
      <c r="AK109" s="126"/>
      <c r="AL109" s="80"/>
      <c r="AM109" s="123"/>
      <c r="AN109" s="54"/>
      <c r="AO109" s="126"/>
      <c r="AP109" s="52"/>
      <c r="AQ109" s="39"/>
      <c r="AR109" s="122">
        <v>21</v>
      </c>
      <c r="AS109" s="122"/>
      <c r="AT109" s="122"/>
      <c r="AU109" s="122"/>
      <c r="AV109" s="122"/>
      <c r="AW109" s="130">
        <f t="shared" si="98"/>
        <v>0.24622204311908122</v>
      </c>
      <c r="AX109" s="132">
        <f t="shared" si="99"/>
        <v>1</v>
      </c>
      <c r="AY109" s="130">
        <f t="shared" si="100"/>
        <v>0.23333333333333336</v>
      </c>
      <c r="AZ109" s="132">
        <f t="shared" si="101"/>
        <v>1</v>
      </c>
      <c r="BA109" s="39"/>
      <c r="BB109" s="39"/>
      <c r="BC109" s="358"/>
      <c r="BD109" s="130">
        <f t="shared" si="102"/>
        <v>0.18701367744429948</v>
      </c>
      <c r="BE109" s="132">
        <f t="shared" si="103"/>
        <v>0.99999999999999978</v>
      </c>
      <c r="BF109" s="358"/>
      <c r="BG109" s="130">
        <f t="shared" si="104"/>
        <v>0.1839323467230444</v>
      </c>
      <c r="BH109" s="132">
        <f t="shared" si="105"/>
        <v>0.99999999999999989</v>
      </c>
      <c r="BI109" s="39"/>
      <c r="BJ109" s="39"/>
      <c r="BK109" s="358"/>
      <c r="BL109" s="130">
        <f t="shared" si="106"/>
        <v>0.19938001010556214</v>
      </c>
      <c r="BM109" s="132">
        <f t="shared" si="107"/>
        <v>1</v>
      </c>
      <c r="BN109" s="358"/>
      <c r="BO109" s="130">
        <f t="shared" si="108"/>
        <v>0.1876996805111821</v>
      </c>
      <c r="BP109" s="132">
        <f t="shared" si="109"/>
        <v>1.0000000000000002</v>
      </c>
      <c r="BQ109" s="39"/>
      <c r="BR109" s="39"/>
      <c r="BS109" s="39"/>
      <c r="BT109" s="130">
        <f t="shared" si="110"/>
        <v>0.14611175460318732</v>
      </c>
      <c r="BU109" s="132">
        <f t="shared" si="111"/>
        <v>1.0000000000000002</v>
      </c>
      <c r="BV109" s="39"/>
      <c r="BW109" s="130">
        <f t="shared" si="112"/>
        <v>0.13599999999999998</v>
      </c>
      <c r="BX109" s="132">
        <f t="shared" si="113"/>
        <v>0.99999999999999989</v>
      </c>
      <c r="BY109" s="130">
        <f t="shared" si="114"/>
        <v>0.16814064671829412</v>
      </c>
      <c r="BZ109" s="130">
        <f t="shared" si="128"/>
        <v>0.99999999999999989</v>
      </c>
      <c r="CA109" s="130">
        <f t="shared" si="116"/>
        <v>0.15954415954415957</v>
      </c>
      <c r="CB109" s="65">
        <f t="shared" si="128"/>
        <v>1</v>
      </c>
      <c r="CC109" s="130">
        <f t="shared" si="117"/>
        <v>0.1794576237574676</v>
      </c>
      <c r="CD109" s="65">
        <f t="shared" si="128"/>
        <v>1</v>
      </c>
      <c r="CE109" s="130">
        <f t="shared" si="118"/>
        <v>0.166270783847981</v>
      </c>
      <c r="CF109" s="65">
        <f t="shared" si="128"/>
        <v>1</v>
      </c>
      <c r="CG109" s="65"/>
      <c r="CH109" s="130">
        <f t="shared" si="120"/>
        <v>0.33231971839132696</v>
      </c>
      <c r="CI109" s="131">
        <f t="shared" si="128"/>
        <v>1</v>
      </c>
      <c r="CJ109" s="130">
        <f t="shared" si="122"/>
        <v>0.32727272727272727</v>
      </c>
      <c r="CK109" s="131">
        <f t="shared" si="128"/>
        <v>1</v>
      </c>
      <c r="CL109" s="39"/>
      <c r="CM109" s="130">
        <f t="shared" si="124"/>
        <v>0.16965402250937897</v>
      </c>
      <c r="CN109" s="130">
        <f t="shared" si="125"/>
        <v>1</v>
      </c>
      <c r="CO109" s="130">
        <f t="shared" si="126"/>
        <v>0.17735849056603781</v>
      </c>
      <c r="CP109" s="130">
        <f t="shared" si="127"/>
        <v>1</v>
      </c>
      <c r="CQ109" s="144"/>
      <c r="CR109" s="144"/>
      <c r="CS109" s="144"/>
      <c r="CT109" s="144"/>
      <c r="CU109" s="144"/>
      <c r="CV109" s="144"/>
      <c r="CW109" s="144"/>
      <c r="CX109" s="144"/>
      <c r="CY109" s="144"/>
      <c r="CZ109" s="144"/>
      <c r="DA109" s="144"/>
      <c r="DB109" s="144"/>
      <c r="DC109" s="144"/>
      <c r="DD109" s="144"/>
      <c r="DE109" s="144"/>
      <c r="DF109" s="144"/>
      <c r="DG109" s="144"/>
      <c r="DH109" s="144"/>
      <c r="DI109" s="144"/>
    </row>
    <row r="110" spans="1:113" s="2" customFormat="1" x14ac:dyDescent="0.3">
      <c r="A110" s="144"/>
      <c r="B110" s="144"/>
      <c r="C110" s="161"/>
      <c r="D110" s="144"/>
      <c r="E110" s="161"/>
      <c r="F110" s="161"/>
      <c r="G110" s="159"/>
      <c r="H110" s="187"/>
      <c r="I110" s="278"/>
      <c r="J110" s="238"/>
      <c r="K110" s="200"/>
      <c r="L110" s="238"/>
      <c r="M110" s="200"/>
      <c r="N110" s="319"/>
      <c r="O110" s="353"/>
      <c r="P110" s="39"/>
      <c r="Q110" s="39"/>
      <c r="R110" s="39"/>
      <c r="S110" s="39"/>
      <c r="T110" s="39"/>
      <c r="U110" s="39"/>
      <c r="V110" s="39"/>
      <c r="W110" s="39"/>
      <c r="X110" s="39"/>
      <c r="Y110" s="123"/>
      <c r="Z110" s="237"/>
      <c r="AA110" s="124"/>
      <c r="AB110" s="123"/>
      <c r="AC110" s="115"/>
      <c r="AD110" s="115"/>
      <c r="AE110" s="116"/>
      <c r="AF110" s="117"/>
      <c r="AG110" s="116"/>
      <c r="AH110" s="117"/>
      <c r="AI110" s="123"/>
      <c r="AJ110" s="80"/>
      <c r="AK110" s="126"/>
      <c r="AL110" s="80"/>
      <c r="AM110" s="123"/>
      <c r="AN110" s="54"/>
      <c r="AO110" s="126"/>
      <c r="AP110" s="52"/>
      <c r="AQ110" s="39"/>
      <c r="AR110" s="122"/>
      <c r="AS110" s="122"/>
      <c r="AT110" s="122"/>
      <c r="AU110" s="122"/>
      <c r="AV110" s="122"/>
      <c r="AW110" s="130"/>
      <c r="AX110" s="132"/>
      <c r="AY110" s="130"/>
      <c r="AZ110" s="132"/>
      <c r="BA110" s="39"/>
      <c r="BB110" s="39"/>
      <c r="BC110" s="358"/>
      <c r="BD110" s="130"/>
      <c r="BE110" s="132"/>
      <c r="BF110" s="358"/>
      <c r="BG110" s="130"/>
      <c r="BH110" s="132"/>
      <c r="BI110" s="39"/>
      <c r="BJ110" s="39"/>
      <c r="BK110" s="358"/>
      <c r="BL110" s="130"/>
      <c r="BM110" s="132"/>
      <c r="BN110" s="358"/>
      <c r="BO110" s="130"/>
      <c r="BP110" s="132"/>
      <c r="BQ110" s="39"/>
      <c r="BR110" s="39"/>
      <c r="BS110" s="39"/>
      <c r="BT110" s="130"/>
      <c r="BU110" s="132"/>
      <c r="BV110" s="39"/>
      <c r="BW110" s="130"/>
      <c r="BX110" s="132"/>
      <c r="BY110" s="130"/>
      <c r="BZ110" s="130"/>
      <c r="CA110" s="130"/>
      <c r="CB110" s="65"/>
      <c r="CC110" s="130"/>
      <c r="CD110" s="65"/>
      <c r="CE110" s="130"/>
      <c r="CF110" s="65"/>
      <c r="CG110" s="65"/>
      <c r="CH110" s="130"/>
      <c r="CI110" s="131"/>
      <c r="CJ110" s="130"/>
      <c r="CK110" s="131"/>
      <c r="CL110" s="39"/>
      <c r="CM110" s="130"/>
      <c r="CN110" s="130"/>
      <c r="CO110" s="130"/>
      <c r="CP110" s="130"/>
      <c r="CQ110" s="144"/>
      <c r="CR110" s="144"/>
      <c r="CS110" s="144"/>
      <c r="CT110" s="144"/>
      <c r="CU110" s="144"/>
      <c r="CV110" s="144"/>
      <c r="CW110" s="144"/>
      <c r="CX110" s="144"/>
      <c r="CY110" s="144"/>
      <c r="CZ110" s="144"/>
      <c r="DA110" s="144"/>
      <c r="DB110" s="144"/>
      <c r="DC110" s="144"/>
      <c r="DD110" s="144"/>
      <c r="DE110" s="144"/>
      <c r="DF110" s="144"/>
      <c r="DG110" s="144"/>
      <c r="DH110" s="144"/>
      <c r="DI110" s="144"/>
    </row>
    <row r="111" spans="1:113" s="2" customFormat="1" x14ac:dyDescent="0.3">
      <c r="A111" s="144"/>
      <c r="B111" s="144"/>
      <c r="C111" s="161"/>
      <c r="D111" s="144"/>
      <c r="E111" s="161"/>
      <c r="F111" s="161"/>
      <c r="G111" s="159"/>
      <c r="H111" s="187"/>
      <c r="I111" s="278"/>
      <c r="J111" s="238"/>
      <c r="K111" s="200"/>
      <c r="L111" s="238"/>
      <c r="M111" s="200"/>
      <c r="N111" s="319"/>
      <c r="O111" s="353"/>
      <c r="P111" s="39"/>
      <c r="Q111" s="39"/>
      <c r="R111" s="39"/>
      <c r="S111" s="39"/>
      <c r="T111" s="39"/>
      <c r="U111" s="39"/>
      <c r="V111" s="39"/>
      <c r="W111" s="39"/>
      <c r="X111" s="39"/>
      <c r="Y111" s="123"/>
      <c r="Z111" s="237"/>
      <c r="AA111" s="124"/>
      <c r="AB111" s="123"/>
      <c r="AC111" s="115"/>
      <c r="AD111" s="115"/>
      <c r="AE111" s="116"/>
      <c r="AF111" s="117"/>
      <c r="AG111" s="116"/>
      <c r="AH111" s="117"/>
      <c r="AI111" s="123"/>
      <c r="AJ111" s="80"/>
      <c r="AK111" s="126"/>
      <c r="AL111" s="80"/>
      <c r="AM111" s="123"/>
      <c r="AN111" s="54"/>
      <c r="AO111" s="126"/>
      <c r="AP111" s="52"/>
      <c r="AQ111" s="39"/>
      <c r="AR111" s="122"/>
      <c r="AS111" s="122"/>
      <c r="AT111" s="122"/>
      <c r="AU111" s="122"/>
      <c r="AV111" s="122"/>
      <c r="AW111" s="130"/>
      <c r="AX111" s="132"/>
      <c r="AY111" s="130"/>
      <c r="AZ111" s="132"/>
      <c r="BA111" s="39"/>
      <c r="BB111" s="39"/>
      <c r="BC111" s="358"/>
      <c r="BD111" s="130"/>
      <c r="BE111" s="132"/>
      <c r="BF111" s="358"/>
      <c r="BG111" s="130"/>
      <c r="BH111" s="132"/>
      <c r="BI111" s="39"/>
      <c r="BJ111" s="39"/>
      <c r="BK111" s="358"/>
      <c r="BL111" s="130"/>
      <c r="BM111" s="132"/>
      <c r="BN111" s="358"/>
      <c r="BO111" s="130"/>
      <c r="BP111" s="132"/>
      <c r="BQ111" s="39"/>
      <c r="BR111" s="39"/>
      <c r="BS111" s="39"/>
      <c r="BT111" s="130"/>
      <c r="BU111" s="132"/>
      <c r="BV111" s="39"/>
      <c r="BW111" s="130"/>
      <c r="BX111" s="132"/>
      <c r="BY111" s="130"/>
      <c r="BZ111" s="130"/>
      <c r="CA111" s="130"/>
      <c r="CB111" s="65"/>
      <c r="CC111" s="130"/>
      <c r="CD111" s="65"/>
      <c r="CE111" s="130"/>
      <c r="CF111" s="65"/>
      <c r="CG111" s="65"/>
      <c r="CH111" s="130"/>
      <c r="CI111" s="131"/>
      <c r="CJ111" s="130"/>
      <c r="CK111" s="131"/>
      <c r="CL111" s="39"/>
      <c r="CM111" s="130"/>
      <c r="CN111" s="130"/>
      <c r="CO111" s="130"/>
      <c r="CP111" s="130"/>
      <c r="CQ111" s="144"/>
      <c r="CR111" s="144"/>
      <c r="CS111" s="144"/>
      <c r="CT111" s="144"/>
      <c r="CU111" s="144"/>
      <c r="CV111" s="144"/>
      <c r="CW111" s="144"/>
      <c r="CX111" s="144"/>
      <c r="CY111" s="144"/>
      <c r="CZ111" s="144"/>
      <c r="DA111" s="144"/>
      <c r="DB111" s="144"/>
      <c r="DC111" s="144"/>
      <c r="DD111" s="144"/>
      <c r="DE111" s="144"/>
      <c r="DF111" s="144"/>
      <c r="DG111" s="144"/>
      <c r="DH111" s="144"/>
      <c r="DI111" s="144"/>
    </row>
    <row r="112" spans="1:113" s="2" customFormat="1" x14ac:dyDescent="0.3">
      <c r="A112" s="144"/>
      <c r="B112" s="144"/>
      <c r="C112" s="161"/>
      <c r="D112" s="144"/>
      <c r="E112" s="161"/>
      <c r="F112" s="161"/>
      <c r="G112" s="159"/>
      <c r="H112" s="187"/>
      <c r="I112" s="278"/>
      <c r="J112" s="238"/>
      <c r="K112" s="200"/>
      <c r="L112" s="238"/>
      <c r="M112" s="200"/>
      <c r="N112" s="319"/>
      <c r="O112" s="353"/>
      <c r="P112" s="39"/>
      <c r="Q112" s="39"/>
      <c r="R112" s="39"/>
      <c r="S112" s="39"/>
      <c r="T112" s="39"/>
      <c r="U112" s="39"/>
      <c r="V112" s="39"/>
      <c r="W112" s="39"/>
      <c r="X112" s="39"/>
      <c r="Y112" s="123"/>
      <c r="Z112" s="237"/>
      <c r="AA112" s="124"/>
      <c r="AB112" s="123"/>
      <c r="AC112" s="115"/>
      <c r="AD112" s="115"/>
      <c r="AE112" s="116"/>
      <c r="AF112" s="117"/>
      <c r="AG112" s="116"/>
      <c r="AH112" s="117"/>
      <c r="AI112" s="123"/>
      <c r="AJ112" s="80"/>
      <c r="AK112" s="126"/>
      <c r="AL112" s="80"/>
      <c r="AM112" s="123"/>
      <c r="AN112" s="54"/>
      <c r="AO112" s="126"/>
      <c r="AP112" s="52"/>
      <c r="AQ112" s="39"/>
      <c r="AR112" s="122"/>
      <c r="AS112" s="122"/>
      <c r="AT112" s="122"/>
      <c r="AU112" s="122"/>
      <c r="AV112" s="122"/>
      <c r="AW112" s="130"/>
      <c r="AX112" s="132"/>
      <c r="AY112" s="130"/>
      <c r="AZ112" s="132"/>
      <c r="BA112" s="39"/>
      <c r="BB112" s="39"/>
      <c r="BC112" s="358"/>
      <c r="BD112" s="130"/>
      <c r="BE112" s="132"/>
      <c r="BF112" s="358"/>
      <c r="BG112" s="130"/>
      <c r="BH112" s="132"/>
      <c r="BI112" s="39"/>
      <c r="BJ112" s="39"/>
      <c r="BK112" s="358"/>
      <c r="BL112" s="130"/>
      <c r="BM112" s="132"/>
      <c r="BN112" s="358"/>
      <c r="BO112" s="130"/>
      <c r="BP112" s="132"/>
      <c r="BQ112" s="39"/>
      <c r="BR112" s="39"/>
      <c r="BS112" s="39"/>
      <c r="BT112" s="130"/>
      <c r="BU112" s="132"/>
      <c r="BV112" s="39"/>
      <c r="BW112" s="130"/>
      <c r="BX112" s="132"/>
      <c r="BY112" s="130"/>
      <c r="BZ112" s="130"/>
      <c r="CA112" s="130"/>
      <c r="CB112" s="65"/>
      <c r="CC112" s="130"/>
      <c r="CD112" s="65"/>
      <c r="CE112" s="130"/>
      <c r="CF112" s="65"/>
      <c r="CG112" s="65"/>
      <c r="CH112" s="130"/>
      <c r="CI112" s="131"/>
      <c r="CJ112" s="130"/>
      <c r="CK112" s="131"/>
      <c r="CL112" s="39"/>
      <c r="CM112" s="130"/>
      <c r="CN112" s="130"/>
      <c r="CO112" s="130"/>
      <c r="CP112" s="130"/>
      <c r="CQ112" s="144"/>
      <c r="CR112" s="144"/>
      <c r="CS112" s="144"/>
      <c r="CT112" s="144"/>
      <c r="CU112" s="144"/>
      <c r="CV112" s="144"/>
      <c r="CW112" s="144"/>
      <c r="CX112" s="144"/>
      <c r="CY112" s="144"/>
      <c r="CZ112" s="144"/>
      <c r="DA112" s="144"/>
      <c r="DB112" s="144"/>
      <c r="DC112" s="144"/>
      <c r="DD112" s="144"/>
      <c r="DE112" s="144"/>
      <c r="DF112" s="144"/>
      <c r="DG112" s="144"/>
      <c r="DH112" s="144"/>
      <c r="DI112" s="144"/>
    </row>
    <row r="113" spans="1:113" s="2" customFormat="1" x14ac:dyDescent="0.3">
      <c r="A113" s="144"/>
      <c r="B113" s="144"/>
      <c r="C113" s="161"/>
      <c r="D113" s="144"/>
      <c r="E113" s="161"/>
      <c r="F113" s="161"/>
      <c r="G113" s="159"/>
      <c r="H113" s="187"/>
      <c r="I113" s="278"/>
      <c r="J113" s="238"/>
      <c r="K113" s="200"/>
      <c r="L113" s="238"/>
      <c r="M113" s="200"/>
      <c r="N113" s="319"/>
      <c r="O113" s="353"/>
      <c r="P113" s="39"/>
      <c r="Q113" s="39"/>
      <c r="R113" s="39"/>
      <c r="S113" s="39"/>
      <c r="T113" s="39"/>
      <c r="U113" s="39"/>
      <c r="V113" s="39"/>
      <c r="W113" s="39"/>
      <c r="X113" s="39"/>
      <c r="Y113" s="123"/>
      <c r="Z113" s="237"/>
      <c r="AA113" s="124"/>
      <c r="AB113" s="123"/>
      <c r="AC113" s="115"/>
      <c r="AD113" s="115"/>
      <c r="AE113" s="116"/>
      <c r="AF113" s="117"/>
      <c r="AG113" s="116"/>
      <c r="AH113" s="117"/>
      <c r="AI113" s="123"/>
      <c r="AJ113" s="80"/>
      <c r="AK113" s="126"/>
      <c r="AL113" s="80"/>
      <c r="AM113" s="123"/>
      <c r="AN113" s="54"/>
      <c r="AO113" s="126"/>
      <c r="AP113" s="52"/>
      <c r="AQ113" s="39"/>
      <c r="AR113" s="122"/>
      <c r="AS113" s="122"/>
      <c r="AT113" s="122"/>
      <c r="AU113" s="122"/>
      <c r="AV113" s="122"/>
      <c r="AW113" s="130"/>
      <c r="AX113" s="132"/>
      <c r="AY113" s="130"/>
      <c r="AZ113" s="132"/>
      <c r="BA113" s="39"/>
      <c r="BB113" s="39"/>
      <c r="BC113" s="358"/>
      <c r="BD113" s="130"/>
      <c r="BE113" s="132"/>
      <c r="BF113" s="358"/>
      <c r="BG113" s="130"/>
      <c r="BH113" s="132"/>
      <c r="BI113" s="39"/>
      <c r="BJ113" s="39"/>
      <c r="BK113" s="358"/>
      <c r="BL113" s="130"/>
      <c r="BM113" s="132"/>
      <c r="BN113" s="358"/>
      <c r="BO113" s="130"/>
      <c r="BP113" s="132"/>
      <c r="BQ113" s="39"/>
      <c r="BR113" s="39"/>
      <c r="BS113" s="39"/>
      <c r="BT113" s="130"/>
      <c r="BU113" s="132"/>
      <c r="BV113" s="39"/>
      <c r="BW113" s="130"/>
      <c r="BX113" s="132"/>
      <c r="BY113" s="130"/>
      <c r="BZ113" s="130"/>
      <c r="CA113" s="130"/>
      <c r="CB113" s="65"/>
      <c r="CC113" s="130"/>
      <c r="CD113" s="65"/>
      <c r="CE113" s="130"/>
      <c r="CF113" s="65"/>
      <c r="CG113" s="65"/>
      <c r="CH113" s="130"/>
      <c r="CI113" s="131"/>
      <c r="CJ113" s="130"/>
      <c r="CK113" s="131"/>
      <c r="CL113" s="39"/>
      <c r="CM113" s="130"/>
      <c r="CN113" s="130"/>
      <c r="CO113" s="130"/>
      <c r="CP113" s="130"/>
      <c r="CQ113" s="144"/>
      <c r="CR113" s="144"/>
      <c r="CS113" s="144"/>
      <c r="CT113" s="144"/>
      <c r="CU113" s="144"/>
      <c r="CV113" s="144"/>
      <c r="CW113" s="144"/>
      <c r="CX113" s="144"/>
      <c r="CY113" s="144"/>
      <c r="CZ113" s="144"/>
      <c r="DA113" s="144"/>
      <c r="DB113" s="144"/>
      <c r="DC113" s="144"/>
      <c r="DD113" s="144"/>
      <c r="DE113" s="144"/>
      <c r="DF113" s="144"/>
      <c r="DG113" s="144"/>
      <c r="DH113" s="144"/>
      <c r="DI113" s="144"/>
    </row>
    <row r="114" spans="1:113" s="2" customFormat="1" x14ac:dyDescent="0.3">
      <c r="A114" s="144"/>
      <c r="B114" s="144"/>
      <c r="C114" s="161"/>
      <c r="D114" s="144"/>
      <c r="E114" s="161"/>
      <c r="F114" s="161"/>
      <c r="G114" s="159"/>
      <c r="H114" s="187"/>
      <c r="I114" s="278"/>
      <c r="J114" s="238"/>
      <c r="K114" s="200"/>
      <c r="L114" s="238"/>
      <c r="M114" s="200"/>
      <c r="N114" s="319"/>
      <c r="O114" s="353"/>
      <c r="P114" s="39"/>
      <c r="Q114" s="39"/>
      <c r="R114" s="39"/>
      <c r="S114" s="39"/>
      <c r="T114" s="39"/>
      <c r="U114" s="39"/>
      <c r="V114" s="39"/>
      <c r="W114" s="39"/>
      <c r="X114" s="39"/>
      <c r="Y114" s="123"/>
      <c r="Z114" s="237"/>
      <c r="AA114" s="124"/>
      <c r="AB114" s="123"/>
      <c r="AC114" s="115"/>
      <c r="AD114" s="115"/>
      <c r="AE114" s="116"/>
      <c r="AF114" s="117"/>
      <c r="AG114" s="116"/>
      <c r="AH114" s="117"/>
      <c r="AI114" s="123"/>
      <c r="AJ114" s="80"/>
      <c r="AK114" s="126"/>
      <c r="AL114" s="80"/>
      <c r="AM114" s="123"/>
      <c r="AN114" s="54"/>
      <c r="AO114" s="126"/>
      <c r="AP114" s="52"/>
      <c r="AQ114" s="39"/>
      <c r="AR114" s="122"/>
      <c r="AS114" s="122"/>
      <c r="AT114" s="122"/>
      <c r="AU114" s="122"/>
      <c r="AV114" s="122"/>
      <c r="AW114" s="130"/>
      <c r="AX114" s="132"/>
      <c r="AY114" s="130"/>
      <c r="AZ114" s="132"/>
      <c r="BA114" s="39"/>
      <c r="BB114" s="39"/>
      <c r="BC114" s="358"/>
      <c r="BD114" s="130"/>
      <c r="BE114" s="132"/>
      <c r="BF114" s="358"/>
      <c r="BG114" s="130"/>
      <c r="BH114" s="132"/>
      <c r="BI114" s="39"/>
      <c r="BJ114" s="39"/>
      <c r="BK114" s="358"/>
      <c r="BL114" s="130"/>
      <c r="BM114" s="132"/>
      <c r="BN114" s="358"/>
      <c r="BO114" s="130"/>
      <c r="BP114" s="132"/>
      <c r="BQ114" s="39"/>
      <c r="BR114" s="39"/>
      <c r="BS114" s="39"/>
      <c r="BT114" s="130"/>
      <c r="BU114" s="132"/>
      <c r="BV114" s="39"/>
      <c r="BW114" s="130"/>
      <c r="BX114" s="132"/>
      <c r="BY114" s="130"/>
      <c r="BZ114" s="130"/>
      <c r="CA114" s="130"/>
      <c r="CB114" s="65"/>
      <c r="CC114" s="130"/>
      <c r="CD114" s="65"/>
      <c r="CE114" s="130"/>
      <c r="CF114" s="65"/>
      <c r="CG114" s="65"/>
      <c r="CH114" s="130"/>
      <c r="CI114" s="131"/>
      <c r="CJ114" s="130"/>
      <c r="CK114" s="131"/>
      <c r="CL114" s="39"/>
      <c r="CM114" s="130"/>
      <c r="CN114" s="130"/>
      <c r="CO114" s="130"/>
      <c r="CP114" s="130"/>
      <c r="CQ114" s="144"/>
      <c r="CR114" s="144"/>
      <c r="CS114" s="144"/>
      <c r="CT114" s="144"/>
      <c r="CU114" s="144"/>
      <c r="CV114" s="144"/>
      <c r="CW114" s="144"/>
      <c r="CX114" s="144"/>
      <c r="CY114" s="144"/>
      <c r="CZ114" s="144"/>
      <c r="DA114" s="144"/>
      <c r="DB114" s="144"/>
      <c r="DC114" s="144"/>
      <c r="DD114" s="144"/>
      <c r="DE114" s="144"/>
      <c r="DF114" s="144"/>
      <c r="DG114" s="144"/>
      <c r="DH114" s="144"/>
      <c r="DI114" s="144"/>
    </row>
    <row r="115" spans="1:113" s="2" customFormat="1" x14ac:dyDescent="0.3">
      <c r="A115" s="144"/>
      <c r="B115" s="144"/>
      <c r="C115" s="161"/>
      <c r="D115" s="144"/>
      <c r="E115" s="161"/>
      <c r="F115" s="161"/>
      <c r="G115" s="144"/>
      <c r="H115" s="144"/>
      <c r="I115" s="144"/>
      <c r="J115" s="144"/>
      <c r="K115" s="144"/>
      <c r="L115" s="144"/>
      <c r="M115" s="144"/>
      <c r="N115" s="144"/>
      <c r="O115" s="160"/>
      <c r="P115" s="39"/>
      <c r="Q115" s="39"/>
      <c r="R115" s="39"/>
      <c r="S115" s="39"/>
      <c r="T115" s="39"/>
      <c r="U115" s="39"/>
      <c r="V115" s="39"/>
      <c r="W115" s="39"/>
      <c r="X115" s="39"/>
      <c r="Y115" s="123"/>
      <c r="Z115" s="237"/>
      <c r="AA115" s="124"/>
      <c r="AB115" s="123"/>
      <c r="AC115" s="115"/>
      <c r="AD115" s="115"/>
      <c r="AE115" s="116"/>
      <c r="AF115" s="117"/>
      <c r="AG115" s="116"/>
      <c r="AH115" s="117"/>
      <c r="AI115" s="123"/>
      <c r="AJ115" s="80"/>
      <c r="AK115" s="126"/>
      <c r="AL115" s="80"/>
      <c r="AM115" s="123"/>
      <c r="AN115" s="54"/>
      <c r="AO115" s="126"/>
      <c r="AP115" s="52"/>
      <c r="AQ115" s="39"/>
      <c r="AR115" s="122"/>
      <c r="AS115" s="122"/>
      <c r="AT115" s="122"/>
      <c r="AU115" s="122"/>
      <c r="AV115" s="122"/>
      <c r="AW115" s="65">
        <f>SUM(AW95:AW97)</f>
        <v>7.032037074350192E-2</v>
      </c>
      <c r="AX115" s="132"/>
      <c r="AY115" s="65">
        <f>SUM(AY95:AY97)</f>
        <v>8.3333333333333343E-2</v>
      </c>
      <c r="AZ115" s="132"/>
      <c r="BA115" s="39"/>
      <c r="BB115" s="39"/>
      <c r="BC115" s="358"/>
      <c r="BD115" s="65">
        <f>SUM(BD95:BD97)</f>
        <v>0.18010246000676622</v>
      </c>
      <c r="BE115" s="132"/>
      <c r="BF115" s="358"/>
      <c r="BG115" s="65">
        <f>SUM(BG95:BG97)</f>
        <v>0.17547568710359407</v>
      </c>
      <c r="BH115" s="132"/>
      <c r="BI115" s="39"/>
      <c r="BJ115" s="39"/>
      <c r="BK115" s="358"/>
      <c r="BL115" s="65">
        <f>SUM(BL95:BL97)</f>
        <v>0.15036461960752182</v>
      </c>
      <c r="BM115" s="132"/>
      <c r="BN115" s="358"/>
      <c r="BO115" s="65">
        <f>SUM(BO95:BO97)</f>
        <v>0.15894568690095848</v>
      </c>
      <c r="BP115" s="132"/>
      <c r="BQ115" s="39"/>
      <c r="BR115" s="39"/>
      <c r="BS115" s="39"/>
      <c r="BT115" s="65">
        <f>SUM(BT95:BT97)</f>
        <v>0.18411950313535969</v>
      </c>
      <c r="BU115" s="132"/>
      <c r="BV115" s="39"/>
      <c r="BW115" s="65">
        <f>SUM(BW95:BW97)</f>
        <v>0.18171428571428572</v>
      </c>
      <c r="BX115" s="132"/>
      <c r="BY115" s="65">
        <f>SUM(BY95:BY97)</f>
        <v>0.12967969573385874</v>
      </c>
      <c r="BZ115" s="130"/>
      <c r="CA115" s="65">
        <f>SUM(CA95:CA97)</f>
        <v>0.13390313390313391</v>
      </c>
      <c r="CB115" s="65"/>
      <c r="CC115" s="65">
        <f>SUM(CC95:CC97)</f>
        <v>0.11738677771993754</v>
      </c>
      <c r="CD115" s="65"/>
      <c r="CE115" s="65">
        <f>SUM(CE95:CE97)</f>
        <v>0.1330166270783848</v>
      </c>
      <c r="CF115" s="65"/>
      <c r="CG115" s="65"/>
      <c r="CH115" s="65">
        <f>SUM(CH95:CH97)</f>
        <v>9.4604979383402593E-2</v>
      </c>
      <c r="CI115" s="131"/>
      <c r="CJ115" s="65">
        <f>SUM(CJ95:CJ97)</f>
        <v>0.1</v>
      </c>
      <c r="CK115" s="131"/>
      <c r="CL115" s="39"/>
      <c r="CM115" s="130">
        <f>SUM(CM95:CM97)</f>
        <v>0.11621070182751586</v>
      </c>
      <c r="CN115" s="130"/>
      <c r="CO115" s="130">
        <f>SUM(CO95:CO97)</f>
        <v>0.10188679245283024</v>
      </c>
      <c r="CP115" s="130"/>
      <c r="CQ115" s="144"/>
      <c r="CR115" s="144"/>
      <c r="CS115" s="144"/>
      <c r="CT115" s="144"/>
      <c r="CU115" s="144"/>
      <c r="CV115" s="144"/>
      <c r="CW115" s="144"/>
      <c r="CX115" s="144"/>
      <c r="CY115" s="144"/>
      <c r="CZ115" s="144"/>
      <c r="DA115" s="144"/>
      <c r="DB115" s="144"/>
      <c r="DC115" s="144"/>
      <c r="DD115" s="144"/>
      <c r="DE115" s="144"/>
      <c r="DF115" s="144"/>
      <c r="DG115" s="144"/>
      <c r="DH115" s="144"/>
      <c r="DI115" s="144"/>
    </row>
    <row r="116" spans="1:113" s="2" customFormat="1" x14ac:dyDescent="0.3">
      <c r="A116" s="144"/>
      <c r="B116" s="144"/>
      <c r="C116" s="161"/>
      <c r="D116" s="144"/>
      <c r="E116" s="161"/>
      <c r="F116" s="161"/>
      <c r="G116" s="144"/>
      <c r="H116" s="144"/>
      <c r="I116" s="144"/>
      <c r="J116" s="144"/>
      <c r="K116" s="144"/>
      <c r="L116" s="171"/>
      <c r="M116" s="144"/>
      <c r="N116" s="144"/>
      <c r="O116" s="144"/>
      <c r="P116" s="39"/>
      <c r="Q116" s="39"/>
      <c r="R116" s="39"/>
      <c r="S116" s="39"/>
      <c r="T116" s="39"/>
      <c r="U116" s="39"/>
      <c r="V116" s="39"/>
      <c r="W116" s="39"/>
      <c r="X116" s="39"/>
      <c r="Y116" s="123"/>
      <c r="Z116" s="237"/>
      <c r="AA116" s="124"/>
      <c r="AB116" s="123"/>
      <c r="AC116" s="115"/>
      <c r="AD116" s="115"/>
      <c r="AE116" s="116"/>
      <c r="AF116" s="117"/>
      <c r="AG116" s="116"/>
      <c r="AH116" s="117"/>
      <c r="AI116" s="123"/>
      <c r="AJ116" s="80"/>
      <c r="AK116" s="126"/>
      <c r="AL116" s="80"/>
      <c r="AM116" s="123"/>
      <c r="AN116" s="54"/>
      <c r="AO116" s="126"/>
      <c r="AP116" s="52"/>
      <c r="AQ116" s="39"/>
      <c r="AR116" s="39"/>
      <c r="AS116" s="39"/>
      <c r="AT116" s="39"/>
      <c r="AU116" s="39"/>
      <c r="AV116" s="39"/>
      <c r="AW116" s="39"/>
      <c r="AX116" s="197"/>
      <c r="AY116" s="40"/>
      <c r="AZ116" s="198"/>
      <c r="BA116" s="39"/>
      <c r="BB116" s="39"/>
      <c r="BC116" s="358"/>
      <c r="BD116" s="39"/>
      <c r="BE116" s="197"/>
      <c r="BF116" s="358"/>
      <c r="BG116" s="40"/>
      <c r="BH116" s="198"/>
      <c r="BI116" s="39"/>
      <c r="BJ116" s="39"/>
      <c r="BK116" s="358"/>
      <c r="BL116" s="39"/>
      <c r="BM116" s="197"/>
      <c r="BN116" s="358"/>
      <c r="BO116" s="40"/>
      <c r="BP116" s="198"/>
      <c r="BQ116" s="39"/>
      <c r="BR116" s="39"/>
      <c r="BS116" s="39"/>
      <c r="BT116" s="39"/>
      <c r="BU116" s="197"/>
      <c r="BV116" s="39"/>
      <c r="BW116" s="40"/>
      <c r="BX116" s="198"/>
      <c r="BY116" s="39"/>
      <c r="BZ116" s="39"/>
      <c r="CA116" s="40"/>
      <c r="CB116" s="40"/>
      <c r="CC116" s="39"/>
      <c r="CD116" s="39"/>
      <c r="CE116" s="40"/>
      <c r="CF116" s="40"/>
      <c r="CG116" s="40"/>
      <c r="CH116" s="39"/>
      <c r="CI116" s="39"/>
      <c r="CJ116" s="40"/>
      <c r="CK116" s="40"/>
      <c r="CL116" s="39"/>
      <c r="CM116" s="39"/>
      <c r="CN116" s="39"/>
      <c r="CO116" s="40"/>
      <c r="CP116" s="40"/>
      <c r="CQ116" s="144"/>
      <c r="CR116" s="144"/>
      <c r="CS116" s="144"/>
      <c r="CT116" s="144"/>
      <c r="CU116" s="144"/>
      <c r="CV116" s="144"/>
      <c r="CW116" s="144"/>
      <c r="CX116" s="144"/>
      <c r="CY116" s="144"/>
      <c r="CZ116" s="144"/>
      <c r="DA116" s="144"/>
      <c r="DB116" s="144"/>
      <c r="DC116" s="144"/>
      <c r="DD116" s="144"/>
      <c r="DE116" s="144"/>
      <c r="DF116" s="144"/>
      <c r="DG116" s="144"/>
      <c r="DH116" s="144"/>
      <c r="DI116" s="144"/>
    </row>
    <row r="117" spans="1:113" s="2" customFormat="1" x14ac:dyDescent="0.3">
      <c r="A117" s="144"/>
      <c r="B117" s="144"/>
      <c r="C117" s="161"/>
      <c r="D117" s="144"/>
      <c r="E117" s="161"/>
      <c r="F117" s="161"/>
      <c r="G117" s="144"/>
      <c r="H117" s="144"/>
      <c r="I117" s="144"/>
      <c r="J117" s="144"/>
      <c r="K117" s="144"/>
      <c r="L117" s="171"/>
      <c r="M117" s="144"/>
      <c r="N117" s="144"/>
      <c r="O117" s="144"/>
      <c r="P117" s="39"/>
      <c r="Q117" s="39"/>
      <c r="R117" s="39"/>
      <c r="S117" s="39"/>
      <c r="T117" s="39"/>
      <c r="U117" s="39"/>
      <c r="V117" s="39"/>
      <c r="W117" s="39"/>
      <c r="X117" s="39"/>
      <c r="Y117" s="123"/>
      <c r="Z117" s="237"/>
      <c r="AA117" s="124"/>
      <c r="AB117" s="123"/>
      <c r="AC117" s="115"/>
      <c r="AD117" s="115"/>
      <c r="AE117" s="116"/>
      <c r="AF117" s="117"/>
      <c r="AG117" s="116"/>
      <c r="AH117" s="117"/>
      <c r="AI117" s="123"/>
      <c r="AJ117" s="80"/>
      <c r="AK117" s="126"/>
      <c r="AL117" s="80"/>
      <c r="AM117" s="123"/>
      <c r="AN117" s="54"/>
      <c r="AO117" s="126"/>
      <c r="AP117" s="52"/>
      <c r="AQ117" s="39"/>
      <c r="AR117" s="39"/>
      <c r="AS117" s="39"/>
      <c r="AT117" s="39"/>
      <c r="AU117" s="39"/>
      <c r="AV117" s="39"/>
      <c r="AW117" s="39"/>
      <c r="AX117" s="197"/>
      <c r="AY117" s="40"/>
      <c r="AZ117" s="198"/>
      <c r="BA117" s="39"/>
      <c r="BB117" s="39"/>
      <c r="BC117" s="358"/>
      <c r="BD117" s="39"/>
      <c r="BE117" s="197"/>
      <c r="BF117" s="358"/>
      <c r="BG117" s="40"/>
      <c r="BH117" s="198"/>
      <c r="BI117" s="39"/>
      <c r="BJ117" s="39"/>
      <c r="BK117" s="358"/>
      <c r="BL117" s="39"/>
      <c r="BM117" s="197"/>
      <c r="BN117" s="358"/>
      <c r="BO117" s="40"/>
      <c r="BP117" s="198"/>
      <c r="BQ117" s="39"/>
      <c r="BR117" s="39"/>
      <c r="BS117" s="39"/>
      <c r="BT117" s="39"/>
      <c r="BU117" s="197"/>
      <c r="BV117" s="39"/>
      <c r="BW117" s="40"/>
      <c r="BX117" s="198"/>
      <c r="BY117" s="39"/>
      <c r="BZ117" s="39"/>
      <c r="CA117" s="40"/>
      <c r="CB117" s="40"/>
      <c r="CC117" s="39"/>
      <c r="CD117" s="39"/>
      <c r="CE117" s="40"/>
      <c r="CF117" s="40"/>
      <c r="CG117" s="40"/>
      <c r="CH117" s="39"/>
      <c r="CI117" s="39"/>
      <c r="CJ117" s="40"/>
      <c r="CK117" s="40"/>
      <c r="CL117" s="39"/>
      <c r="CM117" s="39"/>
      <c r="CN117" s="39"/>
      <c r="CO117" s="40"/>
      <c r="CP117" s="40"/>
      <c r="CQ117" s="144"/>
      <c r="CR117" s="144"/>
      <c r="CS117" s="144"/>
      <c r="CT117" s="144"/>
      <c r="CU117" s="144"/>
      <c r="CV117" s="144"/>
      <c r="CW117" s="144"/>
      <c r="CX117" s="144"/>
      <c r="CY117" s="144"/>
      <c r="CZ117" s="144"/>
      <c r="DA117" s="144"/>
      <c r="DB117" s="144"/>
      <c r="DC117" s="144"/>
      <c r="DD117" s="144"/>
      <c r="DE117" s="144"/>
      <c r="DF117" s="144"/>
      <c r="DG117" s="144"/>
      <c r="DH117" s="144"/>
      <c r="DI117" s="144"/>
    </row>
    <row r="118" spans="1:113" s="2" customFormat="1" x14ac:dyDescent="0.3">
      <c r="A118" s="144"/>
      <c r="B118" s="144"/>
      <c r="C118" s="161"/>
      <c r="D118" s="144"/>
      <c r="E118" s="161"/>
      <c r="F118" s="161"/>
      <c r="G118" s="144"/>
      <c r="H118" s="144"/>
      <c r="I118" s="144"/>
      <c r="J118" s="144"/>
      <c r="K118" s="144"/>
      <c r="L118" s="171"/>
      <c r="M118" s="144"/>
      <c r="N118" s="171"/>
      <c r="O118" s="144"/>
      <c r="P118" s="39"/>
      <c r="Q118" s="39"/>
      <c r="R118" s="39"/>
      <c r="S118" s="39"/>
      <c r="T118" s="39"/>
      <c r="U118" s="39"/>
      <c r="V118" s="39"/>
      <c r="W118" s="39"/>
      <c r="X118" s="39"/>
      <c r="Y118" s="123"/>
      <c r="Z118" s="237"/>
      <c r="AA118" s="124"/>
      <c r="AB118" s="123"/>
      <c r="AC118" s="115"/>
      <c r="AD118" s="115"/>
      <c r="AE118" s="116"/>
      <c r="AF118" s="117"/>
      <c r="AG118" s="116"/>
      <c r="AH118" s="117"/>
      <c r="AI118" s="123"/>
      <c r="AJ118" s="80"/>
      <c r="AK118" s="126"/>
      <c r="AL118" s="80"/>
      <c r="AM118" s="123"/>
      <c r="AN118" s="54"/>
      <c r="AO118" s="126"/>
      <c r="AP118" s="52"/>
      <c r="AQ118" s="37"/>
      <c r="AR118" s="39"/>
      <c r="AS118" s="39"/>
      <c r="AT118" s="39"/>
      <c r="AU118" s="39"/>
      <c r="AV118" s="39"/>
      <c r="AW118" s="39"/>
      <c r="AX118" s="197"/>
      <c r="AY118" s="40"/>
      <c r="AZ118" s="198"/>
      <c r="BA118" s="39"/>
      <c r="BB118" s="39"/>
      <c r="BC118" s="358"/>
      <c r="BD118" s="39"/>
      <c r="BE118" s="197"/>
      <c r="BF118" s="358"/>
      <c r="BG118" s="40"/>
      <c r="BH118" s="198"/>
      <c r="BI118" s="39"/>
      <c r="BJ118" s="39"/>
      <c r="BK118" s="358"/>
      <c r="BL118" s="39"/>
      <c r="BM118" s="197"/>
      <c r="BN118" s="358"/>
      <c r="BO118" s="40"/>
      <c r="BP118" s="198"/>
      <c r="BQ118" s="39"/>
      <c r="BR118" s="39"/>
      <c r="BS118" s="39"/>
      <c r="BT118" s="39"/>
      <c r="BU118" s="197"/>
      <c r="BV118" s="39"/>
      <c r="BW118" s="40"/>
      <c r="BX118" s="198"/>
      <c r="BY118" s="39"/>
      <c r="BZ118" s="39"/>
      <c r="CA118" s="40"/>
      <c r="CB118" s="40"/>
      <c r="CC118" s="39"/>
      <c r="CD118" s="39"/>
      <c r="CE118" s="40"/>
      <c r="CF118" s="40"/>
      <c r="CG118" s="40"/>
      <c r="CH118" s="39"/>
      <c r="CI118" s="39"/>
      <c r="CJ118" s="40"/>
      <c r="CK118" s="40"/>
      <c r="CL118" s="39"/>
      <c r="CM118" s="39"/>
      <c r="CN118" s="39"/>
      <c r="CO118" s="40"/>
      <c r="CP118" s="40"/>
      <c r="CQ118" s="144"/>
      <c r="CR118" s="144"/>
      <c r="CS118" s="144"/>
      <c r="CT118" s="144"/>
      <c r="CU118" s="144"/>
      <c r="CV118" s="144"/>
      <c r="CW118" s="144"/>
      <c r="CX118" s="144"/>
      <c r="CY118" s="144"/>
      <c r="CZ118" s="144"/>
      <c r="DA118" s="144"/>
      <c r="DB118" s="144"/>
      <c r="DC118" s="144"/>
      <c r="DD118" s="144"/>
      <c r="DE118" s="144"/>
      <c r="DF118" s="144"/>
      <c r="DG118" s="144"/>
      <c r="DH118" s="144"/>
      <c r="DI118" s="144"/>
    </row>
    <row r="119" spans="1:113" s="2" customFormat="1" x14ac:dyDescent="0.3">
      <c r="A119" s="144"/>
      <c r="B119" s="144"/>
      <c r="C119" s="161"/>
      <c r="D119" s="144"/>
      <c r="E119" s="161"/>
      <c r="F119" s="161"/>
      <c r="G119" s="144"/>
      <c r="H119" s="144"/>
      <c r="I119" s="144"/>
      <c r="J119" s="144"/>
      <c r="K119" s="144"/>
      <c r="L119" s="171"/>
      <c r="M119" s="144"/>
      <c r="N119" s="171"/>
      <c r="O119" s="144"/>
      <c r="P119" s="39"/>
      <c r="Q119" s="39"/>
      <c r="R119" s="39"/>
      <c r="S119" s="39"/>
      <c r="T119" s="39"/>
      <c r="U119" s="39"/>
      <c r="V119" s="39"/>
      <c r="W119" s="39"/>
      <c r="X119" s="39"/>
      <c r="Y119" s="123"/>
      <c r="Z119" s="237"/>
      <c r="AA119" s="124"/>
      <c r="AB119" s="123"/>
      <c r="AC119" s="115"/>
      <c r="AD119" s="115"/>
      <c r="AE119" s="116"/>
      <c r="AF119" s="117"/>
      <c r="AG119" s="116"/>
      <c r="AH119" s="117"/>
      <c r="AI119" s="123"/>
      <c r="AJ119" s="80"/>
      <c r="AK119" s="126"/>
      <c r="AL119" s="80"/>
      <c r="AM119" s="123"/>
      <c r="AN119" s="54"/>
      <c r="AO119" s="126"/>
      <c r="AP119" s="52"/>
      <c r="AQ119" s="37"/>
      <c r="AR119" s="39"/>
      <c r="AS119" s="39"/>
      <c r="AT119" s="39"/>
      <c r="AU119" s="39"/>
      <c r="AV119" s="39"/>
      <c r="AW119" s="39"/>
      <c r="AX119" s="197"/>
      <c r="AY119" s="40"/>
      <c r="AZ119" s="198"/>
      <c r="BA119" s="39"/>
      <c r="BB119" s="39"/>
      <c r="BC119" s="358"/>
      <c r="BD119" s="39"/>
      <c r="BE119" s="197"/>
      <c r="BF119" s="358"/>
      <c r="BG119" s="40"/>
      <c r="BH119" s="198"/>
      <c r="BI119" s="39"/>
      <c r="BJ119" s="39"/>
      <c r="BK119" s="358"/>
      <c r="BL119" s="39"/>
      <c r="BM119" s="197"/>
      <c r="BN119" s="358"/>
      <c r="BO119" s="40"/>
      <c r="BP119" s="198"/>
      <c r="BQ119" s="39"/>
      <c r="BR119" s="39"/>
      <c r="BS119" s="39"/>
      <c r="BT119" s="39"/>
      <c r="BU119" s="197"/>
      <c r="BV119" s="39"/>
      <c r="BW119" s="40"/>
      <c r="BX119" s="198"/>
      <c r="BY119" s="39"/>
      <c r="BZ119" s="39"/>
      <c r="CA119" s="40"/>
      <c r="CB119" s="40"/>
      <c r="CC119" s="39"/>
      <c r="CD119" s="39"/>
      <c r="CE119" s="40"/>
      <c r="CF119" s="40"/>
      <c r="CG119" s="40"/>
      <c r="CH119" s="39"/>
      <c r="CI119" s="39"/>
      <c r="CJ119" s="40"/>
      <c r="CK119" s="40"/>
      <c r="CL119" s="39"/>
      <c r="CM119" s="39"/>
      <c r="CN119" s="39"/>
      <c r="CO119" s="40"/>
      <c r="CP119" s="40"/>
      <c r="CQ119" s="144"/>
      <c r="CR119" s="144"/>
      <c r="CS119" s="144"/>
      <c r="CT119" s="144"/>
      <c r="CU119" s="144"/>
      <c r="CV119" s="144"/>
      <c r="CW119" s="144"/>
      <c r="CX119" s="144"/>
      <c r="CY119" s="144"/>
      <c r="CZ119" s="144"/>
      <c r="DA119" s="144"/>
      <c r="DB119" s="144"/>
      <c r="DC119" s="144"/>
      <c r="DD119" s="144"/>
      <c r="DE119" s="144"/>
      <c r="DF119" s="144"/>
      <c r="DG119" s="144"/>
      <c r="DH119" s="144"/>
      <c r="DI119" s="144"/>
    </row>
    <row r="120" spans="1:113" s="2" customFormat="1" x14ac:dyDescent="0.3">
      <c r="A120" s="144"/>
      <c r="B120" s="144"/>
      <c r="C120" s="161"/>
      <c r="D120" s="144"/>
      <c r="E120" s="161"/>
      <c r="F120" s="161"/>
      <c r="G120" s="144"/>
      <c r="H120" s="144"/>
      <c r="I120" s="144"/>
      <c r="J120" s="144"/>
      <c r="K120" s="144"/>
      <c r="L120" s="144"/>
      <c r="M120" s="144"/>
      <c r="N120" s="171"/>
      <c r="O120" s="144"/>
      <c r="P120" s="39"/>
      <c r="Q120" s="39"/>
      <c r="R120" s="39"/>
      <c r="S120" s="39"/>
      <c r="T120" s="39"/>
      <c r="U120" s="39"/>
      <c r="V120" s="39"/>
      <c r="W120" s="39"/>
      <c r="X120" s="39"/>
      <c r="Y120" s="123"/>
      <c r="Z120" s="237"/>
      <c r="AA120" s="124"/>
      <c r="AB120" s="123"/>
      <c r="AC120" s="115"/>
      <c r="AD120" s="115"/>
      <c r="AE120" s="116"/>
      <c r="AF120" s="117"/>
      <c r="AG120" s="116"/>
      <c r="AH120" s="117"/>
      <c r="AI120" s="123"/>
      <c r="AJ120" s="80"/>
      <c r="AK120" s="126"/>
      <c r="AL120" s="80"/>
      <c r="AM120" s="123"/>
      <c r="AN120" s="54"/>
      <c r="AO120" s="126"/>
      <c r="AP120" s="52"/>
      <c r="AQ120" s="37"/>
      <c r="AR120" s="39"/>
      <c r="AS120" s="39"/>
      <c r="AT120" s="39"/>
      <c r="AU120" s="39"/>
      <c r="AV120" s="39"/>
      <c r="AW120" s="39"/>
      <c r="AX120" s="197"/>
      <c r="AY120" s="40"/>
      <c r="AZ120" s="198"/>
      <c r="BA120" s="39"/>
      <c r="BB120" s="39"/>
      <c r="BC120" s="358"/>
      <c r="BD120" s="39"/>
      <c r="BE120" s="197"/>
      <c r="BF120" s="358"/>
      <c r="BG120" s="40"/>
      <c r="BH120" s="198"/>
      <c r="BI120" s="39"/>
      <c r="BJ120" s="39"/>
      <c r="BK120" s="358"/>
      <c r="BL120" s="39"/>
      <c r="BM120" s="197"/>
      <c r="BN120" s="358"/>
      <c r="BO120" s="40"/>
      <c r="BP120" s="198"/>
      <c r="BQ120" s="39"/>
      <c r="BR120" s="39"/>
      <c r="BS120" s="39"/>
      <c r="BT120" s="39"/>
      <c r="BU120" s="197"/>
      <c r="BV120" s="39"/>
      <c r="BW120" s="40"/>
      <c r="BX120" s="198"/>
      <c r="BY120" s="39"/>
      <c r="BZ120" s="39"/>
      <c r="CA120" s="40"/>
      <c r="CB120" s="40"/>
      <c r="CC120" s="39"/>
      <c r="CD120" s="39"/>
      <c r="CE120" s="40"/>
      <c r="CF120" s="40"/>
      <c r="CG120" s="40"/>
      <c r="CH120" s="39"/>
      <c r="CI120" s="39"/>
      <c r="CJ120" s="40"/>
      <c r="CK120" s="40"/>
      <c r="CL120" s="39"/>
      <c r="CM120" s="39"/>
      <c r="CN120" s="39"/>
      <c r="CO120" s="40"/>
      <c r="CP120" s="40"/>
      <c r="CQ120" s="144"/>
      <c r="CR120" s="144"/>
      <c r="CS120" s="144"/>
      <c r="CT120" s="144"/>
      <c r="CU120" s="144"/>
      <c r="CV120" s="144"/>
      <c r="CW120" s="144"/>
      <c r="CX120" s="144"/>
      <c r="CY120" s="144"/>
      <c r="CZ120" s="144"/>
      <c r="DA120" s="144"/>
      <c r="DB120" s="144"/>
      <c r="DC120" s="144"/>
      <c r="DD120" s="144"/>
      <c r="DE120" s="144"/>
      <c r="DF120" s="144"/>
      <c r="DG120" s="144"/>
      <c r="DH120" s="144"/>
      <c r="DI120" s="144"/>
    </row>
    <row r="121" spans="1:113" s="2" customFormat="1" x14ac:dyDescent="0.3">
      <c r="A121" s="144"/>
      <c r="B121" s="144"/>
      <c r="C121" s="161"/>
      <c r="D121" s="144"/>
      <c r="E121" s="161"/>
      <c r="F121" s="161"/>
      <c r="G121" s="144"/>
      <c r="H121" s="144"/>
      <c r="I121" s="144"/>
      <c r="J121" s="144"/>
      <c r="K121" s="144"/>
      <c r="L121" s="144"/>
      <c r="M121" s="144"/>
      <c r="N121" s="171"/>
      <c r="O121" s="144"/>
      <c r="P121" s="39"/>
      <c r="Q121" s="39"/>
      <c r="R121" s="39"/>
      <c r="S121" s="39"/>
      <c r="T121" s="39"/>
      <c r="U121" s="39"/>
      <c r="V121" s="107"/>
      <c r="W121" s="122"/>
      <c r="X121" s="122"/>
      <c r="Y121" s="123"/>
      <c r="Z121" s="237"/>
      <c r="AA121" s="124"/>
      <c r="AB121" s="123"/>
      <c r="AC121" s="39"/>
      <c r="AD121" s="39"/>
      <c r="AE121" s="199"/>
      <c r="AF121" s="61"/>
      <c r="AG121" s="199"/>
      <c r="AH121" s="61"/>
      <c r="AI121" s="39"/>
      <c r="AJ121" s="52"/>
      <c r="AK121" s="39"/>
      <c r="AL121" s="52"/>
      <c r="AM121" s="39"/>
      <c r="AN121" s="52"/>
      <c r="AO121" s="39"/>
      <c r="AP121" s="52"/>
      <c r="AQ121" s="39"/>
      <c r="AR121" s="39"/>
      <c r="AS121" s="39"/>
      <c r="AT121" s="39"/>
      <c r="AU121" s="39"/>
      <c r="AV121" s="39"/>
      <c r="AW121" s="39"/>
      <c r="AX121" s="197"/>
      <c r="AY121" s="40"/>
      <c r="AZ121" s="198"/>
      <c r="BA121" s="39"/>
      <c r="BB121" s="39"/>
      <c r="BC121" s="358"/>
      <c r="BD121" s="39"/>
      <c r="BE121" s="197"/>
      <c r="BF121" s="358"/>
      <c r="BG121" s="40"/>
      <c r="BH121" s="198"/>
      <c r="BI121" s="39"/>
      <c r="BJ121" s="39"/>
      <c r="BK121" s="358"/>
      <c r="BL121" s="39"/>
      <c r="BM121" s="197"/>
      <c r="BN121" s="358"/>
      <c r="BO121" s="40"/>
      <c r="BP121" s="198"/>
      <c r="BQ121" s="39"/>
      <c r="BR121" s="39"/>
      <c r="BS121" s="39"/>
      <c r="BT121" s="39"/>
      <c r="BU121" s="197"/>
      <c r="BV121" s="39"/>
      <c r="BW121" s="40"/>
      <c r="BX121" s="198"/>
      <c r="BY121" s="39"/>
      <c r="BZ121" s="39"/>
      <c r="CA121" s="40"/>
      <c r="CB121" s="40"/>
      <c r="CC121" s="39"/>
      <c r="CD121" s="39"/>
      <c r="CE121" s="40"/>
      <c r="CF121" s="40"/>
      <c r="CG121" s="40"/>
      <c r="CH121" s="39"/>
      <c r="CI121" s="39"/>
      <c r="CJ121" s="40"/>
      <c r="CK121" s="40"/>
      <c r="CL121" s="39"/>
      <c r="CM121" s="39"/>
      <c r="CN121" s="39"/>
      <c r="CO121" s="40"/>
      <c r="CP121" s="40"/>
      <c r="CQ121" s="144"/>
      <c r="CR121" s="144"/>
      <c r="CS121" s="144"/>
      <c r="CT121" s="144"/>
      <c r="CU121" s="144"/>
      <c r="CV121" s="144"/>
      <c r="CW121" s="144"/>
      <c r="CX121" s="144"/>
      <c r="CY121" s="144"/>
      <c r="CZ121" s="144"/>
      <c r="DA121" s="144"/>
      <c r="DB121" s="144"/>
      <c r="DC121" s="144"/>
      <c r="DD121" s="144"/>
      <c r="DE121" s="144"/>
      <c r="DF121" s="144"/>
      <c r="DG121" s="144"/>
      <c r="DH121" s="144"/>
      <c r="DI121" s="144"/>
    </row>
    <row r="122" spans="1:113" s="2" customFormat="1" ht="18.75" customHeight="1" x14ac:dyDescent="0.3">
      <c r="A122" s="144"/>
      <c r="B122" s="173"/>
      <c r="C122" s="161"/>
      <c r="D122" s="144"/>
      <c r="E122" s="161"/>
      <c r="F122" s="161"/>
      <c r="G122" s="161"/>
      <c r="H122" s="161"/>
      <c r="I122" s="161"/>
      <c r="J122" s="161"/>
      <c r="K122" s="161"/>
      <c r="L122" s="161"/>
      <c r="M122" s="161"/>
      <c r="N122" s="157"/>
      <c r="O122" s="144"/>
      <c r="P122" s="39"/>
      <c r="Q122" s="39"/>
      <c r="R122" s="39"/>
      <c r="S122" s="39"/>
      <c r="T122" s="39"/>
      <c r="U122" s="39"/>
      <c r="V122" s="107"/>
      <c r="W122" s="122"/>
      <c r="X122" s="122"/>
      <c r="Y122" s="123"/>
      <c r="Z122" s="237"/>
      <c r="AA122" s="124"/>
      <c r="AB122" s="123"/>
      <c r="AC122" s="39"/>
      <c r="AD122" s="39"/>
      <c r="AE122" s="199"/>
      <c r="AF122" s="61"/>
      <c r="AG122" s="199"/>
      <c r="AH122" s="61"/>
      <c r="AI122" s="39"/>
      <c r="AJ122" s="52"/>
      <c r="AK122" s="52"/>
      <c r="AL122" s="52"/>
      <c r="AM122" s="39"/>
      <c r="AN122" s="52"/>
      <c r="AO122" s="52"/>
      <c r="AP122" s="52"/>
      <c r="AQ122" s="39"/>
      <c r="AR122" s="39"/>
      <c r="AS122" s="39"/>
      <c r="AT122" s="39"/>
      <c r="AU122" s="39"/>
      <c r="AV122" s="39"/>
      <c r="AW122" s="39"/>
      <c r="AX122" s="197"/>
      <c r="AY122" s="40"/>
      <c r="AZ122" s="198"/>
      <c r="BA122" s="39"/>
      <c r="BB122" s="39"/>
      <c r="BC122" s="358"/>
      <c r="BD122" s="39"/>
      <c r="BE122" s="197"/>
      <c r="BF122" s="358"/>
      <c r="BG122" s="40"/>
      <c r="BH122" s="198"/>
      <c r="BI122" s="39"/>
      <c r="BJ122" s="39"/>
      <c r="BK122" s="358"/>
      <c r="BL122" s="39"/>
      <c r="BM122" s="197"/>
      <c r="BN122" s="358"/>
      <c r="BO122" s="40"/>
      <c r="BP122" s="198"/>
      <c r="BQ122" s="39"/>
      <c r="BR122" s="39"/>
      <c r="BS122" s="39"/>
      <c r="BT122" s="39"/>
      <c r="BU122" s="197"/>
      <c r="BV122" s="39"/>
      <c r="BW122" s="40"/>
      <c r="BX122" s="198"/>
      <c r="BY122" s="39"/>
      <c r="BZ122" s="39"/>
      <c r="CA122" s="40"/>
      <c r="CB122" s="40"/>
      <c r="CC122" s="39"/>
      <c r="CD122" s="39"/>
      <c r="CE122" s="40"/>
      <c r="CF122" s="40"/>
      <c r="CG122" s="40"/>
      <c r="CH122" s="39"/>
      <c r="CI122" s="39"/>
      <c r="CJ122" s="40"/>
      <c r="CK122" s="40"/>
      <c r="CL122" s="39"/>
      <c r="CM122" s="39"/>
      <c r="CN122" s="39"/>
      <c r="CO122" s="40"/>
      <c r="CP122" s="40"/>
      <c r="CQ122" s="144"/>
      <c r="CR122" s="144"/>
      <c r="CS122" s="144"/>
      <c r="CT122" s="144"/>
      <c r="CU122" s="144"/>
      <c r="CV122" s="144"/>
      <c r="CW122" s="144"/>
      <c r="CX122" s="144"/>
      <c r="CY122" s="144"/>
      <c r="CZ122" s="144"/>
      <c r="DA122" s="144"/>
      <c r="DB122" s="144"/>
      <c r="DC122" s="144"/>
      <c r="DD122" s="144"/>
      <c r="DE122" s="144"/>
      <c r="DF122" s="144"/>
      <c r="DG122" s="144"/>
      <c r="DH122" s="144"/>
      <c r="DI122" s="144"/>
    </row>
    <row r="123" spans="1:113" s="2" customFormat="1" ht="19.5" customHeight="1" x14ac:dyDescent="0.3">
      <c r="A123" s="144"/>
      <c r="B123" s="150"/>
      <c r="C123" s="161"/>
      <c r="D123" s="144"/>
      <c r="E123" s="161"/>
      <c r="F123" s="161"/>
      <c r="G123" s="161"/>
      <c r="H123" s="161"/>
      <c r="I123" s="161"/>
      <c r="J123" s="161"/>
      <c r="K123" s="161"/>
      <c r="L123" s="161"/>
      <c r="M123" s="161"/>
      <c r="N123" s="157"/>
      <c r="O123" s="144"/>
      <c r="P123" s="39"/>
      <c r="Q123" s="39"/>
      <c r="R123" s="39"/>
      <c r="S123" s="39"/>
      <c r="T123" s="39"/>
      <c r="U123" s="39"/>
      <c r="V123" s="107"/>
      <c r="W123" s="122"/>
      <c r="X123" s="122"/>
      <c r="Y123" s="123"/>
      <c r="Z123" s="237"/>
      <c r="AA123" s="124"/>
      <c r="AB123" s="123"/>
      <c r="AC123" s="39"/>
      <c r="AD123" s="39"/>
      <c r="AE123" s="199"/>
      <c r="AF123" s="61"/>
      <c r="AG123" s="199"/>
      <c r="AH123" s="61"/>
      <c r="AI123" s="39"/>
      <c r="AJ123" s="52"/>
      <c r="AK123" s="52"/>
      <c r="AL123" s="52"/>
      <c r="AM123" s="39"/>
      <c r="AN123" s="52"/>
      <c r="AO123" s="52"/>
      <c r="AP123" s="52"/>
      <c r="AQ123" s="39"/>
      <c r="AR123" s="39"/>
      <c r="AS123" s="39"/>
      <c r="AT123" s="39"/>
      <c r="AU123" s="39"/>
      <c r="AV123" s="39"/>
      <c r="AW123" s="39"/>
      <c r="AX123" s="197"/>
      <c r="AY123" s="40"/>
      <c r="AZ123" s="198"/>
      <c r="BA123" s="39"/>
      <c r="BB123" s="39"/>
      <c r="BC123" s="358"/>
      <c r="BD123" s="39"/>
      <c r="BE123" s="197"/>
      <c r="BF123" s="358"/>
      <c r="BG123" s="40"/>
      <c r="BH123" s="198"/>
      <c r="BI123" s="39"/>
      <c r="BJ123" s="39"/>
      <c r="BK123" s="358"/>
      <c r="BL123" s="39"/>
      <c r="BM123" s="197"/>
      <c r="BN123" s="358"/>
      <c r="BO123" s="40"/>
      <c r="BP123" s="198"/>
      <c r="BQ123" s="39"/>
      <c r="BR123" s="39"/>
      <c r="BS123" s="39"/>
      <c r="BT123" s="39"/>
      <c r="BU123" s="197"/>
      <c r="BV123" s="39"/>
      <c r="BW123" s="40"/>
      <c r="BX123" s="198"/>
      <c r="BY123" s="39"/>
      <c r="BZ123" s="39"/>
      <c r="CA123" s="40"/>
      <c r="CB123" s="40"/>
      <c r="CC123" s="39"/>
      <c r="CD123" s="39"/>
      <c r="CE123" s="40"/>
      <c r="CF123" s="40"/>
      <c r="CG123" s="40"/>
      <c r="CH123" s="39"/>
      <c r="CI123" s="39"/>
      <c r="CJ123" s="40"/>
      <c r="CK123" s="40"/>
      <c r="CL123" s="39"/>
      <c r="CM123" s="39"/>
      <c r="CN123" s="39"/>
      <c r="CO123" s="40"/>
      <c r="CP123" s="40"/>
      <c r="CQ123" s="144"/>
      <c r="CR123" s="144"/>
      <c r="CS123" s="144"/>
      <c r="CT123" s="144"/>
      <c r="CU123" s="144"/>
      <c r="CV123" s="144"/>
      <c r="CW123" s="144"/>
      <c r="CX123" s="144"/>
      <c r="CY123" s="144"/>
      <c r="CZ123" s="144"/>
      <c r="DA123" s="144"/>
      <c r="DB123" s="144"/>
      <c r="DC123" s="144"/>
      <c r="DD123" s="144"/>
      <c r="DE123" s="144"/>
      <c r="DF123" s="144"/>
      <c r="DG123" s="144"/>
      <c r="DH123" s="144"/>
      <c r="DI123" s="144"/>
    </row>
    <row r="124" spans="1:113" s="2" customFormat="1" ht="19.5" hidden="1" customHeight="1" outlineLevel="1" x14ac:dyDescent="0.3">
      <c r="A124" s="144"/>
      <c r="B124" s="176" t="s">
        <v>11</v>
      </c>
      <c r="C124" s="161"/>
      <c r="D124" s="144"/>
      <c r="E124" s="161"/>
      <c r="F124" s="161"/>
      <c r="G124" s="161"/>
      <c r="H124" s="161"/>
      <c r="I124" s="161"/>
      <c r="J124" s="161"/>
      <c r="K124" s="161"/>
      <c r="L124" s="161"/>
      <c r="M124" s="161"/>
      <c r="N124" s="157"/>
      <c r="O124" s="144"/>
      <c r="P124" s="39"/>
      <c r="Q124" s="39"/>
      <c r="R124" s="39"/>
      <c r="S124" s="39"/>
      <c r="T124" s="39"/>
      <c r="U124" s="39"/>
      <c r="V124" s="107"/>
      <c r="W124" s="122"/>
      <c r="X124" s="122"/>
      <c r="Y124" s="123"/>
      <c r="Z124" s="237"/>
      <c r="AA124" s="124"/>
      <c r="AB124" s="123"/>
      <c r="AC124" s="39"/>
      <c r="AD124" s="39"/>
      <c r="AE124" s="199"/>
      <c r="AF124" s="61"/>
      <c r="AG124" s="199"/>
      <c r="AH124" s="61"/>
      <c r="AI124" s="39"/>
      <c r="AJ124" s="52"/>
      <c r="AK124" s="52"/>
      <c r="AL124" s="52"/>
      <c r="AM124" s="39"/>
      <c r="AN124" s="52"/>
      <c r="AO124" s="52"/>
      <c r="AP124" s="52"/>
      <c r="AQ124" s="39"/>
      <c r="AR124" s="39"/>
      <c r="AS124" s="39"/>
      <c r="AT124" s="39"/>
      <c r="AU124" s="39"/>
      <c r="AV124" s="39"/>
      <c r="AW124" s="39"/>
      <c r="AX124" s="197"/>
      <c r="AY124" s="40"/>
      <c r="AZ124" s="198"/>
      <c r="BA124" s="39"/>
      <c r="BB124" s="39"/>
      <c r="BC124" s="358"/>
      <c r="BD124" s="39"/>
      <c r="BE124" s="197"/>
      <c r="BF124" s="358"/>
      <c r="BG124" s="40"/>
      <c r="BH124" s="198"/>
      <c r="BI124" s="39"/>
      <c r="BJ124" s="39"/>
      <c r="BK124" s="358"/>
      <c r="BL124" s="39"/>
      <c r="BM124" s="197"/>
      <c r="BN124" s="358"/>
      <c r="BO124" s="40"/>
      <c r="BP124" s="198"/>
      <c r="BQ124" s="39"/>
      <c r="BR124" s="39"/>
      <c r="BS124" s="39"/>
      <c r="BT124" s="39"/>
      <c r="BU124" s="197"/>
      <c r="BV124" s="39"/>
      <c r="BW124" s="40"/>
      <c r="BX124" s="198"/>
      <c r="BY124" s="39"/>
      <c r="BZ124" s="39"/>
      <c r="CA124" s="40"/>
      <c r="CB124" s="40"/>
      <c r="CC124" s="39"/>
      <c r="CD124" s="39"/>
      <c r="CE124" s="40"/>
      <c r="CF124" s="40"/>
      <c r="CG124" s="40"/>
      <c r="CH124" s="39"/>
      <c r="CI124" s="39"/>
      <c r="CJ124" s="40"/>
      <c r="CK124" s="40"/>
      <c r="CL124" s="39"/>
      <c r="CM124" s="39"/>
      <c r="CN124" s="39"/>
      <c r="CO124" s="40"/>
      <c r="CP124" s="40"/>
      <c r="CQ124" s="144"/>
      <c r="CR124" s="144"/>
      <c r="CS124" s="144"/>
      <c r="CT124" s="144"/>
      <c r="CU124" s="144"/>
      <c r="CV124" s="144"/>
      <c r="CW124" s="144"/>
      <c r="CX124" s="144"/>
      <c r="CY124" s="144"/>
      <c r="CZ124" s="144"/>
      <c r="DA124" s="144"/>
      <c r="DB124" s="144"/>
      <c r="DC124" s="144"/>
      <c r="DD124" s="144"/>
      <c r="DE124" s="144"/>
      <c r="DF124" s="144"/>
      <c r="DG124" s="144"/>
      <c r="DH124" s="144"/>
      <c r="DI124" s="144"/>
    </row>
    <row r="125" spans="1:113" s="2" customFormat="1" ht="19.5" hidden="1" customHeight="1" outlineLevel="1" x14ac:dyDescent="0.3">
      <c r="A125" s="144"/>
      <c r="B125" s="176"/>
      <c r="C125" s="161"/>
      <c r="D125" s="144"/>
      <c r="E125" s="161"/>
      <c r="F125" s="161"/>
      <c r="G125" s="161"/>
      <c r="H125" s="161"/>
      <c r="I125" s="161"/>
      <c r="J125" s="161"/>
      <c r="K125" s="161"/>
      <c r="L125" s="161"/>
      <c r="M125" s="161"/>
      <c r="N125" s="157"/>
      <c r="O125" s="144"/>
      <c r="P125" s="39"/>
      <c r="Q125" s="39"/>
      <c r="R125" s="39"/>
      <c r="S125" s="39"/>
      <c r="T125" s="39"/>
      <c r="U125" s="39"/>
      <c r="V125" s="107"/>
      <c r="W125" s="122"/>
      <c r="X125" s="122"/>
      <c r="Y125" s="123"/>
      <c r="Z125" s="237"/>
      <c r="AA125" s="124"/>
      <c r="AB125" s="123"/>
      <c r="AC125" s="39"/>
      <c r="AD125" s="39"/>
      <c r="AE125" s="199"/>
      <c r="AF125" s="61"/>
      <c r="AG125" s="199"/>
      <c r="AH125" s="61"/>
      <c r="AI125" s="39"/>
      <c r="AJ125" s="52"/>
      <c r="AK125" s="52"/>
      <c r="AL125" s="52"/>
      <c r="AM125" s="39"/>
      <c r="AN125" s="52"/>
      <c r="AO125" s="52"/>
      <c r="AP125" s="52"/>
      <c r="AQ125" s="39"/>
      <c r="AR125" s="39"/>
      <c r="AS125" s="39"/>
      <c r="AT125" s="39"/>
      <c r="AU125" s="39"/>
      <c r="AV125" s="39"/>
      <c r="AW125" s="39"/>
      <c r="AX125" s="197"/>
      <c r="AY125" s="40"/>
      <c r="AZ125" s="198"/>
      <c r="BA125" s="39"/>
      <c r="BB125" s="39"/>
      <c r="BC125" s="358"/>
      <c r="BD125" s="39"/>
      <c r="BE125" s="197"/>
      <c r="BF125" s="358"/>
      <c r="BG125" s="40"/>
      <c r="BH125" s="198"/>
      <c r="BI125" s="39"/>
      <c r="BJ125" s="39"/>
      <c r="BK125" s="358"/>
      <c r="BL125" s="39"/>
      <c r="BM125" s="197"/>
      <c r="BN125" s="358"/>
      <c r="BO125" s="40"/>
      <c r="BP125" s="198"/>
      <c r="BQ125" s="39"/>
      <c r="BR125" s="39"/>
      <c r="BS125" s="39"/>
      <c r="BT125" s="39"/>
      <c r="BU125" s="197"/>
      <c r="BV125" s="39"/>
      <c r="BW125" s="40"/>
      <c r="BX125" s="198"/>
      <c r="BY125" s="39"/>
      <c r="BZ125" s="39"/>
      <c r="CA125" s="40"/>
      <c r="CB125" s="40"/>
      <c r="CC125" s="39"/>
      <c r="CD125" s="39"/>
      <c r="CE125" s="40"/>
      <c r="CF125" s="40"/>
      <c r="CG125" s="40"/>
      <c r="CH125" s="39"/>
      <c r="CI125" s="39"/>
      <c r="CJ125" s="40"/>
      <c r="CK125" s="40"/>
      <c r="CL125" s="39"/>
      <c r="CM125" s="39"/>
      <c r="CN125" s="39"/>
      <c r="CO125" s="40"/>
      <c r="CP125" s="40"/>
      <c r="CQ125" s="144"/>
      <c r="CR125" s="144"/>
      <c r="CS125" s="144"/>
      <c r="CT125" s="144"/>
      <c r="CU125" s="144"/>
      <c r="CV125" s="144"/>
      <c r="CW125" s="144"/>
      <c r="CX125" s="144"/>
      <c r="CY125" s="144"/>
      <c r="CZ125" s="144"/>
      <c r="DA125" s="144"/>
      <c r="DB125" s="144"/>
      <c r="DC125" s="144"/>
      <c r="DD125" s="144"/>
      <c r="DE125" s="144"/>
      <c r="DF125" s="144"/>
      <c r="DG125" s="144"/>
      <c r="DH125" s="144"/>
      <c r="DI125" s="144"/>
    </row>
    <row r="126" spans="1:113" s="2" customFormat="1" collapsed="1" x14ac:dyDescent="0.3">
      <c r="A126" s="144"/>
      <c r="B126" s="150"/>
      <c r="C126" s="161"/>
      <c r="D126" s="144"/>
      <c r="E126" s="161"/>
      <c r="F126" s="161"/>
      <c r="G126" s="161"/>
      <c r="H126" s="161"/>
      <c r="I126" s="161"/>
      <c r="J126" s="161"/>
      <c r="K126" s="161"/>
      <c r="L126" s="161"/>
      <c r="M126" s="161"/>
      <c r="N126" s="157"/>
      <c r="O126" s="144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40"/>
      <c r="AC126" s="39"/>
      <c r="AD126" s="39"/>
      <c r="AE126" s="199"/>
      <c r="AF126" s="61"/>
      <c r="AG126" s="199"/>
      <c r="AH126" s="61"/>
      <c r="AI126" s="123"/>
      <c r="AJ126" s="80"/>
      <c r="AK126" s="126"/>
      <c r="AL126" s="52"/>
      <c r="AM126" s="39"/>
      <c r="AN126" s="52"/>
      <c r="AO126" s="52"/>
      <c r="AP126" s="52"/>
      <c r="AQ126" s="39"/>
      <c r="AR126" s="39"/>
      <c r="AS126" s="39"/>
      <c r="AT126" s="39"/>
      <c r="AU126" s="39"/>
      <c r="AV126" s="39"/>
      <c r="AW126" s="39"/>
      <c r="AX126" s="197"/>
      <c r="AY126" s="40"/>
      <c r="AZ126" s="198"/>
      <c r="BA126" s="39"/>
      <c r="BB126" s="39"/>
      <c r="BC126" s="358"/>
      <c r="BD126" s="39"/>
      <c r="BE126" s="197"/>
      <c r="BF126" s="358"/>
      <c r="BG126" s="40"/>
      <c r="BH126" s="198"/>
      <c r="BI126" s="39"/>
      <c r="BJ126" s="39"/>
      <c r="BK126" s="358"/>
      <c r="BL126" s="39"/>
      <c r="BM126" s="197"/>
      <c r="BN126" s="358"/>
      <c r="BO126" s="40"/>
      <c r="BP126" s="198"/>
      <c r="BQ126" s="39"/>
      <c r="BR126" s="39"/>
      <c r="BS126" s="39"/>
      <c r="BT126" s="39"/>
      <c r="BU126" s="197"/>
      <c r="BV126" s="39"/>
      <c r="BW126" s="40"/>
      <c r="BX126" s="198"/>
      <c r="BY126" s="39"/>
      <c r="BZ126" s="39"/>
      <c r="CA126" s="40"/>
      <c r="CB126" s="40"/>
      <c r="CC126" s="39"/>
      <c r="CD126" s="39"/>
      <c r="CE126" s="40"/>
      <c r="CF126" s="40"/>
      <c r="CG126" s="40"/>
      <c r="CH126" s="39"/>
      <c r="CI126" s="39"/>
      <c r="CJ126" s="40"/>
      <c r="CK126" s="40"/>
      <c r="CL126" s="39"/>
      <c r="CM126" s="39"/>
      <c r="CN126" s="39"/>
      <c r="CO126" s="40"/>
      <c r="CP126" s="40"/>
      <c r="CQ126" s="144"/>
      <c r="CR126" s="144"/>
      <c r="CS126" s="144"/>
      <c r="CT126" s="144"/>
      <c r="CU126" s="144"/>
      <c r="CV126" s="144"/>
      <c r="CW126" s="144"/>
      <c r="CX126" s="144"/>
      <c r="CY126" s="144"/>
      <c r="CZ126" s="144"/>
      <c r="DA126" s="144"/>
      <c r="DB126" s="144"/>
      <c r="DC126" s="144"/>
      <c r="DD126" s="144"/>
      <c r="DE126" s="144"/>
      <c r="DF126" s="144"/>
      <c r="DG126" s="144"/>
      <c r="DH126" s="144"/>
      <c r="DI126" s="144"/>
    </row>
    <row r="127" spans="1:113" s="2" customFormat="1" x14ac:dyDescent="0.3">
      <c r="A127" s="144"/>
      <c r="B127" s="150"/>
      <c r="C127" s="161"/>
      <c r="D127" s="144"/>
      <c r="E127" s="161"/>
      <c r="F127" s="161"/>
      <c r="G127" s="161"/>
      <c r="H127" s="161"/>
      <c r="I127" s="161"/>
      <c r="J127" s="161"/>
      <c r="K127" s="161"/>
      <c r="L127" s="161"/>
      <c r="M127" s="161"/>
      <c r="N127" s="157"/>
      <c r="O127" s="144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40"/>
      <c r="AC127" s="39"/>
      <c r="AD127" s="39"/>
      <c r="AE127" s="199"/>
      <c r="AF127" s="61"/>
      <c r="AG127" s="199"/>
      <c r="AH127" s="61"/>
      <c r="AI127" s="116"/>
      <c r="AJ127" s="139"/>
      <c r="AK127" s="61"/>
      <c r="AL127" s="52"/>
      <c r="AM127" s="39"/>
      <c r="AN127" s="52"/>
      <c r="AO127" s="52"/>
      <c r="AP127" s="52"/>
      <c r="AQ127" s="39"/>
      <c r="AR127" s="39"/>
      <c r="AS127" s="39"/>
      <c r="AT127" s="39"/>
      <c r="AU127" s="39"/>
      <c r="AV127" s="39"/>
      <c r="AW127" s="39"/>
      <c r="AX127" s="197"/>
      <c r="AY127" s="40"/>
      <c r="AZ127" s="198"/>
      <c r="BA127" s="39"/>
      <c r="BB127" s="39"/>
      <c r="BC127" s="358"/>
      <c r="BD127" s="39"/>
      <c r="BE127" s="197"/>
      <c r="BF127" s="358"/>
      <c r="BG127" s="40"/>
      <c r="BH127" s="198"/>
      <c r="BI127" s="39"/>
      <c r="BJ127" s="39"/>
      <c r="BK127" s="358"/>
      <c r="BL127" s="39"/>
      <c r="BM127" s="197"/>
      <c r="BN127" s="358"/>
      <c r="BO127" s="40"/>
      <c r="BP127" s="198"/>
      <c r="BQ127" s="39"/>
      <c r="BR127" s="39"/>
      <c r="BS127" s="39"/>
      <c r="BT127" s="39"/>
      <c r="BU127" s="197"/>
      <c r="BV127" s="39"/>
      <c r="BW127" s="40"/>
      <c r="BX127" s="198"/>
      <c r="BY127" s="39"/>
      <c r="BZ127" s="39"/>
      <c r="CA127" s="40"/>
      <c r="CB127" s="40"/>
      <c r="CC127" s="39"/>
      <c r="CD127" s="39"/>
      <c r="CE127" s="40"/>
      <c r="CF127" s="40"/>
      <c r="CG127" s="40"/>
      <c r="CH127" s="39"/>
      <c r="CI127" s="39"/>
      <c r="CJ127" s="40"/>
      <c r="CK127" s="40"/>
      <c r="CL127" s="39"/>
      <c r="CM127" s="39"/>
      <c r="CN127" s="39"/>
      <c r="CO127" s="40"/>
      <c r="CP127" s="40"/>
      <c r="CQ127" s="144"/>
      <c r="CR127" s="144"/>
      <c r="CS127" s="144"/>
      <c r="CT127" s="144"/>
      <c r="CU127" s="144"/>
      <c r="CV127" s="144"/>
      <c r="CW127" s="144"/>
      <c r="CX127" s="144"/>
      <c r="CY127" s="144"/>
      <c r="CZ127" s="144"/>
      <c r="DA127" s="144"/>
      <c r="DB127" s="144"/>
      <c r="DC127" s="144"/>
      <c r="DD127" s="144"/>
      <c r="DE127" s="144"/>
      <c r="DF127" s="144"/>
      <c r="DG127" s="144"/>
      <c r="DH127" s="144"/>
      <c r="DI127" s="144"/>
    </row>
    <row r="128" spans="1:113" s="2" customFormat="1" x14ac:dyDescent="0.3">
      <c r="A128" s="144"/>
      <c r="B128" s="150"/>
      <c r="C128" s="161"/>
      <c r="D128" s="144"/>
      <c r="E128" s="161"/>
      <c r="F128" s="161"/>
      <c r="G128" s="161"/>
      <c r="H128" s="161"/>
      <c r="I128" s="161"/>
      <c r="J128" s="161"/>
      <c r="K128" s="161"/>
      <c r="L128" s="161"/>
      <c r="M128" s="161"/>
      <c r="N128" s="157"/>
      <c r="O128" s="144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40"/>
      <c r="AC128" s="39"/>
      <c r="AD128" s="39"/>
      <c r="AE128" s="199"/>
      <c r="AF128" s="61"/>
      <c r="AG128" s="199"/>
      <c r="AH128" s="61"/>
      <c r="AI128" s="116"/>
      <c r="AJ128" s="139"/>
      <c r="AK128" s="61"/>
      <c r="AL128" s="52"/>
      <c r="AM128" s="39"/>
      <c r="AN128" s="52"/>
      <c r="AO128" s="52"/>
      <c r="AP128" s="52"/>
      <c r="AQ128" s="39"/>
      <c r="AR128" s="39"/>
      <c r="AS128" s="39"/>
      <c r="AT128" s="39"/>
      <c r="AU128" s="39"/>
      <c r="AV128" s="39"/>
      <c r="AW128" s="39"/>
      <c r="AX128" s="197"/>
      <c r="AY128" s="40"/>
      <c r="AZ128" s="198"/>
      <c r="BA128" s="39"/>
      <c r="BB128" s="39"/>
      <c r="BC128" s="358"/>
      <c r="BD128" s="39"/>
      <c r="BE128" s="197"/>
      <c r="BF128" s="358"/>
      <c r="BG128" s="40"/>
      <c r="BH128" s="198"/>
      <c r="BI128" s="39"/>
      <c r="BJ128" s="39"/>
      <c r="BK128" s="358"/>
      <c r="BL128" s="39"/>
      <c r="BM128" s="197"/>
      <c r="BN128" s="358"/>
      <c r="BO128" s="40"/>
      <c r="BP128" s="198"/>
      <c r="BQ128" s="39"/>
      <c r="BR128" s="39"/>
      <c r="BS128" s="39"/>
      <c r="BT128" s="39"/>
      <c r="BU128" s="197"/>
      <c r="BV128" s="39"/>
      <c r="BW128" s="40"/>
      <c r="BX128" s="198"/>
      <c r="BY128" s="39"/>
      <c r="BZ128" s="39"/>
      <c r="CA128" s="40"/>
      <c r="CB128" s="40"/>
      <c r="CC128" s="39"/>
      <c r="CD128" s="39"/>
      <c r="CE128" s="40"/>
      <c r="CF128" s="40"/>
      <c r="CG128" s="40"/>
      <c r="CH128" s="39"/>
      <c r="CI128" s="39"/>
      <c r="CJ128" s="40"/>
      <c r="CK128" s="40"/>
      <c r="CL128" s="39"/>
      <c r="CM128" s="39"/>
      <c r="CN128" s="39"/>
      <c r="CO128" s="40"/>
      <c r="CP128" s="40"/>
      <c r="CQ128" s="144"/>
      <c r="CR128" s="144"/>
      <c r="CS128" s="144"/>
      <c r="CT128" s="144"/>
      <c r="CU128" s="144"/>
      <c r="CV128" s="144"/>
      <c r="CW128" s="144"/>
      <c r="CX128" s="144"/>
      <c r="CY128" s="144"/>
      <c r="CZ128" s="144"/>
      <c r="DA128" s="144"/>
      <c r="DB128" s="144"/>
      <c r="DC128" s="144"/>
      <c r="DD128" s="144"/>
      <c r="DE128" s="144"/>
      <c r="DF128" s="144"/>
      <c r="DG128" s="144"/>
      <c r="DH128" s="144"/>
      <c r="DI128" s="144"/>
    </row>
    <row r="129" spans="1:113" s="2" customFormat="1" x14ac:dyDescent="0.3">
      <c r="A129" s="144"/>
      <c r="B129" s="150"/>
      <c r="C129" s="161"/>
      <c r="D129" s="144"/>
      <c r="E129" s="161"/>
      <c r="F129" s="161"/>
      <c r="G129" s="161"/>
      <c r="H129" s="161"/>
      <c r="I129" s="161"/>
      <c r="J129" s="161"/>
      <c r="K129" s="161"/>
      <c r="L129" s="161"/>
      <c r="M129" s="161"/>
      <c r="N129" s="157"/>
      <c r="O129" s="144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40"/>
      <c r="AC129" s="39"/>
      <c r="AD129" s="39"/>
      <c r="AE129" s="199"/>
      <c r="AF129" s="61"/>
      <c r="AG129" s="199"/>
      <c r="AH129" s="61"/>
      <c r="AI129" s="116"/>
      <c r="AJ129" s="139"/>
      <c r="AK129" s="61"/>
      <c r="AL129" s="52"/>
      <c r="AM129" s="39"/>
      <c r="AN129" s="52"/>
      <c r="AO129" s="52"/>
      <c r="AP129" s="52"/>
      <c r="AQ129" s="39"/>
      <c r="AR129" s="39"/>
      <c r="AS129" s="39"/>
      <c r="AT129" s="39"/>
      <c r="AU129" s="39"/>
      <c r="AV129" s="39"/>
      <c r="AW129" s="39"/>
      <c r="AX129" s="197"/>
      <c r="AY129" s="40"/>
      <c r="AZ129" s="198"/>
      <c r="BA129" s="39"/>
      <c r="BB129" s="39"/>
      <c r="BC129" s="358"/>
      <c r="BD129" s="39"/>
      <c r="BE129" s="197"/>
      <c r="BF129" s="358"/>
      <c r="BG129" s="40"/>
      <c r="BH129" s="198"/>
      <c r="BI129" s="39"/>
      <c r="BJ129" s="39"/>
      <c r="BK129" s="358"/>
      <c r="BL129" s="39"/>
      <c r="BM129" s="197"/>
      <c r="BN129" s="358"/>
      <c r="BO129" s="40"/>
      <c r="BP129" s="198"/>
      <c r="BQ129" s="39"/>
      <c r="BR129" s="39"/>
      <c r="BS129" s="39"/>
      <c r="BT129" s="39"/>
      <c r="BU129" s="197"/>
      <c r="BV129" s="39"/>
      <c r="BW129" s="40"/>
      <c r="BX129" s="198"/>
      <c r="BY129" s="39"/>
      <c r="BZ129" s="39"/>
      <c r="CA129" s="40"/>
      <c r="CB129" s="40"/>
      <c r="CC129" s="39"/>
      <c r="CD129" s="39"/>
      <c r="CE129" s="40"/>
      <c r="CF129" s="40"/>
      <c r="CG129" s="40"/>
      <c r="CH129" s="39"/>
      <c r="CI129" s="39"/>
      <c r="CJ129" s="40"/>
      <c r="CK129" s="40"/>
      <c r="CL129" s="39"/>
      <c r="CM129" s="39"/>
      <c r="CN129" s="39"/>
      <c r="CO129" s="40"/>
      <c r="CP129" s="40"/>
      <c r="CQ129" s="144"/>
      <c r="CR129" s="144"/>
      <c r="CS129" s="144"/>
      <c r="CT129" s="144"/>
      <c r="CU129" s="144"/>
      <c r="CV129" s="144"/>
      <c r="CW129" s="144"/>
      <c r="CX129" s="144"/>
      <c r="CY129" s="144"/>
      <c r="CZ129" s="144"/>
      <c r="DA129" s="144"/>
      <c r="DB129" s="144"/>
      <c r="DC129" s="144"/>
      <c r="DD129" s="144"/>
      <c r="DE129" s="144"/>
      <c r="DF129" s="144"/>
      <c r="DG129" s="144"/>
      <c r="DH129" s="144"/>
      <c r="DI129" s="144"/>
    </row>
    <row r="130" spans="1:113" s="2" customFormat="1" x14ac:dyDescent="0.3">
      <c r="A130" s="144"/>
      <c r="B130" s="150"/>
      <c r="C130" s="161"/>
      <c r="D130" s="144"/>
      <c r="E130" s="161"/>
      <c r="F130" s="161"/>
      <c r="G130" s="161"/>
      <c r="H130" s="161"/>
      <c r="I130" s="161"/>
      <c r="J130" s="161"/>
      <c r="K130" s="161"/>
      <c r="L130" s="161"/>
      <c r="M130" s="161"/>
      <c r="N130" s="157"/>
      <c r="O130" s="144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40"/>
      <c r="AC130" s="39"/>
      <c r="AD130" s="39"/>
      <c r="AE130" s="199"/>
      <c r="AF130" s="61"/>
      <c r="AG130" s="199"/>
      <c r="AH130" s="61"/>
      <c r="AI130" s="116"/>
      <c r="AJ130" s="139"/>
      <c r="AK130" s="61"/>
      <c r="AL130" s="52"/>
      <c r="AM130" s="39"/>
      <c r="AN130" s="52"/>
      <c r="AO130" s="52"/>
      <c r="AP130" s="52"/>
      <c r="AQ130" s="39"/>
      <c r="AR130" s="39"/>
      <c r="AS130" s="39"/>
      <c r="AT130" s="39"/>
      <c r="AU130" s="39"/>
      <c r="AV130" s="39"/>
      <c r="AW130" s="39"/>
      <c r="AX130" s="197"/>
      <c r="AY130" s="40"/>
      <c r="AZ130" s="198"/>
      <c r="BA130" s="39"/>
      <c r="BB130" s="39"/>
      <c r="BC130" s="358"/>
      <c r="BD130" s="39"/>
      <c r="BE130" s="197"/>
      <c r="BF130" s="358"/>
      <c r="BG130" s="40"/>
      <c r="BH130" s="198"/>
      <c r="BI130" s="39"/>
      <c r="BJ130" s="39"/>
      <c r="BK130" s="358"/>
      <c r="BL130" s="39"/>
      <c r="BM130" s="197"/>
      <c r="BN130" s="358"/>
      <c r="BO130" s="40"/>
      <c r="BP130" s="198"/>
      <c r="BQ130" s="39"/>
      <c r="BR130" s="39"/>
      <c r="BS130" s="39"/>
      <c r="BT130" s="39"/>
      <c r="BU130" s="197"/>
      <c r="BV130" s="39"/>
      <c r="BW130" s="40"/>
      <c r="BX130" s="198"/>
      <c r="BY130" s="39"/>
      <c r="BZ130" s="39"/>
      <c r="CA130" s="40"/>
      <c r="CB130" s="40"/>
      <c r="CC130" s="39"/>
      <c r="CD130" s="39"/>
      <c r="CE130" s="40"/>
      <c r="CF130" s="40"/>
      <c r="CG130" s="40"/>
      <c r="CH130" s="39"/>
      <c r="CI130" s="39"/>
      <c r="CJ130" s="40"/>
      <c r="CK130" s="40"/>
      <c r="CL130" s="39"/>
      <c r="CM130" s="39"/>
      <c r="CN130" s="39"/>
      <c r="CO130" s="40"/>
      <c r="CP130" s="40"/>
      <c r="CQ130" s="144"/>
      <c r="CR130" s="144"/>
      <c r="CS130" s="144"/>
      <c r="CT130" s="144"/>
      <c r="CU130" s="144"/>
      <c r="CV130" s="144"/>
      <c r="CW130" s="144"/>
      <c r="CX130" s="144"/>
      <c r="CY130" s="144"/>
      <c r="CZ130" s="144"/>
      <c r="DA130" s="144"/>
      <c r="DB130" s="144"/>
      <c r="DC130" s="144"/>
      <c r="DD130" s="144"/>
      <c r="DE130" s="144"/>
      <c r="DF130" s="144"/>
      <c r="DG130" s="144"/>
      <c r="DH130" s="144"/>
      <c r="DI130" s="144"/>
    </row>
    <row r="131" spans="1:113" s="2" customFormat="1" x14ac:dyDescent="0.3">
      <c r="A131" s="144"/>
      <c r="B131" s="150"/>
      <c r="C131" s="161"/>
      <c r="D131" s="144"/>
      <c r="E131" s="161"/>
      <c r="F131" s="161"/>
      <c r="G131" s="161"/>
      <c r="H131" s="161"/>
      <c r="I131" s="161"/>
      <c r="J131" s="161"/>
      <c r="K131" s="161"/>
      <c r="L131" s="161"/>
      <c r="M131" s="161"/>
      <c r="N131" s="157"/>
      <c r="O131" s="144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40"/>
      <c r="AC131" s="39"/>
      <c r="AD131" s="39"/>
      <c r="AE131" s="199"/>
      <c r="AF131" s="61"/>
      <c r="AG131" s="199"/>
      <c r="AH131" s="61"/>
      <c r="AI131" s="116">
        <f>AI77*Vergleich!AS41</f>
        <v>0</v>
      </c>
      <c r="AJ131" s="139"/>
      <c r="AK131" s="61">
        <f>ROUND(Y77*Vergleich!AT41,)</f>
        <v>0</v>
      </c>
      <c r="AL131" s="52"/>
      <c r="AM131" s="39"/>
      <c r="AN131" s="52"/>
      <c r="AO131" s="52"/>
      <c r="AP131" s="52"/>
      <c r="AQ131" s="39"/>
      <c r="AR131" s="39"/>
      <c r="AS131" s="39"/>
      <c r="AT131" s="39"/>
      <c r="AU131" s="39"/>
      <c r="AV131" s="39"/>
      <c r="AW131" s="39"/>
      <c r="AX131" s="197"/>
      <c r="AY131" s="40"/>
      <c r="AZ131" s="198"/>
      <c r="BA131" s="39"/>
      <c r="BB131" s="39"/>
      <c r="BC131" s="358"/>
      <c r="BD131" s="39"/>
      <c r="BE131" s="197"/>
      <c r="BF131" s="358"/>
      <c r="BG131" s="40"/>
      <c r="BH131" s="198"/>
      <c r="BI131" s="39"/>
      <c r="BJ131" s="39"/>
      <c r="BK131" s="358"/>
      <c r="BL131" s="39"/>
      <c r="BM131" s="197"/>
      <c r="BN131" s="358"/>
      <c r="BO131" s="40"/>
      <c r="BP131" s="198"/>
      <c r="BQ131" s="39"/>
      <c r="BR131" s="39"/>
      <c r="BS131" s="39"/>
      <c r="BT131" s="39"/>
      <c r="BU131" s="197"/>
      <c r="BV131" s="39"/>
      <c r="BW131" s="40"/>
      <c r="BX131" s="198"/>
      <c r="BY131" s="39"/>
      <c r="BZ131" s="39"/>
      <c r="CA131" s="40"/>
      <c r="CB131" s="40"/>
      <c r="CC131" s="39"/>
      <c r="CD131" s="39"/>
      <c r="CE131" s="40"/>
      <c r="CF131" s="40"/>
      <c r="CG131" s="40"/>
      <c r="CH131" s="39"/>
      <c r="CI131" s="39"/>
      <c r="CJ131" s="40"/>
      <c r="CK131" s="40"/>
      <c r="CL131" s="39"/>
      <c r="CM131" s="39"/>
      <c r="CN131" s="39"/>
      <c r="CO131" s="40"/>
      <c r="CP131" s="40"/>
      <c r="CQ131" s="144"/>
      <c r="CR131" s="144"/>
      <c r="CS131" s="144"/>
      <c r="CT131" s="144"/>
      <c r="CU131" s="144"/>
      <c r="CV131" s="144"/>
      <c r="CW131" s="144"/>
      <c r="CX131" s="144"/>
      <c r="CY131" s="144"/>
      <c r="CZ131" s="144"/>
      <c r="DA131" s="144"/>
      <c r="DB131" s="144"/>
      <c r="DC131" s="144"/>
      <c r="DD131" s="144"/>
      <c r="DE131" s="144"/>
      <c r="DF131" s="144"/>
      <c r="DG131" s="144"/>
      <c r="DH131" s="144"/>
      <c r="DI131" s="144"/>
    </row>
    <row r="132" spans="1:113" s="2" customFormat="1" x14ac:dyDescent="0.3">
      <c r="A132" s="144"/>
      <c r="B132" s="150"/>
      <c r="C132" s="161"/>
      <c r="D132" s="144"/>
      <c r="E132" s="161"/>
      <c r="F132" s="161"/>
      <c r="G132" s="161"/>
      <c r="H132" s="161"/>
      <c r="I132" s="161"/>
      <c r="J132" s="161"/>
      <c r="K132" s="161"/>
      <c r="L132" s="161"/>
      <c r="M132" s="161"/>
      <c r="N132" s="157"/>
      <c r="O132" s="144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40"/>
      <c r="AC132" s="39"/>
      <c r="AD132" s="39"/>
      <c r="AE132" s="199"/>
      <c r="AF132" s="61"/>
      <c r="AG132" s="199"/>
      <c r="AH132" s="61"/>
      <c r="AI132" s="124">
        <f>MIN(AI127:AI131)</f>
        <v>0</v>
      </c>
      <c r="AJ132" s="52"/>
      <c r="AK132" s="129">
        <f>MIN(AK127:AK131)</f>
        <v>0</v>
      </c>
      <c r="AL132" s="52"/>
      <c r="AM132" s="39"/>
      <c r="AN132" s="52"/>
      <c r="AO132" s="52"/>
      <c r="AP132" s="52"/>
      <c r="AQ132" s="39"/>
      <c r="AR132" s="39"/>
      <c r="AS132" s="39"/>
      <c r="AT132" s="39"/>
      <c r="AU132" s="39"/>
      <c r="AV132" s="39"/>
      <c r="AW132" s="39"/>
      <c r="AX132" s="197"/>
      <c r="AY132" s="40"/>
      <c r="AZ132" s="198"/>
      <c r="BA132" s="39"/>
      <c r="BB132" s="39"/>
      <c r="BC132" s="358"/>
      <c r="BD132" s="39"/>
      <c r="BE132" s="197"/>
      <c r="BF132" s="358"/>
      <c r="BG132" s="40"/>
      <c r="BH132" s="198"/>
      <c r="BI132" s="39"/>
      <c r="BJ132" s="39"/>
      <c r="BK132" s="358"/>
      <c r="BL132" s="39"/>
      <c r="BM132" s="197"/>
      <c r="BN132" s="358"/>
      <c r="BO132" s="40"/>
      <c r="BP132" s="198"/>
      <c r="BQ132" s="39"/>
      <c r="BR132" s="39"/>
      <c r="BS132" s="39"/>
      <c r="BT132" s="39"/>
      <c r="BU132" s="197"/>
      <c r="BV132" s="39"/>
      <c r="BW132" s="40"/>
      <c r="BX132" s="198"/>
      <c r="BY132" s="39"/>
      <c r="BZ132" s="39"/>
      <c r="CA132" s="40"/>
      <c r="CB132" s="40"/>
      <c r="CC132" s="39"/>
      <c r="CD132" s="39"/>
      <c r="CE132" s="40"/>
      <c r="CF132" s="40"/>
      <c r="CG132" s="40"/>
      <c r="CH132" s="39"/>
      <c r="CI132" s="39"/>
      <c r="CJ132" s="40"/>
      <c r="CK132" s="40"/>
      <c r="CL132" s="39"/>
      <c r="CM132" s="39"/>
      <c r="CN132" s="39"/>
      <c r="CO132" s="40"/>
      <c r="CP132" s="40"/>
      <c r="CQ132" s="144"/>
      <c r="CR132" s="144"/>
      <c r="CS132" s="144"/>
      <c r="CT132" s="144"/>
      <c r="CU132" s="144"/>
      <c r="CV132" s="144"/>
      <c r="CW132" s="144"/>
      <c r="CX132" s="144"/>
      <c r="CY132" s="144"/>
      <c r="CZ132" s="144"/>
      <c r="DA132" s="144"/>
      <c r="DB132" s="144"/>
      <c r="DC132" s="144"/>
      <c r="DD132" s="144"/>
      <c r="DE132" s="144"/>
      <c r="DF132" s="144"/>
      <c r="DG132" s="144"/>
      <c r="DH132" s="144"/>
      <c r="DI132" s="144"/>
    </row>
    <row r="133" spans="1:113" s="2" customFormat="1" x14ac:dyDescent="0.3">
      <c r="A133" s="144"/>
      <c r="B133" s="150"/>
      <c r="C133" s="161"/>
      <c r="D133" s="144"/>
      <c r="E133" s="161"/>
      <c r="F133" s="161"/>
      <c r="G133" s="161"/>
      <c r="H133" s="161"/>
      <c r="I133" s="161"/>
      <c r="J133" s="161"/>
      <c r="K133" s="161"/>
      <c r="L133" s="161"/>
      <c r="M133" s="161"/>
      <c r="N133" s="157"/>
      <c r="O133" s="144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40"/>
      <c r="AC133" s="39"/>
      <c r="AD133" s="39"/>
      <c r="AE133" s="199"/>
      <c r="AF133" s="61"/>
      <c r="AG133" s="199"/>
      <c r="AH133" s="61"/>
      <c r="AI133" s="39"/>
      <c r="AJ133" s="52"/>
      <c r="AK133" s="52"/>
      <c r="AL133" s="52"/>
      <c r="AM133" s="39"/>
      <c r="AN133" s="52"/>
      <c r="AO133" s="52"/>
      <c r="AP133" s="52"/>
      <c r="AQ133" s="39"/>
      <c r="AR133" s="39"/>
      <c r="AS133" s="39"/>
      <c r="AT133" s="39"/>
      <c r="AU133" s="39"/>
      <c r="AV133" s="39"/>
      <c r="AW133" s="39"/>
      <c r="AX133" s="197"/>
      <c r="AY133" s="40"/>
      <c r="AZ133" s="198"/>
      <c r="BA133" s="39"/>
      <c r="BB133" s="39"/>
      <c r="BC133" s="358"/>
      <c r="BD133" s="39"/>
      <c r="BE133" s="197"/>
      <c r="BF133" s="358"/>
      <c r="BG133" s="40"/>
      <c r="BH133" s="198"/>
      <c r="BI133" s="39"/>
      <c r="BJ133" s="39"/>
      <c r="BK133" s="358"/>
      <c r="BL133" s="39"/>
      <c r="BM133" s="197"/>
      <c r="BN133" s="358"/>
      <c r="BO133" s="40"/>
      <c r="BP133" s="198"/>
      <c r="BQ133" s="39"/>
      <c r="BR133" s="39"/>
      <c r="BS133" s="39"/>
      <c r="BT133" s="39"/>
      <c r="BU133" s="197"/>
      <c r="BV133" s="39"/>
      <c r="BW133" s="40"/>
      <c r="BX133" s="198"/>
      <c r="BY133" s="39"/>
      <c r="BZ133" s="39"/>
      <c r="CA133" s="40"/>
      <c r="CB133" s="40"/>
      <c r="CC133" s="39"/>
      <c r="CD133" s="39"/>
      <c r="CE133" s="40"/>
      <c r="CF133" s="40"/>
      <c r="CG133" s="40"/>
      <c r="CH133" s="39"/>
      <c r="CI133" s="39"/>
      <c r="CJ133" s="40"/>
      <c r="CK133" s="40"/>
      <c r="CL133" s="39"/>
      <c r="CM133" s="39"/>
      <c r="CN133" s="39"/>
      <c r="CO133" s="40"/>
      <c r="CP133" s="40"/>
      <c r="CQ133" s="144"/>
      <c r="CR133" s="144"/>
      <c r="CS133" s="144"/>
      <c r="CT133" s="144"/>
      <c r="CU133" s="144"/>
      <c r="CV133" s="144"/>
      <c r="CW133" s="144"/>
      <c r="CX133" s="144"/>
      <c r="CY133" s="144"/>
      <c r="CZ133" s="144"/>
      <c r="DA133" s="144"/>
      <c r="DB133" s="144"/>
      <c r="DC133" s="144"/>
      <c r="DD133" s="144"/>
      <c r="DE133" s="144"/>
      <c r="DF133" s="144"/>
      <c r="DG133" s="144"/>
      <c r="DH133" s="144"/>
      <c r="DI133" s="144"/>
    </row>
    <row r="134" spans="1:113" s="2" customFormat="1" x14ac:dyDescent="0.3">
      <c r="A134" s="144"/>
      <c r="B134" s="150"/>
      <c r="C134" s="161"/>
      <c r="D134" s="144"/>
      <c r="E134" s="161"/>
      <c r="F134" s="161"/>
      <c r="G134" s="161"/>
      <c r="H134" s="161"/>
      <c r="I134" s="161"/>
      <c r="J134" s="161"/>
      <c r="K134" s="161"/>
      <c r="L134" s="161"/>
      <c r="M134" s="161"/>
      <c r="N134" s="157"/>
      <c r="O134" s="144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40"/>
      <c r="AC134" s="39"/>
      <c r="AD134" s="39"/>
      <c r="AE134" s="199"/>
      <c r="AF134" s="61"/>
      <c r="AG134" s="199"/>
      <c r="AH134" s="61"/>
      <c r="AI134" s="39"/>
      <c r="AJ134" s="52"/>
      <c r="AK134" s="52"/>
      <c r="AL134" s="52"/>
      <c r="AM134" s="39"/>
      <c r="AN134" s="52"/>
      <c r="AO134" s="52"/>
      <c r="AP134" s="52"/>
      <c r="AQ134" s="39"/>
      <c r="AR134" s="39"/>
      <c r="AS134" s="39"/>
      <c r="AT134" s="39"/>
      <c r="AU134" s="39"/>
      <c r="AV134" s="39"/>
      <c r="AW134" s="39"/>
      <c r="AX134" s="197"/>
      <c r="AY134" s="40"/>
      <c r="AZ134" s="198"/>
      <c r="BA134" s="39"/>
      <c r="BB134" s="39"/>
      <c r="BC134" s="358"/>
      <c r="BD134" s="39"/>
      <c r="BE134" s="197"/>
      <c r="BF134" s="358"/>
      <c r="BG134" s="40"/>
      <c r="BH134" s="198"/>
      <c r="BI134" s="39"/>
      <c r="BJ134" s="39"/>
      <c r="BK134" s="358"/>
      <c r="BL134" s="39"/>
      <c r="BM134" s="197"/>
      <c r="BN134" s="358"/>
      <c r="BO134" s="40"/>
      <c r="BP134" s="198"/>
      <c r="BQ134" s="39"/>
      <c r="BR134" s="39"/>
      <c r="BS134" s="39"/>
      <c r="BT134" s="39"/>
      <c r="BU134" s="197"/>
      <c r="BV134" s="39"/>
      <c r="BW134" s="40"/>
      <c r="BX134" s="198"/>
      <c r="BY134" s="39"/>
      <c r="BZ134" s="39"/>
      <c r="CA134" s="40"/>
      <c r="CB134" s="40"/>
      <c r="CC134" s="39"/>
      <c r="CD134" s="39"/>
      <c r="CE134" s="40"/>
      <c r="CF134" s="40"/>
      <c r="CG134" s="40"/>
      <c r="CH134" s="39"/>
      <c r="CI134" s="39"/>
      <c r="CJ134" s="40"/>
      <c r="CK134" s="40"/>
      <c r="CL134" s="39"/>
      <c r="CM134" s="39"/>
      <c r="CN134" s="39"/>
      <c r="CO134" s="40"/>
      <c r="CP134" s="40"/>
      <c r="CQ134" s="144"/>
      <c r="CR134" s="144"/>
      <c r="CS134" s="144"/>
      <c r="CT134" s="144"/>
      <c r="CU134" s="144"/>
      <c r="CV134" s="144"/>
      <c r="CW134" s="144"/>
      <c r="CX134" s="144"/>
      <c r="CY134" s="144"/>
      <c r="CZ134" s="144"/>
      <c r="DA134" s="144"/>
      <c r="DB134" s="144"/>
      <c r="DC134" s="144"/>
      <c r="DD134" s="144"/>
      <c r="DE134" s="144"/>
      <c r="DF134" s="144"/>
      <c r="DG134" s="144"/>
      <c r="DH134" s="144"/>
      <c r="DI134" s="144"/>
    </row>
    <row r="135" spans="1:113" s="2" customFormat="1" x14ac:dyDescent="0.3">
      <c r="A135" s="144"/>
      <c r="B135" s="150"/>
      <c r="C135" s="161"/>
      <c r="D135" s="144"/>
      <c r="E135" s="161"/>
      <c r="F135" s="161"/>
      <c r="G135" s="161"/>
      <c r="H135" s="161"/>
      <c r="I135" s="161"/>
      <c r="J135" s="161"/>
      <c r="K135" s="161"/>
      <c r="L135" s="161"/>
      <c r="M135" s="161"/>
      <c r="N135" s="157"/>
      <c r="O135" s="144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40"/>
      <c r="AC135" s="39"/>
      <c r="AD135" s="39"/>
      <c r="AE135" s="199"/>
      <c r="AF135" s="61"/>
      <c r="AG135" s="199"/>
      <c r="AH135" s="61"/>
      <c r="AI135" s="39"/>
      <c r="AJ135" s="52"/>
      <c r="AK135" s="52"/>
      <c r="AL135" s="52"/>
      <c r="AM135" s="39"/>
      <c r="AN135" s="52"/>
      <c r="AO135" s="52"/>
      <c r="AP135" s="52"/>
      <c r="AQ135" s="39"/>
      <c r="AR135" s="39"/>
      <c r="AS135" s="39"/>
      <c r="AT135" s="39"/>
      <c r="AU135" s="39"/>
      <c r="AV135" s="39"/>
      <c r="AW135" s="39"/>
      <c r="AX135" s="197"/>
      <c r="AY135" s="40"/>
      <c r="AZ135" s="198"/>
      <c r="BA135" s="39"/>
      <c r="BB135" s="39"/>
      <c r="BC135" s="358"/>
      <c r="BD135" s="39"/>
      <c r="BE135" s="197"/>
      <c r="BF135" s="358"/>
      <c r="BG135" s="40"/>
      <c r="BH135" s="198"/>
      <c r="BI135" s="39"/>
      <c r="BJ135" s="39"/>
      <c r="BK135" s="358"/>
      <c r="BL135" s="39"/>
      <c r="BM135" s="197"/>
      <c r="BN135" s="358"/>
      <c r="BO135" s="40"/>
      <c r="BP135" s="198"/>
      <c r="BQ135" s="39"/>
      <c r="BR135" s="39"/>
      <c r="BS135" s="39"/>
      <c r="BT135" s="39"/>
      <c r="BU135" s="197"/>
      <c r="BV135" s="39"/>
      <c r="BW135" s="40"/>
      <c r="BX135" s="198"/>
      <c r="BY135" s="39"/>
      <c r="BZ135" s="39"/>
      <c r="CA135" s="40"/>
      <c r="CB135" s="40"/>
      <c r="CC135" s="39"/>
      <c r="CD135" s="39"/>
      <c r="CE135" s="40"/>
      <c r="CF135" s="40"/>
      <c r="CG135" s="40"/>
      <c r="CH135" s="39"/>
      <c r="CI135" s="39"/>
      <c r="CJ135" s="40"/>
      <c r="CK135" s="40"/>
      <c r="CL135" s="39"/>
      <c r="CM135" s="39"/>
      <c r="CN135" s="39"/>
      <c r="CO135" s="40"/>
      <c r="CP135" s="40"/>
      <c r="CQ135" s="144"/>
      <c r="CR135" s="144"/>
      <c r="CS135" s="144"/>
      <c r="CT135" s="144"/>
      <c r="CU135" s="144"/>
      <c r="CV135" s="144"/>
      <c r="CW135" s="144"/>
      <c r="CX135" s="144"/>
      <c r="CY135" s="144"/>
      <c r="CZ135" s="144"/>
      <c r="DA135" s="144"/>
      <c r="DB135" s="144"/>
      <c r="DC135" s="144"/>
      <c r="DD135" s="144"/>
      <c r="DE135" s="144"/>
      <c r="DF135" s="144"/>
      <c r="DG135" s="144"/>
      <c r="DH135" s="144"/>
      <c r="DI135" s="144"/>
    </row>
    <row r="136" spans="1:113" s="2" customFormat="1" x14ac:dyDescent="0.3">
      <c r="A136" s="144"/>
      <c r="B136" s="150"/>
      <c r="C136" s="161"/>
      <c r="D136" s="144"/>
      <c r="E136" s="161"/>
      <c r="F136" s="161"/>
      <c r="G136" s="161"/>
      <c r="H136" s="161"/>
      <c r="I136" s="161"/>
      <c r="J136" s="161"/>
      <c r="K136" s="161"/>
      <c r="L136" s="161"/>
      <c r="M136" s="161"/>
      <c r="N136" s="157"/>
      <c r="O136" s="144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40"/>
      <c r="AC136" s="39"/>
      <c r="AD136" s="39"/>
      <c r="AE136" s="199"/>
      <c r="AF136" s="61"/>
      <c r="AG136" s="199"/>
      <c r="AH136" s="61"/>
      <c r="AI136" s="39"/>
      <c r="AJ136" s="52"/>
      <c r="AK136" s="52"/>
      <c r="AL136" s="52"/>
      <c r="AM136" s="39"/>
      <c r="AN136" s="52"/>
      <c r="AO136" s="52"/>
      <c r="AP136" s="52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58"/>
      <c r="BD136" s="39"/>
      <c r="BE136" s="39"/>
      <c r="BF136" s="358"/>
      <c r="BG136" s="39"/>
      <c r="BH136" s="39"/>
      <c r="BI136" s="39"/>
      <c r="BJ136" s="39"/>
      <c r="BK136" s="358"/>
      <c r="BL136" s="39"/>
      <c r="BM136" s="39"/>
      <c r="BN136" s="358"/>
      <c r="BO136" s="39"/>
      <c r="BP136" s="39"/>
      <c r="BQ136" s="39"/>
      <c r="BR136" s="39"/>
      <c r="BS136" s="39"/>
      <c r="BT136" s="39"/>
      <c r="BU136" s="39"/>
      <c r="BV136" s="39"/>
      <c r="BW136" s="39"/>
      <c r="BX136" s="39"/>
      <c r="BY136" s="39"/>
      <c r="BZ136" s="39"/>
      <c r="CA136" s="40"/>
      <c r="CB136" s="40"/>
      <c r="CC136" s="39"/>
      <c r="CD136" s="39"/>
      <c r="CE136" s="40"/>
      <c r="CF136" s="40"/>
      <c r="CG136" s="40"/>
      <c r="CH136" s="39"/>
      <c r="CI136" s="39"/>
      <c r="CJ136" s="40"/>
      <c r="CK136" s="40"/>
      <c r="CL136" s="39"/>
      <c r="CM136" s="39"/>
      <c r="CN136" s="39"/>
      <c r="CO136" s="40"/>
      <c r="CP136" s="40"/>
      <c r="CQ136" s="144"/>
      <c r="CR136" s="144"/>
      <c r="CS136" s="144"/>
      <c r="CT136" s="144"/>
      <c r="CU136" s="144"/>
      <c r="CV136" s="144"/>
      <c r="CW136" s="144"/>
      <c r="CX136" s="144"/>
      <c r="CY136" s="144"/>
      <c r="CZ136" s="144"/>
      <c r="DA136" s="144"/>
      <c r="DB136" s="144"/>
      <c r="DC136" s="144"/>
      <c r="DD136" s="144"/>
      <c r="DE136" s="144"/>
      <c r="DF136" s="144"/>
      <c r="DG136" s="144"/>
      <c r="DH136" s="144"/>
      <c r="DI136" s="144"/>
    </row>
    <row r="137" spans="1:113" s="2" customFormat="1" x14ac:dyDescent="0.3">
      <c r="A137" s="144"/>
      <c r="B137" s="150"/>
      <c r="C137" s="161"/>
      <c r="D137" s="144"/>
      <c r="E137" s="161"/>
      <c r="F137" s="161"/>
      <c r="G137" s="161"/>
      <c r="H137" s="161"/>
      <c r="I137" s="161"/>
      <c r="J137" s="161"/>
      <c r="K137" s="161"/>
      <c r="L137" s="161"/>
      <c r="M137" s="161"/>
      <c r="N137" s="157"/>
      <c r="O137" s="144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40"/>
      <c r="AC137" s="39"/>
      <c r="AD137" s="39"/>
      <c r="AE137" s="199"/>
      <c r="AF137" s="61"/>
      <c r="AG137" s="199"/>
      <c r="AH137" s="61"/>
      <c r="AI137" s="39"/>
      <c r="AJ137" s="52"/>
      <c r="AK137" s="52"/>
      <c r="AL137" s="52"/>
      <c r="AM137" s="39"/>
      <c r="AN137" s="52"/>
      <c r="AO137" s="52"/>
      <c r="AP137" s="52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39"/>
      <c r="BB137" s="39"/>
      <c r="BC137" s="358"/>
      <c r="BD137" s="39"/>
      <c r="BE137" s="39"/>
      <c r="BF137" s="358"/>
      <c r="BG137" s="39"/>
      <c r="BH137" s="39"/>
      <c r="BI137" s="39"/>
      <c r="BJ137" s="39"/>
      <c r="BK137" s="358"/>
      <c r="BL137" s="39"/>
      <c r="BM137" s="39"/>
      <c r="BN137" s="358"/>
      <c r="BO137" s="39"/>
      <c r="BP137" s="39"/>
      <c r="BQ137" s="39"/>
      <c r="BR137" s="39"/>
      <c r="BS137" s="39"/>
      <c r="BT137" s="39"/>
      <c r="BU137" s="39"/>
      <c r="BV137" s="39"/>
      <c r="BW137" s="39"/>
      <c r="BX137" s="39"/>
      <c r="BY137" s="39"/>
      <c r="BZ137" s="39"/>
      <c r="CA137" s="40"/>
      <c r="CB137" s="40"/>
      <c r="CC137" s="39"/>
      <c r="CD137" s="39"/>
      <c r="CE137" s="40"/>
      <c r="CF137" s="40"/>
      <c r="CG137" s="40"/>
      <c r="CH137" s="39"/>
      <c r="CI137" s="39"/>
      <c r="CJ137" s="40"/>
      <c r="CK137" s="40"/>
      <c r="CL137" s="39"/>
      <c r="CM137" s="39"/>
      <c r="CN137" s="39"/>
      <c r="CO137" s="40"/>
      <c r="CP137" s="40"/>
      <c r="CQ137" s="144"/>
      <c r="CR137" s="144"/>
      <c r="CS137" s="144"/>
      <c r="CT137" s="144"/>
      <c r="CU137" s="144"/>
      <c r="CV137" s="144"/>
      <c r="CW137" s="144"/>
      <c r="CX137" s="144"/>
      <c r="CY137" s="144"/>
      <c r="CZ137" s="144"/>
      <c r="DA137" s="144"/>
      <c r="DB137" s="144"/>
      <c r="DC137" s="144"/>
      <c r="DD137" s="144"/>
      <c r="DE137" s="144"/>
      <c r="DF137" s="144"/>
      <c r="DG137" s="144"/>
      <c r="DH137" s="144"/>
      <c r="DI137" s="144"/>
    </row>
    <row r="138" spans="1:113" s="2" customFormat="1" x14ac:dyDescent="0.3">
      <c r="A138" s="144"/>
      <c r="B138" s="150"/>
      <c r="C138" s="161"/>
      <c r="D138" s="144"/>
      <c r="E138" s="161"/>
      <c r="F138" s="161"/>
      <c r="G138" s="161"/>
      <c r="H138" s="161"/>
      <c r="I138" s="161"/>
      <c r="J138" s="161"/>
      <c r="K138" s="161"/>
      <c r="L138" s="161"/>
      <c r="M138" s="161"/>
      <c r="N138" s="157"/>
      <c r="O138" s="144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40"/>
      <c r="AC138" s="39"/>
      <c r="AD138" s="39"/>
      <c r="AE138" s="199"/>
      <c r="AF138" s="61"/>
      <c r="AG138" s="199"/>
      <c r="AH138" s="61"/>
      <c r="AI138" s="39"/>
      <c r="AJ138" s="52"/>
      <c r="AK138" s="52"/>
      <c r="AL138" s="52"/>
      <c r="AM138" s="39"/>
      <c r="AN138" s="52"/>
      <c r="AO138" s="52"/>
      <c r="AP138" s="52"/>
      <c r="AQ138" s="39"/>
      <c r="AR138" s="39"/>
      <c r="AS138" s="39"/>
      <c r="AT138" s="39"/>
      <c r="AU138" s="39"/>
      <c r="AV138" s="39"/>
      <c r="AW138" s="39"/>
      <c r="AX138" s="39"/>
      <c r="AY138" s="39"/>
      <c r="AZ138" s="39"/>
      <c r="BA138" s="39"/>
      <c r="BB138" s="39"/>
      <c r="BC138" s="358"/>
      <c r="BD138" s="39"/>
      <c r="BE138" s="39"/>
      <c r="BF138" s="358"/>
      <c r="BG138" s="39"/>
      <c r="BH138" s="39"/>
      <c r="BI138" s="39"/>
      <c r="BJ138" s="39"/>
      <c r="BK138" s="358"/>
      <c r="BL138" s="39"/>
      <c r="BM138" s="39"/>
      <c r="BN138" s="358"/>
      <c r="BO138" s="39"/>
      <c r="BP138" s="39"/>
      <c r="BQ138" s="39"/>
      <c r="BR138" s="39"/>
      <c r="BS138" s="39"/>
      <c r="BT138" s="39"/>
      <c r="BU138" s="39"/>
      <c r="BV138" s="39"/>
      <c r="BW138" s="39"/>
      <c r="BX138" s="39"/>
      <c r="BY138" s="39"/>
      <c r="BZ138" s="39"/>
      <c r="CA138" s="40"/>
      <c r="CB138" s="40"/>
      <c r="CC138" s="39"/>
      <c r="CD138" s="39"/>
      <c r="CE138" s="40"/>
      <c r="CF138" s="40"/>
      <c r="CG138" s="40"/>
      <c r="CH138" s="39"/>
      <c r="CI138" s="39"/>
      <c r="CJ138" s="40"/>
      <c r="CK138" s="40"/>
      <c r="CL138" s="39"/>
      <c r="CM138" s="39"/>
      <c r="CN138" s="39"/>
      <c r="CO138" s="40"/>
      <c r="CP138" s="40"/>
      <c r="CQ138" s="144"/>
      <c r="CR138" s="144"/>
      <c r="CS138" s="144"/>
      <c r="CT138" s="144"/>
      <c r="CU138" s="144"/>
      <c r="CV138" s="144"/>
      <c r="CW138" s="144"/>
      <c r="CX138" s="144"/>
      <c r="CY138" s="144"/>
      <c r="CZ138" s="144"/>
      <c r="DA138" s="144"/>
      <c r="DB138" s="144"/>
      <c r="DC138" s="144"/>
      <c r="DD138" s="144"/>
      <c r="DE138" s="144"/>
      <c r="DF138" s="144"/>
      <c r="DG138" s="144"/>
      <c r="DH138" s="144"/>
      <c r="DI138" s="144"/>
    </row>
    <row r="139" spans="1:113" s="2" customFormat="1" x14ac:dyDescent="0.3">
      <c r="A139" s="144"/>
      <c r="B139" s="150"/>
      <c r="C139" s="161"/>
      <c r="D139" s="144"/>
      <c r="E139" s="161"/>
      <c r="F139" s="161"/>
      <c r="G139" s="161"/>
      <c r="H139" s="161"/>
      <c r="I139" s="161"/>
      <c r="J139" s="161"/>
      <c r="K139" s="161"/>
      <c r="L139" s="161"/>
      <c r="M139" s="161"/>
      <c r="N139" s="157"/>
      <c r="O139" s="144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40"/>
      <c r="AC139" s="39"/>
      <c r="AD139" s="39"/>
      <c r="AE139" s="199"/>
      <c r="AF139" s="61"/>
      <c r="AG139" s="199"/>
      <c r="AH139" s="61"/>
      <c r="AI139" s="39"/>
      <c r="AJ139" s="52"/>
      <c r="AK139" s="52"/>
      <c r="AL139" s="52"/>
      <c r="AM139" s="39"/>
      <c r="AN139" s="52"/>
      <c r="AO139" s="52"/>
      <c r="AP139" s="52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  <c r="BC139" s="358"/>
      <c r="BD139" s="39"/>
      <c r="BE139" s="39"/>
      <c r="BF139" s="358"/>
      <c r="BG139" s="39"/>
      <c r="BH139" s="39"/>
      <c r="BI139" s="39"/>
      <c r="BJ139" s="39"/>
      <c r="BK139" s="358"/>
      <c r="BL139" s="39"/>
      <c r="BM139" s="39"/>
      <c r="BN139" s="358"/>
      <c r="BO139" s="39"/>
      <c r="BP139" s="39"/>
      <c r="BQ139" s="39"/>
      <c r="BR139" s="39"/>
      <c r="BS139" s="39"/>
      <c r="BT139" s="39"/>
      <c r="BU139" s="39"/>
      <c r="BV139" s="39"/>
      <c r="BW139" s="39"/>
      <c r="BX139" s="39"/>
      <c r="BY139" s="39"/>
      <c r="BZ139" s="39"/>
      <c r="CA139" s="40"/>
      <c r="CB139" s="40"/>
      <c r="CC139" s="39"/>
      <c r="CD139" s="39"/>
      <c r="CE139" s="40"/>
      <c r="CF139" s="40"/>
      <c r="CG139" s="40"/>
      <c r="CH139" s="39"/>
      <c r="CI139" s="39"/>
      <c r="CJ139" s="40"/>
      <c r="CK139" s="40"/>
      <c r="CL139" s="39"/>
      <c r="CM139" s="39"/>
      <c r="CN139" s="39"/>
      <c r="CO139" s="40"/>
      <c r="CP139" s="40"/>
      <c r="CQ139" s="144"/>
      <c r="CR139" s="144"/>
      <c r="CS139" s="144"/>
      <c r="CT139" s="144"/>
      <c r="CU139" s="144"/>
      <c r="CV139" s="144"/>
      <c r="CW139" s="144"/>
      <c r="CX139" s="144"/>
      <c r="CY139" s="144"/>
      <c r="CZ139" s="144"/>
      <c r="DA139" s="144"/>
      <c r="DB139" s="144"/>
      <c r="DC139" s="144"/>
      <c r="DD139" s="144"/>
      <c r="DE139" s="144"/>
      <c r="DF139" s="144"/>
      <c r="DG139" s="144"/>
      <c r="DH139" s="144"/>
      <c r="DI139" s="144"/>
    </row>
    <row r="140" spans="1:113" s="2" customFormat="1" x14ac:dyDescent="0.3">
      <c r="A140" s="144"/>
      <c r="B140" s="150"/>
      <c r="C140" s="161"/>
      <c r="D140" s="144"/>
      <c r="E140" s="161"/>
      <c r="F140" s="161"/>
      <c r="G140" s="161"/>
      <c r="H140" s="161"/>
      <c r="I140" s="161"/>
      <c r="J140" s="161"/>
      <c r="K140" s="161"/>
      <c r="L140" s="161"/>
      <c r="M140" s="161"/>
      <c r="N140" s="157"/>
      <c r="O140" s="158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40"/>
      <c r="AC140" s="39"/>
      <c r="AD140" s="39"/>
      <c r="AE140" s="199"/>
      <c r="AF140" s="61"/>
      <c r="AG140" s="199"/>
      <c r="AH140" s="61"/>
      <c r="AI140" s="39"/>
      <c r="AJ140" s="52"/>
      <c r="AK140" s="52"/>
      <c r="AL140" s="52"/>
      <c r="AM140" s="39"/>
      <c r="AN140" s="52"/>
      <c r="AO140" s="52"/>
      <c r="AP140" s="52"/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358"/>
      <c r="BD140" s="39"/>
      <c r="BE140" s="39"/>
      <c r="BF140" s="358"/>
      <c r="BG140" s="39"/>
      <c r="BH140" s="39"/>
      <c r="BI140" s="39"/>
      <c r="BJ140" s="39"/>
      <c r="BK140" s="358"/>
      <c r="BL140" s="39"/>
      <c r="BM140" s="39"/>
      <c r="BN140" s="358"/>
      <c r="BO140" s="39"/>
      <c r="BP140" s="39"/>
      <c r="BQ140" s="39"/>
      <c r="BR140" s="39"/>
      <c r="BS140" s="39"/>
      <c r="BT140" s="39"/>
      <c r="BU140" s="39"/>
      <c r="BV140" s="39"/>
      <c r="BW140" s="39"/>
      <c r="BX140" s="39"/>
      <c r="BY140" s="39"/>
      <c r="BZ140" s="39"/>
      <c r="CA140" s="40"/>
      <c r="CB140" s="40"/>
      <c r="CC140" s="39"/>
      <c r="CD140" s="39"/>
      <c r="CE140" s="40"/>
      <c r="CF140" s="40"/>
      <c r="CG140" s="40"/>
      <c r="CH140" s="39"/>
      <c r="CI140" s="39"/>
      <c r="CJ140" s="40"/>
      <c r="CK140" s="40"/>
      <c r="CL140" s="39"/>
      <c r="CM140" s="39"/>
      <c r="CN140" s="39"/>
      <c r="CO140" s="40"/>
      <c r="CP140" s="40"/>
      <c r="CQ140" s="144"/>
      <c r="CR140" s="144"/>
      <c r="CS140" s="144"/>
      <c r="CT140" s="144"/>
      <c r="CU140" s="144"/>
      <c r="CV140" s="144"/>
      <c r="CW140" s="144"/>
      <c r="CX140" s="144"/>
      <c r="CY140" s="144"/>
      <c r="CZ140" s="144"/>
      <c r="DA140" s="144"/>
      <c r="DB140" s="144"/>
      <c r="DC140" s="144"/>
      <c r="DD140" s="144"/>
      <c r="DE140" s="144"/>
      <c r="DF140" s="144"/>
      <c r="DG140" s="144"/>
      <c r="DH140" s="144"/>
      <c r="DI140" s="144"/>
    </row>
    <row r="141" spans="1:113" s="2" customFormat="1" x14ac:dyDescent="0.3">
      <c r="A141" s="144"/>
      <c r="B141" s="150"/>
      <c r="C141" s="161"/>
      <c r="D141" s="144"/>
      <c r="E141" s="161"/>
      <c r="F141" s="161"/>
      <c r="G141" s="161"/>
      <c r="H141" s="161"/>
      <c r="I141" s="161"/>
      <c r="J141" s="161"/>
      <c r="K141" s="161"/>
      <c r="L141" s="161"/>
      <c r="M141" s="161"/>
      <c r="N141" s="157"/>
      <c r="O141" s="157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40"/>
      <c r="AC141" s="39"/>
      <c r="AD141" s="39"/>
      <c r="AE141" s="199"/>
      <c r="AF141" s="61"/>
      <c r="AG141" s="199"/>
      <c r="AH141" s="61"/>
      <c r="AI141" s="39"/>
      <c r="AJ141" s="52"/>
      <c r="AK141" s="52"/>
      <c r="AL141" s="52"/>
      <c r="AM141" s="39"/>
      <c r="AN141" s="52"/>
      <c r="AO141" s="52"/>
      <c r="AP141" s="52"/>
      <c r="AQ141" s="39"/>
      <c r="AR141" s="39"/>
      <c r="AS141" s="39"/>
      <c r="AT141" s="39"/>
      <c r="AU141" s="39"/>
      <c r="AV141" s="39"/>
      <c r="AW141" s="39"/>
      <c r="AX141" s="39"/>
      <c r="AY141" s="39"/>
      <c r="AZ141" s="39"/>
      <c r="BA141" s="39"/>
      <c r="BB141" s="39"/>
      <c r="BC141" s="358"/>
      <c r="BD141" s="39"/>
      <c r="BE141" s="39"/>
      <c r="BF141" s="358"/>
      <c r="BG141" s="39"/>
      <c r="BH141" s="39"/>
      <c r="BI141" s="39"/>
      <c r="BJ141" s="39"/>
      <c r="BK141" s="358"/>
      <c r="BL141" s="39"/>
      <c r="BM141" s="39"/>
      <c r="BN141" s="358"/>
      <c r="BO141" s="39"/>
      <c r="BP141" s="39"/>
      <c r="BQ141" s="39"/>
      <c r="BR141" s="39"/>
      <c r="BS141" s="39"/>
      <c r="BT141" s="39"/>
      <c r="BU141" s="39"/>
      <c r="BV141" s="39"/>
      <c r="BW141" s="39"/>
      <c r="BX141" s="39"/>
      <c r="BY141" s="39"/>
      <c r="BZ141" s="39"/>
      <c r="CA141" s="40"/>
      <c r="CB141" s="40"/>
      <c r="CC141" s="39"/>
      <c r="CD141" s="39"/>
      <c r="CE141" s="40"/>
      <c r="CF141" s="40"/>
      <c r="CG141" s="40"/>
      <c r="CH141" s="39"/>
      <c r="CI141" s="39"/>
      <c r="CJ141" s="40"/>
      <c r="CK141" s="40"/>
      <c r="CL141" s="39"/>
      <c r="CM141" s="39"/>
      <c r="CN141" s="39"/>
      <c r="CO141" s="40"/>
      <c r="CP141" s="40"/>
      <c r="CQ141" s="144"/>
      <c r="CR141" s="144"/>
      <c r="CS141" s="144"/>
      <c r="CT141" s="144"/>
      <c r="CU141" s="144"/>
      <c r="CV141" s="144"/>
      <c r="CW141" s="144"/>
      <c r="CX141" s="144"/>
      <c r="CY141" s="144"/>
      <c r="CZ141" s="144"/>
      <c r="DA141" s="144"/>
      <c r="DB141" s="144"/>
      <c r="DC141" s="144"/>
      <c r="DD141" s="144"/>
      <c r="DE141" s="144"/>
      <c r="DF141" s="144"/>
      <c r="DG141" s="144"/>
      <c r="DH141" s="144"/>
      <c r="DI141" s="144"/>
    </row>
    <row r="142" spans="1:113" s="2" customFormat="1" x14ac:dyDescent="0.3">
      <c r="A142" s="144"/>
      <c r="B142" s="150"/>
      <c r="C142" s="161"/>
      <c r="D142" s="144"/>
      <c r="E142" s="161"/>
      <c r="F142" s="161"/>
      <c r="G142" s="161"/>
      <c r="H142" s="161"/>
      <c r="I142" s="161"/>
      <c r="J142" s="161"/>
      <c r="K142" s="161"/>
      <c r="L142" s="161"/>
      <c r="M142" s="161"/>
      <c r="N142" s="157"/>
      <c r="O142" s="157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40"/>
      <c r="AC142" s="39"/>
      <c r="AD142" s="39"/>
      <c r="AE142" s="199"/>
      <c r="AF142" s="61"/>
      <c r="AG142" s="199"/>
      <c r="AH142" s="61"/>
      <c r="AI142" s="39"/>
      <c r="AJ142" s="52"/>
      <c r="AK142" s="52"/>
      <c r="AL142" s="52"/>
      <c r="AM142" s="39"/>
      <c r="AN142" s="52"/>
      <c r="AO142" s="52"/>
      <c r="AP142" s="52"/>
      <c r="AQ142" s="39"/>
      <c r="AR142" s="39"/>
      <c r="AS142" s="39"/>
      <c r="AT142" s="39"/>
      <c r="AU142" s="39"/>
      <c r="AV142" s="39"/>
      <c r="AW142" s="39"/>
      <c r="AX142" s="39"/>
      <c r="AY142" s="39"/>
      <c r="AZ142" s="39"/>
      <c r="BA142" s="39"/>
      <c r="BB142" s="39"/>
      <c r="BC142" s="358"/>
      <c r="BD142" s="39"/>
      <c r="BE142" s="39"/>
      <c r="BF142" s="358"/>
      <c r="BG142" s="39"/>
      <c r="BH142" s="39"/>
      <c r="BI142" s="39"/>
      <c r="BJ142" s="39"/>
      <c r="BK142" s="358"/>
      <c r="BL142" s="39"/>
      <c r="BM142" s="39"/>
      <c r="BN142" s="358"/>
      <c r="BO142" s="39"/>
      <c r="BP142" s="39"/>
      <c r="BQ142" s="39"/>
      <c r="BR142" s="39"/>
      <c r="BS142" s="39"/>
      <c r="BT142" s="39"/>
      <c r="BU142" s="39"/>
      <c r="BV142" s="39"/>
      <c r="BW142" s="39"/>
      <c r="BX142" s="39"/>
      <c r="BY142" s="39"/>
      <c r="BZ142" s="39"/>
      <c r="CA142" s="40"/>
      <c r="CB142" s="40"/>
      <c r="CC142" s="39"/>
      <c r="CD142" s="39"/>
      <c r="CE142" s="40"/>
      <c r="CF142" s="40"/>
      <c r="CG142" s="40"/>
      <c r="CH142" s="39"/>
      <c r="CI142" s="39"/>
      <c r="CJ142" s="40"/>
      <c r="CK142" s="40"/>
      <c r="CL142" s="39"/>
      <c r="CM142" s="39"/>
      <c r="CN142" s="39"/>
      <c r="CO142" s="40"/>
      <c r="CP142" s="40"/>
      <c r="CQ142" s="144"/>
      <c r="CR142" s="144"/>
      <c r="CS142" s="144"/>
      <c r="CT142" s="144"/>
      <c r="CU142" s="144"/>
      <c r="CV142" s="144"/>
      <c r="CW142" s="144"/>
      <c r="CX142" s="144"/>
      <c r="CY142" s="144"/>
      <c r="CZ142" s="144"/>
      <c r="DA142" s="144"/>
      <c r="DB142" s="144"/>
      <c r="DC142" s="144"/>
      <c r="DD142" s="144"/>
      <c r="DE142" s="144"/>
      <c r="DF142" s="144"/>
      <c r="DG142" s="144"/>
      <c r="DH142" s="144"/>
      <c r="DI142" s="144"/>
    </row>
    <row r="143" spans="1:113" s="2" customFormat="1" x14ac:dyDescent="0.3">
      <c r="A143" s="144"/>
      <c r="B143" s="150"/>
      <c r="C143" s="161"/>
      <c r="D143" s="144"/>
      <c r="E143" s="161"/>
      <c r="F143" s="161"/>
      <c r="G143" s="161"/>
      <c r="H143" s="161"/>
      <c r="I143" s="161"/>
      <c r="J143" s="161"/>
      <c r="K143" s="161"/>
      <c r="L143" s="161"/>
      <c r="M143" s="161"/>
      <c r="N143" s="157"/>
      <c r="O143" s="157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40"/>
      <c r="AC143" s="39"/>
      <c r="AD143" s="39"/>
      <c r="AE143" s="199"/>
      <c r="AF143" s="61"/>
      <c r="AG143" s="199"/>
      <c r="AH143" s="61"/>
      <c r="AI143" s="39"/>
      <c r="AJ143" s="52"/>
      <c r="AK143" s="52"/>
      <c r="AL143" s="52"/>
      <c r="AM143" s="39"/>
      <c r="AN143" s="52"/>
      <c r="AO143" s="52"/>
      <c r="AP143" s="52"/>
      <c r="AQ143" s="39"/>
      <c r="AR143" s="39"/>
      <c r="AS143" s="39"/>
      <c r="AT143" s="39"/>
      <c r="AU143" s="39"/>
      <c r="AV143" s="39"/>
      <c r="AW143" s="39"/>
      <c r="AX143" s="39"/>
      <c r="AY143" s="39"/>
      <c r="AZ143" s="39"/>
      <c r="BA143" s="39"/>
      <c r="BB143" s="39"/>
      <c r="BC143" s="358"/>
      <c r="BD143" s="39"/>
      <c r="BE143" s="39"/>
      <c r="BF143" s="358"/>
      <c r="BG143" s="39"/>
      <c r="BH143" s="39"/>
      <c r="BI143" s="39"/>
      <c r="BJ143" s="39"/>
      <c r="BK143" s="358"/>
      <c r="BL143" s="39"/>
      <c r="BM143" s="39"/>
      <c r="BN143" s="358"/>
      <c r="BO143" s="39"/>
      <c r="BP143" s="39"/>
      <c r="BQ143" s="39"/>
      <c r="BR143" s="39"/>
      <c r="BS143" s="39"/>
      <c r="BT143" s="39"/>
      <c r="BU143" s="39"/>
      <c r="BV143" s="39"/>
      <c r="BW143" s="39"/>
      <c r="BX143" s="39"/>
      <c r="BY143" s="39"/>
      <c r="BZ143" s="39"/>
      <c r="CA143" s="40"/>
      <c r="CB143" s="40"/>
      <c r="CC143" s="39"/>
      <c r="CD143" s="39"/>
      <c r="CE143" s="40"/>
      <c r="CF143" s="40"/>
      <c r="CG143" s="40"/>
      <c r="CH143" s="39"/>
      <c r="CI143" s="39"/>
      <c r="CJ143" s="40"/>
      <c r="CK143" s="40"/>
      <c r="CL143" s="39"/>
      <c r="CM143" s="39"/>
      <c r="CN143" s="39"/>
      <c r="CO143" s="40"/>
      <c r="CP143" s="40"/>
      <c r="CQ143" s="144"/>
      <c r="CR143" s="144"/>
      <c r="CS143" s="144"/>
      <c r="CT143" s="144"/>
      <c r="CU143" s="144"/>
      <c r="CV143" s="144"/>
      <c r="CW143" s="144"/>
      <c r="CX143" s="144"/>
      <c r="CY143" s="144"/>
      <c r="CZ143" s="144"/>
      <c r="DA143" s="144"/>
      <c r="DB143" s="144"/>
      <c r="DC143" s="144"/>
      <c r="DD143" s="144"/>
      <c r="DE143" s="144"/>
      <c r="DF143" s="144"/>
      <c r="DG143" s="144"/>
      <c r="DH143" s="144"/>
      <c r="DI143" s="144"/>
    </row>
    <row r="144" spans="1:113" s="2" customFormat="1" x14ac:dyDescent="0.3">
      <c r="A144" s="144"/>
      <c r="B144" s="150"/>
      <c r="C144" s="161"/>
      <c r="D144" s="144"/>
      <c r="E144" s="161"/>
      <c r="F144" s="161"/>
      <c r="G144" s="161"/>
      <c r="H144" s="161"/>
      <c r="I144" s="161"/>
      <c r="J144" s="161"/>
      <c r="K144" s="161"/>
      <c r="L144" s="161"/>
      <c r="M144" s="161"/>
      <c r="N144" s="157"/>
      <c r="O144" s="157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40"/>
      <c r="AC144" s="39"/>
      <c r="AD144" s="39"/>
      <c r="AE144" s="199"/>
      <c r="AF144" s="61"/>
      <c r="AG144" s="199"/>
      <c r="AH144" s="61"/>
      <c r="AI144" s="39"/>
      <c r="AJ144" s="52"/>
      <c r="AK144" s="52"/>
      <c r="AL144" s="52"/>
      <c r="AM144" s="39"/>
      <c r="AN144" s="52"/>
      <c r="AO144" s="52"/>
      <c r="AP144" s="52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58"/>
      <c r="BD144" s="39"/>
      <c r="BE144" s="39"/>
      <c r="BF144" s="358"/>
      <c r="BG144" s="39"/>
      <c r="BH144" s="39"/>
      <c r="BI144" s="39"/>
      <c r="BJ144" s="39"/>
      <c r="BK144" s="358"/>
      <c r="BL144" s="39"/>
      <c r="BM144" s="39"/>
      <c r="BN144" s="358"/>
      <c r="BO144" s="39"/>
      <c r="BP144" s="39"/>
      <c r="BQ144" s="39"/>
      <c r="BR144" s="39"/>
      <c r="BS144" s="39"/>
      <c r="BT144" s="39"/>
      <c r="BU144" s="39"/>
      <c r="BV144" s="39"/>
      <c r="BW144" s="39"/>
      <c r="BX144" s="39"/>
      <c r="BY144" s="39"/>
      <c r="BZ144" s="39"/>
      <c r="CA144" s="40"/>
      <c r="CB144" s="40"/>
      <c r="CC144" s="39"/>
      <c r="CD144" s="39"/>
      <c r="CE144" s="40"/>
      <c r="CF144" s="40"/>
      <c r="CG144" s="40"/>
      <c r="CH144" s="39"/>
      <c r="CI144" s="39"/>
      <c r="CJ144" s="40"/>
      <c r="CK144" s="40"/>
      <c r="CL144" s="39"/>
      <c r="CM144" s="39"/>
      <c r="CN144" s="39"/>
      <c r="CO144" s="40"/>
      <c r="CP144" s="40"/>
      <c r="CQ144" s="144"/>
      <c r="CR144" s="144"/>
      <c r="CS144" s="144"/>
      <c r="CT144" s="144"/>
      <c r="CU144" s="144"/>
      <c r="CV144" s="144"/>
      <c r="CW144" s="144"/>
      <c r="CX144" s="144"/>
      <c r="CY144" s="144"/>
      <c r="CZ144" s="144"/>
      <c r="DA144" s="144"/>
      <c r="DB144" s="144"/>
      <c r="DC144" s="144"/>
      <c r="DD144" s="144"/>
      <c r="DE144" s="144"/>
      <c r="DF144" s="144"/>
      <c r="DG144" s="144"/>
      <c r="DH144" s="144"/>
      <c r="DI144" s="144"/>
    </row>
    <row r="145" spans="1:113" s="2" customFormat="1" x14ac:dyDescent="0.3">
      <c r="A145" s="144"/>
      <c r="B145" s="150"/>
      <c r="C145" s="161"/>
      <c r="D145" s="144"/>
      <c r="E145" s="161"/>
      <c r="F145" s="161"/>
      <c r="G145" s="161"/>
      <c r="H145" s="161"/>
      <c r="I145" s="161"/>
      <c r="J145" s="161"/>
      <c r="K145" s="161"/>
      <c r="L145" s="161"/>
      <c r="M145" s="161"/>
      <c r="N145" s="157"/>
      <c r="O145" s="157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40"/>
      <c r="AC145" s="39"/>
      <c r="AD145" s="39"/>
      <c r="AE145" s="199"/>
      <c r="AF145" s="61"/>
      <c r="AG145" s="199"/>
      <c r="AH145" s="61"/>
      <c r="AI145" s="39"/>
      <c r="AJ145" s="52"/>
      <c r="AK145" s="52"/>
      <c r="AL145" s="52"/>
      <c r="AM145" s="39"/>
      <c r="AN145" s="52"/>
      <c r="AO145" s="52"/>
      <c r="AP145" s="52"/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  <c r="BC145" s="358"/>
      <c r="BD145" s="39"/>
      <c r="BE145" s="39"/>
      <c r="BF145" s="358"/>
      <c r="BG145" s="39"/>
      <c r="BH145" s="39"/>
      <c r="BI145" s="39"/>
      <c r="BJ145" s="39"/>
      <c r="BK145" s="358"/>
      <c r="BL145" s="39"/>
      <c r="BM145" s="39"/>
      <c r="BN145" s="358"/>
      <c r="BO145" s="39"/>
      <c r="BP145" s="39"/>
      <c r="BQ145" s="39"/>
      <c r="BR145" s="39"/>
      <c r="BS145" s="39"/>
      <c r="BT145" s="39"/>
      <c r="BU145" s="39"/>
      <c r="BV145" s="39"/>
      <c r="BW145" s="39"/>
      <c r="BX145" s="39"/>
      <c r="BY145" s="39"/>
      <c r="BZ145" s="39"/>
      <c r="CA145" s="40"/>
      <c r="CB145" s="40"/>
      <c r="CC145" s="39"/>
      <c r="CD145" s="39"/>
      <c r="CE145" s="40"/>
      <c r="CF145" s="40"/>
      <c r="CG145" s="40"/>
      <c r="CH145" s="39"/>
      <c r="CI145" s="39"/>
      <c r="CJ145" s="40"/>
      <c r="CK145" s="40"/>
      <c r="CL145" s="39"/>
      <c r="CM145" s="39"/>
      <c r="CN145" s="39"/>
      <c r="CO145" s="40"/>
      <c r="CP145" s="40"/>
      <c r="CQ145" s="144"/>
      <c r="CR145" s="144"/>
      <c r="CS145" s="144"/>
      <c r="CT145" s="144"/>
      <c r="CU145" s="144"/>
      <c r="CV145" s="144"/>
      <c r="CW145" s="144"/>
      <c r="CX145" s="144"/>
      <c r="CY145" s="144"/>
      <c r="CZ145" s="144"/>
      <c r="DA145" s="144"/>
      <c r="DB145" s="144"/>
      <c r="DC145" s="144"/>
      <c r="DD145" s="144"/>
      <c r="DE145" s="144"/>
      <c r="DF145" s="144"/>
      <c r="DG145" s="144"/>
      <c r="DH145" s="144"/>
      <c r="DI145" s="144"/>
    </row>
    <row r="146" spans="1:113" s="2" customFormat="1" x14ac:dyDescent="0.3">
      <c r="A146" s="144"/>
      <c r="B146" s="150"/>
      <c r="C146" s="161"/>
      <c r="D146" s="144"/>
      <c r="E146" s="161"/>
      <c r="F146" s="161"/>
      <c r="G146" s="161"/>
      <c r="H146" s="161"/>
      <c r="I146" s="161"/>
      <c r="J146" s="161"/>
      <c r="K146" s="161"/>
      <c r="L146" s="161"/>
      <c r="M146" s="161"/>
      <c r="N146" s="157"/>
      <c r="O146" s="157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40"/>
      <c r="AC146" s="39"/>
      <c r="AD146" s="39"/>
      <c r="AE146" s="199"/>
      <c r="AF146" s="61"/>
      <c r="AG146" s="199"/>
      <c r="AH146" s="61"/>
      <c r="AI146" s="39"/>
      <c r="AJ146" s="52"/>
      <c r="AK146" s="52"/>
      <c r="AL146" s="52"/>
      <c r="AM146" s="39"/>
      <c r="AN146" s="52"/>
      <c r="AO146" s="52"/>
      <c r="AP146" s="52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39"/>
      <c r="BB146" s="39"/>
      <c r="BC146" s="358"/>
      <c r="BD146" s="39"/>
      <c r="BE146" s="39"/>
      <c r="BF146" s="358"/>
      <c r="BG146" s="39"/>
      <c r="BH146" s="39"/>
      <c r="BI146" s="39"/>
      <c r="BJ146" s="39"/>
      <c r="BK146" s="358"/>
      <c r="BL146" s="39"/>
      <c r="BM146" s="39"/>
      <c r="BN146" s="358"/>
      <c r="BO146" s="39"/>
      <c r="BP146" s="39"/>
      <c r="BQ146" s="39"/>
      <c r="BR146" s="39"/>
      <c r="BS146" s="39"/>
      <c r="BT146" s="39"/>
      <c r="BU146" s="39"/>
      <c r="BV146" s="39"/>
      <c r="BW146" s="39"/>
      <c r="BX146" s="39"/>
      <c r="BY146" s="39"/>
      <c r="BZ146" s="39"/>
      <c r="CA146" s="40"/>
      <c r="CB146" s="40"/>
      <c r="CC146" s="39"/>
      <c r="CD146" s="39"/>
      <c r="CE146" s="40"/>
      <c r="CF146" s="40"/>
      <c r="CG146" s="40"/>
      <c r="CH146" s="39"/>
      <c r="CI146" s="39"/>
      <c r="CJ146" s="40"/>
      <c r="CK146" s="40"/>
      <c r="CL146" s="39"/>
      <c r="CM146" s="39"/>
      <c r="CN146" s="39"/>
      <c r="CO146" s="40"/>
      <c r="CP146" s="40"/>
      <c r="CQ146" s="144"/>
      <c r="CR146" s="144"/>
      <c r="CS146" s="144"/>
      <c r="CT146" s="144"/>
      <c r="CU146" s="144"/>
      <c r="CV146" s="144"/>
      <c r="CW146" s="144"/>
      <c r="CX146" s="144"/>
      <c r="CY146" s="144"/>
      <c r="CZ146" s="144"/>
      <c r="DA146" s="144"/>
      <c r="DB146" s="144"/>
      <c r="DC146" s="144"/>
      <c r="DD146" s="144"/>
      <c r="DE146" s="144"/>
      <c r="DF146" s="144"/>
      <c r="DG146" s="144"/>
      <c r="DH146" s="144"/>
      <c r="DI146" s="144"/>
    </row>
    <row r="147" spans="1:113" s="2" customFormat="1" x14ac:dyDescent="0.3">
      <c r="A147" s="144"/>
      <c r="B147" s="150"/>
      <c r="C147" s="161"/>
      <c r="D147" s="144"/>
      <c r="E147" s="161"/>
      <c r="F147" s="161"/>
      <c r="G147" s="161"/>
      <c r="H147" s="161"/>
      <c r="I147" s="161"/>
      <c r="J147" s="161"/>
      <c r="K147" s="161"/>
      <c r="L147" s="161"/>
      <c r="M147" s="161"/>
      <c r="N147" s="157"/>
      <c r="O147" s="157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40"/>
      <c r="AC147" s="39"/>
      <c r="AD147" s="39"/>
      <c r="AE147" s="199"/>
      <c r="AF147" s="61"/>
      <c r="AG147" s="199"/>
      <c r="AH147" s="61"/>
      <c r="AI147" s="39"/>
      <c r="AJ147" s="52"/>
      <c r="AK147" s="52"/>
      <c r="AL147" s="52"/>
      <c r="AM147" s="39"/>
      <c r="AN147" s="52"/>
      <c r="AO147" s="52"/>
      <c r="AP147" s="52"/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39"/>
      <c r="BC147" s="358"/>
      <c r="BD147" s="39"/>
      <c r="BE147" s="39"/>
      <c r="BF147" s="358"/>
      <c r="BG147" s="39"/>
      <c r="BH147" s="39"/>
      <c r="BI147" s="39"/>
      <c r="BJ147" s="39"/>
      <c r="BK147" s="358"/>
      <c r="BL147" s="39"/>
      <c r="BM147" s="39"/>
      <c r="BN147" s="358"/>
      <c r="BO147" s="39"/>
      <c r="BP147" s="39"/>
      <c r="BQ147" s="39"/>
      <c r="BR147" s="39"/>
      <c r="BS147" s="39"/>
      <c r="BT147" s="39"/>
      <c r="BU147" s="39"/>
      <c r="BV147" s="39"/>
      <c r="BW147" s="39"/>
      <c r="BX147" s="39"/>
      <c r="BY147" s="39"/>
      <c r="BZ147" s="39"/>
      <c r="CA147" s="40"/>
      <c r="CB147" s="40"/>
      <c r="CC147" s="39"/>
      <c r="CD147" s="39"/>
      <c r="CE147" s="40"/>
      <c r="CF147" s="40"/>
      <c r="CG147" s="40"/>
      <c r="CH147" s="39"/>
      <c r="CI147" s="39"/>
      <c r="CJ147" s="40"/>
      <c r="CK147" s="40"/>
      <c r="CL147" s="39"/>
      <c r="CM147" s="39"/>
      <c r="CN147" s="39"/>
      <c r="CO147" s="40"/>
      <c r="CP147" s="40"/>
      <c r="CQ147" s="144"/>
      <c r="CR147" s="144"/>
      <c r="CS147" s="144"/>
      <c r="CT147" s="144"/>
      <c r="CU147" s="144"/>
      <c r="CV147" s="144"/>
      <c r="CW147" s="144"/>
      <c r="CX147" s="144"/>
      <c r="CY147" s="144"/>
      <c r="CZ147" s="144"/>
      <c r="DA147" s="144"/>
      <c r="DB147" s="144"/>
      <c r="DC147" s="144"/>
      <c r="DD147" s="144"/>
      <c r="DE147" s="144"/>
      <c r="DF147" s="144"/>
      <c r="DG147" s="144"/>
      <c r="DH147" s="144"/>
      <c r="DI147" s="144"/>
    </row>
    <row r="148" spans="1:113" s="2" customFormat="1" x14ac:dyDescent="0.3">
      <c r="A148" s="144"/>
      <c r="B148" s="150"/>
      <c r="C148" s="161"/>
      <c r="D148" s="144"/>
      <c r="E148" s="161"/>
      <c r="F148" s="161"/>
      <c r="G148" s="161"/>
      <c r="H148" s="161"/>
      <c r="I148" s="161"/>
      <c r="J148" s="161"/>
      <c r="K148" s="161"/>
      <c r="L148" s="161"/>
      <c r="M148" s="161"/>
      <c r="N148" s="157"/>
      <c r="O148" s="157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40"/>
      <c r="AC148" s="39"/>
      <c r="AD148" s="39"/>
      <c r="AE148" s="199"/>
      <c r="AF148" s="61"/>
      <c r="AG148" s="199"/>
      <c r="AH148" s="61"/>
      <c r="AI148" s="39"/>
      <c r="AJ148" s="52"/>
      <c r="AK148" s="52"/>
      <c r="AL148" s="52"/>
      <c r="AM148" s="39"/>
      <c r="AN148" s="52"/>
      <c r="AO148" s="52"/>
      <c r="AP148" s="52"/>
      <c r="AQ148" s="39"/>
      <c r="AR148" s="39"/>
      <c r="AS148" s="39"/>
      <c r="AT148" s="39"/>
      <c r="AU148" s="39"/>
      <c r="AV148" s="39"/>
      <c r="AW148" s="39"/>
      <c r="AX148" s="39"/>
      <c r="AY148" s="39"/>
      <c r="AZ148" s="39"/>
      <c r="BA148" s="39"/>
      <c r="BB148" s="39"/>
      <c r="BC148" s="358"/>
      <c r="BD148" s="39"/>
      <c r="BE148" s="39"/>
      <c r="BF148" s="358"/>
      <c r="BG148" s="39"/>
      <c r="BH148" s="39"/>
      <c r="BI148" s="39"/>
      <c r="BJ148" s="39"/>
      <c r="BK148" s="358"/>
      <c r="BL148" s="39"/>
      <c r="BM148" s="39"/>
      <c r="BN148" s="358"/>
      <c r="BO148" s="39"/>
      <c r="BP148" s="39"/>
      <c r="BQ148" s="39"/>
      <c r="BR148" s="39"/>
      <c r="BS148" s="39"/>
      <c r="BT148" s="39"/>
      <c r="BU148" s="39"/>
      <c r="BV148" s="39"/>
      <c r="BW148" s="39"/>
      <c r="BX148" s="39"/>
      <c r="BY148" s="39"/>
      <c r="BZ148" s="39"/>
      <c r="CA148" s="40"/>
      <c r="CB148" s="40"/>
      <c r="CC148" s="39"/>
      <c r="CD148" s="39"/>
      <c r="CE148" s="40"/>
      <c r="CF148" s="40"/>
      <c r="CG148" s="40"/>
      <c r="CH148" s="39"/>
      <c r="CI148" s="39"/>
      <c r="CJ148" s="40"/>
      <c r="CK148" s="40"/>
      <c r="CL148" s="39"/>
      <c r="CM148" s="39"/>
      <c r="CN148" s="39"/>
      <c r="CO148" s="40"/>
      <c r="CP148" s="40"/>
      <c r="CQ148" s="144"/>
      <c r="CR148" s="144"/>
      <c r="CS148" s="144"/>
      <c r="CT148" s="144"/>
      <c r="CU148" s="144"/>
      <c r="CV148" s="144"/>
      <c r="CW148" s="144"/>
      <c r="CX148" s="144"/>
      <c r="CY148" s="144"/>
      <c r="CZ148" s="144"/>
      <c r="DA148" s="144"/>
      <c r="DB148" s="144"/>
      <c r="DC148" s="144"/>
      <c r="DD148" s="144"/>
      <c r="DE148" s="144"/>
      <c r="DF148" s="144"/>
      <c r="DG148" s="144"/>
      <c r="DH148" s="144"/>
      <c r="DI148" s="144"/>
    </row>
    <row r="149" spans="1:113" s="2" customFormat="1" x14ac:dyDescent="0.3">
      <c r="A149" s="144"/>
      <c r="B149" s="150"/>
      <c r="C149" s="161"/>
      <c r="D149" s="144"/>
      <c r="E149" s="161"/>
      <c r="F149" s="161"/>
      <c r="G149" s="161"/>
      <c r="H149" s="161"/>
      <c r="I149" s="161"/>
      <c r="J149" s="161"/>
      <c r="K149" s="161"/>
      <c r="L149" s="161"/>
      <c r="M149" s="161"/>
      <c r="N149" s="157"/>
      <c r="O149" s="157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40"/>
      <c r="AC149" s="39"/>
      <c r="AD149" s="39"/>
      <c r="AE149" s="199"/>
      <c r="AF149" s="61"/>
      <c r="AG149" s="199"/>
      <c r="AH149" s="61"/>
      <c r="AI149" s="39"/>
      <c r="AJ149" s="52"/>
      <c r="AK149" s="52"/>
      <c r="AL149" s="52"/>
      <c r="AM149" s="39"/>
      <c r="AN149" s="52"/>
      <c r="AO149" s="52"/>
      <c r="AP149" s="52"/>
      <c r="AQ149" s="39"/>
      <c r="AR149" s="39"/>
      <c r="AS149" s="39"/>
      <c r="AT149" s="39"/>
      <c r="AU149" s="39"/>
      <c r="AV149" s="39"/>
      <c r="AW149" s="39"/>
      <c r="AX149" s="39"/>
      <c r="AY149" s="39"/>
      <c r="AZ149" s="39"/>
      <c r="BA149" s="39"/>
      <c r="BB149" s="39"/>
      <c r="BC149" s="358"/>
      <c r="BD149" s="39"/>
      <c r="BE149" s="39"/>
      <c r="BF149" s="358"/>
      <c r="BG149" s="39"/>
      <c r="BH149" s="39"/>
      <c r="BI149" s="39"/>
      <c r="BJ149" s="39"/>
      <c r="BK149" s="358"/>
      <c r="BL149" s="39"/>
      <c r="BM149" s="39"/>
      <c r="BN149" s="358"/>
      <c r="BO149" s="39"/>
      <c r="BP149" s="39"/>
      <c r="BQ149" s="39"/>
      <c r="BR149" s="39"/>
      <c r="BS149" s="39"/>
      <c r="BT149" s="39"/>
      <c r="BU149" s="39"/>
      <c r="BV149" s="39"/>
      <c r="BW149" s="39"/>
      <c r="BX149" s="39"/>
      <c r="BY149" s="39"/>
      <c r="BZ149" s="39"/>
      <c r="CA149" s="40"/>
      <c r="CB149" s="40"/>
      <c r="CC149" s="39"/>
      <c r="CD149" s="39"/>
      <c r="CE149" s="40"/>
      <c r="CF149" s="40"/>
      <c r="CG149" s="40"/>
      <c r="CH149" s="39"/>
      <c r="CI149" s="39"/>
      <c r="CJ149" s="40"/>
      <c r="CK149" s="40"/>
      <c r="CL149" s="39"/>
      <c r="CM149" s="39"/>
      <c r="CN149" s="39"/>
      <c r="CO149" s="40"/>
      <c r="CP149" s="40"/>
      <c r="CQ149" s="144"/>
      <c r="CR149" s="144"/>
      <c r="CS149" s="144"/>
      <c r="CT149" s="144"/>
      <c r="CU149" s="144"/>
      <c r="CV149" s="144"/>
      <c r="CW149" s="144"/>
      <c r="CX149" s="144"/>
      <c r="CY149" s="144"/>
      <c r="CZ149" s="144"/>
      <c r="DA149" s="144"/>
      <c r="DB149" s="144"/>
      <c r="DC149" s="144"/>
      <c r="DD149" s="144"/>
      <c r="DE149" s="144"/>
      <c r="DF149" s="144"/>
      <c r="DG149" s="144"/>
      <c r="DH149" s="144"/>
      <c r="DI149" s="144"/>
    </row>
    <row r="150" spans="1:113" s="2" customFormat="1" x14ac:dyDescent="0.3">
      <c r="A150" s="144"/>
      <c r="B150" s="150"/>
      <c r="C150" s="161"/>
      <c r="D150" s="144"/>
      <c r="E150" s="161"/>
      <c r="F150" s="161"/>
      <c r="G150" s="161"/>
      <c r="H150" s="161"/>
      <c r="I150" s="161"/>
      <c r="J150" s="161"/>
      <c r="K150" s="161"/>
      <c r="L150" s="161"/>
      <c r="M150" s="161"/>
      <c r="N150" s="157"/>
      <c r="O150" s="157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40"/>
      <c r="AC150" s="39"/>
      <c r="AD150" s="39"/>
      <c r="AE150" s="199"/>
      <c r="AF150" s="61"/>
      <c r="AG150" s="199"/>
      <c r="AH150" s="61"/>
      <c r="AI150" s="39"/>
      <c r="AJ150" s="52"/>
      <c r="AK150" s="52"/>
      <c r="AL150" s="52"/>
      <c r="AM150" s="39"/>
      <c r="AN150" s="52"/>
      <c r="AO150" s="52"/>
      <c r="AP150" s="52"/>
      <c r="AQ150" s="39"/>
      <c r="AR150" s="39"/>
      <c r="AS150" s="39"/>
      <c r="AT150" s="39"/>
      <c r="AU150" s="39"/>
      <c r="AV150" s="39"/>
      <c r="AW150" s="39"/>
      <c r="AX150" s="39"/>
      <c r="AY150" s="39"/>
      <c r="AZ150" s="39"/>
      <c r="BA150" s="39"/>
      <c r="BB150" s="39"/>
      <c r="BC150" s="358"/>
      <c r="BD150" s="39"/>
      <c r="BE150" s="39"/>
      <c r="BF150" s="358"/>
      <c r="BG150" s="39"/>
      <c r="BH150" s="39"/>
      <c r="BI150" s="39"/>
      <c r="BJ150" s="39"/>
      <c r="BK150" s="358"/>
      <c r="BL150" s="39"/>
      <c r="BM150" s="39"/>
      <c r="BN150" s="358"/>
      <c r="BO150" s="39"/>
      <c r="BP150" s="39"/>
      <c r="BQ150" s="39"/>
      <c r="BR150" s="39"/>
      <c r="BS150" s="39"/>
      <c r="BT150" s="39"/>
      <c r="BU150" s="39"/>
      <c r="BV150" s="39"/>
      <c r="BW150" s="39"/>
      <c r="BX150" s="39"/>
      <c r="BY150" s="39"/>
      <c r="BZ150" s="39"/>
      <c r="CA150" s="40"/>
      <c r="CB150" s="40"/>
      <c r="CC150" s="39"/>
      <c r="CD150" s="39"/>
      <c r="CE150" s="40"/>
      <c r="CF150" s="40"/>
      <c r="CG150" s="40"/>
      <c r="CH150" s="39"/>
      <c r="CI150" s="39"/>
      <c r="CJ150" s="40"/>
      <c r="CK150" s="40"/>
      <c r="CL150" s="39"/>
      <c r="CM150" s="39"/>
      <c r="CN150" s="39"/>
      <c r="CO150" s="40"/>
      <c r="CP150" s="40"/>
      <c r="CQ150" s="144"/>
      <c r="CR150" s="144"/>
      <c r="CS150" s="144"/>
      <c r="CT150" s="144"/>
      <c r="CU150" s="144"/>
      <c r="CV150" s="144"/>
      <c r="CW150" s="144"/>
      <c r="CX150" s="144"/>
      <c r="CY150" s="144"/>
      <c r="CZ150" s="144"/>
      <c r="DA150" s="144"/>
      <c r="DB150" s="144"/>
      <c r="DC150" s="144"/>
      <c r="DD150" s="144"/>
      <c r="DE150" s="144"/>
      <c r="DF150" s="144"/>
      <c r="DG150" s="144"/>
      <c r="DH150" s="144"/>
      <c r="DI150" s="144"/>
    </row>
    <row r="151" spans="1:113" s="2" customFormat="1" x14ac:dyDescent="0.3">
      <c r="A151" s="144"/>
      <c r="B151" s="150"/>
      <c r="C151" s="161"/>
      <c r="D151" s="144"/>
      <c r="E151" s="161"/>
      <c r="F151" s="161"/>
      <c r="G151" s="161"/>
      <c r="H151" s="161"/>
      <c r="I151" s="161"/>
      <c r="J151" s="161"/>
      <c r="K151" s="161"/>
      <c r="L151" s="161"/>
      <c r="M151" s="161"/>
      <c r="N151" s="157"/>
      <c r="O151" s="157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40"/>
      <c r="AC151" s="39"/>
      <c r="AD151" s="39"/>
      <c r="AE151" s="199"/>
      <c r="AF151" s="61"/>
      <c r="AG151" s="199"/>
      <c r="AH151" s="61"/>
      <c r="AI151" s="39"/>
      <c r="AJ151" s="52"/>
      <c r="AK151" s="52"/>
      <c r="AL151" s="52"/>
      <c r="AM151" s="39"/>
      <c r="AN151" s="52"/>
      <c r="AO151" s="52"/>
      <c r="AP151" s="52"/>
      <c r="AQ151" s="39"/>
      <c r="AR151" s="39"/>
      <c r="AS151" s="39"/>
      <c r="AT151" s="39"/>
      <c r="AU151" s="39"/>
      <c r="AV151" s="39"/>
      <c r="AW151" s="39"/>
      <c r="AX151" s="39"/>
      <c r="AY151" s="39"/>
      <c r="AZ151" s="39"/>
      <c r="BA151" s="39"/>
      <c r="BB151" s="39"/>
      <c r="BC151" s="358"/>
      <c r="BD151" s="39"/>
      <c r="BE151" s="39"/>
      <c r="BF151" s="358"/>
      <c r="BG151" s="39"/>
      <c r="BH151" s="39"/>
      <c r="BI151" s="39"/>
      <c r="BJ151" s="39"/>
      <c r="BK151" s="358"/>
      <c r="BL151" s="39"/>
      <c r="BM151" s="39"/>
      <c r="BN151" s="358"/>
      <c r="BO151" s="39"/>
      <c r="BP151" s="39"/>
      <c r="BQ151" s="39"/>
      <c r="BR151" s="39"/>
      <c r="BS151" s="39"/>
      <c r="BT151" s="39"/>
      <c r="BU151" s="39"/>
      <c r="BV151" s="39"/>
      <c r="BW151" s="39"/>
      <c r="BX151" s="39"/>
      <c r="BY151" s="39"/>
      <c r="BZ151" s="39"/>
      <c r="CA151" s="40"/>
      <c r="CB151" s="40"/>
      <c r="CC151" s="39"/>
      <c r="CD151" s="39"/>
      <c r="CE151" s="40"/>
      <c r="CF151" s="40"/>
      <c r="CG151" s="40"/>
      <c r="CH151" s="39"/>
      <c r="CI151" s="39"/>
      <c r="CJ151" s="40"/>
      <c r="CK151" s="40"/>
      <c r="CL151" s="39"/>
      <c r="CM151" s="39"/>
      <c r="CN151" s="39"/>
      <c r="CO151" s="40"/>
      <c r="CP151" s="40"/>
      <c r="CQ151" s="144"/>
      <c r="CR151" s="144"/>
      <c r="CS151" s="144"/>
      <c r="CT151" s="144"/>
      <c r="CU151" s="144"/>
      <c r="CV151" s="144"/>
      <c r="CW151" s="144"/>
      <c r="CX151" s="144"/>
      <c r="CY151" s="144"/>
      <c r="CZ151" s="144"/>
      <c r="DA151" s="144"/>
      <c r="DB151" s="144"/>
      <c r="DC151" s="144"/>
      <c r="DD151" s="144"/>
      <c r="DE151" s="144"/>
      <c r="DF151" s="144"/>
      <c r="DG151" s="144"/>
      <c r="DH151" s="144"/>
      <c r="DI151" s="144"/>
    </row>
    <row r="152" spans="1:113" s="2" customFormat="1" x14ac:dyDescent="0.3">
      <c r="A152" s="144"/>
      <c r="B152" s="150"/>
      <c r="C152" s="161"/>
      <c r="D152" s="144"/>
      <c r="E152" s="161"/>
      <c r="F152" s="161"/>
      <c r="G152" s="161"/>
      <c r="H152" s="161"/>
      <c r="I152" s="161"/>
      <c r="J152" s="161"/>
      <c r="K152" s="161"/>
      <c r="L152" s="161"/>
      <c r="M152" s="161"/>
      <c r="N152" s="157"/>
      <c r="O152" s="157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40"/>
      <c r="AC152" s="39"/>
      <c r="AD152" s="39"/>
      <c r="AE152" s="199"/>
      <c r="AF152" s="61"/>
      <c r="AG152" s="199"/>
      <c r="AH152" s="61"/>
      <c r="AI152" s="39"/>
      <c r="AJ152" s="52"/>
      <c r="AK152" s="52"/>
      <c r="AL152" s="52"/>
      <c r="AM152" s="39"/>
      <c r="AN152" s="52"/>
      <c r="AO152" s="52"/>
      <c r="AP152" s="52"/>
      <c r="AQ152" s="39"/>
      <c r="AR152" s="39"/>
      <c r="AS152" s="39"/>
      <c r="AT152" s="39"/>
      <c r="AU152" s="39"/>
      <c r="AV152" s="39"/>
      <c r="AW152" s="39"/>
      <c r="AX152" s="39"/>
      <c r="AY152" s="39"/>
      <c r="AZ152" s="39"/>
      <c r="BA152" s="39"/>
      <c r="BB152" s="39"/>
      <c r="BC152" s="358"/>
      <c r="BD152" s="39"/>
      <c r="BE152" s="39"/>
      <c r="BF152" s="358"/>
      <c r="BG152" s="39"/>
      <c r="BH152" s="39"/>
      <c r="BI152" s="39"/>
      <c r="BJ152" s="39"/>
      <c r="BK152" s="358"/>
      <c r="BL152" s="39"/>
      <c r="BM152" s="39"/>
      <c r="BN152" s="358"/>
      <c r="BO152" s="39"/>
      <c r="BP152" s="39"/>
      <c r="BQ152" s="39"/>
      <c r="BR152" s="39"/>
      <c r="BS152" s="39"/>
      <c r="BT152" s="39"/>
      <c r="BU152" s="39"/>
      <c r="BV152" s="39"/>
      <c r="BW152" s="39"/>
      <c r="BX152" s="39"/>
      <c r="BY152" s="39"/>
      <c r="BZ152" s="39"/>
      <c r="CA152" s="40"/>
      <c r="CB152" s="40"/>
      <c r="CC152" s="39"/>
      <c r="CD152" s="39"/>
      <c r="CE152" s="40"/>
      <c r="CF152" s="40"/>
      <c r="CG152" s="40"/>
      <c r="CH152" s="39"/>
      <c r="CI152" s="39"/>
      <c r="CJ152" s="40"/>
      <c r="CK152" s="40"/>
      <c r="CL152" s="39"/>
      <c r="CM152" s="39"/>
      <c r="CN152" s="39"/>
      <c r="CO152" s="40"/>
      <c r="CP152" s="40"/>
      <c r="CQ152" s="144"/>
      <c r="CR152" s="144"/>
      <c r="CS152" s="144"/>
      <c r="CT152" s="144"/>
      <c r="CU152" s="144"/>
      <c r="CV152" s="144"/>
      <c r="CW152" s="144"/>
      <c r="CX152" s="144"/>
      <c r="CY152" s="144"/>
      <c r="CZ152" s="144"/>
      <c r="DA152" s="144"/>
      <c r="DB152" s="144"/>
      <c r="DC152" s="144"/>
      <c r="DD152" s="144"/>
      <c r="DE152" s="144"/>
      <c r="DF152" s="144"/>
      <c r="DG152" s="144"/>
      <c r="DH152" s="144"/>
      <c r="DI152" s="144"/>
    </row>
    <row r="153" spans="1:113" s="2" customFormat="1" x14ac:dyDescent="0.3">
      <c r="A153" s="144"/>
      <c r="B153" s="150"/>
      <c r="C153" s="161"/>
      <c r="D153" s="144"/>
      <c r="E153" s="161"/>
      <c r="F153" s="161"/>
      <c r="G153" s="161"/>
      <c r="H153" s="161"/>
      <c r="I153" s="161"/>
      <c r="J153" s="161"/>
      <c r="K153" s="161"/>
      <c r="L153" s="161"/>
      <c r="M153" s="161"/>
      <c r="N153" s="157"/>
      <c r="O153" s="157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40"/>
      <c r="AC153" s="39"/>
      <c r="AD153" s="39"/>
      <c r="AE153" s="199"/>
      <c r="AF153" s="61"/>
      <c r="AG153" s="199"/>
      <c r="AH153" s="61"/>
      <c r="AI153" s="39"/>
      <c r="AJ153" s="52"/>
      <c r="AK153" s="52"/>
      <c r="AL153" s="52"/>
      <c r="AM153" s="39"/>
      <c r="AN153" s="52"/>
      <c r="AO153" s="52"/>
      <c r="AP153" s="52"/>
      <c r="AQ153" s="39"/>
      <c r="AR153" s="39"/>
      <c r="AS153" s="39"/>
      <c r="AT153" s="39"/>
      <c r="AU153" s="39"/>
      <c r="AV153" s="39"/>
      <c r="AW153" s="39"/>
      <c r="AX153" s="39"/>
      <c r="AY153" s="39"/>
      <c r="AZ153" s="39"/>
      <c r="BA153" s="39"/>
      <c r="BB153" s="39"/>
      <c r="BC153" s="358"/>
      <c r="BD153" s="39"/>
      <c r="BE153" s="39"/>
      <c r="BF153" s="358"/>
      <c r="BG153" s="39"/>
      <c r="BH153" s="39"/>
      <c r="BI153" s="39"/>
      <c r="BJ153" s="39"/>
      <c r="BK153" s="358"/>
      <c r="BL153" s="39"/>
      <c r="BM153" s="39"/>
      <c r="BN153" s="358"/>
      <c r="BO153" s="39"/>
      <c r="BP153" s="39"/>
      <c r="BQ153" s="39"/>
      <c r="BR153" s="39"/>
      <c r="BS153" s="39"/>
      <c r="BT153" s="39"/>
      <c r="BU153" s="39"/>
      <c r="BV153" s="39"/>
      <c r="BW153" s="39"/>
      <c r="BX153" s="39"/>
      <c r="BY153" s="39"/>
      <c r="BZ153" s="39"/>
      <c r="CA153" s="40"/>
      <c r="CB153" s="40"/>
      <c r="CC153" s="39"/>
      <c r="CD153" s="39"/>
      <c r="CE153" s="40"/>
      <c r="CF153" s="40"/>
      <c r="CG153" s="40"/>
      <c r="CH153" s="39"/>
      <c r="CI153" s="39"/>
      <c r="CJ153" s="40"/>
      <c r="CK153" s="40"/>
      <c r="CL153" s="39"/>
      <c r="CM153" s="39"/>
      <c r="CN153" s="39"/>
      <c r="CO153" s="40"/>
      <c r="CP153" s="40"/>
      <c r="CQ153" s="144"/>
      <c r="CR153" s="144"/>
      <c r="CS153" s="144"/>
      <c r="CT153" s="144"/>
      <c r="CU153" s="144"/>
      <c r="CV153" s="144"/>
      <c r="CW153" s="144"/>
      <c r="CX153" s="144"/>
      <c r="CY153" s="144"/>
      <c r="CZ153" s="144"/>
      <c r="DA153" s="144"/>
      <c r="DB153" s="144"/>
      <c r="DC153" s="144"/>
      <c r="DD153" s="144"/>
      <c r="DE153" s="144"/>
      <c r="DF153" s="144"/>
      <c r="DG153" s="144"/>
      <c r="DH153" s="144"/>
      <c r="DI153" s="144"/>
    </row>
    <row r="154" spans="1:113" s="2" customFormat="1" x14ac:dyDescent="0.3">
      <c r="A154" s="144"/>
      <c r="B154" s="150"/>
      <c r="C154" s="161"/>
      <c r="D154" s="144"/>
      <c r="E154" s="161"/>
      <c r="F154" s="161"/>
      <c r="G154" s="161"/>
      <c r="H154" s="161"/>
      <c r="I154" s="161"/>
      <c r="J154" s="161"/>
      <c r="K154" s="161"/>
      <c r="L154" s="161"/>
      <c r="M154" s="161"/>
      <c r="N154" s="157"/>
      <c r="O154" s="157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40"/>
      <c r="AC154" s="39"/>
      <c r="AD154" s="39"/>
      <c r="AE154" s="199"/>
      <c r="AF154" s="61"/>
      <c r="AG154" s="199"/>
      <c r="AH154" s="61"/>
      <c r="AI154" s="39"/>
      <c r="AJ154" s="52"/>
      <c r="AK154" s="52"/>
      <c r="AL154" s="52"/>
      <c r="AM154" s="39"/>
      <c r="AN154" s="52"/>
      <c r="AO154" s="52"/>
      <c r="AP154" s="52"/>
      <c r="AQ154" s="39"/>
      <c r="AR154" s="39"/>
      <c r="AS154" s="39"/>
      <c r="AT154" s="39"/>
      <c r="AU154" s="39"/>
      <c r="AV154" s="39"/>
      <c r="AW154" s="39"/>
      <c r="AX154" s="39"/>
      <c r="AY154" s="39"/>
      <c r="AZ154" s="39"/>
      <c r="BA154" s="39"/>
      <c r="BB154" s="39"/>
      <c r="BC154" s="358"/>
      <c r="BD154" s="39"/>
      <c r="BE154" s="39"/>
      <c r="BF154" s="358"/>
      <c r="BG154" s="39"/>
      <c r="BH154" s="39"/>
      <c r="BI154" s="39"/>
      <c r="BJ154" s="39"/>
      <c r="BK154" s="358"/>
      <c r="BL154" s="39"/>
      <c r="BM154" s="39"/>
      <c r="BN154" s="358"/>
      <c r="BO154" s="39"/>
      <c r="BP154" s="39"/>
      <c r="BQ154" s="39"/>
      <c r="BR154" s="39"/>
      <c r="BS154" s="39"/>
      <c r="BT154" s="39"/>
      <c r="BU154" s="39"/>
      <c r="BV154" s="39"/>
      <c r="BW154" s="39"/>
      <c r="BX154" s="39"/>
      <c r="BY154" s="39"/>
      <c r="BZ154" s="39"/>
      <c r="CA154" s="40"/>
      <c r="CB154" s="40"/>
      <c r="CC154" s="39"/>
      <c r="CD154" s="39"/>
      <c r="CE154" s="40"/>
      <c r="CF154" s="40"/>
      <c r="CG154" s="40"/>
      <c r="CH154" s="39"/>
      <c r="CI154" s="39"/>
      <c r="CJ154" s="40"/>
      <c r="CK154" s="40"/>
      <c r="CL154" s="39"/>
      <c r="CM154" s="39"/>
      <c r="CN154" s="39"/>
      <c r="CO154" s="40"/>
      <c r="CP154" s="40"/>
      <c r="CQ154" s="144"/>
      <c r="CR154" s="144"/>
      <c r="CS154" s="144"/>
      <c r="CT154" s="144"/>
      <c r="CU154" s="144"/>
      <c r="CV154" s="144"/>
      <c r="CW154" s="144"/>
      <c r="CX154" s="144"/>
      <c r="CY154" s="144"/>
      <c r="CZ154" s="144"/>
      <c r="DA154" s="144"/>
      <c r="DB154" s="144"/>
      <c r="DC154" s="144"/>
      <c r="DD154" s="144"/>
      <c r="DE154" s="144"/>
      <c r="DF154" s="144"/>
      <c r="DG154" s="144"/>
      <c r="DH154" s="144"/>
      <c r="DI154" s="144"/>
    </row>
    <row r="155" spans="1:113" s="2" customFormat="1" x14ac:dyDescent="0.3">
      <c r="A155" s="144"/>
      <c r="B155" s="150"/>
      <c r="C155" s="161"/>
      <c r="D155" s="144"/>
      <c r="E155" s="161"/>
      <c r="F155" s="161"/>
      <c r="G155" s="161"/>
      <c r="H155" s="161"/>
      <c r="I155" s="161"/>
      <c r="J155" s="161"/>
      <c r="K155" s="161"/>
      <c r="L155" s="161"/>
      <c r="M155" s="161"/>
      <c r="N155" s="157"/>
      <c r="O155" s="157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40"/>
      <c r="AC155" s="39"/>
      <c r="AD155" s="39"/>
      <c r="AE155" s="199"/>
      <c r="AF155" s="61"/>
      <c r="AG155" s="199"/>
      <c r="AH155" s="61"/>
      <c r="AI155" s="39"/>
      <c r="AJ155" s="52"/>
      <c r="AK155" s="52"/>
      <c r="AL155" s="52"/>
      <c r="AM155" s="39"/>
      <c r="AN155" s="52"/>
      <c r="AO155" s="52"/>
      <c r="AP155" s="52"/>
      <c r="AQ155" s="39"/>
      <c r="AR155" s="39"/>
      <c r="AS155" s="39"/>
      <c r="AT155" s="39"/>
      <c r="AU155" s="39"/>
      <c r="AV155" s="39"/>
      <c r="AW155" s="39"/>
      <c r="AX155" s="39"/>
      <c r="AY155" s="39"/>
      <c r="AZ155" s="39"/>
      <c r="BA155" s="39"/>
      <c r="BB155" s="39"/>
      <c r="BC155" s="358"/>
      <c r="BD155" s="39"/>
      <c r="BE155" s="39"/>
      <c r="BF155" s="358"/>
      <c r="BG155" s="39"/>
      <c r="BH155" s="39"/>
      <c r="BI155" s="39"/>
      <c r="BJ155" s="39"/>
      <c r="BK155" s="358"/>
      <c r="BL155" s="39"/>
      <c r="BM155" s="39"/>
      <c r="BN155" s="358"/>
      <c r="BO155" s="39"/>
      <c r="BP155" s="39"/>
      <c r="BQ155" s="39"/>
      <c r="BR155" s="39"/>
      <c r="BS155" s="39"/>
      <c r="BT155" s="39"/>
      <c r="BU155" s="39"/>
      <c r="BV155" s="39"/>
      <c r="BW155" s="39"/>
      <c r="BX155" s="39"/>
      <c r="BY155" s="39"/>
      <c r="BZ155" s="39"/>
      <c r="CA155" s="40"/>
      <c r="CB155" s="40"/>
      <c r="CC155" s="39"/>
      <c r="CD155" s="39"/>
      <c r="CE155" s="40"/>
      <c r="CF155" s="40"/>
      <c r="CG155" s="40"/>
      <c r="CH155" s="39"/>
      <c r="CI155" s="39"/>
      <c r="CJ155" s="40"/>
      <c r="CK155" s="40"/>
      <c r="CL155" s="39"/>
      <c r="CM155" s="39"/>
      <c r="CN155" s="39"/>
      <c r="CO155" s="40"/>
      <c r="CP155" s="40"/>
      <c r="CQ155" s="144"/>
      <c r="CR155" s="144"/>
      <c r="CS155" s="144"/>
      <c r="CT155" s="144"/>
      <c r="CU155" s="144"/>
      <c r="CV155" s="144"/>
      <c r="CW155" s="144"/>
      <c r="CX155" s="144"/>
      <c r="CY155" s="144"/>
      <c r="CZ155" s="144"/>
      <c r="DA155" s="144"/>
      <c r="DB155" s="144"/>
      <c r="DC155" s="144"/>
      <c r="DD155" s="144"/>
      <c r="DE155" s="144"/>
      <c r="DF155" s="144"/>
      <c r="DG155" s="144"/>
      <c r="DH155" s="144"/>
      <c r="DI155" s="144"/>
    </row>
    <row r="156" spans="1:113" s="2" customFormat="1" x14ac:dyDescent="0.3">
      <c r="A156" s="144"/>
      <c r="B156" s="150"/>
      <c r="C156" s="161"/>
      <c r="D156" s="144"/>
      <c r="E156" s="161"/>
      <c r="F156" s="161"/>
      <c r="G156" s="161"/>
      <c r="H156" s="161"/>
      <c r="I156" s="161"/>
      <c r="J156" s="161"/>
      <c r="K156" s="161"/>
      <c r="L156" s="161"/>
      <c r="M156" s="161"/>
      <c r="N156" s="157"/>
      <c r="O156" s="157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40"/>
      <c r="AC156" s="39"/>
      <c r="AD156" s="39"/>
      <c r="AE156" s="199"/>
      <c r="AF156" s="61"/>
      <c r="AG156" s="199"/>
      <c r="AH156" s="61"/>
      <c r="AI156" s="39"/>
      <c r="AJ156" s="52"/>
      <c r="AK156" s="52"/>
      <c r="AL156" s="52"/>
      <c r="AM156" s="39"/>
      <c r="AN156" s="52"/>
      <c r="AO156" s="52"/>
      <c r="AP156" s="52"/>
      <c r="AQ156" s="39"/>
      <c r="AR156" s="39"/>
      <c r="AS156" s="39"/>
      <c r="AT156" s="39"/>
      <c r="AU156" s="39"/>
      <c r="AV156" s="39"/>
      <c r="AW156" s="39"/>
      <c r="AX156" s="39"/>
      <c r="AY156" s="39"/>
      <c r="AZ156" s="39"/>
      <c r="BA156" s="39"/>
      <c r="BB156" s="39"/>
      <c r="BC156" s="358"/>
      <c r="BD156" s="39"/>
      <c r="BE156" s="39"/>
      <c r="BF156" s="358"/>
      <c r="BG156" s="39"/>
      <c r="BH156" s="39"/>
      <c r="BI156" s="39"/>
      <c r="BJ156" s="39"/>
      <c r="BK156" s="358"/>
      <c r="BL156" s="39"/>
      <c r="BM156" s="39"/>
      <c r="BN156" s="358"/>
      <c r="BO156" s="39"/>
      <c r="BP156" s="39"/>
      <c r="BQ156" s="39"/>
      <c r="BR156" s="39"/>
      <c r="BS156" s="39"/>
      <c r="BT156" s="39"/>
      <c r="BU156" s="39"/>
      <c r="BV156" s="39"/>
      <c r="BW156" s="39"/>
      <c r="BX156" s="39"/>
      <c r="BY156" s="39"/>
      <c r="BZ156" s="39"/>
      <c r="CA156" s="40"/>
      <c r="CB156" s="40"/>
      <c r="CC156" s="39"/>
      <c r="CD156" s="39"/>
      <c r="CE156" s="40"/>
      <c r="CF156" s="40"/>
      <c r="CG156" s="40"/>
      <c r="CH156" s="39"/>
      <c r="CI156" s="39"/>
      <c r="CJ156" s="40"/>
      <c r="CK156" s="40"/>
      <c r="CL156" s="39"/>
      <c r="CM156" s="39"/>
      <c r="CN156" s="39"/>
      <c r="CO156" s="40"/>
      <c r="CP156" s="40"/>
      <c r="CQ156" s="144"/>
      <c r="CR156" s="144"/>
      <c r="CS156" s="144"/>
      <c r="CT156" s="144"/>
      <c r="CU156" s="144"/>
      <c r="CV156" s="144"/>
      <c r="CW156" s="144"/>
      <c r="CX156" s="144"/>
      <c r="CY156" s="144"/>
      <c r="CZ156" s="144"/>
      <c r="DA156" s="144"/>
      <c r="DB156" s="144"/>
      <c r="DC156" s="144"/>
      <c r="DD156" s="144"/>
      <c r="DE156" s="144"/>
      <c r="DF156" s="144"/>
      <c r="DG156" s="144"/>
      <c r="DH156" s="144"/>
      <c r="DI156" s="144"/>
    </row>
    <row r="157" spans="1:113" s="2" customFormat="1" x14ac:dyDescent="0.3">
      <c r="A157" s="144"/>
      <c r="B157" s="150"/>
      <c r="C157" s="161"/>
      <c r="D157" s="144"/>
      <c r="E157" s="161"/>
      <c r="F157" s="161"/>
      <c r="G157" s="161"/>
      <c r="H157" s="161"/>
      <c r="I157" s="161"/>
      <c r="J157" s="161"/>
      <c r="K157" s="161"/>
      <c r="L157" s="161"/>
      <c r="M157" s="161"/>
      <c r="N157" s="157"/>
      <c r="O157" s="157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40"/>
      <c r="AC157" s="39"/>
      <c r="AD157" s="39"/>
      <c r="AE157" s="199"/>
      <c r="AF157" s="61"/>
      <c r="AG157" s="199"/>
      <c r="AH157" s="61"/>
      <c r="AI157" s="39"/>
      <c r="AJ157" s="52"/>
      <c r="AK157" s="52"/>
      <c r="AL157" s="52"/>
      <c r="AM157" s="39"/>
      <c r="AN157" s="52"/>
      <c r="AO157" s="52"/>
      <c r="AP157" s="52"/>
      <c r="AQ157" s="39"/>
      <c r="AR157" s="39"/>
      <c r="AS157" s="39"/>
      <c r="AT157" s="39"/>
      <c r="AU157" s="39"/>
      <c r="AV157" s="39"/>
      <c r="AW157" s="39"/>
      <c r="AX157" s="39"/>
      <c r="AY157" s="39"/>
      <c r="AZ157" s="39"/>
      <c r="BA157" s="39"/>
      <c r="BB157" s="39"/>
      <c r="BC157" s="358"/>
      <c r="BD157" s="39"/>
      <c r="BE157" s="39"/>
      <c r="BF157" s="358"/>
      <c r="BG157" s="39"/>
      <c r="BH157" s="39"/>
      <c r="BI157" s="39"/>
      <c r="BJ157" s="39"/>
      <c r="BK157" s="358"/>
      <c r="BL157" s="39"/>
      <c r="BM157" s="39"/>
      <c r="BN157" s="358"/>
      <c r="BO157" s="39"/>
      <c r="BP157" s="39"/>
      <c r="BQ157" s="39"/>
      <c r="BR157" s="39"/>
      <c r="BS157" s="39"/>
      <c r="BT157" s="39"/>
      <c r="BU157" s="39"/>
      <c r="BV157" s="39"/>
      <c r="BW157" s="39"/>
      <c r="BX157" s="39"/>
      <c r="BY157" s="39"/>
      <c r="BZ157" s="39"/>
      <c r="CA157" s="40"/>
      <c r="CB157" s="40"/>
      <c r="CC157" s="39"/>
      <c r="CD157" s="39"/>
      <c r="CE157" s="40"/>
      <c r="CF157" s="40"/>
      <c r="CG157" s="40"/>
      <c r="CH157" s="39"/>
      <c r="CI157" s="39"/>
      <c r="CJ157" s="40"/>
      <c r="CK157" s="40"/>
      <c r="CL157" s="39"/>
      <c r="CM157" s="39"/>
      <c r="CN157" s="39"/>
      <c r="CO157" s="40"/>
      <c r="CP157" s="40"/>
      <c r="CQ157" s="144"/>
      <c r="CR157" s="144"/>
      <c r="CS157" s="144"/>
      <c r="CT157" s="144"/>
      <c r="CU157" s="144"/>
      <c r="CV157" s="144"/>
      <c r="CW157" s="144"/>
      <c r="CX157" s="144"/>
      <c r="CY157" s="144"/>
      <c r="CZ157" s="144"/>
      <c r="DA157" s="144"/>
      <c r="DB157" s="144"/>
      <c r="DC157" s="144"/>
      <c r="DD157" s="144"/>
      <c r="DE157" s="144"/>
      <c r="DF157" s="144"/>
      <c r="DG157" s="144"/>
      <c r="DH157" s="144"/>
      <c r="DI157" s="144"/>
    </row>
    <row r="158" spans="1:113" s="2" customFormat="1" x14ac:dyDescent="0.3">
      <c r="A158" s="144"/>
      <c r="B158" s="150"/>
      <c r="C158" s="161"/>
      <c r="D158" s="144"/>
      <c r="E158" s="161"/>
      <c r="F158" s="161"/>
      <c r="G158" s="161"/>
      <c r="H158" s="161"/>
      <c r="I158" s="161"/>
      <c r="J158" s="161"/>
      <c r="K158" s="161"/>
      <c r="L158" s="161"/>
      <c r="M158" s="161"/>
      <c r="N158" s="157"/>
      <c r="O158" s="157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40"/>
      <c r="AC158" s="39"/>
      <c r="AD158" s="39"/>
      <c r="AE158" s="199"/>
      <c r="AF158" s="61"/>
      <c r="AG158" s="199"/>
      <c r="AH158" s="61"/>
      <c r="AI158" s="39"/>
      <c r="AJ158" s="52"/>
      <c r="AK158" s="52"/>
      <c r="AL158" s="52"/>
      <c r="AM158" s="39"/>
      <c r="AN158" s="52"/>
      <c r="AO158" s="52"/>
      <c r="AP158" s="52"/>
      <c r="AQ158" s="39"/>
      <c r="AR158" s="39"/>
      <c r="AS158" s="39"/>
      <c r="AT158" s="39"/>
      <c r="AU158" s="39"/>
      <c r="AV158" s="39"/>
      <c r="AW158" s="39"/>
      <c r="AX158" s="39"/>
      <c r="AY158" s="39"/>
      <c r="AZ158" s="39"/>
      <c r="BA158" s="39"/>
      <c r="BB158" s="39"/>
      <c r="BC158" s="358"/>
      <c r="BD158" s="39"/>
      <c r="BE158" s="39"/>
      <c r="BF158" s="358"/>
      <c r="BG158" s="39"/>
      <c r="BH158" s="39"/>
      <c r="BI158" s="39"/>
      <c r="BJ158" s="39"/>
      <c r="BK158" s="358"/>
      <c r="BL158" s="39"/>
      <c r="BM158" s="39"/>
      <c r="BN158" s="358"/>
      <c r="BO158" s="39"/>
      <c r="BP158" s="39"/>
      <c r="BQ158" s="39"/>
      <c r="BR158" s="39"/>
      <c r="BS158" s="39"/>
      <c r="BT158" s="39"/>
      <c r="BU158" s="39"/>
      <c r="BV158" s="39"/>
      <c r="BW158" s="39"/>
      <c r="BX158" s="39"/>
      <c r="BY158" s="39"/>
      <c r="BZ158" s="39"/>
      <c r="CA158" s="40"/>
      <c r="CB158" s="40"/>
      <c r="CC158" s="39"/>
      <c r="CD158" s="39"/>
      <c r="CE158" s="40"/>
      <c r="CF158" s="40"/>
      <c r="CG158" s="40"/>
      <c r="CH158" s="39"/>
      <c r="CI158" s="39"/>
      <c r="CJ158" s="40"/>
      <c r="CK158" s="40"/>
      <c r="CL158" s="39"/>
      <c r="CM158" s="39"/>
      <c r="CN158" s="39"/>
      <c r="CO158" s="40"/>
      <c r="CP158" s="40"/>
      <c r="CQ158" s="144"/>
      <c r="CR158" s="144"/>
      <c r="CS158" s="144"/>
      <c r="CT158" s="144"/>
      <c r="CU158" s="144"/>
      <c r="CV158" s="144"/>
      <c r="CW158" s="144"/>
      <c r="CX158" s="144"/>
      <c r="CY158" s="144"/>
      <c r="CZ158" s="144"/>
      <c r="DA158" s="144"/>
      <c r="DB158" s="144"/>
      <c r="DC158" s="144"/>
      <c r="DD158" s="144"/>
      <c r="DE158" s="144"/>
      <c r="DF158" s="144"/>
      <c r="DG158" s="144"/>
      <c r="DH158" s="144"/>
      <c r="DI158" s="144"/>
    </row>
    <row r="159" spans="1:113" x14ac:dyDescent="0.3">
      <c r="B159" s="150"/>
      <c r="C159" s="161"/>
      <c r="D159" s="144"/>
      <c r="E159" s="161"/>
      <c r="F159" s="161"/>
      <c r="G159" s="161"/>
      <c r="H159" s="161"/>
      <c r="I159" s="161"/>
      <c r="J159" s="161"/>
      <c r="K159" s="161"/>
      <c r="L159" s="161"/>
      <c r="M159" s="161"/>
      <c r="N159" s="157"/>
      <c r="O159" s="157"/>
    </row>
    <row r="160" spans="1:113" x14ac:dyDescent="0.3">
      <c r="B160" s="150"/>
      <c r="C160" s="161"/>
      <c r="D160" s="144"/>
      <c r="E160" s="161"/>
      <c r="F160" s="161"/>
      <c r="G160" s="161"/>
      <c r="H160" s="161"/>
      <c r="I160" s="161"/>
      <c r="J160" s="161"/>
      <c r="K160" s="161"/>
      <c r="L160" s="161"/>
      <c r="M160" s="161"/>
      <c r="N160" s="157"/>
      <c r="O160" s="157"/>
    </row>
    <row r="161" spans="2:15" x14ac:dyDescent="0.3">
      <c r="B161" s="150"/>
      <c r="C161" s="161"/>
      <c r="D161" s="144"/>
      <c r="E161" s="161"/>
      <c r="F161" s="161"/>
      <c r="G161" s="161"/>
      <c r="H161" s="161"/>
      <c r="I161" s="161"/>
      <c r="J161" s="161"/>
      <c r="K161" s="161"/>
      <c r="L161" s="161"/>
      <c r="M161" s="161"/>
      <c r="N161" s="157"/>
      <c r="O161" s="157"/>
    </row>
    <row r="162" spans="2:15" x14ac:dyDescent="0.3">
      <c r="B162" s="150"/>
      <c r="C162" s="161"/>
      <c r="D162" s="144"/>
      <c r="E162" s="161"/>
      <c r="F162" s="161"/>
      <c r="G162" s="161"/>
      <c r="H162" s="161"/>
      <c r="I162" s="161"/>
      <c r="J162" s="161"/>
      <c r="K162" s="161"/>
      <c r="L162" s="161"/>
      <c r="M162" s="161"/>
      <c r="N162" s="157"/>
      <c r="O162" s="157"/>
    </row>
    <row r="163" spans="2:15" x14ac:dyDescent="0.3">
      <c r="B163" s="150"/>
      <c r="C163" s="161"/>
      <c r="D163" s="144"/>
      <c r="E163" s="161"/>
      <c r="F163" s="161"/>
      <c r="G163" s="161"/>
      <c r="H163" s="161"/>
      <c r="I163" s="161"/>
      <c r="J163" s="161"/>
      <c r="K163" s="161"/>
      <c r="L163" s="161"/>
      <c r="M163" s="161"/>
      <c r="N163" s="157"/>
      <c r="O163" s="157"/>
    </row>
    <row r="164" spans="2:15" x14ac:dyDescent="0.3">
      <c r="B164" s="150"/>
      <c r="C164" s="161"/>
      <c r="D164" s="144"/>
      <c r="E164" s="161"/>
      <c r="F164" s="161"/>
      <c r="G164" s="161"/>
      <c r="H164" s="161"/>
      <c r="I164" s="161"/>
      <c r="J164" s="161"/>
      <c r="K164" s="161"/>
      <c r="L164" s="161"/>
      <c r="M164" s="161"/>
      <c r="N164" s="157"/>
      <c r="O164" s="157"/>
    </row>
    <row r="165" spans="2:15" x14ac:dyDescent="0.3">
      <c r="B165" s="150"/>
      <c r="C165" s="161"/>
      <c r="D165" s="144"/>
      <c r="E165" s="161"/>
      <c r="F165" s="161"/>
      <c r="G165" s="161"/>
      <c r="H165" s="161"/>
      <c r="I165" s="161"/>
      <c r="J165" s="161"/>
      <c r="K165" s="161"/>
      <c r="L165" s="161"/>
      <c r="M165" s="161"/>
      <c r="N165" s="157"/>
      <c r="O165" s="157"/>
    </row>
    <row r="166" spans="2:15" x14ac:dyDescent="0.3">
      <c r="B166" s="150"/>
      <c r="C166" s="161"/>
      <c r="D166" s="144"/>
      <c r="E166" s="161"/>
      <c r="F166" s="161"/>
      <c r="G166" s="161"/>
      <c r="H166" s="161"/>
      <c r="I166" s="161"/>
      <c r="J166" s="161"/>
      <c r="K166" s="161"/>
      <c r="L166" s="161"/>
      <c r="M166" s="161"/>
      <c r="N166" s="157"/>
      <c r="O166" s="157"/>
    </row>
    <row r="167" spans="2:15" x14ac:dyDescent="0.3">
      <c r="B167" s="150"/>
      <c r="C167" s="161"/>
      <c r="D167" s="144"/>
      <c r="E167" s="161"/>
      <c r="F167" s="161"/>
      <c r="G167" s="161"/>
      <c r="H167" s="161"/>
      <c r="I167" s="161"/>
      <c r="J167" s="161"/>
      <c r="K167" s="161"/>
      <c r="L167" s="161"/>
      <c r="M167" s="161"/>
      <c r="N167" s="157"/>
      <c r="O167" s="157"/>
    </row>
    <row r="168" spans="2:15" x14ac:dyDescent="0.3">
      <c r="B168" s="150"/>
      <c r="C168" s="161"/>
      <c r="D168" s="144"/>
      <c r="E168" s="161"/>
      <c r="F168" s="161"/>
      <c r="G168" s="161"/>
      <c r="H168" s="161"/>
      <c r="I168" s="161"/>
      <c r="J168" s="161"/>
      <c r="K168" s="161"/>
      <c r="L168" s="161"/>
      <c r="M168" s="161"/>
      <c r="N168" s="157"/>
      <c r="O168" s="157"/>
    </row>
    <row r="169" spans="2:15" x14ac:dyDescent="0.3">
      <c r="B169" s="150"/>
      <c r="C169" s="161"/>
      <c r="D169" s="144"/>
      <c r="E169" s="161"/>
      <c r="F169" s="161"/>
      <c r="G169" s="161"/>
      <c r="H169" s="161"/>
      <c r="I169" s="161"/>
      <c r="J169" s="161"/>
      <c r="K169" s="161"/>
      <c r="L169" s="161"/>
      <c r="M169" s="161"/>
      <c r="N169" s="157"/>
      <c r="O169" s="157"/>
    </row>
    <row r="170" spans="2:15" x14ac:dyDescent="0.3">
      <c r="B170" s="150"/>
      <c r="C170" s="161"/>
      <c r="D170" s="144"/>
      <c r="E170" s="161"/>
      <c r="F170" s="161"/>
      <c r="G170" s="161"/>
      <c r="H170" s="161"/>
      <c r="I170" s="161"/>
      <c r="J170" s="161"/>
      <c r="K170" s="161"/>
      <c r="L170" s="161"/>
      <c r="M170" s="161"/>
      <c r="N170" s="157"/>
      <c r="O170" s="157"/>
    </row>
    <row r="171" spans="2:15" x14ac:dyDescent="0.3">
      <c r="B171" s="150"/>
      <c r="C171" s="161"/>
      <c r="D171" s="144"/>
      <c r="E171" s="161"/>
      <c r="F171" s="161"/>
      <c r="G171" s="161"/>
      <c r="H171" s="161"/>
      <c r="I171" s="161"/>
      <c r="J171" s="161"/>
      <c r="K171" s="161"/>
      <c r="L171" s="161"/>
      <c r="M171" s="161"/>
      <c r="N171" s="157"/>
      <c r="O171" s="157"/>
    </row>
    <row r="172" spans="2:15" x14ac:dyDescent="0.3">
      <c r="B172" s="150"/>
      <c r="C172" s="161"/>
      <c r="D172" s="144"/>
      <c r="E172" s="161"/>
      <c r="F172" s="161"/>
      <c r="G172" s="161"/>
      <c r="H172" s="161"/>
      <c r="I172" s="161"/>
      <c r="J172" s="161"/>
      <c r="K172" s="161"/>
      <c r="L172" s="161"/>
      <c r="M172" s="161"/>
      <c r="N172" s="157"/>
      <c r="O172" s="157"/>
    </row>
    <row r="173" spans="2:15" x14ac:dyDescent="0.3">
      <c r="B173" s="150"/>
      <c r="C173" s="161"/>
      <c r="D173" s="144"/>
      <c r="E173" s="161"/>
      <c r="F173" s="161"/>
      <c r="G173" s="161"/>
      <c r="H173" s="161"/>
      <c r="I173" s="161"/>
      <c r="J173" s="161"/>
      <c r="K173" s="161"/>
      <c r="L173" s="161"/>
      <c r="M173" s="161"/>
      <c r="N173" s="157"/>
      <c r="O173" s="157"/>
    </row>
    <row r="174" spans="2:15" x14ac:dyDescent="0.3">
      <c r="B174" s="150"/>
      <c r="C174" s="161"/>
      <c r="D174" s="144"/>
      <c r="E174" s="161"/>
      <c r="F174" s="161"/>
      <c r="G174" s="161"/>
      <c r="H174" s="161"/>
      <c r="I174" s="161"/>
      <c r="J174" s="161"/>
      <c r="K174" s="161"/>
      <c r="L174" s="161"/>
      <c r="M174" s="161"/>
      <c r="N174" s="157"/>
      <c r="O174" s="157"/>
    </row>
    <row r="175" spans="2:15" x14ac:dyDescent="0.3">
      <c r="B175" s="150"/>
      <c r="C175" s="161"/>
      <c r="D175" s="144"/>
      <c r="E175" s="161"/>
      <c r="F175" s="161"/>
      <c r="G175" s="161"/>
      <c r="H175" s="161"/>
      <c r="I175" s="161"/>
      <c r="J175" s="161"/>
      <c r="K175" s="161"/>
      <c r="L175" s="161"/>
      <c r="M175" s="161"/>
      <c r="N175" s="157"/>
      <c r="O175" s="157"/>
    </row>
    <row r="176" spans="2:15" x14ac:dyDescent="0.3">
      <c r="B176" s="150"/>
      <c r="C176" s="161"/>
      <c r="D176" s="144"/>
      <c r="E176" s="161"/>
      <c r="F176" s="161"/>
      <c r="G176" s="161"/>
      <c r="H176" s="161"/>
      <c r="I176" s="161"/>
      <c r="J176" s="161"/>
      <c r="K176" s="161"/>
      <c r="L176" s="161"/>
      <c r="M176" s="161"/>
      <c r="N176" s="157"/>
      <c r="O176" s="157"/>
    </row>
  </sheetData>
  <sheetProtection algorithmName="SHA-512" hashValue="V1C9XymgEvcYvkDfh0sPwODcbT/jxbMHz+Q+t8GGO6dg0k4m91dwKJjWj0fbNrGR1A+90RLGeOCQbCU+OKtVhw==" saltValue="cOg8NJa2p55B+VmAQW7obw==" spinCount="100000" sheet="1" objects="1" scenarios="1"/>
  <mergeCells count="38">
    <mergeCell ref="I56:K56"/>
    <mergeCell ref="L56:M56"/>
    <mergeCell ref="N56:O56"/>
    <mergeCell ref="AS57:AZ57"/>
    <mergeCell ref="CH86:CK86"/>
    <mergeCell ref="CG57:CK57"/>
    <mergeCell ref="X57:Y57"/>
    <mergeCell ref="AE57:AF57"/>
    <mergeCell ref="AG57:AH57"/>
    <mergeCell ref="AI57:AL57"/>
    <mergeCell ref="AM57:AP57"/>
    <mergeCell ref="CL86:CP86"/>
    <mergeCell ref="AS86:AZ86"/>
    <mergeCell ref="BA86:BH86"/>
    <mergeCell ref="BI86:BP86"/>
    <mergeCell ref="BQ86:BX86"/>
    <mergeCell ref="BY86:CB86"/>
    <mergeCell ref="CC86:CF86"/>
    <mergeCell ref="CL57:CP57"/>
    <mergeCell ref="BA57:BH57"/>
    <mergeCell ref="BI57:BP57"/>
    <mergeCell ref="BQ57:BX57"/>
    <mergeCell ref="BY57:CB57"/>
    <mergeCell ref="CC57:CF57"/>
    <mergeCell ref="H12:O12"/>
    <mergeCell ref="H13:O13"/>
    <mergeCell ref="H5:O10"/>
    <mergeCell ref="D26:F26"/>
    <mergeCell ref="D27:F27"/>
    <mergeCell ref="B1:F1"/>
    <mergeCell ref="B56:F56"/>
    <mergeCell ref="D20:F21"/>
    <mergeCell ref="D22:F22"/>
    <mergeCell ref="D23:F23"/>
    <mergeCell ref="D28:F30"/>
    <mergeCell ref="B26:B30"/>
    <mergeCell ref="B5:B16"/>
    <mergeCell ref="B20:B23"/>
  </mergeCells>
  <conditionalFormatting sqref="AA4:AA2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60:AA80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4:AB24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4:AC24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D18" r:id="rId1" xr:uid="{83316919-0071-4D35-A8DA-3C048D720234}"/>
    <hyperlink ref="H13" r:id="rId2" xr:uid="{6AB3FC26-A084-4D58-82CC-61CB4042482B}"/>
    <hyperlink ref="F18" r:id="rId3" xr:uid="{E4D0238C-DB56-4795-B8D5-1183EE7FC27E}"/>
  </hyperlinks>
  <pageMargins left="0.14000000000000001" right="0.03" top="0.55118110236220474" bottom="0.11811023622047245" header="0.31496062992125984" footer="7.874015748031496E-2"/>
  <pageSetup paperSize="9" scale="51" fitToHeight="0" orientation="landscape" r:id="rId4"/>
  <rowBreaks count="1" manualBreakCount="1">
    <brk id="85" max="17" man="1"/>
  </rowBreaks>
  <drawing r:id="rId5"/>
  <legacyDrawing r:id="rId6"/>
  <tableParts count="1"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4982B-0226-4FC4-B481-9BD26DD7F965}">
  <sheetPr codeName="Tabelle1">
    <tabColor rgb="FF92D050"/>
    <pageSetUpPr fitToPage="1"/>
  </sheetPr>
  <dimension ref="A1:AL174"/>
  <sheetViews>
    <sheetView showGridLines="0" showZeros="0" zoomScaleNormal="100" workbookViewId="0">
      <pane xSplit="3" ySplit="7" topLeftCell="D8" activePane="bottomRight" state="frozen"/>
      <selection pane="topRight" activeCell="D1" sqref="D1"/>
      <selection pane="bottomLeft" activeCell="A12" sqref="A12"/>
      <selection pane="bottomRight" activeCell="T31" sqref="T31"/>
    </sheetView>
  </sheetViews>
  <sheetFormatPr baseColWidth="10" defaultRowHeight="15" outlineLevelRow="1" outlineLevelCol="1" x14ac:dyDescent="0.3"/>
  <cols>
    <col min="1" max="1" width="1.28515625" style="144" customWidth="1"/>
    <col min="2" max="2" width="18.5703125" style="133" customWidth="1"/>
    <col min="3" max="3" width="81.28515625" style="79" customWidth="1"/>
    <col min="4" max="4" width="7.28515625" style="134" bestFit="1" customWidth="1"/>
    <col min="5" max="5" width="11.5703125" style="134" bestFit="1" customWidth="1"/>
    <col min="6" max="6" width="25.5703125" style="79" bestFit="1" customWidth="1"/>
    <col min="7" max="11" width="12.42578125" style="134" customWidth="1"/>
    <col min="12" max="14" width="12.42578125" style="134" hidden="1" customWidth="1" outlineLevel="1"/>
    <col min="15" max="15" width="12.42578125" style="134" customWidth="1" collapsed="1"/>
    <col min="16" max="16" width="12.42578125" style="134" customWidth="1"/>
    <col min="17" max="17" width="9.5703125" style="135" customWidth="1"/>
    <col min="18" max="18" width="9.5703125" style="136" customWidth="1"/>
    <col min="19" max="19" width="48.28515625" style="137" customWidth="1"/>
    <col min="20" max="38" width="11.42578125" style="144"/>
    <col min="39" max="16384" width="11.42578125" style="79"/>
  </cols>
  <sheetData>
    <row r="1" spans="1:38" s="144" customFormat="1" ht="24" thickBot="1" x14ac:dyDescent="0.3">
      <c r="B1" s="482" t="str">
        <f>'Übersicht &amp; Anleitung'!B1:F1</f>
        <v>Der "Die Schwarze Katze Refurbished"-Crowdfunding-Guide       von       Hinter dem Schwarzen Auge</v>
      </c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  <c r="Q1" s="483"/>
      <c r="R1" s="483"/>
      <c r="S1" s="484"/>
    </row>
    <row r="2" spans="1:38" s="2" customFormat="1" ht="4.5" customHeight="1" thickBot="1" x14ac:dyDescent="0.3">
      <c r="A2" s="144"/>
      <c r="B2" s="144"/>
      <c r="C2" s="144"/>
      <c r="D2" s="161"/>
      <c r="E2" s="161"/>
      <c r="F2" s="144"/>
      <c r="G2" s="161"/>
      <c r="H2" s="162"/>
      <c r="I2" s="162"/>
      <c r="J2" s="162"/>
      <c r="K2" s="162"/>
      <c r="L2" s="162"/>
      <c r="M2" s="162"/>
      <c r="N2" s="162"/>
      <c r="O2" s="162"/>
      <c r="P2" s="162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38" s="62" customFormat="1" ht="30.75" thickBot="1" x14ac:dyDescent="0.3">
      <c r="A3" s="145"/>
      <c r="B3" s="536" t="s">
        <v>335</v>
      </c>
      <c r="C3" s="537"/>
      <c r="D3" s="542"/>
      <c r="E3" s="542"/>
      <c r="F3" s="543"/>
      <c r="G3" s="550" t="s">
        <v>145</v>
      </c>
      <c r="H3" s="190" t="s">
        <v>254</v>
      </c>
      <c r="I3" s="190" t="s">
        <v>255</v>
      </c>
      <c r="J3" s="190" t="s">
        <v>256</v>
      </c>
      <c r="K3" s="190" t="s">
        <v>257</v>
      </c>
      <c r="L3" s="190"/>
      <c r="M3" s="190"/>
      <c r="N3" s="190"/>
      <c r="O3" s="190" t="s">
        <v>258</v>
      </c>
      <c r="P3" s="177" t="s">
        <v>259</v>
      </c>
      <c r="Q3" s="540" t="s">
        <v>28</v>
      </c>
      <c r="R3" s="541"/>
      <c r="S3" s="541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</row>
    <row r="4" spans="1:38" s="2" customFormat="1" ht="33.75" customHeight="1" x14ac:dyDescent="0.25">
      <c r="A4" s="144"/>
      <c r="B4" s="538" t="s">
        <v>1</v>
      </c>
      <c r="C4" s="369"/>
      <c r="D4" s="542"/>
      <c r="E4" s="542"/>
      <c r="F4" s="543"/>
      <c r="G4" s="551"/>
      <c r="H4" s="415"/>
      <c r="I4" s="415"/>
      <c r="J4" s="415"/>
      <c r="K4" s="415"/>
      <c r="L4" s="415"/>
      <c r="M4" s="415"/>
      <c r="N4" s="415"/>
      <c r="O4" s="415"/>
      <c r="P4" s="416"/>
      <c r="Q4" s="540"/>
      <c r="R4" s="541"/>
      <c r="S4" s="541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38" s="66" customFormat="1" ht="19.5" customHeight="1" thickBot="1" x14ac:dyDescent="0.35">
      <c r="A5" s="146"/>
      <c r="B5" s="539"/>
      <c r="C5" s="373"/>
      <c r="D5" s="373"/>
      <c r="E5" s="183"/>
      <c r="F5" s="178" t="s">
        <v>29</v>
      </c>
      <c r="G5" s="389"/>
      <c r="H5" s="389">
        <f>'Übersicht &amp; Anleitung'!$Q$15</f>
        <v>63</v>
      </c>
      <c r="I5" s="389">
        <f>'Übersicht &amp; Anleitung'!$Q$16</f>
        <v>12</v>
      </c>
      <c r="J5" s="389">
        <f>'Übersicht &amp; Anleitung'!$Q$17</f>
        <v>6</v>
      </c>
      <c r="K5" s="389">
        <f>'Übersicht &amp; Anleitung'!$Q$18</f>
        <v>17</v>
      </c>
      <c r="L5" s="389">
        <f>'Übersicht &amp; Anleitung'!$Q$20</f>
        <v>0</v>
      </c>
      <c r="M5" s="389">
        <f>'Übersicht &amp; Anleitung'!$Q$21</f>
        <v>0</v>
      </c>
      <c r="N5" s="389">
        <f>'Übersicht &amp; Anleitung'!$Q$22</f>
        <v>0</v>
      </c>
      <c r="O5" s="389">
        <f>'Übersicht &amp; Anleitung'!$Q$23</f>
        <v>31</v>
      </c>
      <c r="P5" s="392">
        <f>'Übersicht &amp; Anleitung'!$Q$24</f>
        <v>146</v>
      </c>
      <c r="Q5" s="540"/>
      <c r="R5" s="541"/>
      <c r="S5" s="541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</row>
    <row r="6" spans="1:38" s="66" customFormat="1" ht="15.75" thickBot="1" x14ac:dyDescent="0.35">
      <c r="A6" s="146"/>
      <c r="B6" s="155"/>
      <c r="C6" s="414"/>
      <c r="D6" s="414"/>
      <c r="E6" s="183"/>
      <c r="F6" s="178" t="s">
        <v>170</v>
      </c>
      <c r="G6" s="219"/>
      <c r="H6" s="219">
        <f>H5/'Übersicht &amp; Anleitung'!$Q$12</f>
        <v>0.2290909090909091</v>
      </c>
      <c r="I6" s="219">
        <f>I5/'Übersicht &amp; Anleitung'!$Q$12</f>
        <v>4.363636363636364E-2</v>
      </c>
      <c r="J6" s="219">
        <f>J5/'Übersicht &amp; Anleitung'!$Q$12</f>
        <v>2.181818181818182E-2</v>
      </c>
      <c r="K6" s="219">
        <f>K5/'Übersicht &amp; Anleitung'!$Q$12</f>
        <v>6.1818181818181821E-2</v>
      </c>
      <c r="L6" s="219">
        <f>L5/'Übersicht &amp; Anleitung'!$Q$12</f>
        <v>0</v>
      </c>
      <c r="M6" s="219">
        <f>M5/'Übersicht &amp; Anleitung'!$Q$12</f>
        <v>0</v>
      </c>
      <c r="N6" s="219">
        <f>N5/'Übersicht &amp; Anleitung'!$Q$12</f>
        <v>0</v>
      </c>
      <c r="O6" s="219">
        <f>O5/'Übersicht &amp; Anleitung'!$Q$12</f>
        <v>0.11272727272727273</v>
      </c>
      <c r="P6" s="220">
        <f>P5/'Übersicht &amp; Anleitung'!$Q$12</f>
        <v>0.53090909090909089</v>
      </c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</row>
    <row r="7" spans="1:38" s="68" customFormat="1" ht="60" x14ac:dyDescent="0.25">
      <c r="A7" s="145"/>
      <c r="B7" s="179" t="s">
        <v>166</v>
      </c>
      <c r="C7" s="206" t="s">
        <v>164</v>
      </c>
      <c r="D7" s="266" t="s">
        <v>204</v>
      </c>
      <c r="E7" s="206" t="s">
        <v>193</v>
      </c>
      <c r="F7" s="207" t="s">
        <v>2</v>
      </c>
      <c r="G7" s="349" t="s">
        <v>323</v>
      </c>
      <c r="H7" s="208">
        <v>20</v>
      </c>
      <c r="I7" s="347">
        <v>29.95</v>
      </c>
      <c r="J7" s="208">
        <v>50</v>
      </c>
      <c r="K7" s="208">
        <v>70</v>
      </c>
      <c r="L7" s="208"/>
      <c r="M7" s="208"/>
      <c r="N7" s="209"/>
      <c r="O7" s="210">
        <v>130</v>
      </c>
      <c r="P7" s="210">
        <v>165</v>
      </c>
      <c r="Q7" s="180" t="s">
        <v>12</v>
      </c>
      <c r="R7" s="181" t="s">
        <v>3</v>
      </c>
      <c r="S7" s="211" t="s">
        <v>84</v>
      </c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</row>
    <row r="8" spans="1:38" s="68" customFormat="1" ht="18" hidden="1" customHeight="1" outlineLevel="1" x14ac:dyDescent="0.3">
      <c r="A8" s="145"/>
      <c r="B8" s="107">
        <v>0</v>
      </c>
      <c r="C8" s="222" t="s">
        <v>260</v>
      </c>
      <c r="D8" s="257"/>
      <c r="E8" s="257"/>
      <c r="F8" s="188">
        <v>10000</v>
      </c>
      <c r="G8" s="38"/>
      <c r="H8" s="223"/>
      <c r="I8" s="39"/>
      <c r="J8" s="306" t="s">
        <v>32</v>
      </c>
      <c r="K8" s="306" t="s">
        <v>17</v>
      </c>
      <c r="L8" s="306" t="s">
        <v>16</v>
      </c>
      <c r="M8" s="312" t="s">
        <v>42</v>
      </c>
      <c r="N8" s="70"/>
      <c r="O8" s="70"/>
      <c r="P8" s="223"/>
      <c r="Q8" s="223"/>
      <c r="R8" s="223"/>
      <c r="S8" s="70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</row>
    <row r="9" spans="1:38" s="68" customFormat="1" ht="18" hidden="1" customHeight="1" outlineLevel="1" x14ac:dyDescent="0.3">
      <c r="A9" s="145"/>
      <c r="B9" s="107">
        <v>1</v>
      </c>
      <c r="C9" s="222" t="s">
        <v>261</v>
      </c>
      <c r="D9" s="257"/>
      <c r="E9" s="257"/>
      <c r="F9" s="188">
        <f>F8+5000</f>
        <v>15000</v>
      </c>
      <c r="G9" s="38"/>
      <c r="H9" s="223"/>
      <c r="I9" s="108" t="s">
        <v>20</v>
      </c>
      <c r="J9" s="307">
        <v>1</v>
      </c>
      <c r="K9" s="57" t="e">
        <f>VLOOKUP(J9,#REF!,11,FALSE)</f>
        <v>#REF!</v>
      </c>
      <c r="L9" s="57" t="e">
        <f>VLOOKUP(J9,#REF!,10,FALSE)</f>
        <v>#REF!</v>
      </c>
      <c r="M9" s="311" t="str">
        <f>IFERROR(Tabelle2[[#This Row],[€]]/Tabelle2[[#This Row],[Backer]],"")</f>
        <v/>
      </c>
      <c r="N9" s="70"/>
      <c r="O9" s="70"/>
      <c r="P9" s="223"/>
      <c r="Q9" s="223"/>
      <c r="R9" s="223"/>
      <c r="S9" s="70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</row>
    <row r="10" spans="1:38" s="68" customFormat="1" ht="18" hidden="1" customHeight="1" outlineLevel="1" x14ac:dyDescent="0.3">
      <c r="A10" s="145"/>
      <c r="B10" s="107">
        <v>2</v>
      </c>
      <c r="C10" s="222" t="s">
        <v>262</v>
      </c>
      <c r="D10" s="257"/>
      <c r="E10" s="257"/>
      <c r="F10" s="188">
        <f t="shared" ref="F10:F30" si="0">F9+5000</f>
        <v>20000</v>
      </c>
      <c r="G10" s="38"/>
      <c r="H10" s="223"/>
      <c r="I10" s="127" t="s">
        <v>21</v>
      </c>
      <c r="J10" s="309">
        <v>21</v>
      </c>
      <c r="K10" s="64" t="e">
        <f>VLOOKUP(J10,#REF!,11,FALSE)</f>
        <v>#REF!</v>
      </c>
      <c r="L10" s="64" t="e">
        <f>VLOOKUP(J10,#REF!,10,FALSE)</f>
        <v>#REF!</v>
      </c>
      <c r="M10" s="308" t="str">
        <f>IFERROR(Tabelle2[[#This Row],[€]]/Tabelle2[[#This Row],[Backer]],"")</f>
        <v/>
      </c>
      <c r="N10" s="70"/>
      <c r="O10" s="70"/>
      <c r="P10" s="223"/>
      <c r="Q10" s="223"/>
      <c r="R10" s="223"/>
      <c r="S10" s="70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</row>
    <row r="11" spans="1:38" s="68" customFormat="1" ht="18" hidden="1" customHeight="1" outlineLevel="1" x14ac:dyDescent="0.3">
      <c r="A11" s="145"/>
      <c r="B11" s="107">
        <v>3</v>
      </c>
      <c r="C11" s="222" t="s">
        <v>263</v>
      </c>
      <c r="D11" s="257"/>
      <c r="E11" s="257"/>
      <c r="F11" s="188">
        <f t="shared" si="0"/>
        <v>25000</v>
      </c>
      <c r="G11" s="38"/>
      <c r="H11" s="223"/>
      <c r="I11" s="108" t="s">
        <v>23</v>
      </c>
      <c r="J11" s="307">
        <v>2</v>
      </c>
      <c r="K11" s="57" t="e">
        <f>VLOOKUP(J11,#REF!,11,FALSE)</f>
        <v>#REF!</v>
      </c>
      <c r="L11" s="57" t="e">
        <f>VLOOKUP(J11,#REF!,10,FALSE)</f>
        <v>#REF!</v>
      </c>
      <c r="M11" s="311" t="str">
        <f>IFERROR(Tabelle2[[#This Row],[€]]/Tabelle2[[#This Row],[Backer]],"")</f>
        <v/>
      </c>
      <c r="N11" s="70"/>
      <c r="O11" s="70"/>
      <c r="P11" s="223"/>
      <c r="Q11" s="223"/>
      <c r="R11" s="223"/>
      <c r="S11" s="70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</row>
    <row r="12" spans="1:38" s="68" customFormat="1" ht="18" hidden="1" customHeight="1" outlineLevel="1" x14ac:dyDescent="0.3">
      <c r="A12" s="145"/>
      <c r="B12" s="107">
        <v>4</v>
      </c>
      <c r="C12" s="222" t="s">
        <v>191</v>
      </c>
      <c r="D12" s="257"/>
      <c r="E12" s="257"/>
      <c r="F12" s="188">
        <f t="shared" si="0"/>
        <v>30000</v>
      </c>
      <c r="G12" s="38"/>
      <c r="H12" s="223"/>
      <c r="I12" s="127" t="s">
        <v>86</v>
      </c>
      <c r="J12" s="309">
        <v>7</v>
      </c>
      <c r="K12" s="64" t="e">
        <f>VLOOKUP(J12,#REF!,11,FALSE)</f>
        <v>#REF!</v>
      </c>
      <c r="L12" s="64" t="e">
        <f>VLOOKUP(J12,#REF!,10,FALSE)</f>
        <v>#REF!</v>
      </c>
      <c r="M12" s="308" t="str">
        <f>IFERROR(Tabelle2[[#This Row],[€]]/Tabelle2[[#This Row],[Backer]],"")</f>
        <v/>
      </c>
      <c r="N12" s="70"/>
      <c r="O12" s="70"/>
      <c r="P12" s="223"/>
      <c r="Q12" s="223"/>
      <c r="R12" s="223"/>
      <c r="S12" s="70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</row>
    <row r="13" spans="1:38" s="68" customFormat="1" ht="18" hidden="1" customHeight="1" outlineLevel="1" x14ac:dyDescent="0.3">
      <c r="A13" s="145"/>
      <c r="B13" s="107">
        <v>5</v>
      </c>
      <c r="C13" s="222" t="s">
        <v>191</v>
      </c>
      <c r="D13" s="257"/>
      <c r="E13" s="257"/>
      <c r="F13" s="188">
        <f t="shared" si="0"/>
        <v>35000</v>
      </c>
      <c r="G13" s="38"/>
      <c r="H13" s="223"/>
      <c r="I13" s="108" t="s">
        <v>22</v>
      </c>
      <c r="J13" s="309">
        <v>15</v>
      </c>
      <c r="K13" s="64" t="e">
        <f>VLOOKUP(J13,#REF!,11,FALSE)</f>
        <v>#REF!</v>
      </c>
      <c r="L13" s="64" t="e">
        <f>VLOOKUP(J13,#REF!,10,FALSE)</f>
        <v>#REF!</v>
      </c>
      <c r="M13" s="308" t="str">
        <f>IFERROR(Tabelle2[[#This Row],[€]]/Tabelle2[[#This Row],[Backer]],"")</f>
        <v/>
      </c>
      <c r="N13" s="70"/>
      <c r="O13" s="70"/>
      <c r="P13" s="223"/>
      <c r="Q13" s="223"/>
      <c r="R13" s="223"/>
      <c r="S13" s="70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</row>
    <row r="14" spans="1:38" s="68" customFormat="1" ht="18" hidden="1" customHeight="1" outlineLevel="1" x14ac:dyDescent="0.3">
      <c r="A14" s="145"/>
      <c r="B14" s="107">
        <v>6</v>
      </c>
      <c r="C14" s="222" t="s">
        <v>191</v>
      </c>
      <c r="D14" s="257"/>
      <c r="E14" s="257"/>
      <c r="F14" s="188">
        <f t="shared" si="0"/>
        <v>40000</v>
      </c>
      <c r="G14" s="38"/>
      <c r="H14" s="223"/>
      <c r="I14" s="127" t="s">
        <v>87</v>
      </c>
      <c r="J14" s="309">
        <v>20</v>
      </c>
      <c r="K14" s="64" t="e">
        <f>VLOOKUP(J14,#REF!,11,FALSE)</f>
        <v>#REF!</v>
      </c>
      <c r="L14" s="64" t="e">
        <f>VLOOKUP(J14,#REF!,10,FALSE)</f>
        <v>#REF!</v>
      </c>
      <c r="M14" s="308" t="str">
        <f>IFERROR(Tabelle2[[#This Row],[€]]/Tabelle2[[#This Row],[Backer]],"")</f>
        <v/>
      </c>
      <c r="N14" s="70"/>
      <c r="O14" s="70"/>
      <c r="P14" s="223"/>
      <c r="Q14" s="223"/>
      <c r="R14" s="223"/>
      <c r="S14" s="70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</row>
    <row r="15" spans="1:38" s="68" customFormat="1" ht="18" hidden="1" customHeight="1" outlineLevel="1" x14ac:dyDescent="0.3">
      <c r="A15" s="145"/>
      <c r="B15" s="107">
        <v>7</v>
      </c>
      <c r="C15" s="222" t="s">
        <v>191</v>
      </c>
      <c r="D15" s="257"/>
      <c r="E15" s="257"/>
      <c r="F15" s="188">
        <f t="shared" si="0"/>
        <v>45000</v>
      </c>
      <c r="G15" s="38"/>
      <c r="H15" s="223"/>
      <c r="I15" s="108" t="s">
        <v>24</v>
      </c>
      <c r="J15" s="309">
        <v>19</v>
      </c>
      <c r="K15" s="64" t="e">
        <f>VLOOKUP(J15,#REF!,11,FALSE)</f>
        <v>#REF!</v>
      </c>
      <c r="L15" s="64" t="e">
        <f>VLOOKUP(J15,#REF!,10,FALSE)</f>
        <v>#REF!</v>
      </c>
      <c r="M15" s="308" t="str">
        <f>IFERROR(Tabelle2[[#This Row],[€]]/Tabelle2[[#This Row],[Backer]],"")</f>
        <v/>
      </c>
      <c r="N15" s="70"/>
      <c r="O15" s="70"/>
      <c r="P15" s="223"/>
      <c r="Q15" s="223"/>
      <c r="R15" s="223"/>
      <c r="S15" s="70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</row>
    <row r="16" spans="1:38" s="68" customFormat="1" ht="18" hidden="1" customHeight="1" outlineLevel="1" x14ac:dyDescent="0.3">
      <c r="A16" s="145"/>
      <c r="B16" s="107">
        <v>8</v>
      </c>
      <c r="C16" s="222" t="s">
        <v>191</v>
      </c>
      <c r="D16" s="257"/>
      <c r="E16" s="257"/>
      <c r="F16" s="188">
        <f t="shared" si="0"/>
        <v>50000</v>
      </c>
      <c r="G16" s="38"/>
      <c r="H16" s="223"/>
      <c r="I16" s="127" t="s">
        <v>88</v>
      </c>
      <c r="J16" s="309">
        <v>3</v>
      </c>
      <c r="K16" s="64" t="e">
        <f>VLOOKUP(J16,#REF!,11,FALSE)</f>
        <v>#REF!</v>
      </c>
      <c r="L16" s="64" t="e">
        <f>VLOOKUP(J16,#REF!,10,FALSE)</f>
        <v>#REF!</v>
      </c>
      <c r="M16" s="308" t="str">
        <f>IFERROR(Tabelle2[[#This Row],[€]]/Tabelle2[[#This Row],[Backer]],"")</f>
        <v/>
      </c>
      <c r="N16" s="70"/>
      <c r="O16" s="70"/>
      <c r="P16" s="223"/>
      <c r="Q16" s="223"/>
      <c r="R16" s="223"/>
      <c r="S16" s="70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</row>
    <row r="17" spans="1:38" s="68" customFormat="1" ht="18" hidden="1" customHeight="1" outlineLevel="1" x14ac:dyDescent="0.3">
      <c r="A17" s="145"/>
      <c r="B17" s="107">
        <v>9</v>
      </c>
      <c r="C17" s="222" t="s">
        <v>191</v>
      </c>
      <c r="D17" s="257"/>
      <c r="E17" s="257"/>
      <c r="F17" s="188">
        <f t="shared" si="0"/>
        <v>55000</v>
      </c>
      <c r="G17" s="38"/>
      <c r="H17" s="223"/>
      <c r="I17" s="108" t="s">
        <v>26</v>
      </c>
      <c r="J17" s="309">
        <v>17</v>
      </c>
      <c r="K17" s="64" t="e">
        <f>VLOOKUP(J17,#REF!,11,FALSE)</f>
        <v>#REF!</v>
      </c>
      <c r="L17" s="64" t="e">
        <f>VLOOKUP(J17,#REF!,10,FALSE)</f>
        <v>#REF!</v>
      </c>
      <c r="M17" s="308" t="str">
        <f>IFERROR(Tabelle2[[#This Row],[€]]/Tabelle2[[#This Row],[Backer]],"")</f>
        <v/>
      </c>
      <c r="N17" s="70"/>
      <c r="O17" s="70"/>
      <c r="P17" s="223"/>
      <c r="Q17" s="223"/>
      <c r="R17" s="223"/>
      <c r="S17" s="70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</row>
    <row r="18" spans="1:38" s="228" customFormat="1" ht="18" hidden="1" customHeight="1" outlineLevel="1" x14ac:dyDescent="0.3">
      <c r="A18" s="226"/>
      <c r="B18" s="107">
        <v>10</v>
      </c>
      <c r="C18" s="222" t="s">
        <v>191</v>
      </c>
      <c r="D18" s="257"/>
      <c r="E18" s="257"/>
      <c r="F18" s="188">
        <f t="shared" si="0"/>
        <v>60000</v>
      </c>
      <c r="G18" s="38"/>
      <c r="H18" s="223"/>
      <c r="I18" s="108" t="s">
        <v>25</v>
      </c>
      <c r="J18" s="309">
        <v>8</v>
      </c>
      <c r="K18" s="64" t="e">
        <f>VLOOKUP(J18,#REF!,11,FALSE)</f>
        <v>#REF!</v>
      </c>
      <c r="L18" s="64" t="e">
        <f>VLOOKUP(J18,#REF!,10,FALSE)</f>
        <v>#REF!</v>
      </c>
      <c r="M18" s="308" t="str">
        <f>IFERROR(Tabelle2[[#This Row],[€]]/Tabelle2[[#This Row],[Backer]],"")</f>
        <v/>
      </c>
      <c r="N18" s="227"/>
      <c r="O18" s="227"/>
      <c r="P18" s="227"/>
      <c r="Q18" s="227"/>
      <c r="R18" s="227"/>
      <c r="S18" s="227"/>
      <c r="T18" s="226"/>
      <c r="U18" s="226"/>
      <c r="V18" s="226"/>
      <c r="W18" s="226"/>
      <c r="X18" s="226"/>
      <c r="Y18" s="226"/>
      <c r="Z18" s="226"/>
      <c r="AA18" s="226"/>
      <c r="AB18" s="226"/>
      <c r="AC18" s="226"/>
      <c r="AD18" s="226"/>
      <c r="AE18" s="226"/>
      <c r="AF18" s="226"/>
      <c r="AG18" s="226"/>
      <c r="AH18" s="226"/>
      <c r="AI18" s="226"/>
      <c r="AJ18" s="226"/>
      <c r="AK18" s="226"/>
      <c r="AL18" s="226"/>
    </row>
    <row r="19" spans="1:38" s="228" customFormat="1" ht="18" hidden="1" customHeight="1" outlineLevel="1" x14ac:dyDescent="0.3">
      <c r="A19" s="226"/>
      <c r="B19" s="107">
        <v>11</v>
      </c>
      <c r="C19" s="222" t="s">
        <v>191</v>
      </c>
      <c r="D19" s="257"/>
      <c r="E19" s="257"/>
      <c r="F19" s="188">
        <f t="shared" si="0"/>
        <v>65000</v>
      </c>
      <c r="G19" s="38"/>
      <c r="H19" s="223"/>
      <c r="I19" s="108" t="s">
        <v>27</v>
      </c>
      <c r="J19" s="309">
        <v>4</v>
      </c>
      <c r="K19" s="64" t="e">
        <f>VLOOKUP(J19,#REF!,11,FALSE)</f>
        <v>#REF!</v>
      </c>
      <c r="L19" s="64" t="e">
        <f>VLOOKUP(J19,#REF!,10,FALSE)</f>
        <v>#REF!</v>
      </c>
      <c r="M19" s="308" t="str">
        <f>IFERROR(Tabelle2[[#This Row],[€]]/Tabelle2[[#This Row],[Backer]],"")</f>
        <v/>
      </c>
      <c r="N19" s="227"/>
      <c r="O19" s="227"/>
      <c r="P19" s="227"/>
      <c r="Q19" s="227"/>
      <c r="R19" s="227"/>
      <c r="S19" s="227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6"/>
      <c r="AE19" s="226"/>
      <c r="AF19" s="226"/>
      <c r="AG19" s="226"/>
      <c r="AH19" s="226"/>
      <c r="AI19" s="226"/>
      <c r="AJ19" s="226"/>
      <c r="AK19" s="226"/>
      <c r="AL19" s="226"/>
    </row>
    <row r="20" spans="1:38" s="228" customFormat="1" ht="18" hidden="1" customHeight="1" outlineLevel="1" x14ac:dyDescent="0.3">
      <c r="A20" s="226"/>
      <c r="B20" s="107">
        <v>12</v>
      </c>
      <c r="C20" s="222" t="s">
        <v>191</v>
      </c>
      <c r="D20" s="257"/>
      <c r="E20" s="257"/>
      <c r="F20" s="188">
        <f t="shared" si="0"/>
        <v>70000</v>
      </c>
      <c r="G20" s="38"/>
      <c r="H20" s="223"/>
      <c r="I20" s="108" t="s">
        <v>89</v>
      </c>
      <c r="J20" s="309">
        <v>16</v>
      </c>
      <c r="K20" s="64" t="e">
        <f>VLOOKUP(J20,#REF!,11,FALSE)</f>
        <v>#REF!</v>
      </c>
      <c r="L20" s="64" t="e">
        <f>VLOOKUP(J20,#REF!,10,FALSE)</f>
        <v>#REF!</v>
      </c>
      <c r="M20" s="308" t="str">
        <f>IFERROR(Tabelle2[[#This Row],[€]]/Tabelle2[[#This Row],[Backer]],"")</f>
        <v/>
      </c>
      <c r="N20" s="227"/>
      <c r="O20" s="227"/>
      <c r="P20" s="227"/>
      <c r="Q20" s="227"/>
      <c r="R20" s="227"/>
      <c r="S20" s="227"/>
      <c r="T20" s="226"/>
      <c r="U20" s="226"/>
      <c r="V20" s="226"/>
      <c r="W20" s="226"/>
      <c r="X20" s="226"/>
      <c r="Y20" s="226"/>
      <c r="Z20" s="226"/>
      <c r="AA20" s="226"/>
      <c r="AB20" s="226"/>
      <c r="AC20" s="226"/>
      <c r="AD20" s="226"/>
      <c r="AE20" s="226"/>
      <c r="AF20" s="226"/>
      <c r="AG20" s="226"/>
      <c r="AH20" s="226"/>
      <c r="AI20" s="226"/>
      <c r="AJ20" s="226"/>
      <c r="AK20" s="226"/>
      <c r="AL20" s="226"/>
    </row>
    <row r="21" spans="1:38" s="224" customFormat="1" ht="18" hidden="1" customHeight="1" outlineLevel="1" x14ac:dyDescent="0.3">
      <c r="A21" s="221"/>
      <c r="B21" s="107">
        <v>13</v>
      </c>
      <c r="C21" s="222" t="s">
        <v>191</v>
      </c>
      <c r="D21" s="257"/>
      <c r="E21" s="257"/>
      <c r="F21" s="188">
        <f t="shared" si="0"/>
        <v>75000</v>
      </c>
      <c r="G21" s="38"/>
      <c r="H21" s="223"/>
      <c r="I21" s="108" t="s">
        <v>30</v>
      </c>
      <c r="J21" s="309">
        <v>18</v>
      </c>
      <c r="K21" s="64" t="e">
        <f>VLOOKUP(J21,#REF!,11,FALSE)</f>
        <v>#REF!</v>
      </c>
      <c r="L21" s="64" t="e">
        <f>VLOOKUP(J21,#REF!,10,FALSE)</f>
        <v>#REF!</v>
      </c>
      <c r="M21" s="308" t="str">
        <f>IFERROR(Tabelle2[[#This Row],[€]]/Tabelle2[[#This Row],[Backer]],"")</f>
        <v/>
      </c>
      <c r="N21" s="223"/>
      <c r="O21" s="223"/>
      <c r="P21" s="223"/>
      <c r="Q21" s="223"/>
      <c r="R21" s="223"/>
      <c r="S21" s="223"/>
      <c r="T21" s="221"/>
      <c r="U21" s="221"/>
      <c r="V21" s="221"/>
      <c r="W21" s="221"/>
      <c r="X21" s="221"/>
      <c r="Y21" s="221"/>
      <c r="Z21" s="221"/>
      <c r="AA21" s="221"/>
      <c r="AB21" s="221"/>
      <c r="AC21" s="221"/>
      <c r="AD21" s="221"/>
      <c r="AE21" s="221"/>
      <c r="AF21" s="221"/>
      <c r="AG21" s="221"/>
      <c r="AH21" s="221"/>
      <c r="AI21" s="221"/>
      <c r="AJ21" s="221"/>
      <c r="AK21" s="221"/>
      <c r="AL21" s="221"/>
    </row>
    <row r="22" spans="1:38" s="224" customFormat="1" ht="18" hidden="1" customHeight="1" outlineLevel="1" x14ac:dyDescent="0.3">
      <c r="A22" s="221"/>
      <c r="B22" s="107">
        <v>14</v>
      </c>
      <c r="C22" s="222" t="s">
        <v>191</v>
      </c>
      <c r="D22" s="257"/>
      <c r="E22" s="257"/>
      <c r="F22" s="188">
        <f t="shared" si="0"/>
        <v>80000</v>
      </c>
      <c r="G22" s="38"/>
      <c r="H22" s="223"/>
      <c r="I22" s="108" t="s">
        <v>90</v>
      </c>
      <c r="J22" s="309">
        <v>9</v>
      </c>
      <c r="K22" s="64" t="e">
        <f>VLOOKUP(J22,#REF!,11,FALSE)</f>
        <v>#REF!</v>
      </c>
      <c r="L22" s="64" t="e">
        <f>VLOOKUP(J22,#REF!,10,FALSE)</f>
        <v>#REF!</v>
      </c>
      <c r="M22" s="308" t="str">
        <f>IFERROR(Tabelle2[[#This Row],[€]]/Tabelle2[[#This Row],[Backer]],"")</f>
        <v/>
      </c>
      <c r="N22" s="223"/>
      <c r="O22" s="223"/>
      <c r="P22" s="223"/>
      <c r="Q22" s="223"/>
      <c r="R22" s="223"/>
      <c r="S22" s="223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  <c r="AH22" s="221"/>
      <c r="AI22" s="221"/>
      <c r="AJ22" s="221"/>
      <c r="AK22" s="221"/>
      <c r="AL22" s="221"/>
    </row>
    <row r="23" spans="1:38" s="224" customFormat="1" ht="18" hidden="1" customHeight="1" outlineLevel="1" x14ac:dyDescent="0.3">
      <c r="A23" s="221"/>
      <c r="B23" s="107">
        <v>15</v>
      </c>
      <c r="C23" s="222" t="s">
        <v>191</v>
      </c>
      <c r="D23" s="257"/>
      <c r="E23" s="257"/>
      <c r="F23" s="188">
        <f t="shared" si="0"/>
        <v>85000</v>
      </c>
      <c r="G23" s="38"/>
      <c r="H23" s="223"/>
      <c r="I23" s="108" t="s">
        <v>31</v>
      </c>
      <c r="J23" s="309">
        <v>14</v>
      </c>
      <c r="K23" s="64" t="e">
        <f>VLOOKUP(J23,#REF!,11,FALSE)</f>
        <v>#REF!</v>
      </c>
      <c r="L23" s="64" t="e">
        <f>VLOOKUP(J23,#REF!,10,FALSE)</f>
        <v>#REF!</v>
      </c>
      <c r="M23" s="308" t="str">
        <f>IFERROR(Tabelle2[[#This Row],[€]]/Tabelle2[[#This Row],[Backer]],"")</f>
        <v/>
      </c>
      <c r="N23" s="223"/>
      <c r="O23" s="223"/>
      <c r="P23" s="223"/>
      <c r="Q23" s="223"/>
      <c r="R23" s="223"/>
      <c r="S23" s="223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</row>
    <row r="24" spans="1:38" s="224" customFormat="1" ht="18" hidden="1" customHeight="1" outlineLevel="1" x14ac:dyDescent="0.3">
      <c r="A24" s="221"/>
      <c r="B24" s="107">
        <v>16</v>
      </c>
      <c r="C24" s="222" t="s">
        <v>191</v>
      </c>
      <c r="D24" s="257"/>
      <c r="E24" s="257"/>
      <c r="F24" s="188">
        <f t="shared" si="0"/>
        <v>90000</v>
      </c>
      <c r="G24" s="38"/>
      <c r="H24" s="223"/>
      <c r="I24" s="108" t="s">
        <v>91</v>
      </c>
      <c r="J24" s="309">
        <v>6</v>
      </c>
      <c r="K24" s="64" t="e">
        <f>VLOOKUP(J24,#REF!,11,FALSE)</f>
        <v>#REF!</v>
      </c>
      <c r="L24" s="64" t="e">
        <f>VLOOKUP(J24,#REF!,10,FALSE)</f>
        <v>#REF!</v>
      </c>
      <c r="M24" s="308" t="str">
        <f>IFERROR(Tabelle2[[#This Row],[€]]/Tabelle2[[#This Row],[Backer]],"")</f>
        <v/>
      </c>
      <c r="N24" s="223"/>
      <c r="O24" s="223"/>
      <c r="P24" s="223"/>
      <c r="Q24" s="223"/>
      <c r="R24" s="223"/>
      <c r="S24" s="223"/>
      <c r="T24" s="221"/>
      <c r="U24" s="221"/>
      <c r="V24" s="221"/>
      <c r="W24" s="221"/>
      <c r="X24" s="221"/>
      <c r="Y24" s="221"/>
      <c r="Z24" s="221"/>
      <c r="AA24" s="221"/>
      <c r="AB24" s="221"/>
      <c r="AC24" s="221"/>
      <c r="AD24" s="221"/>
      <c r="AE24" s="221"/>
      <c r="AF24" s="221"/>
      <c r="AG24" s="221"/>
      <c r="AH24" s="221"/>
      <c r="AI24" s="221"/>
      <c r="AJ24" s="221"/>
      <c r="AK24" s="221"/>
      <c r="AL24" s="221"/>
    </row>
    <row r="25" spans="1:38" s="224" customFormat="1" ht="18" hidden="1" customHeight="1" outlineLevel="1" x14ac:dyDescent="0.3">
      <c r="A25" s="221"/>
      <c r="B25" s="107">
        <v>17</v>
      </c>
      <c r="C25" s="222" t="s">
        <v>191</v>
      </c>
      <c r="D25" s="257"/>
      <c r="E25" s="257"/>
      <c r="F25" s="188">
        <f t="shared" si="0"/>
        <v>95000</v>
      </c>
      <c r="G25" s="38"/>
      <c r="H25" s="223"/>
      <c r="I25" s="108" t="s">
        <v>92</v>
      </c>
      <c r="J25" s="309">
        <v>12</v>
      </c>
      <c r="K25" s="64" t="e">
        <f>VLOOKUP(J25,#REF!,11,FALSE)</f>
        <v>#REF!</v>
      </c>
      <c r="L25" s="64" t="e">
        <f>VLOOKUP(J25,#REF!,10,FALSE)</f>
        <v>#REF!</v>
      </c>
      <c r="M25" s="308" t="str">
        <f>IFERROR(Tabelle2[[#This Row],[€]]/Tabelle2[[#This Row],[Backer]],"")</f>
        <v/>
      </c>
      <c r="N25" s="223"/>
      <c r="O25" s="223"/>
      <c r="P25" s="223"/>
      <c r="Q25" s="223"/>
      <c r="R25" s="223"/>
      <c r="S25" s="223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  <c r="AG25" s="221"/>
      <c r="AH25" s="221"/>
      <c r="AI25" s="221"/>
      <c r="AJ25" s="221"/>
      <c r="AK25" s="221"/>
      <c r="AL25" s="221"/>
    </row>
    <row r="26" spans="1:38" s="224" customFormat="1" ht="18" hidden="1" customHeight="1" outlineLevel="1" x14ac:dyDescent="0.3">
      <c r="A26" s="221"/>
      <c r="B26" s="107">
        <v>18</v>
      </c>
      <c r="C26" s="222" t="s">
        <v>191</v>
      </c>
      <c r="D26" s="257"/>
      <c r="E26" s="257"/>
      <c r="F26" s="188">
        <f t="shared" si="0"/>
        <v>100000</v>
      </c>
      <c r="G26" s="38"/>
      <c r="H26" s="223"/>
      <c r="I26" s="108" t="s">
        <v>93</v>
      </c>
      <c r="J26" s="309">
        <v>10</v>
      </c>
      <c r="K26" s="64" t="e">
        <f>VLOOKUP(J26,#REF!,11,FALSE)</f>
        <v>#REF!</v>
      </c>
      <c r="L26" s="64" t="e">
        <f>VLOOKUP(J26,#REF!,10,FALSE)</f>
        <v>#REF!</v>
      </c>
      <c r="M26" s="308" t="str">
        <f>IFERROR(Tabelle2[[#This Row],[€]]/Tabelle2[[#This Row],[Backer]],"")</f>
        <v/>
      </c>
      <c r="N26" s="223"/>
      <c r="O26" s="223"/>
      <c r="P26" s="223"/>
      <c r="Q26" s="223"/>
      <c r="R26" s="223"/>
      <c r="S26" s="223"/>
      <c r="T26" s="221"/>
      <c r="U26" s="221"/>
      <c r="V26" s="221"/>
      <c r="W26" s="221"/>
      <c r="X26" s="221"/>
      <c r="Y26" s="221"/>
      <c r="Z26" s="221"/>
      <c r="AA26" s="221"/>
      <c r="AB26" s="221"/>
      <c r="AC26" s="221"/>
      <c r="AD26" s="221"/>
      <c r="AE26" s="221"/>
      <c r="AF26" s="221"/>
      <c r="AG26" s="221"/>
      <c r="AH26" s="221"/>
      <c r="AI26" s="221"/>
      <c r="AJ26" s="221"/>
      <c r="AK26" s="221"/>
      <c r="AL26" s="221"/>
    </row>
    <row r="27" spans="1:38" s="224" customFormat="1" ht="18" hidden="1" customHeight="1" outlineLevel="1" x14ac:dyDescent="0.3">
      <c r="A27" s="221"/>
      <c r="B27" s="107">
        <v>19</v>
      </c>
      <c r="C27" s="222" t="s">
        <v>191</v>
      </c>
      <c r="D27" s="257"/>
      <c r="E27" s="257"/>
      <c r="F27" s="188">
        <f t="shared" si="0"/>
        <v>105000</v>
      </c>
      <c r="G27" s="38"/>
      <c r="H27" s="223"/>
      <c r="I27" s="108" t="s">
        <v>96</v>
      </c>
      <c r="J27" s="309">
        <v>5</v>
      </c>
      <c r="K27" s="64" t="e">
        <f>VLOOKUP(J27,#REF!,11,FALSE)</f>
        <v>#REF!</v>
      </c>
      <c r="L27" s="64" t="e">
        <f>VLOOKUP(J27,#REF!,10,FALSE)</f>
        <v>#REF!</v>
      </c>
      <c r="M27" s="308" t="str">
        <f>IFERROR(Tabelle2[[#This Row],[€]]/Tabelle2[[#This Row],[Backer]],"")</f>
        <v/>
      </c>
      <c r="N27" s="223"/>
      <c r="O27" s="223"/>
      <c r="P27" s="223"/>
      <c r="Q27" s="223"/>
      <c r="R27" s="223"/>
      <c r="S27" s="223"/>
      <c r="T27" s="221"/>
      <c r="U27" s="221"/>
      <c r="V27" s="221"/>
      <c r="W27" s="221"/>
      <c r="X27" s="221"/>
      <c r="Y27" s="221"/>
      <c r="Z27" s="221"/>
      <c r="AA27" s="221"/>
      <c r="AB27" s="221"/>
      <c r="AC27" s="221"/>
      <c r="AD27" s="221"/>
      <c r="AE27" s="221"/>
      <c r="AF27" s="221"/>
      <c r="AG27" s="221"/>
      <c r="AH27" s="221"/>
      <c r="AI27" s="221"/>
      <c r="AJ27" s="221"/>
      <c r="AK27" s="221"/>
      <c r="AL27" s="221"/>
    </row>
    <row r="28" spans="1:38" s="224" customFormat="1" ht="18" hidden="1" customHeight="1" outlineLevel="1" x14ac:dyDescent="0.3">
      <c r="A28" s="221"/>
      <c r="B28" s="107">
        <v>20</v>
      </c>
      <c r="C28" s="222" t="s">
        <v>191</v>
      </c>
      <c r="D28" s="257"/>
      <c r="E28" s="257"/>
      <c r="F28" s="188">
        <f t="shared" si="0"/>
        <v>110000</v>
      </c>
      <c r="G28" s="38"/>
      <c r="H28" s="223"/>
      <c r="I28" s="108" t="s">
        <v>94</v>
      </c>
      <c r="J28" s="309">
        <v>11</v>
      </c>
      <c r="K28" s="64" t="e">
        <f>VLOOKUP(J28,#REF!,11,FALSE)</f>
        <v>#REF!</v>
      </c>
      <c r="L28" s="64" t="e">
        <f>VLOOKUP(J28,#REF!,10,FALSE)</f>
        <v>#REF!</v>
      </c>
      <c r="M28" s="308" t="str">
        <f>IFERROR(Tabelle2[[#This Row],[€]]/Tabelle2[[#This Row],[Backer]],"")</f>
        <v/>
      </c>
      <c r="N28" s="223"/>
      <c r="O28" s="223"/>
      <c r="P28" s="223"/>
      <c r="Q28" s="223"/>
      <c r="R28" s="223"/>
      <c r="S28" s="223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  <c r="AJ28" s="221"/>
      <c r="AK28" s="221"/>
      <c r="AL28" s="221"/>
    </row>
    <row r="29" spans="1:38" s="224" customFormat="1" ht="18" hidden="1" customHeight="1" outlineLevel="1" x14ac:dyDescent="0.3">
      <c r="A29" s="221"/>
      <c r="B29" s="107">
        <v>21</v>
      </c>
      <c r="C29" s="222" t="s">
        <v>191</v>
      </c>
      <c r="D29" s="257"/>
      <c r="E29" s="257"/>
      <c r="F29" s="188">
        <f t="shared" si="0"/>
        <v>115000</v>
      </c>
      <c r="G29" s="38"/>
      <c r="H29" s="223"/>
      <c r="I29" s="108" t="s">
        <v>95</v>
      </c>
      <c r="J29" s="309">
        <v>13</v>
      </c>
      <c r="K29" s="64" t="e">
        <f>VLOOKUP(J29,#REF!,11,FALSE)</f>
        <v>#REF!</v>
      </c>
      <c r="L29" s="64" t="e">
        <f>VLOOKUP(J29,#REF!,10,FALSE)</f>
        <v>#REF!</v>
      </c>
      <c r="M29" s="308" t="str">
        <f>IFERROR(Tabelle2[[#This Row],[€]]/Tabelle2[[#This Row],[Backer]],"")</f>
        <v/>
      </c>
      <c r="N29" s="223"/>
      <c r="O29" s="223"/>
      <c r="P29" s="223"/>
      <c r="Q29" s="223"/>
      <c r="R29" s="223"/>
      <c r="S29" s="223"/>
      <c r="T29" s="221"/>
      <c r="U29" s="221"/>
      <c r="V29" s="221"/>
      <c r="W29" s="221"/>
      <c r="X29" s="221"/>
      <c r="Y29" s="221"/>
      <c r="Z29" s="221"/>
      <c r="AA29" s="221"/>
      <c r="AB29" s="221"/>
      <c r="AC29" s="221"/>
      <c r="AD29" s="221"/>
      <c r="AE29" s="221"/>
      <c r="AF29" s="221"/>
      <c r="AG29" s="221"/>
      <c r="AH29" s="221"/>
      <c r="AI29" s="221"/>
      <c r="AJ29" s="221"/>
      <c r="AK29" s="221"/>
      <c r="AL29" s="221"/>
    </row>
    <row r="30" spans="1:38" s="224" customFormat="1" ht="18" hidden="1" customHeight="1" outlineLevel="1" x14ac:dyDescent="0.3">
      <c r="A30" s="221"/>
      <c r="B30" s="107">
        <v>22</v>
      </c>
      <c r="C30" s="222" t="s">
        <v>191</v>
      </c>
      <c r="D30" s="257"/>
      <c r="E30" s="257"/>
      <c r="F30" s="188">
        <f t="shared" si="0"/>
        <v>120000</v>
      </c>
      <c r="G30" s="38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1"/>
      <c r="U30" s="221"/>
      <c r="V30" s="221"/>
      <c r="W30" s="221"/>
      <c r="X30" s="221"/>
      <c r="Y30" s="221"/>
      <c r="Z30" s="221"/>
      <c r="AA30" s="221"/>
      <c r="AB30" s="221"/>
      <c r="AC30" s="221"/>
      <c r="AD30" s="221"/>
      <c r="AE30" s="221"/>
      <c r="AF30" s="221"/>
      <c r="AG30" s="221"/>
      <c r="AH30" s="221"/>
      <c r="AI30" s="221"/>
      <c r="AJ30" s="221"/>
      <c r="AK30" s="221"/>
      <c r="AL30" s="221"/>
    </row>
    <row r="31" spans="1:38" ht="18" collapsed="1" x14ac:dyDescent="0.25">
      <c r="B31" s="141"/>
      <c r="C31" s="256" t="s">
        <v>268</v>
      </c>
      <c r="D31" s="258" t="s">
        <v>265</v>
      </c>
      <c r="E31" s="258" t="s">
        <v>264</v>
      </c>
      <c r="F31" s="73" t="s">
        <v>192</v>
      </c>
      <c r="G31" s="201" t="s">
        <v>163</v>
      </c>
      <c r="H31" s="201" t="s">
        <v>159</v>
      </c>
      <c r="I31" s="201" t="s">
        <v>159</v>
      </c>
      <c r="J31" s="140" t="s">
        <v>4</v>
      </c>
      <c r="K31" s="201" t="s">
        <v>159</v>
      </c>
      <c r="L31" s="201"/>
      <c r="M31" s="201"/>
      <c r="N31" s="140"/>
      <c r="O31" s="140" t="s">
        <v>4</v>
      </c>
      <c r="P31" s="140" t="s">
        <v>4</v>
      </c>
      <c r="Q31" s="74">
        <v>50</v>
      </c>
      <c r="R31" s="77">
        <v>49.95</v>
      </c>
      <c r="S31" s="191"/>
    </row>
    <row r="32" spans="1:38" ht="18" x14ac:dyDescent="0.25">
      <c r="B32" s="141"/>
      <c r="C32" s="256" t="s">
        <v>267</v>
      </c>
      <c r="D32" s="258" t="s">
        <v>265</v>
      </c>
      <c r="E32" s="258" t="s">
        <v>266</v>
      </c>
      <c r="F32" s="73" t="s">
        <v>192</v>
      </c>
      <c r="G32" s="201" t="s">
        <v>163</v>
      </c>
      <c r="H32" s="201" t="s">
        <v>159</v>
      </c>
      <c r="I32" s="201" t="s">
        <v>159</v>
      </c>
      <c r="J32" s="201" t="s">
        <v>159</v>
      </c>
      <c r="K32" s="201" t="s">
        <v>159</v>
      </c>
      <c r="L32" s="201"/>
      <c r="M32" s="201"/>
      <c r="N32" s="140"/>
      <c r="O32" s="140" t="s">
        <v>4</v>
      </c>
      <c r="P32" s="140" t="s">
        <v>4</v>
      </c>
      <c r="Q32" s="74">
        <v>40</v>
      </c>
      <c r="R32" s="77">
        <v>39.950000000000003</v>
      </c>
      <c r="S32" s="191"/>
    </row>
    <row r="33" spans="1:38" s="82" customFormat="1" ht="18" x14ac:dyDescent="0.3">
      <c r="A33" s="148"/>
      <c r="B33" s="142"/>
      <c r="C33" s="267" t="s">
        <v>355</v>
      </c>
      <c r="D33" s="438" t="s">
        <v>200</v>
      </c>
      <c r="E33" s="439" t="s">
        <v>279</v>
      </c>
      <c r="F33" s="440" t="s">
        <v>280</v>
      </c>
      <c r="G33" s="441" t="s">
        <v>172</v>
      </c>
      <c r="H33" s="441" t="s">
        <v>172</v>
      </c>
      <c r="I33" s="441" t="s">
        <v>172</v>
      </c>
      <c r="J33" s="441" t="s">
        <v>172</v>
      </c>
      <c r="K33" s="441" t="s">
        <v>172</v>
      </c>
      <c r="L33" s="140"/>
      <c r="M33" s="441"/>
      <c r="N33" s="140"/>
      <c r="O33" s="441" t="s">
        <v>172</v>
      </c>
      <c r="P33" s="441" t="s">
        <v>172</v>
      </c>
      <c r="Q33" s="81" t="s">
        <v>5</v>
      </c>
      <c r="R33" s="442" t="s">
        <v>5</v>
      </c>
      <c r="S33" s="443" t="s">
        <v>281</v>
      </c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</row>
    <row r="34" spans="1:38" s="82" customFormat="1" ht="18" x14ac:dyDescent="0.3">
      <c r="A34" s="148"/>
      <c r="B34" s="142"/>
      <c r="C34" s="267" t="s">
        <v>356</v>
      </c>
      <c r="D34" s="438" t="s">
        <v>200</v>
      </c>
      <c r="E34" s="439" t="s">
        <v>279</v>
      </c>
      <c r="F34" s="440" t="s">
        <v>280</v>
      </c>
      <c r="G34" s="441" t="s">
        <v>172</v>
      </c>
      <c r="H34" s="441" t="s">
        <v>172</v>
      </c>
      <c r="I34" s="441" t="s">
        <v>172</v>
      </c>
      <c r="J34" s="441" t="s">
        <v>172</v>
      </c>
      <c r="K34" s="441" t="s">
        <v>172</v>
      </c>
      <c r="L34" s="140"/>
      <c r="M34" s="441"/>
      <c r="N34" s="140"/>
      <c r="O34" s="441" t="s">
        <v>172</v>
      </c>
      <c r="P34" s="441" t="s">
        <v>172</v>
      </c>
      <c r="Q34" s="81" t="s">
        <v>5</v>
      </c>
      <c r="R34" s="442" t="s">
        <v>5</v>
      </c>
      <c r="S34" s="443" t="s">
        <v>281</v>
      </c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</row>
    <row r="35" spans="1:38" s="76" customFormat="1" ht="18" x14ac:dyDescent="0.25">
      <c r="A35" s="147"/>
      <c r="B35" s="141"/>
      <c r="C35" s="72" t="s">
        <v>269</v>
      </c>
      <c r="D35" s="264" t="s">
        <v>270</v>
      </c>
      <c r="E35" s="258" t="s">
        <v>271</v>
      </c>
      <c r="F35" s="73" t="s">
        <v>192</v>
      </c>
      <c r="G35" s="201" t="s">
        <v>163</v>
      </c>
      <c r="H35" s="201" t="s">
        <v>159</v>
      </c>
      <c r="I35" s="201" t="s">
        <v>159</v>
      </c>
      <c r="J35" s="201" t="s">
        <v>159</v>
      </c>
      <c r="K35" s="201" t="s">
        <v>159</v>
      </c>
      <c r="L35" s="201"/>
      <c r="M35" s="201"/>
      <c r="N35" s="140"/>
      <c r="O35" s="140" t="s">
        <v>4</v>
      </c>
      <c r="P35" s="140" t="s">
        <v>4</v>
      </c>
      <c r="Q35" s="74">
        <v>40</v>
      </c>
      <c r="R35" s="77">
        <v>39.950000000000003</v>
      </c>
      <c r="S35" s="191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</row>
    <row r="36" spans="1:38" ht="18" x14ac:dyDescent="0.25">
      <c r="B36" s="141"/>
      <c r="C36" s="72" t="s">
        <v>272</v>
      </c>
      <c r="D36" s="258" t="s">
        <v>198</v>
      </c>
      <c r="E36" s="258" t="s">
        <v>273</v>
      </c>
      <c r="F36" s="73" t="s">
        <v>196</v>
      </c>
      <c r="G36" s="201" t="s">
        <v>163</v>
      </c>
      <c r="H36" s="140" t="s">
        <v>4</v>
      </c>
      <c r="I36" s="201" t="s">
        <v>159</v>
      </c>
      <c r="J36" s="201" t="s">
        <v>159</v>
      </c>
      <c r="K36" s="201" t="s">
        <v>159</v>
      </c>
      <c r="L36" s="140"/>
      <c r="M36" s="201"/>
      <c r="N36" s="140"/>
      <c r="O36" s="201" t="s">
        <v>159</v>
      </c>
      <c r="P36" s="140" t="s">
        <v>4</v>
      </c>
      <c r="Q36" s="74">
        <v>20</v>
      </c>
      <c r="R36" s="77">
        <v>19.95</v>
      </c>
      <c r="S36" s="78"/>
    </row>
    <row r="37" spans="1:38" s="68" customFormat="1" ht="18" x14ac:dyDescent="0.25">
      <c r="A37" s="145"/>
      <c r="B37" s="141"/>
      <c r="C37" s="72" t="s">
        <v>274</v>
      </c>
      <c r="D37" s="258" t="s">
        <v>198</v>
      </c>
      <c r="E37" s="258" t="s">
        <v>195</v>
      </c>
      <c r="F37" s="73" t="s">
        <v>275</v>
      </c>
      <c r="G37" s="201" t="s">
        <v>163</v>
      </c>
      <c r="H37" s="201" t="s">
        <v>159</v>
      </c>
      <c r="I37" s="201" t="s">
        <v>159</v>
      </c>
      <c r="J37" s="201" t="s">
        <v>159</v>
      </c>
      <c r="K37" s="201" t="s">
        <v>159</v>
      </c>
      <c r="L37" s="201"/>
      <c r="M37" s="201"/>
      <c r="N37" s="201"/>
      <c r="O37" s="201" t="s">
        <v>159</v>
      </c>
      <c r="P37" s="140" t="s">
        <v>4</v>
      </c>
      <c r="Q37" s="74">
        <v>19.95</v>
      </c>
      <c r="R37" s="77">
        <v>19.95</v>
      </c>
      <c r="S37" s="78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</row>
    <row r="38" spans="1:38" s="68" customFormat="1" ht="18" x14ac:dyDescent="0.25">
      <c r="A38" s="145"/>
      <c r="B38" s="141"/>
      <c r="C38" s="72" t="s">
        <v>276</v>
      </c>
      <c r="D38" s="258" t="s">
        <v>198</v>
      </c>
      <c r="E38" s="258" t="s">
        <v>277</v>
      </c>
      <c r="F38" s="73" t="s">
        <v>278</v>
      </c>
      <c r="G38" s="201" t="s">
        <v>163</v>
      </c>
      <c r="H38" s="201" t="s">
        <v>159</v>
      </c>
      <c r="I38" s="201" t="s">
        <v>159</v>
      </c>
      <c r="J38" s="201" t="s">
        <v>159</v>
      </c>
      <c r="K38" s="201" t="s">
        <v>159</v>
      </c>
      <c r="L38" s="201"/>
      <c r="M38" s="201"/>
      <c r="N38" s="201"/>
      <c r="O38" s="140" t="s">
        <v>4</v>
      </c>
      <c r="P38" s="140" t="s">
        <v>4</v>
      </c>
      <c r="Q38" s="74">
        <v>29.95</v>
      </c>
      <c r="R38" s="77">
        <v>29.95</v>
      </c>
      <c r="S38" s="78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</row>
    <row r="39" spans="1:38" s="76" customFormat="1" ht="18" x14ac:dyDescent="0.25">
      <c r="A39" s="147"/>
      <c r="B39" s="141"/>
      <c r="C39" s="225" t="s">
        <v>147</v>
      </c>
      <c r="D39" s="264" t="s">
        <v>199</v>
      </c>
      <c r="E39" s="264" t="s">
        <v>194</v>
      </c>
      <c r="F39" s="73" t="s">
        <v>144</v>
      </c>
      <c r="G39" s="201" t="s">
        <v>163</v>
      </c>
      <c r="H39" s="201" t="s">
        <v>163</v>
      </c>
      <c r="I39" s="201" t="s">
        <v>163</v>
      </c>
      <c r="J39" s="201" t="s">
        <v>163</v>
      </c>
      <c r="K39" s="201" t="s">
        <v>163</v>
      </c>
      <c r="L39" s="140"/>
      <c r="M39" s="201"/>
      <c r="N39" s="140"/>
      <c r="O39" s="140" t="s">
        <v>4</v>
      </c>
      <c r="P39" s="140" t="s">
        <v>4</v>
      </c>
      <c r="Q39" s="81" t="s">
        <v>5</v>
      </c>
      <c r="R39" s="75">
        <v>7.95</v>
      </c>
      <c r="S39" s="191" t="s">
        <v>162</v>
      </c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</row>
    <row r="40" spans="1:38" s="82" customFormat="1" ht="18" x14ac:dyDescent="0.3">
      <c r="A40" s="148"/>
      <c r="B40" s="142"/>
      <c r="C40" s="267" t="s">
        <v>352</v>
      </c>
      <c r="D40" s="438" t="s">
        <v>200</v>
      </c>
      <c r="E40" s="439" t="s">
        <v>279</v>
      </c>
      <c r="F40" s="440" t="s">
        <v>185</v>
      </c>
      <c r="G40" s="441" t="s">
        <v>172</v>
      </c>
      <c r="H40" s="441" t="s">
        <v>172</v>
      </c>
      <c r="I40" s="441" t="s">
        <v>172</v>
      </c>
      <c r="J40" s="441" t="s">
        <v>172</v>
      </c>
      <c r="K40" s="441" t="s">
        <v>172</v>
      </c>
      <c r="L40" s="140"/>
      <c r="M40" s="441"/>
      <c r="N40" s="140"/>
      <c r="O40" s="441" t="s">
        <v>172</v>
      </c>
      <c r="P40" s="441" t="s">
        <v>172</v>
      </c>
      <c r="Q40" s="81" t="s">
        <v>5</v>
      </c>
      <c r="R40" s="442" t="s">
        <v>5</v>
      </c>
      <c r="S40" s="443" t="s">
        <v>207</v>
      </c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</row>
    <row r="41" spans="1:38" s="82" customFormat="1" ht="18" customHeight="1" x14ac:dyDescent="0.3">
      <c r="A41" s="148"/>
      <c r="B41" s="142"/>
      <c r="C41" s="267" t="s">
        <v>357</v>
      </c>
      <c r="D41" s="438" t="s">
        <v>200</v>
      </c>
      <c r="E41" s="439" t="s">
        <v>279</v>
      </c>
      <c r="F41" s="440" t="s">
        <v>185</v>
      </c>
      <c r="G41" s="441" t="s">
        <v>172</v>
      </c>
      <c r="H41" s="441" t="s">
        <v>172</v>
      </c>
      <c r="I41" s="441" t="s">
        <v>172</v>
      </c>
      <c r="J41" s="441" t="s">
        <v>172</v>
      </c>
      <c r="K41" s="441" t="s">
        <v>172</v>
      </c>
      <c r="L41" s="140"/>
      <c r="M41" s="441"/>
      <c r="N41" s="140"/>
      <c r="O41" s="441" t="s">
        <v>172</v>
      </c>
      <c r="P41" s="441" t="s">
        <v>172</v>
      </c>
      <c r="Q41" s="81" t="s">
        <v>5</v>
      </c>
      <c r="R41" s="442" t="s">
        <v>5</v>
      </c>
      <c r="S41" s="443" t="s">
        <v>207</v>
      </c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</row>
    <row r="42" spans="1:38" s="82" customFormat="1" ht="18" customHeight="1" x14ac:dyDescent="0.3">
      <c r="A42" s="148"/>
      <c r="B42" s="142"/>
      <c r="C42" s="267" t="s">
        <v>358</v>
      </c>
      <c r="D42" s="438" t="s">
        <v>200</v>
      </c>
      <c r="E42" s="439" t="s">
        <v>279</v>
      </c>
      <c r="F42" s="440" t="s">
        <v>185</v>
      </c>
      <c r="G42" s="441" t="s">
        <v>172</v>
      </c>
      <c r="H42" s="441" t="s">
        <v>172</v>
      </c>
      <c r="I42" s="441" t="s">
        <v>172</v>
      </c>
      <c r="J42" s="441" t="s">
        <v>172</v>
      </c>
      <c r="K42" s="441" t="s">
        <v>172</v>
      </c>
      <c r="L42" s="140"/>
      <c r="M42" s="441"/>
      <c r="N42" s="140"/>
      <c r="O42" s="441" t="s">
        <v>172</v>
      </c>
      <c r="P42" s="441" t="s">
        <v>172</v>
      </c>
      <c r="Q42" s="81" t="s">
        <v>5</v>
      </c>
      <c r="R42" s="442" t="s">
        <v>5</v>
      </c>
      <c r="S42" s="443" t="s">
        <v>207</v>
      </c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</row>
    <row r="43" spans="1:38" s="82" customFormat="1" ht="18" hidden="1" customHeight="1" outlineLevel="1" x14ac:dyDescent="0.3">
      <c r="A43" s="148"/>
      <c r="B43" s="142"/>
      <c r="C43" s="267"/>
      <c r="D43" s="299"/>
      <c r="E43" s="300"/>
      <c r="F43" s="301"/>
      <c r="G43" s="302" t="s">
        <v>172</v>
      </c>
      <c r="H43" s="302" t="s">
        <v>172</v>
      </c>
      <c r="I43" s="302" t="s">
        <v>172</v>
      </c>
      <c r="J43" s="302" t="s">
        <v>172</v>
      </c>
      <c r="K43" s="302" t="s">
        <v>172</v>
      </c>
      <c r="L43" s="305"/>
      <c r="M43" s="302"/>
      <c r="N43" s="305"/>
      <c r="O43" s="302" t="s">
        <v>172</v>
      </c>
      <c r="P43" s="302" t="s">
        <v>172</v>
      </c>
      <c r="Q43" s="303" t="s">
        <v>5</v>
      </c>
      <c r="R43" s="304" t="s">
        <v>5</v>
      </c>
      <c r="S43" s="310" t="s">
        <v>207</v>
      </c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</row>
    <row r="44" spans="1:38" s="68" customFormat="1" ht="18" hidden="1" customHeight="1" outlineLevel="1" x14ac:dyDescent="0.25">
      <c r="B44" s="269"/>
      <c r="C44" s="268"/>
      <c r="D44" s="299"/>
      <c r="E44" s="300"/>
      <c r="F44" s="301"/>
      <c r="G44" s="302" t="s">
        <v>172</v>
      </c>
      <c r="H44" s="302" t="s">
        <v>172</v>
      </c>
      <c r="I44" s="302" t="s">
        <v>172</v>
      </c>
      <c r="J44" s="302" t="s">
        <v>172</v>
      </c>
      <c r="K44" s="302" t="s">
        <v>172</v>
      </c>
      <c r="L44" s="305"/>
      <c r="M44" s="302"/>
      <c r="N44" s="305"/>
      <c r="O44" s="302" t="s">
        <v>172</v>
      </c>
      <c r="P44" s="302" t="s">
        <v>172</v>
      </c>
      <c r="Q44" s="303" t="s">
        <v>5</v>
      </c>
      <c r="R44" s="304" t="s">
        <v>5</v>
      </c>
      <c r="S44" s="310" t="s">
        <v>207</v>
      </c>
    </row>
    <row r="45" spans="1:38" s="68" customFormat="1" ht="18" hidden="1" customHeight="1" outlineLevel="1" x14ac:dyDescent="0.25">
      <c r="B45" s="269"/>
      <c r="C45" s="268"/>
      <c r="D45" s="299"/>
      <c r="E45" s="300"/>
      <c r="F45" s="301"/>
      <c r="G45" s="302" t="s">
        <v>172</v>
      </c>
      <c r="H45" s="302" t="s">
        <v>172</v>
      </c>
      <c r="I45" s="302" t="s">
        <v>172</v>
      </c>
      <c r="J45" s="302" t="s">
        <v>172</v>
      </c>
      <c r="K45" s="302" t="s">
        <v>172</v>
      </c>
      <c r="L45" s="305"/>
      <c r="M45" s="302"/>
      <c r="N45" s="305"/>
      <c r="O45" s="302" t="s">
        <v>172</v>
      </c>
      <c r="P45" s="302" t="s">
        <v>172</v>
      </c>
      <c r="Q45" s="303" t="s">
        <v>5</v>
      </c>
      <c r="R45" s="304" t="s">
        <v>5</v>
      </c>
      <c r="S45" s="310" t="s">
        <v>207</v>
      </c>
    </row>
    <row r="46" spans="1:38" s="68" customFormat="1" ht="18" collapsed="1" x14ac:dyDescent="0.25">
      <c r="A46" s="145"/>
      <c r="B46" s="229"/>
      <c r="C46" s="230" t="s">
        <v>290</v>
      </c>
      <c r="D46" s="265"/>
      <c r="E46" s="265"/>
      <c r="F46" s="231" t="s">
        <v>197</v>
      </c>
      <c r="G46" s="232" t="s">
        <v>163</v>
      </c>
      <c r="H46" s="232" t="s">
        <v>159</v>
      </c>
      <c r="I46" s="140" t="s">
        <v>4</v>
      </c>
      <c r="J46" s="232" t="s">
        <v>159</v>
      </c>
      <c r="K46" s="232" t="s">
        <v>159</v>
      </c>
      <c r="L46" s="232"/>
      <c r="M46" s="232"/>
      <c r="N46" s="232"/>
      <c r="O46" s="232" t="s">
        <v>159</v>
      </c>
      <c r="P46" s="232" t="s">
        <v>159</v>
      </c>
      <c r="Q46" s="233">
        <v>29.95</v>
      </c>
      <c r="R46" s="234">
        <v>29.95</v>
      </c>
      <c r="S46" s="235" t="s">
        <v>284</v>
      </c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</row>
    <row r="47" spans="1:38" s="68" customFormat="1" ht="17.25" x14ac:dyDescent="0.25">
      <c r="A47" s="145"/>
      <c r="B47" s="229"/>
      <c r="C47" s="230" t="s">
        <v>282</v>
      </c>
      <c r="D47" s="265"/>
      <c r="E47" s="265"/>
      <c r="F47" s="231" t="s">
        <v>283</v>
      </c>
      <c r="G47" s="232" t="s">
        <v>163</v>
      </c>
      <c r="H47" s="232" t="s">
        <v>159</v>
      </c>
      <c r="I47" s="232" t="s">
        <v>159</v>
      </c>
      <c r="J47" s="232" t="s">
        <v>159</v>
      </c>
      <c r="K47" s="232" t="s">
        <v>159</v>
      </c>
      <c r="L47" s="232"/>
      <c r="M47" s="232"/>
      <c r="N47" s="232"/>
      <c r="O47" s="232" t="s">
        <v>159</v>
      </c>
      <c r="P47" s="232" t="s">
        <v>159</v>
      </c>
      <c r="Q47" s="233">
        <v>4.95</v>
      </c>
      <c r="R47" s="234">
        <v>4.95</v>
      </c>
      <c r="S47" s="235" t="s">
        <v>284</v>
      </c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</row>
    <row r="48" spans="1:38" s="68" customFormat="1" ht="17.25" x14ac:dyDescent="0.25">
      <c r="A48" s="145"/>
      <c r="B48" s="229"/>
      <c r="C48" s="230" t="s">
        <v>306</v>
      </c>
      <c r="D48" s="265"/>
      <c r="E48" s="265"/>
      <c r="F48" s="231" t="s">
        <v>285</v>
      </c>
      <c r="G48" s="232" t="s">
        <v>163</v>
      </c>
      <c r="H48" s="232" t="s">
        <v>159</v>
      </c>
      <c r="I48" s="232" t="s">
        <v>159</v>
      </c>
      <c r="J48" s="232" t="s">
        <v>159</v>
      </c>
      <c r="K48" s="232" t="s">
        <v>159</v>
      </c>
      <c r="L48" s="232"/>
      <c r="M48" s="232"/>
      <c r="N48" s="232"/>
      <c r="O48" s="232" t="s">
        <v>159</v>
      </c>
      <c r="P48" s="232" t="s">
        <v>159</v>
      </c>
      <c r="Q48" s="233">
        <v>12.95</v>
      </c>
      <c r="R48" s="234">
        <v>12.95</v>
      </c>
      <c r="S48" s="235" t="s">
        <v>284</v>
      </c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</row>
    <row r="49" spans="1:38" s="68" customFormat="1" ht="17.25" x14ac:dyDescent="0.25">
      <c r="A49" s="145"/>
      <c r="B49" s="229"/>
      <c r="C49" s="230" t="s">
        <v>286</v>
      </c>
      <c r="D49" s="259"/>
      <c r="E49" s="265"/>
      <c r="F49" s="231" t="s">
        <v>285</v>
      </c>
      <c r="G49" s="232" t="s">
        <v>163</v>
      </c>
      <c r="H49" s="232" t="s">
        <v>159</v>
      </c>
      <c r="I49" s="232" t="s">
        <v>159</v>
      </c>
      <c r="J49" s="232" t="s">
        <v>159</v>
      </c>
      <c r="K49" s="232" t="s">
        <v>159</v>
      </c>
      <c r="L49" s="232"/>
      <c r="M49" s="232"/>
      <c r="N49" s="232"/>
      <c r="O49" s="232" t="s">
        <v>159</v>
      </c>
      <c r="P49" s="232" t="s">
        <v>159</v>
      </c>
      <c r="Q49" s="233">
        <v>12.95</v>
      </c>
      <c r="R49" s="234">
        <v>12.95</v>
      </c>
      <c r="S49" s="235" t="s">
        <v>314</v>
      </c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</row>
    <row r="50" spans="1:38" s="68" customFormat="1" ht="17.25" x14ac:dyDescent="0.25">
      <c r="A50" s="145"/>
      <c r="B50" s="229"/>
      <c r="C50" s="230" t="s">
        <v>304</v>
      </c>
      <c r="D50" s="265"/>
      <c r="E50" s="265"/>
      <c r="F50" s="231" t="s">
        <v>285</v>
      </c>
      <c r="G50" s="232" t="s">
        <v>163</v>
      </c>
      <c r="H50" s="232" t="s">
        <v>159</v>
      </c>
      <c r="I50" s="232" t="s">
        <v>159</v>
      </c>
      <c r="J50" s="232" t="s">
        <v>159</v>
      </c>
      <c r="K50" s="232" t="s">
        <v>159</v>
      </c>
      <c r="L50" s="232"/>
      <c r="M50" s="232"/>
      <c r="N50" s="232"/>
      <c r="O50" s="232" t="s">
        <v>159</v>
      </c>
      <c r="P50" s="232" t="s">
        <v>159</v>
      </c>
      <c r="Q50" s="233">
        <v>14.95</v>
      </c>
      <c r="R50" s="234">
        <v>14.95</v>
      </c>
      <c r="S50" s="235" t="s">
        <v>284</v>
      </c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</row>
    <row r="51" spans="1:38" s="68" customFormat="1" ht="17.25" x14ac:dyDescent="0.25">
      <c r="A51" s="145"/>
      <c r="B51" s="229"/>
      <c r="C51" s="230" t="s">
        <v>287</v>
      </c>
      <c r="D51" s="259"/>
      <c r="E51" s="265"/>
      <c r="F51" s="231" t="s">
        <v>288</v>
      </c>
      <c r="G51" s="232" t="s">
        <v>163</v>
      </c>
      <c r="H51" s="232" t="s">
        <v>159</v>
      </c>
      <c r="I51" s="232" t="s">
        <v>159</v>
      </c>
      <c r="J51" s="232" t="s">
        <v>159</v>
      </c>
      <c r="K51" s="232" t="s">
        <v>159</v>
      </c>
      <c r="L51" s="232"/>
      <c r="M51" s="232"/>
      <c r="N51" s="232"/>
      <c r="O51" s="232" t="s">
        <v>159</v>
      </c>
      <c r="P51" s="232" t="s">
        <v>159</v>
      </c>
      <c r="Q51" s="233">
        <v>14.95</v>
      </c>
      <c r="R51" s="234">
        <v>14.95</v>
      </c>
      <c r="S51" s="235" t="s">
        <v>284</v>
      </c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</row>
    <row r="52" spans="1:38" s="68" customFormat="1" ht="17.25" x14ac:dyDescent="0.25">
      <c r="A52" s="145"/>
      <c r="B52" s="229"/>
      <c r="C52" s="230" t="s">
        <v>305</v>
      </c>
      <c r="D52" s="259"/>
      <c r="E52" s="259"/>
      <c r="F52" s="231" t="s">
        <v>285</v>
      </c>
      <c r="G52" s="232" t="s">
        <v>163</v>
      </c>
      <c r="H52" s="232" t="s">
        <v>159</v>
      </c>
      <c r="I52" s="232" t="s">
        <v>159</v>
      </c>
      <c r="J52" s="232" t="s">
        <v>159</v>
      </c>
      <c r="K52" s="232" t="s">
        <v>159</v>
      </c>
      <c r="L52" s="232"/>
      <c r="M52" s="232"/>
      <c r="N52" s="232"/>
      <c r="O52" s="232" t="s">
        <v>159</v>
      </c>
      <c r="P52" s="232" t="s">
        <v>159</v>
      </c>
      <c r="Q52" s="233">
        <v>14.95</v>
      </c>
      <c r="R52" s="234">
        <v>14.95</v>
      </c>
      <c r="S52" s="235" t="s">
        <v>284</v>
      </c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</row>
    <row r="53" spans="1:38" s="68" customFormat="1" ht="17.25" x14ac:dyDescent="0.25">
      <c r="A53" s="145"/>
      <c r="B53" s="229"/>
      <c r="C53" s="230" t="s">
        <v>317</v>
      </c>
      <c r="D53" s="259"/>
      <c r="E53" s="259"/>
      <c r="F53" s="231" t="s">
        <v>285</v>
      </c>
      <c r="G53" s="232" t="s">
        <v>163</v>
      </c>
      <c r="H53" s="232" t="s">
        <v>159</v>
      </c>
      <c r="I53" s="232" t="s">
        <v>159</v>
      </c>
      <c r="J53" s="232" t="s">
        <v>159</v>
      </c>
      <c r="K53" s="232" t="s">
        <v>159</v>
      </c>
      <c r="L53" s="232"/>
      <c r="M53" s="232"/>
      <c r="N53" s="232"/>
      <c r="O53" s="232" t="s">
        <v>159</v>
      </c>
      <c r="P53" s="232" t="s">
        <v>159</v>
      </c>
      <c r="Q53" s="233">
        <v>14.95</v>
      </c>
      <c r="R53" s="234">
        <v>14.95</v>
      </c>
      <c r="S53" s="235" t="s">
        <v>284</v>
      </c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45"/>
      <c r="AK53" s="145"/>
      <c r="AL53" s="145"/>
    </row>
    <row r="54" spans="1:38" s="68" customFormat="1" ht="17.25" x14ac:dyDescent="0.25">
      <c r="A54" s="145"/>
      <c r="B54" s="229"/>
      <c r="C54" s="230" t="s">
        <v>307</v>
      </c>
      <c r="D54" s="259"/>
      <c r="E54" s="259"/>
      <c r="F54" s="231" t="s">
        <v>285</v>
      </c>
      <c r="G54" s="232" t="s">
        <v>163</v>
      </c>
      <c r="H54" s="232" t="s">
        <v>159</v>
      </c>
      <c r="I54" s="232" t="s">
        <v>159</v>
      </c>
      <c r="J54" s="232" t="s">
        <v>159</v>
      </c>
      <c r="K54" s="232" t="s">
        <v>159</v>
      </c>
      <c r="L54" s="232"/>
      <c r="M54" s="232"/>
      <c r="N54" s="232"/>
      <c r="O54" s="232" t="s">
        <v>159</v>
      </c>
      <c r="P54" s="232" t="s">
        <v>159</v>
      </c>
      <c r="Q54" s="233">
        <v>17.95</v>
      </c>
      <c r="R54" s="234">
        <v>17.95</v>
      </c>
      <c r="S54" s="235" t="s">
        <v>284</v>
      </c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</row>
    <row r="55" spans="1:38" s="68" customFormat="1" ht="17.25" x14ac:dyDescent="0.25">
      <c r="A55" s="145"/>
      <c r="B55" s="229"/>
      <c r="C55" s="230" t="s">
        <v>312</v>
      </c>
      <c r="D55" s="259"/>
      <c r="E55" s="259"/>
      <c r="F55" s="231" t="s">
        <v>285</v>
      </c>
      <c r="G55" s="232" t="s">
        <v>163</v>
      </c>
      <c r="H55" s="232" t="s">
        <v>159</v>
      </c>
      <c r="I55" s="232" t="s">
        <v>159</v>
      </c>
      <c r="J55" s="232" t="s">
        <v>159</v>
      </c>
      <c r="K55" s="232" t="s">
        <v>159</v>
      </c>
      <c r="L55" s="232"/>
      <c r="M55" s="232"/>
      <c r="N55" s="232"/>
      <c r="O55" s="232" t="s">
        <v>159</v>
      </c>
      <c r="P55" s="232" t="s">
        <v>159</v>
      </c>
      <c r="Q55" s="233">
        <v>17.95</v>
      </c>
      <c r="R55" s="234">
        <v>17.95</v>
      </c>
      <c r="S55" s="235" t="s">
        <v>284</v>
      </c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</row>
    <row r="56" spans="1:38" s="68" customFormat="1" ht="17.25" x14ac:dyDescent="0.25">
      <c r="A56" s="145"/>
      <c r="B56" s="229"/>
      <c r="C56" s="230" t="s">
        <v>308</v>
      </c>
      <c r="D56" s="259"/>
      <c r="E56" s="259"/>
      <c r="F56" s="231" t="s">
        <v>285</v>
      </c>
      <c r="G56" s="232" t="s">
        <v>163</v>
      </c>
      <c r="H56" s="232" t="s">
        <v>159</v>
      </c>
      <c r="I56" s="232" t="s">
        <v>159</v>
      </c>
      <c r="J56" s="232" t="s">
        <v>159</v>
      </c>
      <c r="K56" s="232" t="s">
        <v>159</v>
      </c>
      <c r="L56" s="232"/>
      <c r="M56" s="232"/>
      <c r="N56" s="232"/>
      <c r="O56" s="232" t="s">
        <v>159</v>
      </c>
      <c r="P56" s="232" t="s">
        <v>159</v>
      </c>
      <c r="Q56" s="233">
        <v>17.95</v>
      </c>
      <c r="R56" s="234">
        <v>17.95</v>
      </c>
      <c r="S56" s="235" t="s">
        <v>284</v>
      </c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45"/>
    </row>
    <row r="57" spans="1:38" s="68" customFormat="1" ht="17.25" x14ac:dyDescent="0.25">
      <c r="A57" s="145"/>
      <c r="B57" s="229"/>
      <c r="C57" s="230" t="s">
        <v>309</v>
      </c>
      <c r="D57" s="259"/>
      <c r="E57" s="259"/>
      <c r="F57" s="231" t="s">
        <v>288</v>
      </c>
      <c r="G57" s="232" t="s">
        <v>163</v>
      </c>
      <c r="H57" s="232" t="s">
        <v>159</v>
      </c>
      <c r="I57" s="232" t="s">
        <v>159</v>
      </c>
      <c r="J57" s="232" t="s">
        <v>159</v>
      </c>
      <c r="K57" s="232" t="s">
        <v>159</v>
      </c>
      <c r="L57" s="232"/>
      <c r="M57" s="232"/>
      <c r="N57" s="232"/>
      <c r="O57" s="232" t="s">
        <v>159</v>
      </c>
      <c r="P57" s="232" t="s">
        <v>159</v>
      </c>
      <c r="Q57" s="233">
        <v>17.95</v>
      </c>
      <c r="R57" s="234">
        <v>17.95</v>
      </c>
      <c r="S57" s="235" t="s">
        <v>284</v>
      </c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145"/>
      <c r="AK57" s="145"/>
      <c r="AL57" s="145"/>
    </row>
    <row r="58" spans="1:38" s="68" customFormat="1" ht="17.25" x14ac:dyDescent="0.25">
      <c r="A58" s="145"/>
      <c r="B58" s="229"/>
      <c r="C58" s="230" t="s">
        <v>310</v>
      </c>
      <c r="D58" s="259"/>
      <c r="E58" s="259"/>
      <c r="F58" s="231" t="s">
        <v>288</v>
      </c>
      <c r="G58" s="232" t="s">
        <v>163</v>
      </c>
      <c r="H58" s="232" t="s">
        <v>159</v>
      </c>
      <c r="I58" s="232" t="s">
        <v>159</v>
      </c>
      <c r="J58" s="232" t="s">
        <v>159</v>
      </c>
      <c r="K58" s="232" t="s">
        <v>159</v>
      </c>
      <c r="L58" s="232"/>
      <c r="M58" s="232"/>
      <c r="N58" s="232"/>
      <c r="O58" s="232" t="s">
        <v>159</v>
      </c>
      <c r="P58" s="232" t="s">
        <v>159</v>
      </c>
      <c r="Q58" s="233">
        <v>19.95</v>
      </c>
      <c r="R58" s="234">
        <v>19.95</v>
      </c>
      <c r="S58" s="235" t="s">
        <v>284</v>
      </c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</row>
    <row r="59" spans="1:38" s="68" customFormat="1" ht="17.25" x14ac:dyDescent="0.25">
      <c r="A59" s="145"/>
      <c r="B59" s="229"/>
      <c r="C59" s="230" t="s">
        <v>311</v>
      </c>
      <c r="D59" s="265"/>
      <c r="E59" s="259"/>
      <c r="F59" s="231" t="s">
        <v>298</v>
      </c>
      <c r="G59" s="232" t="s">
        <v>163</v>
      </c>
      <c r="H59" s="232" t="s">
        <v>159</v>
      </c>
      <c r="I59" s="232" t="s">
        <v>159</v>
      </c>
      <c r="J59" s="232" t="s">
        <v>159</v>
      </c>
      <c r="K59" s="232" t="s">
        <v>159</v>
      </c>
      <c r="L59" s="232"/>
      <c r="M59" s="232"/>
      <c r="N59" s="232"/>
      <c r="O59" s="232" t="s">
        <v>159</v>
      </c>
      <c r="P59" s="232" t="s">
        <v>159</v>
      </c>
      <c r="Q59" s="233">
        <v>19.95</v>
      </c>
      <c r="R59" s="234">
        <v>19.95</v>
      </c>
      <c r="S59" s="235" t="s">
        <v>284</v>
      </c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</row>
    <row r="60" spans="1:38" s="68" customFormat="1" ht="17.25" x14ac:dyDescent="0.25">
      <c r="A60" s="145"/>
      <c r="B60" s="229"/>
      <c r="C60" s="230" t="s">
        <v>289</v>
      </c>
      <c r="D60" s="259"/>
      <c r="E60" s="259"/>
      <c r="F60" s="231" t="s">
        <v>285</v>
      </c>
      <c r="G60" s="232" t="s">
        <v>163</v>
      </c>
      <c r="H60" s="232" t="s">
        <v>159</v>
      </c>
      <c r="I60" s="232" t="s">
        <v>159</v>
      </c>
      <c r="J60" s="232" t="s">
        <v>159</v>
      </c>
      <c r="K60" s="232" t="s">
        <v>159</v>
      </c>
      <c r="L60" s="232"/>
      <c r="M60" s="232"/>
      <c r="N60" s="232"/>
      <c r="O60" s="232" t="s">
        <v>159</v>
      </c>
      <c r="P60" s="232" t="s">
        <v>159</v>
      </c>
      <c r="Q60" s="233">
        <v>19.95</v>
      </c>
      <c r="R60" s="234">
        <v>19.95</v>
      </c>
      <c r="S60" s="235" t="s">
        <v>284</v>
      </c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</row>
    <row r="61" spans="1:38" s="68" customFormat="1" ht="17.25" x14ac:dyDescent="0.25">
      <c r="A61" s="145"/>
      <c r="B61" s="229"/>
      <c r="C61" s="230" t="s">
        <v>318</v>
      </c>
      <c r="D61" s="259"/>
      <c r="E61" s="259"/>
      <c r="F61" s="231" t="s">
        <v>285</v>
      </c>
      <c r="G61" s="232" t="s">
        <v>163</v>
      </c>
      <c r="H61" s="232" t="s">
        <v>159</v>
      </c>
      <c r="I61" s="232" t="s">
        <v>159</v>
      </c>
      <c r="J61" s="232" t="s">
        <v>159</v>
      </c>
      <c r="K61" s="232" t="s">
        <v>159</v>
      </c>
      <c r="L61" s="232"/>
      <c r="M61" s="232"/>
      <c r="N61" s="232"/>
      <c r="O61" s="232" t="s">
        <v>159</v>
      </c>
      <c r="P61" s="232" t="s">
        <v>159</v>
      </c>
      <c r="Q61" s="233">
        <v>19.95</v>
      </c>
      <c r="R61" s="234">
        <v>19.95</v>
      </c>
      <c r="S61" s="235" t="s">
        <v>315</v>
      </c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</row>
    <row r="62" spans="1:38" s="68" customFormat="1" ht="17.25" x14ac:dyDescent="0.25">
      <c r="A62" s="145"/>
      <c r="B62" s="229"/>
      <c r="C62" s="230" t="s">
        <v>313</v>
      </c>
      <c r="D62" s="259"/>
      <c r="E62" s="259"/>
      <c r="F62" s="231" t="s">
        <v>285</v>
      </c>
      <c r="G62" s="232" t="s">
        <v>163</v>
      </c>
      <c r="H62" s="232" t="s">
        <v>159</v>
      </c>
      <c r="I62" s="232" t="s">
        <v>159</v>
      </c>
      <c r="J62" s="232" t="s">
        <v>159</v>
      </c>
      <c r="K62" s="232" t="s">
        <v>159</v>
      </c>
      <c r="L62" s="232"/>
      <c r="M62" s="232"/>
      <c r="N62" s="232"/>
      <c r="O62" s="232" t="s">
        <v>159</v>
      </c>
      <c r="P62" s="232" t="s">
        <v>159</v>
      </c>
      <c r="Q62" s="233">
        <v>19.95</v>
      </c>
      <c r="R62" s="234">
        <v>19.95</v>
      </c>
      <c r="S62" s="235" t="s">
        <v>284</v>
      </c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</row>
    <row r="63" spans="1:38" s="68" customFormat="1" ht="17.25" x14ac:dyDescent="0.25">
      <c r="A63" s="145"/>
      <c r="B63" s="229"/>
      <c r="C63" s="230" t="s">
        <v>316</v>
      </c>
      <c r="D63" s="259"/>
      <c r="E63" s="259"/>
      <c r="F63" s="231" t="s">
        <v>144</v>
      </c>
      <c r="G63" s="232" t="s">
        <v>163</v>
      </c>
      <c r="H63" s="232" t="s">
        <v>159</v>
      </c>
      <c r="I63" s="232" t="s">
        <v>159</v>
      </c>
      <c r="J63" s="232" t="s">
        <v>159</v>
      </c>
      <c r="K63" s="232" t="s">
        <v>159</v>
      </c>
      <c r="L63" s="232"/>
      <c r="M63" s="232"/>
      <c r="N63" s="232"/>
      <c r="O63" s="232" t="s">
        <v>159</v>
      </c>
      <c r="P63" s="232" t="s">
        <v>159</v>
      </c>
      <c r="Q63" s="233">
        <v>24.95</v>
      </c>
      <c r="R63" s="234">
        <v>24.95</v>
      </c>
      <c r="S63" s="235" t="s">
        <v>284</v>
      </c>
      <c r="T63" s="145"/>
      <c r="U63" s="145"/>
      <c r="V63" s="145"/>
      <c r="W63" s="145"/>
      <c r="X63" s="145"/>
      <c r="Y63" s="145"/>
      <c r="Z63" s="145"/>
      <c r="AA63" s="145"/>
      <c r="AB63" s="145"/>
      <c r="AC63" s="145"/>
      <c r="AD63" s="145"/>
      <c r="AE63" s="145"/>
      <c r="AF63" s="145"/>
      <c r="AG63" s="145"/>
      <c r="AH63" s="145"/>
      <c r="AI63" s="145"/>
      <c r="AJ63" s="145"/>
      <c r="AK63" s="145"/>
      <c r="AL63" s="145"/>
    </row>
    <row r="64" spans="1:38" s="68" customFormat="1" ht="17.25" x14ac:dyDescent="0.25">
      <c r="A64" s="145"/>
      <c r="B64" s="229"/>
      <c r="C64" s="230" t="s">
        <v>291</v>
      </c>
      <c r="D64" s="259"/>
      <c r="E64" s="265"/>
      <c r="F64" s="231" t="s">
        <v>288</v>
      </c>
      <c r="G64" s="232" t="s">
        <v>163</v>
      </c>
      <c r="H64" s="232" t="s">
        <v>159</v>
      </c>
      <c r="I64" s="232" t="s">
        <v>159</v>
      </c>
      <c r="J64" s="232" t="s">
        <v>159</v>
      </c>
      <c r="K64" s="232" t="s">
        <v>159</v>
      </c>
      <c r="L64" s="232"/>
      <c r="M64" s="232"/>
      <c r="N64" s="232"/>
      <c r="O64" s="232" t="s">
        <v>159</v>
      </c>
      <c r="P64" s="232" t="s">
        <v>159</v>
      </c>
      <c r="Q64" s="233">
        <v>39.950000000000003</v>
      </c>
      <c r="R64" s="234">
        <v>39.950000000000003</v>
      </c>
      <c r="S64" s="235" t="s">
        <v>284</v>
      </c>
      <c r="T64" s="145"/>
      <c r="U64" s="145"/>
      <c r="V64" s="145"/>
      <c r="W64" s="145"/>
      <c r="X64" s="145"/>
      <c r="Y64" s="145"/>
      <c r="Z64" s="145"/>
      <c r="AA64" s="145"/>
      <c r="AB64" s="145"/>
      <c r="AC64" s="145"/>
      <c r="AD64" s="145"/>
      <c r="AE64" s="145"/>
      <c r="AF64" s="145"/>
      <c r="AG64" s="145"/>
      <c r="AH64" s="145"/>
      <c r="AI64" s="145"/>
      <c r="AJ64" s="145"/>
      <c r="AK64" s="145"/>
      <c r="AL64" s="145"/>
    </row>
    <row r="65" spans="1:38" s="68" customFormat="1" ht="17.25" x14ac:dyDescent="0.25">
      <c r="A65" s="145"/>
      <c r="B65" s="229"/>
      <c r="C65" s="230" t="s">
        <v>319</v>
      </c>
      <c r="D65" s="259"/>
      <c r="E65" s="265"/>
      <c r="F65" s="231" t="s">
        <v>288</v>
      </c>
      <c r="G65" s="232" t="s">
        <v>163</v>
      </c>
      <c r="H65" s="232" t="s">
        <v>159</v>
      </c>
      <c r="I65" s="232" t="s">
        <v>159</v>
      </c>
      <c r="J65" s="232" t="s">
        <v>159</v>
      </c>
      <c r="K65" s="232" t="s">
        <v>159</v>
      </c>
      <c r="L65" s="232"/>
      <c r="M65" s="232"/>
      <c r="N65" s="232"/>
      <c r="O65" s="232" t="s">
        <v>159</v>
      </c>
      <c r="P65" s="232" t="s">
        <v>159</v>
      </c>
      <c r="Q65" s="233">
        <v>44.95</v>
      </c>
      <c r="R65" s="234">
        <v>44.95</v>
      </c>
      <c r="S65" s="235" t="s">
        <v>284</v>
      </c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  <c r="AE65" s="145"/>
      <c r="AF65" s="145"/>
      <c r="AG65" s="145"/>
      <c r="AH65" s="145"/>
      <c r="AI65" s="145"/>
      <c r="AJ65" s="145"/>
      <c r="AK65" s="145"/>
      <c r="AL65" s="145"/>
    </row>
    <row r="66" spans="1:38" s="68" customFormat="1" ht="17.25" x14ac:dyDescent="0.25">
      <c r="A66" s="145"/>
      <c r="B66" s="229"/>
      <c r="C66" s="230" t="s">
        <v>292</v>
      </c>
      <c r="D66" s="259"/>
      <c r="E66" s="259"/>
      <c r="F66" s="231" t="s">
        <v>293</v>
      </c>
      <c r="G66" s="232" t="s">
        <v>163</v>
      </c>
      <c r="H66" s="232" t="s">
        <v>159</v>
      </c>
      <c r="I66" s="232" t="s">
        <v>159</v>
      </c>
      <c r="J66" s="232" t="s">
        <v>159</v>
      </c>
      <c r="K66" s="232" t="s">
        <v>159</v>
      </c>
      <c r="L66" s="232"/>
      <c r="M66" s="232"/>
      <c r="N66" s="232"/>
      <c r="O66" s="232" t="s">
        <v>159</v>
      </c>
      <c r="P66" s="232" t="s">
        <v>159</v>
      </c>
      <c r="Q66" s="233">
        <v>5</v>
      </c>
      <c r="R66" s="234">
        <v>9.9499999999999993</v>
      </c>
      <c r="S66" s="235" t="s">
        <v>321</v>
      </c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145"/>
      <c r="AI66" s="145"/>
      <c r="AJ66" s="145"/>
      <c r="AK66" s="145"/>
      <c r="AL66" s="145"/>
    </row>
    <row r="67" spans="1:38" s="68" customFormat="1" ht="17.25" x14ac:dyDescent="0.25">
      <c r="A67" s="145"/>
      <c r="B67" s="229"/>
      <c r="C67" s="230" t="s">
        <v>294</v>
      </c>
      <c r="D67" s="259"/>
      <c r="E67" s="259"/>
      <c r="F67" s="231" t="s">
        <v>144</v>
      </c>
      <c r="G67" s="232" t="s">
        <v>163</v>
      </c>
      <c r="H67" s="232" t="s">
        <v>159</v>
      </c>
      <c r="I67" s="232" t="s">
        <v>159</v>
      </c>
      <c r="J67" s="232" t="s">
        <v>159</v>
      </c>
      <c r="K67" s="232" t="s">
        <v>159</v>
      </c>
      <c r="L67" s="232"/>
      <c r="M67" s="232"/>
      <c r="N67" s="232"/>
      <c r="O67" s="232" t="s">
        <v>159</v>
      </c>
      <c r="P67" s="232" t="s">
        <v>159</v>
      </c>
      <c r="Q67" s="233">
        <v>5</v>
      </c>
      <c r="R67" s="234">
        <v>14.95</v>
      </c>
      <c r="S67" s="235" t="s">
        <v>322</v>
      </c>
      <c r="T67" s="145"/>
      <c r="U67" s="145"/>
      <c r="V67" s="145"/>
      <c r="W67" s="145"/>
      <c r="X67" s="145"/>
      <c r="Y67" s="145"/>
      <c r="Z67" s="145"/>
      <c r="AA67" s="145"/>
      <c r="AB67" s="145"/>
      <c r="AC67" s="145"/>
      <c r="AD67" s="145"/>
      <c r="AE67" s="145"/>
      <c r="AF67" s="145"/>
      <c r="AG67" s="145"/>
      <c r="AH67" s="145"/>
      <c r="AI67" s="145"/>
      <c r="AJ67" s="145"/>
      <c r="AK67" s="145"/>
      <c r="AL67" s="145"/>
    </row>
    <row r="68" spans="1:38" s="68" customFormat="1" ht="17.25" x14ac:dyDescent="0.25">
      <c r="A68" s="145"/>
      <c r="B68" s="229"/>
      <c r="C68" s="230" t="s">
        <v>295</v>
      </c>
      <c r="D68" s="259"/>
      <c r="E68" s="259"/>
      <c r="F68" s="231" t="s">
        <v>296</v>
      </c>
      <c r="G68" s="232" t="s">
        <v>163</v>
      </c>
      <c r="H68" s="232" t="s">
        <v>159</v>
      </c>
      <c r="I68" s="232" t="s">
        <v>159</v>
      </c>
      <c r="J68" s="232" t="s">
        <v>159</v>
      </c>
      <c r="K68" s="232" t="s">
        <v>159</v>
      </c>
      <c r="L68" s="232"/>
      <c r="M68" s="232"/>
      <c r="N68" s="232"/>
      <c r="O68" s="232" t="s">
        <v>159</v>
      </c>
      <c r="P68" s="232" t="s">
        <v>159</v>
      </c>
      <c r="Q68" s="233">
        <v>7.5</v>
      </c>
      <c r="R68" s="234">
        <v>14.95</v>
      </c>
      <c r="S68" s="235" t="s">
        <v>322</v>
      </c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  <c r="AJ68" s="145"/>
      <c r="AK68" s="145"/>
      <c r="AL68" s="145"/>
    </row>
    <row r="69" spans="1:38" s="68" customFormat="1" ht="17.25" x14ac:dyDescent="0.25">
      <c r="A69" s="145"/>
      <c r="B69" s="229"/>
      <c r="C69" s="230" t="s">
        <v>297</v>
      </c>
      <c r="D69" s="265"/>
      <c r="E69" s="259"/>
      <c r="F69" s="231" t="s">
        <v>298</v>
      </c>
      <c r="G69" s="232" t="s">
        <v>163</v>
      </c>
      <c r="H69" s="232" t="s">
        <v>159</v>
      </c>
      <c r="I69" s="232" t="s">
        <v>159</v>
      </c>
      <c r="J69" s="232" t="s">
        <v>159</v>
      </c>
      <c r="K69" s="232" t="s">
        <v>159</v>
      </c>
      <c r="L69" s="232"/>
      <c r="M69" s="232"/>
      <c r="N69" s="232"/>
      <c r="O69" s="232" t="s">
        <v>159</v>
      </c>
      <c r="P69" s="232" t="s">
        <v>159</v>
      </c>
      <c r="Q69" s="233">
        <v>10</v>
      </c>
      <c r="R69" s="234">
        <v>17.95</v>
      </c>
      <c r="S69" s="235" t="s">
        <v>322</v>
      </c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145"/>
      <c r="AI69" s="145"/>
      <c r="AJ69" s="145"/>
      <c r="AK69" s="145"/>
      <c r="AL69" s="145"/>
    </row>
    <row r="70" spans="1:38" s="68" customFormat="1" ht="17.25" x14ac:dyDescent="0.25">
      <c r="A70" s="145"/>
      <c r="B70" s="229"/>
      <c r="C70" s="230" t="s">
        <v>299</v>
      </c>
      <c r="D70" s="265"/>
      <c r="E70" s="259"/>
      <c r="F70" s="231" t="s">
        <v>300</v>
      </c>
      <c r="G70" s="232" t="s">
        <v>163</v>
      </c>
      <c r="H70" s="232" t="s">
        <v>159</v>
      </c>
      <c r="I70" s="232" t="s">
        <v>159</v>
      </c>
      <c r="J70" s="232" t="s">
        <v>159</v>
      </c>
      <c r="K70" s="232" t="s">
        <v>159</v>
      </c>
      <c r="L70" s="232"/>
      <c r="M70" s="232"/>
      <c r="N70" s="232"/>
      <c r="O70" s="232" t="s">
        <v>159</v>
      </c>
      <c r="P70" s="232" t="s">
        <v>159</v>
      </c>
      <c r="Q70" s="233">
        <v>10</v>
      </c>
      <c r="R70" s="234">
        <v>17.95</v>
      </c>
      <c r="S70" s="235" t="s">
        <v>322</v>
      </c>
      <c r="T70" s="145"/>
      <c r="U70" s="145"/>
      <c r="V70" s="145"/>
      <c r="W70" s="145"/>
      <c r="X70" s="145"/>
      <c r="Y70" s="145"/>
      <c r="Z70" s="145"/>
      <c r="AA70" s="145"/>
      <c r="AB70" s="145"/>
      <c r="AC70" s="145"/>
      <c r="AD70" s="145"/>
      <c r="AE70" s="145"/>
      <c r="AF70" s="145"/>
      <c r="AG70" s="145"/>
      <c r="AH70" s="145"/>
      <c r="AI70" s="145"/>
      <c r="AJ70" s="145"/>
      <c r="AK70" s="145"/>
      <c r="AL70" s="145"/>
    </row>
    <row r="71" spans="1:38" s="68" customFormat="1" ht="17.25" x14ac:dyDescent="0.25">
      <c r="A71" s="145"/>
      <c r="B71" s="229"/>
      <c r="C71" s="230" t="s">
        <v>320</v>
      </c>
      <c r="D71" s="265"/>
      <c r="E71" s="259"/>
      <c r="F71" s="231" t="s">
        <v>301</v>
      </c>
      <c r="G71" s="232" t="s">
        <v>163</v>
      </c>
      <c r="H71" s="232" t="s">
        <v>159</v>
      </c>
      <c r="I71" s="232" t="s">
        <v>159</v>
      </c>
      <c r="J71" s="232" t="s">
        <v>159</v>
      </c>
      <c r="K71" s="232" t="s">
        <v>159</v>
      </c>
      <c r="L71" s="232"/>
      <c r="M71" s="232"/>
      <c r="N71" s="232"/>
      <c r="O71" s="232" t="s">
        <v>159</v>
      </c>
      <c r="P71" s="232" t="s">
        <v>159</v>
      </c>
      <c r="Q71" s="233">
        <v>10</v>
      </c>
      <c r="R71" s="234">
        <v>19.95</v>
      </c>
      <c r="S71" s="235" t="s">
        <v>322</v>
      </c>
      <c r="T71" s="145"/>
      <c r="U71" s="145"/>
      <c r="V71" s="145"/>
      <c r="W71" s="145"/>
      <c r="X71" s="145"/>
      <c r="Y71" s="145"/>
      <c r="Z71" s="145"/>
      <c r="AA71" s="145"/>
      <c r="AB71" s="145"/>
      <c r="AC71" s="145"/>
      <c r="AD71" s="145"/>
      <c r="AE71" s="145"/>
      <c r="AF71" s="145"/>
      <c r="AG71" s="145"/>
      <c r="AH71" s="145"/>
      <c r="AI71" s="145"/>
      <c r="AJ71" s="145"/>
      <c r="AK71" s="145"/>
      <c r="AL71" s="145"/>
    </row>
    <row r="72" spans="1:38" s="68" customFormat="1" ht="18" thickBot="1" x14ac:dyDescent="0.3">
      <c r="A72" s="145"/>
      <c r="B72" s="350"/>
      <c r="C72" s="230" t="s">
        <v>302</v>
      </c>
      <c r="D72" s="259"/>
      <c r="E72" s="259"/>
      <c r="F72" s="231" t="s">
        <v>303</v>
      </c>
      <c r="G72" s="232" t="s">
        <v>163</v>
      </c>
      <c r="H72" s="232" t="s">
        <v>159</v>
      </c>
      <c r="I72" s="232" t="s">
        <v>159</v>
      </c>
      <c r="J72" s="232" t="s">
        <v>159</v>
      </c>
      <c r="K72" s="232" t="s">
        <v>159</v>
      </c>
      <c r="L72" s="232"/>
      <c r="M72" s="232"/>
      <c r="N72" s="232"/>
      <c r="O72" s="232" t="s">
        <v>159</v>
      </c>
      <c r="P72" s="232" t="s">
        <v>159</v>
      </c>
      <c r="Q72" s="233">
        <v>20</v>
      </c>
      <c r="R72" s="234">
        <v>34.950000000000003</v>
      </c>
      <c r="S72" s="346" t="s">
        <v>322</v>
      </c>
      <c r="T72" s="145"/>
      <c r="U72" s="145"/>
      <c r="V72" s="145"/>
      <c r="W72" s="145"/>
      <c r="X72" s="145"/>
      <c r="Y72" s="145"/>
      <c r="Z72" s="145"/>
      <c r="AA72" s="145"/>
      <c r="AB72" s="145"/>
      <c r="AC72" s="145"/>
      <c r="AD72" s="145"/>
      <c r="AE72" s="145"/>
      <c r="AF72" s="145"/>
      <c r="AG72" s="145"/>
      <c r="AH72" s="145"/>
      <c r="AI72" s="145"/>
      <c r="AJ72" s="145"/>
      <c r="AK72" s="145"/>
      <c r="AL72" s="145"/>
    </row>
    <row r="73" spans="1:38" s="1" customFormat="1" ht="14.25" thickBot="1" x14ac:dyDescent="0.3">
      <c r="A73" s="149"/>
      <c r="B73" s="212" t="s">
        <v>167</v>
      </c>
      <c r="C73" s="555" t="s">
        <v>211</v>
      </c>
      <c r="D73" s="556"/>
      <c r="E73" s="556"/>
      <c r="F73" s="557"/>
      <c r="G73" s="213">
        <f t="shared" ref="G73:P73" si="1">SUMIF(G$31:G$72,"µ",$R$31:$R$72)</f>
        <v>0</v>
      </c>
      <c r="H73" s="213">
        <f t="shared" si="1"/>
        <v>19.95</v>
      </c>
      <c r="I73" s="213">
        <f t="shared" si="1"/>
        <v>29.95</v>
      </c>
      <c r="J73" s="213">
        <f t="shared" si="1"/>
        <v>49.95</v>
      </c>
      <c r="K73" s="213">
        <f t="shared" si="1"/>
        <v>0</v>
      </c>
      <c r="L73" s="213">
        <f t="shared" si="1"/>
        <v>0</v>
      </c>
      <c r="M73" s="213">
        <f t="shared" si="1"/>
        <v>0</v>
      </c>
      <c r="N73" s="213">
        <f t="shared" si="1"/>
        <v>0</v>
      </c>
      <c r="O73" s="213">
        <f t="shared" si="1"/>
        <v>167.75</v>
      </c>
      <c r="P73" s="214">
        <f t="shared" si="1"/>
        <v>207.64999999999998</v>
      </c>
      <c r="Q73" s="215">
        <f>SUM(Q31:Q72)</f>
        <v>669.39999999999986</v>
      </c>
      <c r="R73" s="216">
        <f>SUM(R31:R72)</f>
        <v>740.30000000000018</v>
      </c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149"/>
      <c r="AG73" s="149"/>
      <c r="AH73" s="149"/>
      <c r="AI73" s="149"/>
      <c r="AJ73" s="149"/>
      <c r="AK73" s="149"/>
      <c r="AL73" s="149"/>
    </row>
    <row r="74" spans="1:38" s="2" customFormat="1" ht="15.75" thickBot="1" x14ac:dyDescent="0.35">
      <c r="A74" s="144"/>
      <c r="B74" s="155"/>
      <c r="C74" s="144"/>
      <c r="D74" s="161"/>
      <c r="E74" s="161"/>
      <c r="F74" s="144"/>
      <c r="G74" s="161"/>
      <c r="H74" s="161"/>
      <c r="I74" s="161"/>
      <c r="J74" s="161"/>
      <c r="K74" s="161"/>
      <c r="L74" s="161"/>
      <c r="M74" s="161"/>
      <c r="N74" s="161"/>
      <c r="O74" s="161"/>
      <c r="P74" s="161"/>
      <c r="Q74" s="157"/>
      <c r="R74" s="158"/>
      <c r="S74" s="163"/>
      <c r="T74" s="144"/>
      <c r="U74" s="144"/>
      <c r="V74" s="144"/>
      <c r="W74" s="144"/>
      <c r="X74" s="144"/>
      <c r="Y74" s="144"/>
      <c r="Z74" s="144"/>
      <c r="AA74" s="144"/>
      <c r="AB74" s="144"/>
      <c r="AC74" s="144"/>
      <c r="AD74" s="144"/>
      <c r="AE74" s="144"/>
      <c r="AF74" s="144"/>
      <c r="AG74" s="144"/>
      <c r="AH74" s="144"/>
      <c r="AI74" s="144"/>
      <c r="AJ74" s="144"/>
      <c r="AK74" s="144"/>
      <c r="AL74" s="144"/>
    </row>
    <row r="75" spans="1:38" s="68" customFormat="1" ht="60" x14ac:dyDescent="0.25">
      <c r="A75" s="145"/>
      <c r="B75" s="179" t="s">
        <v>166</v>
      </c>
      <c r="C75" s="206" t="s">
        <v>165</v>
      </c>
      <c r="D75" s="206"/>
      <c r="E75" s="206"/>
      <c r="F75" s="207" t="s">
        <v>2</v>
      </c>
      <c r="G75" s="192" t="s">
        <v>13</v>
      </c>
      <c r="H75" s="192" t="str">
        <f t="shared" ref="H75:P75" si="2">H3</f>
        <v>Alte Katze</v>
      </c>
      <c r="I75" s="193" t="str">
        <f t="shared" si="2"/>
        <v>Kleiner Milchtreter</v>
      </c>
      <c r="J75" s="192" t="str">
        <f t="shared" si="2"/>
        <v>Freches Kätzchen</v>
      </c>
      <c r="K75" s="193" t="str">
        <f t="shared" si="2"/>
        <v>Verspielter Welpe</v>
      </c>
      <c r="L75" s="193">
        <f t="shared" si="2"/>
        <v>0</v>
      </c>
      <c r="M75" s="192">
        <f t="shared" si="2"/>
        <v>0</v>
      </c>
      <c r="N75" s="194">
        <f t="shared" si="2"/>
        <v>0</v>
      </c>
      <c r="O75" s="194" t="str">
        <f t="shared" si="2"/>
        <v>Schmuse-katze</v>
      </c>
      <c r="P75" s="194" t="str">
        <f t="shared" si="2"/>
        <v>Bester Freund</v>
      </c>
      <c r="Q75" s="180" t="s">
        <v>12</v>
      </c>
      <c r="R75" s="181" t="s">
        <v>148</v>
      </c>
      <c r="S75" s="211" t="s">
        <v>84</v>
      </c>
      <c r="T75" s="145"/>
      <c r="U75" s="145"/>
      <c r="V75" s="145"/>
      <c r="W75" s="145"/>
      <c r="X75" s="145"/>
      <c r="Y75" s="145"/>
      <c r="Z75" s="145"/>
      <c r="AA75" s="145"/>
      <c r="AB75" s="145"/>
      <c r="AC75" s="145"/>
      <c r="AD75" s="145"/>
      <c r="AE75" s="145"/>
      <c r="AF75" s="145"/>
      <c r="AG75" s="145"/>
      <c r="AH75" s="145"/>
      <c r="AI75" s="145"/>
      <c r="AJ75" s="145"/>
      <c r="AK75" s="145"/>
      <c r="AL75" s="145"/>
    </row>
    <row r="76" spans="1:38" s="76" customFormat="1" ht="18" hidden="1" customHeight="1" outlineLevel="1" collapsed="1" x14ac:dyDescent="0.25">
      <c r="A76" s="147"/>
      <c r="B76" s="246"/>
      <c r="C76" s="182" t="s">
        <v>182</v>
      </c>
      <c r="D76" s="260"/>
      <c r="E76" s="260"/>
      <c r="F76" s="218" t="s">
        <v>5</v>
      </c>
      <c r="G76" s="250" t="s">
        <v>159</v>
      </c>
      <c r="H76" s="250" t="s">
        <v>159</v>
      </c>
      <c r="I76" s="250" t="s">
        <v>159</v>
      </c>
      <c r="J76" s="250" t="s">
        <v>159</v>
      </c>
      <c r="K76" s="250" t="s">
        <v>159</v>
      </c>
      <c r="L76" s="250" t="s">
        <v>159</v>
      </c>
      <c r="M76" s="250" t="s">
        <v>159</v>
      </c>
      <c r="N76" s="250" t="s">
        <v>159</v>
      </c>
      <c r="O76" s="250" t="s">
        <v>159</v>
      </c>
      <c r="P76" s="250" t="s">
        <v>159</v>
      </c>
      <c r="Q76" s="247">
        <v>100</v>
      </c>
      <c r="R76" s="248">
        <v>100</v>
      </c>
      <c r="S76" s="249" t="s">
        <v>181</v>
      </c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  <c r="AL76" s="147"/>
    </row>
    <row r="77" spans="1:38" ht="18" collapsed="1" x14ac:dyDescent="0.25">
      <c r="B77" s="141"/>
      <c r="C77" s="256" t="s">
        <v>268</v>
      </c>
      <c r="D77" s="258" t="s">
        <v>265</v>
      </c>
      <c r="E77" s="258" t="s">
        <v>264</v>
      </c>
      <c r="F77" s="73" t="s">
        <v>130</v>
      </c>
      <c r="G77" s="201" t="s">
        <v>163</v>
      </c>
      <c r="H77" s="201" t="str">
        <f t="shared" ref="H77:J78" si="3">IF($B31="x","enthalten","Kauf nach CF")</f>
        <v>Kauf nach CF</v>
      </c>
      <c r="I77" s="201" t="str">
        <f t="shared" si="3"/>
        <v>Kauf nach CF</v>
      </c>
      <c r="J77" s="201" t="str">
        <f t="shared" si="3"/>
        <v>Kauf nach CF</v>
      </c>
      <c r="K77" s="140" t="s">
        <v>4</v>
      </c>
      <c r="L77" s="201"/>
      <c r="M77" s="140"/>
      <c r="N77" s="140"/>
      <c r="O77" s="140" t="s">
        <v>4</v>
      </c>
      <c r="P77" s="140" t="s">
        <v>4</v>
      </c>
      <c r="Q77" s="81" t="s">
        <v>5</v>
      </c>
      <c r="R77" s="75">
        <v>34.99</v>
      </c>
      <c r="S77" s="78" t="s">
        <v>6</v>
      </c>
    </row>
    <row r="78" spans="1:38" ht="18" x14ac:dyDescent="0.25">
      <c r="B78" s="141"/>
      <c r="C78" s="256" t="s">
        <v>267</v>
      </c>
      <c r="D78" s="258" t="s">
        <v>265</v>
      </c>
      <c r="E78" s="258" t="s">
        <v>266</v>
      </c>
      <c r="F78" s="73" t="s">
        <v>130</v>
      </c>
      <c r="G78" s="201" t="s">
        <v>163</v>
      </c>
      <c r="H78" s="201" t="str">
        <f t="shared" si="3"/>
        <v>Kauf nach CF</v>
      </c>
      <c r="I78" s="201" t="str">
        <f t="shared" si="3"/>
        <v>Kauf nach CF</v>
      </c>
      <c r="J78" s="201" t="str">
        <f t="shared" si="3"/>
        <v>Kauf nach CF</v>
      </c>
      <c r="K78" s="140" t="s">
        <v>4</v>
      </c>
      <c r="L78" s="201"/>
      <c r="M78" s="140"/>
      <c r="N78" s="140"/>
      <c r="O78" s="140" t="s">
        <v>4</v>
      </c>
      <c r="P78" s="140" t="s">
        <v>4</v>
      </c>
      <c r="Q78" s="81" t="s">
        <v>5</v>
      </c>
      <c r="R78" s="75">
        <v>24.99</v>
      </c>
      <c r="S78" s="78" t="s">
        <v>6</v>
      </c>
    </row>
    <row r="79" spans="1:38" s="82" customFormat="1" ht="18" x14ac:dyDescent="0.3">
      <c r="A79" s="148"/>
      <c r="B79" s="142"/>
      <c r="C79" s="267" t="s">
        <v>355</v>
      </c>
      <c r="D79" s="438" t="s">
        <v>200</v>
      </c>
      <c r="E79" s="439" t="s">
        <v>279</v>
      </c>
      <c r="F79" s="440" t="s">
        <v>280</v>
      </c>
      <c r="G79" s="441" t="s">
        <v>172</v>
      </c>
      <c r="H79" s="441" t="s">
        <v>172</v>
      </c>
      <c r="I79" s="441" t="s">
        <v>172</v>
      </c>
      <c r="J79" s="441" t="s">
        <v>172</v>
      </c>
      <c r="K79" s="441" t="s">
        <v>172</v>
      </c>
      <c r="L79" s="140"/>
      <c r="M79" s="140"/>
      <c r="N79" s="140"/>
      <c r="O79" s="441" t="s">
        <v>172</v>
      </c>
      <c r="P79" s="441" t="s">
        <v>172</v>
      </c>
      <c r="Q79" s="81" t="s">
        <v>5</v>
      </c>
      <c r="R79" s="77" t="s">
        <v>5</v>
      </c>
      <c r="S79" s="443" t="s">
        <v>207</v>
      </c>
      <c r="T79" s="148"/>
      <c r="U79" s="148"/>
      <c r="V79" s="148"/>
      <c r="W79" s="148"/>
      <c r="X79" s="148"/>
      <c r="Y79" s="148"/>
      <c r="Z79" s="148"/>
      <c r="AA79" s="148"/>
      <c r="AB79" s="148"/>
      <c r="AC79" s="148"/>
      <c r="AD79" s="148"/>
      <c r="AE79" s="148"/>
      <c r="AF79" s="148"/>
      <c r="AG79" s="148"/>
      <c r="AH79" s="148"/>
      <c r="AI79" s="148"/>
      <c r="AJ79" s="148"/>
      <c r="AK79" s="148"/>
      <c r="AL79" s="148"/>
    </row>
    <row r="80" spans="1:38" s="82" customFormat="1" ht="18" x14ac:dyDescent="0.3">
      <c r="A80" s="148"/>
      <c r="B80" s="142"/>
      <c r="C80" s="267" t="s">
        <v>356</v>
      </c>
      <c r="D80" s="438" t="s">
        <v>200</v>
      </c>
      <c r="E80" s="439" t="s">
        <v>279</v>
      </c>
      <c r="F80" s="440" t="s">
        <v>280</v>
      </c>
      <c r="G80" s="441" t="s">
        <v>172</v>
      </c>
      <c r="H80" s="441" t="s">
        <v>172</v>
      </c>
      <c r="I80" s="441" t="s">
        <v>172</v>
      </c>
      <c r="J80" s="441" t="s">
        <v>172</v>
      </c>
      <c r="K80" s="441" t="s">
        <v>172</v>
      </c>
      <c r="L80" s="140"/>
      <c r="M80" s="140"/>
      <c r="N80" s="140"/>
      <c r="O80" s="441" t="s">
        <v>172</v>
      </c>
      <c r="P80" s="441" t="s">
        <v>172</v>
      </c>
      <c r="Q80" s="81" t="s">
        <v>5</v>
      </c>
      <c r="R80" s="77" t="s">
        <v>5</v>
      </c>
      <c r="S80" s="443" t="s">
        <v>207</v>
      </c>
      <c r="T80" s="148"/>
      <c r="U80" s="148"/>
      <c r="V80" s="148"/>
      <c r="W80" s="148"/>
      <c r="X80" s="148"/>
      <c r="Y80" s="148"/>
      <c r="Z80" s="148"/>
      <c r="AA80" s="148"/>
      <c r="AB80" s="148"/>
      <c r="AC80" s="148"/>
      <c r="AD80" s="148"/>
      <c r="AE80" s="148"/>
      <c r="AF80" s="148"/>
      <c r="AG80" s="148"/>
      <c r="AH80" s="148"/>
      <c r="AI80" s="148"/>
      <c r="AJ80" s="148"/>
      <c r="AK80" s="148"/>
      <c r="AL80" s="148"/>
    </row>
    <row r="81" spans="1:38" s="76" customFormat="1" ht="18" x14ac:dyDescent="0.25">
      <c r="A81" s="147"/>
      <c r="B81" s="141"/>
      <c r="C81" s="72" t="s">
        <v>269</v>
      </c>
      <c r="D81" s="264" t="s">
        <v>270</v>
      </c>
      <c r="E81" s="258" t="s">
        <v>271</v>
      </c>
      <c r="F81" s="73" t="s">
        <v>130</v>
      </c>
      <c r="G81" s="201" t="s">
        <v>163</v>
      </c>
      <c r="H81" s="201" t="str">
        <f t="shared" ref="H81:J82" si="4">IF($B35="x","enthalten","Kauf nach CF")</f>
        <v>Kauf nach CF</v>
      </c>
      <c r="I81" s="201" t="str">
        <f t="shared" si="4"/>
        <v>Kauf nach CF</v>
      </c>
      <c r="J81" s="201" t="str">
        <f t="shared" si="4"/>
        <v>Kauf nach CF</v>
      </c>
      <c r="K81" s="140" t="s">
        <v>4</v>
      </c>
      <c r="L81" s="201"/>
      <c r="M81" s="140"/>
      <c r="N81" s="140"/>
      <c r="O81" s="140" t="s">
        <v>4</v>
      </c>
      <c r="P81" s="140" t="s">
        <v>4</v>
      </c>
      <c r="Q81" s="81" t="s">
        <v>5</v>
      </c>
      <c r="R81" s="75">
        <v>24.99</v>
      </c>
      <c r="S81" s="78" t="s">
        <v>6</v>
      </c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  <c r="AL81" s="147"/>
    </row>
    <row r="82" spans="1:38" ht="18" x14ac:dyDescent="0.25">
      <c r="B82" s="141"/>
      <c r="C82" s="72" t="s">
        <v>272</v>
      </c>
      <c r="D82" s="258" t="s">
        <v>198</v>
      </c>
      <c r="E82" s="258" t="s">
        <v>273</v>
      </c>
      <c r="F82" s="73" t="s">
        <v>130</v>
      </c>
      <c r="G82" s="201" t="s">
        <v>163</v>
      </c>
      <c r="H82" s="201" t="str">
        <f t="shared" si="4"/>
        <v>Kauf nach CF</v>
      </c>
      <c r="I82" s="201" t="str">
        <f t="shared" si="4"/>
        <v>Kauf nach CF</v>
      </c>
      <c r="J82" s="201" t="str">
        <f t="shared" si="4"/>
        <v>Kauf nach CF</v>
      </c>
      <c r="K82" s="140" t="s">
        <v>4</v>
      </c>
      <c r="L82" s="201"/>
      <c r="M82" s="140"/>
      <c r="N82" s="140"/>
      <c r="O82" s="201" t="str">
        <f>IF($B36="x","enthalten","Kauf nach CF")</f>
        <v>Kauf nach CF</v>
      </c>
      <c r="P82" s="140" t="s">
        <v>4</v>
      </c>
      <c r="Q82" s="81" t="s">
        <v>5</v>
      </c>
      <c r="R82" s="77">
        <v>14.99</v>
      </c>
      <c r="S82" s="78" t="s">
        <v>6</v>
      </c>
    </row>
    <row r="83" spans="1:38" s="76" customFormat="1" ht="18" x14ac:dyDescent="0.25">
      <c r="A83" s="147"/>
      <c r="B83" s="141"/>
      <c r="C83" s="225" t="s">
        <v>147</v>
      </c>
      <c r="D83" s="264" t="s">
        <v>199</v>
      </c>
      <c r="E83" s="264" t="s">
        <v>194</v>
      </c>
      <c r="F83" s="73" t="s">
        <v>130</v>
      </c>
      <c r="G83" s="201" t="s">
        <v>163</v>
      </c>
      <c r="H83" s="201" t="str">
        <f>IF($B39="x","enthalten","Kauf nach CF")</f>
        <v>Kauf nach CF</v>
      </c>
      <c r="I83" s="201" t="str">
        <f>IF($B39="x","enthalten","Kauf nach CF")</f>
        <v>Kauf nach CF</v>
      </c>
      <c r="J83" s="201" t="str">
        <f>IF($B39="x","enthalten","Kauf nach CF")</f>
        <v>Kauf nach CF</v>
      </c>
      <c r="K83" s="140" t="s">
        <v>4</v>
      </c>
      <c r="L83" s="140"/>
      <c r="M83" s="140"/>
      <c r="N83" s="140"/>
      <c r="O83" s="140" t="s">
        <v>4</v>
      </c>
      <c r="P83" s="140" t="s">
        <v>4</v>
      </c>
      <c r="Q83" s="81" t="s">
        <v>5</v>
      </c>
      <c r="R83" s="75">
        <v>4.99</v>
      </c>
      <c r="S83" s="78" t="s">
        <v>6</v>
      </c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  <c r="AL83" s="147"/>
    </row>
    <row r="84" spans="1:38" s="82" customFormat="1" ht="18" x14ac:dyDescent="0.3">
      <c r="A84" s="148"/>
      <c r="B84" s="142"/>
      <c r="C84" s="267" t="s">
        <v>343</v>
      </c>
      <c r="D84" s="438" t="s">
        <v>200</v>
      </c>
      <c r="E84" s="439" t="s">
        <v>201</v>
      </c>
      <c r="F84" s="440" t="s">
        <v>209</v>
      </c>
      <c r="G84" s="441" t="s">
        <v>172</v>
      </c>
      <c r="H84" s="441" t="s">
        <v>172</v>
      </c>
      <c r="I84" s="441" t="s">
        <v>172</v>
      </c>
      <c r="J84" s="441" t="s">
        <v>172</v>
      </c>
      <c r="K84" s="441" t="s">
        <v>172</v>
      </c>
      <c r="L84" s="140"/>
      <c r="M84" s="140"/>
      <c r="N84" s="140"/>
      <c r="O84" s="441" t="s">
        <v>172</v>
      </c>
      <c r="P84" s="441" t="s">
        <v>172</v>
      </c>
      <c r="Q84" s="81" t="s">
        <v>5</v>
      </c>
      <c r="R84" s="77" t="s">
        <v>5</v>
      </c>
      <c r="S84" s="443" t="s">
        <v>207</v>
      </c>
      <c r="T84" s="148"/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  <c r="AF84" s="148"/>
      <c r="AG84" s="148"/>
      <c r="AH84" s="148"/>
      <c r="AI84" s="148"/>
      <c r="AJ84" s="148"/>
      <c r="AK84" s="148"/>
      <c r="AL84" s="148"/>
    </row>
    <row r="85" spans="1:38" s="82" customFormat="1" ht="18.75" customHeight="1" x14ac:dyDescent="0.3">
      <c r="B85" s="142"/>
      <c r="C85" s="267" t="s">
        <v>353</v>
      </c>
      <c r="D85" s="299" t="s">
        <v>200</v>
      </c>
      <c r="E85" s="300" t="s">
        <v>208</v>
      </c>
      <c r="F85" s="301" t="s">
        <v>209</v>
      </c>
      <c r="G85" s="302" t="s">
        <v>172</v>
      </c>
      <c r="H85" s="302" t="s">
        <v>172</v>
      </c>
      <c r="I85" s="302" t="s">
        <v>172</v>
      </c>
      <c r="J85" s="302" t="s">
        <v>172</v>
      </c>
      <c r="K85" s="302" t="s">
        <v>172</v>
      </c>
      <c r="L85" s="305"/>
      <c r="M85" s="305"/>
      <c r="N85" s="305"/>
      <c r="O85" s="302" t="s">
        <v>172</v>
      </c>
      <c r="P85" s="302" t="s">
        <v>172</v>
      </c>
      <c r="Q85" s="303" t="s">
        <v>5</v>
      </c>
      <c r="R85" s="318" t="s">
        <v>5</v>
      </c>
      <c r="S85" s="310" t="s">
        <v>207</v>
      </c>
      <c r="T85" s="147"/>
      <c r="U85" s="147"/>
      <c r="V85" s="147"/>
      <c r="W85" s="147"/>
    </row>
    <row r="86" spans="1:38" s="82" customFormat="1" ht="18.75" customHeight="1" thickBot="1" x14ac:dyDescent="0.35">
      <c r="A86" s="148"/>
      <c r="B86" s="142"/>
      <c r="C86" s="267" t="s">
        <v>354</v>
      </c>
      <c r="D86" s="299" t="s">
        <v>200</v>
      </c>
      <c r="E86" s="300" t="s">
        <v>208</v>
      </c>
      <c r="F86" s="301" t="s">
        <v>209</v>
      </c>
      <c r="G86" s="302" t="s">
        <v>172</v>
      </c>
      <c r="H86" s="302" t="s">
        <v>172</v>
      </c>
      <c r="I86" s="302" t="s">
        <v>172</v>
      </c>
      <c r="J86" s="302" t="s">
        <v>172</v>
      </c>
      <c r="K86" s="302" t="s">
        <v>172</v>
      </c>
      <c r="L86" s="305"/>
      <c r="M86" s="305"/>
      <c r="N86" s="305"/>
      <c r="O86" s="302" t="s">
        <v>172</v>
      </c>
      <c r="P86" s="302" t="s">
        <v>172</v>
      </c>
      <c r="Q86" s="303" t="s">
        <v>5</v>
      </c>
      <c r="R86" s="318" t="s">
        <v>5</v>
      </c>
      <c r="S86" s="310" t="s">
        <v>207</v>
      </c>
      <c r="T86" s="147"/>
      <c r="U86" s="147"/>
      <c r="V86" s="147"/>
      <c r="W86" s="147"/>
      <c r="X86" s="148"/>
      <c r="Y86" s="148"/>
      <c r="Z86" s="148"/>
      <c r="AA86" s="148"/>
      <c r="AB86" s="148"/>
      <c r="AC86" s="148"/>
      <c r="AD86" s="148"/>
      <c r="AE86" s="148"/>
      <c r="AF86" s="148"/>
      <c r="AG86" s="148"/>
      <c r="AH86" s="148"/>
      <c r="AI86" s="148"/>
      <c r="AJ86" s="148"/>
      <c r="AK86" s="148"/>
      <c r="AL86" s="148"/>
    </row>
    <row r="87" spans="1:38" s="82" customFormat="1" ht="18.75" hidden="1" customHeight="1" outlineLevel="1" x14ac:dyDescent="0.3">
      <c r="A87" s="148"/>
      <c r="B87" s="142"/>
      <c r="C87" s="267"/>
      <c r="D87" s="299" t="s">
        <v>200</v>
      </c>
      <c r="E87" s="300" t="s">
        <v>201</v>
      </c>
      <c r="F87" s="301" t="s">
        <v>209</v>
      </c>
      <c r="G87" s="302" t="s">
        <v>172</v>
      </c>
      <c r="H87" s="302" t="s">
        <v>172</v>
      </c>
      <c r="I87" s="302" t="s">
        <v>172</v>
      </c>
      <c r="J87" s="302" t="s">
        <v>172</v>
      </c>
      <c r="K87" s="302" t="s">
        <v>172</v>
      </c>
      <c r="L87" s="305"/>
      <c r="M87" s="305"/>
      <c r="N87" s="305"/>
      <c r="O87" s="302" t="s">
        <v>172</v>
      </c>
      <c r="P87" s="302" t="s">
        <v>172</v>
      </c>
      <c r="Q87" s="303" t="s">
        <v>5</v>
      </c>
      <c r="R87" s="318" t="s">
        <v>5</v>
      </c>
      <c r="S87" s="310" t="s">
        <v>207</v>
      </c>
      <c r="T87" s="147"/>
      <c r="U87" s="147"/>
      <c r="V87" s="147"/>
      <c r="W87" s="147"/>
      <c r="X87" s="148"/>
      <c r="Y87" s="148"/>
      <c r="Z87" s="148"/>
      <c r="AA87" s="148"/>
      <c r="AB87" s="148"/>
      <c r="AC87" s="148"/>
      <c r="AD87" s="148"/>
      <c r="AE87" s="148"/>
      <c r="AF87" s="148"/>
      <c r="AG87" s="148"/>
      <c r="AH87" s="148"/>
      <c r="AI87" s="148"/>
      <c r="AJ87" s="148"/>
      <c r="AK87" s="148"/>
      <c r="AL87" s="148"/>
    </row>
    <row r="88" spans="1:38" s="82" customFormat="1" ht="18.75" hidden="1" customHeight="1" outlineLevel="1" x14ac:dyDescent="0.3">
      <c r="A88" s="148"/>
      <c r="B88" s="142"/>
      <c r="C88" s="268"/>
      <c r="D88" s="299" t="s">
        <v>199</v>
      </c>
      <c r="E88" s="300" t="s">
        <v>201</v>
      </c>
      <c r="F88" s="301" t="s">
        <v>171</v>
      </c>
      <c r="G88" s="302" t="s">
        <v>172</v>
      </c>
      <c r="H88" s="302" t="s">
        <v>172</v>
      </c>
      <c r="I88" s="302" t="s">
        <v>172</v>
      </c>
      <c r="J88" s="302" t="s">
        <v>172</v>
      </c>
      <c r="K88" s="302" t="s">
        <v>172</v>
      </c>
      <c r="L88" s="305"/>
      <c r="M88" s="305"/>
      <c r="N88" s="305"/>
      <c r="O88" s="302" t="s">
        <v>172</v>
      </c>
      <c r="P88" s="302" t="s">
        <v>172</v>
      </c>
      <c r="Q88" s="303" t="s">
        <v>5</v>
      </c>
      <c r="R88" s="318" t="s">
        <v>5</v>
      </c>
      <c r="S88" s="310" t="s">
        <v>206</v>
      </c>
      <c r="T88" s="147"/>
      <c r="U88" s="147"/>
      <c r="V88" s="147"/>
      <c r="W88" s="147"/>
      <c r="X88" s="148"/>
      <c r="Y88" s="148"/>
      <c r="Z88" s="148"/>
      <c r="AA88" s="148"/>
      <c r="AB88" s="148"/>
      <c r="AC88" s="148"/>
      <c r="AD88" s="148"/>
      <c r="AE88" s="148"/>
      <c r="AF88" s="148"/>
      <c r="AG88" s="148"/>
      <c r="AH88" s="148"/>
      <c r="AI88" s="148"/>
      <c r="AJ88" s="148"/>
      <c r="AK88" s="148"/>
      <c r="AL88" s="148"/>
    </row>
    <row r="89" spans="1:38" s="82" customFormat="1" ht="18.75" hidden="1" customHeight="1" outlineLevel="1" thickBot="1" x14ac:dyDescent="0.35">
      <c r="A89" s="148"/>
      <c r="B89" s="351"/>
      <c r="C89" s="268"/>
      <c r="D89" s="299" t="s">
        <v>199</v>
      </c>
      <c r="E89" s="300" t="s">
        <v>201</v>
      </c>
      <c r="F89" s="301" t="s">
        <v>171</v>
      </c>
      <c r="G89" s="302" t="s">
        <v>172</v>
      </c>
      <c r="H89" s="302" t="s">
        <v>172</v>
      </c>
      <c r="I89" s="302" t="s">
        <v>172</v>
      </c>
      <c r="J89" s="302" t="s">
        <v>172</v>
      </c>
      <c r="K89" s="302" t="s">
        <v>172</v>
      </c>
      <c r="L89" s="305"/>
      <c r="M89" s="305"/>
      <c r="N89" s="305"/>
      <c r="O89" s="302" t="s">
        <v>172</v>
      </c>
      <c r="P89" s="302" t="s">
        <v>172</v>
      </c>
      <c r="Q89" s="303" t="s">
        <v>5</v>
      </c>
      <c r="R89" s="318" t="s">
        <v>5</v>
      </c>
      <c r="S89" s="348" t="s">
        <v>206</v>
      </c>
      <c r="T89" s="147"/>
      <c r="U89" s="147"/>
      <c r="V89" s="147"/>
      <c r="W89" s="147"/>
      <c r="X89" s="148"/>
      <c r="Y89" s="148"/>
      <c r="Z89" s="148"/>
      <c r="AA89" s="148"/>
      <c r="AB89" s="148"/>
      <c r="AC89" s="148"/>
      <c r="AD89" s="148"/>
      <c r="AE89" s="148"/>
      <c r="AF89" s="148"/>
      <c r="AG89" s="148"/>
      <c r="AH89" s="148"/>
      <c r="AI89" s="148"/>
      <c r="AJ89" s="148"/>
      <c r="AK89" s="148"/>
      <c r="AL89" s="148"/>
    </row>
    <row r="90" spans="1:38" s="1" customFormat="1" ht="14.25" collapsed="1" thickBot="1" x14ac:dyDescent="0.3">
      <c r="A90" s="149"/>
      <c r="B90" s="352" t="s">
        <v>168</v>
      </c>
      <c r="C90" s="555" t="s">
        <v>212</v>
      </c>
      <c r="D90" s="556"/>
      <c r="E90" s="556"/>
      <c r="F90" s="557"/>
      <c r="G90" s="213">
        <f t="shared" ref="G90:P90" si="5">SUMIF(G$77:G$89,"µ",$R$77:$R$89)</f>
        <v>0</v>
      </c>
      <c r="H90" s="213">
        <f t="shared" si="5"/>
        <v>0</v>
      </c>
      <c r="I90" s="213">
        <f t="shared" si="5"/>
        <v>0</v>
      </c>
      <c r="J90" s="213">
        <f t="shared" si="5"/>
        <v>0</v>
      </c>
      <c r="K90" s="213">
        <f t="shared" si="5"/>
        <v>104.94999999999999</v>
      </c>
      <c r="L90" s="213">
        <f t="shared" si="5"/>
        <v>0</v>
      </c>
      <c r="M90" s="213">
        <f t="shared" si="5"/>
        <v>0</v>
      </c>
      <c r="N90" s="213">
        <f t="shared" si="5"/>
        <v>0</v>
      </c>
      <c r="O90" s="213">
        <f t="shared" si="5"/>
        <v>89.96</v>
      </c>
      <c r="P90" s="214">
        <f t="shared" si="5"/>
        <v>104.94999999999999</v>
      </c>
      <c r="Q90" s="215">
        <f>SUM(Q77:Q89)</f>
        <v>0</v>
      </c>
      <c r="R90" s="216">
        <f>SUM(R77:R89)</f>
        <v>104.94999999999999</v>
      </c>
      <c r="S90" s="370"/>
      <c r="T90" s="149"/>
      <c r="U90" s="149"/>
      <c r="V90" s="149"/>
      <c r="W90" s="149"/>
      <c r="X90" s="149"/>
      <c r="Y90" s="149"/>
      <c r="Z90" s="149"/>
      <c r="AA90" s="149"/>
      <c r="AB90" s="149"/>
      <c r="AC90" s="149"/>
      <c r="AD90" s="149"/>
      <c r="AE90" s="149"/>
      <c r="AF90" s="149"/>
      <c r="AG90" s="149"/>
      <c r="AH90" s="149"/>
      <c r="AI90" s="149"/>
      <c r="AJ90" s="149"/>
      <c r="AK90" s="149"/>
      <c r="AL90" s="149"/>
    </row>
    <row r="91" spans="1:38" s="1" customFormat="1" ht="14.25" thickBot="1" x14ac:dyDescent="0.3">
      <c r="A91" s="149"/>
      <c r="B91" s="212" t="s">
        <v>169</v>
      </c>
      <c r="C91" s="555" t="s">
        <v>213</v>
      </c>
      <c r="D91" s="556"/>
      <c r="E91" s="556"/>
      <c r="F91" s="557"/>
      <c r="G91" s="213">
        <f t="shared" ref="G91:R91" si="6">G73+G90</f>
        <v>0</v>
      </c>
      <c r="H91" s="213">
        <f t="shared" si="6"/>
        <v>19.95</v>
      </c>
      <c r="I91" s="213">
        <f t="shared" si="6"/>
        <v>29.95</v>
      </c>
      <c r="J91" s="213">
        <f t="shared" si="6"/>
        <v>49.95</v>
      </c>
      <c r="K91" s="213">
        <f t="shared" si="6"/>
        <v>104.94999999999999</v>
      </c>
      <c r="L91" s="213">
        <f t="shared" si="6"/>
        <v>0</v>
      </c>
      <c r="M91" s="213">
        <f t="shared" si="6"/>
        <v>0</v>
      </c>
      <c r="N91" s="213">
        <f t="shared" si="6"/>
        <v>0</v>
      </c>
      <c r="O91" s="213">
        <f t="shared" si="6"/>
        <v>257.70999999999998</v>
      </c>
      <c r="P91" s="214">
        <f t="shared" si="6"/>
        <v>312.59999999999997</v>
      </c>
      <c r="Q91" s="215">
        <f t="shared" si="6"/>
        <v>669.39999999999986</v>
      </c>
      <c r="R91" s="216">
        <f t="shared" si="6"/>
        <v>845.25000000000023</v>
      </c>
      <c r="S91" s="149"/>
      <c r="T91" s="149"/>
      <c r="U91" s="149"/>
      <c r="V91" s="149"/>
      <c r="W91" s="149"/>
      <c r="X91" s="149"/>
      <c r="Y91" s="149"/>
      <c r="Z91" s="149"/>
      <c r="AA91" s="149"/>
      <c r="AB91" s="149"/>
      <c r="AC91" s="149"/>
      <c r="AD91" s="149"/>
      <c r="AE91" s="149"/>
      <c r="AF91" s="149"/>
      <c r="AG91" s="149"/>
      <c r="AH91" s="149"/>
      <c r="AI91" s="149"/>
      <c r="AJ91" s="149"/>
      <c r="AK91" s="149"/>
      <c r="AL91" s="149"/>
    </row>
    <row r="92" spans="1:38" s="1" customFormat="1" ht="6.75" customHeight="1" thickBot="1" x14ac:dyDescent="0.3">
      <c r="A92" s="149"/>
      <c r="B92" s="164"/>
      <c r="C92" s="165"/>
      <c r="D92" s="261"/>
      <c r="E92" s="261"/>
      <c r="F92" s="165"/>
      <c r="G92" s="166"/>
      <c r="H92" s="166"/>
      <c r="I92" s="166"/>
      <c r="J92" s="166"/>
      <c r="K92" s="166"/>
      <c r="L92" s="166"/>
      <c r="M92" s="166"/>
      <c r="N92" s="166"/>
      <c r="O92" s="166"/>
      <c r="P92" s="166"/>
      <c r="Q92" s="167"/>
      <c r="R92" s="168"/>
      <c r="S92" s="149"/>
      <c r="T92" s="149"/>
      <c r="U92" s="149"/>
      <c r="V92" s="149"/>
      <c r="W92" s="149"/>
      <c r="X92" s="149"/>
      <c r="Y92" s="149"/>
      <c r="Z92" s="149"/>
      <c r="AA92" s="149"/>
      <c r="AB92" s="149"/>
      <c r="AC92" s="149"/>
      <c r="AD92" s="149"/>
      <c r="AE92" s="149"/>
      <c r="AF92" s="149"/>
      <c r="AG92" s="149"/>
      <c r="AH92" s="149"/>
      <c r="AI92" s="149"/>
      <c r="AJ92" s="149"/>
      <c r="AK92" s="149"/>
      <c r="AL92" s="149"/>
    </row>
    <row r="93" spans="1:38" s="1" customFormat="1" ht="15.75" thickBot="1" x14ac:dyDescent="0.3">
      <c r="A93" s="149"/>
      <c r="B93" s="217" t="s">
        <v>7</v>
      </c>
      <c r="C93" s="552" t="s">
        <v>214</v>
      </c>
      <c r="D93" s="553"/>
      <c r="E93" s="553"/>
      <c r="F93" s="554"/>
      <c r="G93" s="184">
        <f>G$7+SUMIFS($Q$31:$Q$89,$B$31:$B$89,"x",G$31:G$89,"Zusatzprodukt")+SUMIFS($R$31:$R$89,$B$31:$B$89,"x",G$31:G$89,"Kauf nach CF")</f>
        <v>0</v>
      </c>
      <c r="H93" s="184">
        <f>H$7+SUMIFS($Q$31:$Q$89,$B$31:$B$89,"x",H$31:H$89,"Zusatzprodukt")+SUMIFS($R$31:$R$89,$B$31:$B$89,"x",H$31:H$89,"Kauf nach CF")</f>
        <v>20</v>
      </c>
      <c r="I93" s="184">
        <f>I$7+SUMIFS($Q$31:$Q$89,$B$31:$B$89,"x",I$31:I$89,"Zusatzprodukt")+SUMIFS($R$31:$R$89,$B$31:$B$89,"x",I$31:I$89,"Kauf nach CF")</f>
        <v>29.95</v>
      </c>
      <c r="J93" s="184">
        <f>J$7+SUMIFS($Q$31:$Q$89,$B$31:$B$89,"x",J$31:J$89,"Zusatzprodukt")+SUMIFS($R$31:$R$89,$B$31:$B$89,"x",J$31:J$89,"Kauf nach CF")</f>
        <v>50</v>
      </c>
      <c r="K93" s="184">
        <f>K$7+SUMIFS($Q$31:$Q$89,$B$31:$B$89,"x",K$31:K$89,"Zusatzprodukt")+SUMIFS($R$31:$R$89,$B$31:$B$89,"x",K$31:K$89,"Kauf nach CF")</f>
        <v>70</v>
      </c>
      <c r="L93" s="184"/>
      <c r="M93" s="184"/>
      <c r="N93" s="184"/>
      <c r="O93" s="184">
        <f>O$7+SUMIFS($Q$31:$Q$89,$B$31:$B$89,"x",O$31:O$89,"Zusatzprodukt")+SUMIFS($R$31:$R$89,$B$31:$B$89,"x",O$31:O$89,"Kauf nach CF")</f>
        <v>130</v>
      </c>
      <c r="P93" s="185">
        <f>P$7+SUMIFS($Q$31:$Q$89,$B$31:$B$89,"x",P$31:P$89,"Zusatzprodukt")+SUMIFS($R$31:$R$89,$B$31:$B$89,"x",P$31:P$89,"Kauf nach CF")</f>
        <v>165</v>
      </c>
      <c r="Q93" s="167"/>
      <c r="R93" s="168"/>
      <c r="S93" s="149"/>
      <c r="T93" s="149"/>
      <c r="U93" s="149"/>
      <c r="V93" s="149"/>
      <c r="W93" s="149"/>
      <c r="X93" s="149"/>
      <c r="Y93" s="149"/>
      <c r="Z93" s="149"/>
      <c r="AA93" s="149"/>
      <c r="AB93" s="149"/>
      <c r="AC93" s="149"/>
      <c r="AD93" s="149"/>
      <c r="AE93" s="149"/>
      <c r="AF93" s="149"/>
      <c r="AG93" s="149"/>
      <c r="AH93" s="149"/>
      <c r="AI93" s="149"/>
      <c r="AJ93" s="149"/>
      <c r="AK93" s="149"/>
      <c r="AL93" s="149"/>
    </row>
    <row r="94" spans="1:38" s="1" customFormat="1" x14ac:dyDescent="0.25">
      <c r="A94" s="149"/>
      <c r="B94" s="164"/>
      <c r="C94" s="544" t="s">
        <v>210</v>
      </c>
      <c r="D94" s="545"/>
      <c r="E94" s="545"/>
      <c r="F94" s="239" t="s">
        <v>235</v>
      </c>
      <c r="G94" s="241" t="s">
        <v>8</v>
      </c>
      <c r="H94" s="240">
        <f>$G$93-H$93</f>
        <v>-20</v>
      </c>
      <c r="I94" s="240">
        <f>$G$93-I$93</f>
        <v>-29.95</v>
      </c>
      <c r="J94" s="240">
        <f>$G$93-J$93</f>
        <v>-50</v>
      </c>
      <c r="K94" s="240">
        <f>$G$93-K$93</f>
        <v>-70</v>
      </c>
      <c r="L94" s="240"/>
      <c r="M94" s="240"/>
      <c r="N94" s="240"/>
      <c r="O94" s="240">
        <f>$G$93-O$93</f>
        <v>-130</v>
      </c>
      <c r="P94" s="242">
        <f>$G$93-P$93</f>
        <v>-165</v>
      </c>
      <c r="Q94" s="167"/>
      <c r="R94" s="168"/>
      <c r="S94" s="149"/>
      <c r="T94" s="149"/>
      <c r="U94" s="149"/>
      <c r="V94" s="149"/>
      <c r="W94" s="149"/>
      <c r="X94" s="149"/>
      <c r="Y94" s="149"/>
      <c r="Z94" s="149"/>
      <c r="AA94" s="149"/>
      <c r="AB94" s="149"/>
      <c r="AC94" s="149"/>
      <c r="AD94" s="149"/>
      <c r="AE94" s="149"/>
      <c r="AF94" s="149"/>
      <c r="AG94" s="149"/>
      <c r="AH94" s="149"/>
      <c r="AI94" s="149"/>
      <c r="AJ94" s="149"/>
      <c r="AK94" s="149"/>
      <c r="AL94" s="149"/>
    </row>
    <row r="95" spans="1:38" s="1" customFormat="1" ht="18" customHeight="1" x14ac:dyDescent="0.25">
      <c r="A95" s="149"/>
      <c r="B95" s="164"/>
      <c r="C95" s="546"/>
      <c r="D95" s="547"/>
      <c r="E95" s="547"/>
      <c r="F95" s="239" t="s">
        <v>254</v>
      </c>
      <c r="G95" s="240">
        <f>$H$93-G$93</f>
        <v>20</v>
      </c>
      <c r="H95" s="241" t="s">
        <v>8</v>
      </c>
      <c r="I95" s="240">
        <f>$H$93-I$93</f>
        <v>-9.9499999999999993</v>
      </c>
      <c r="J95" s="240">
        <f>$H$93-J$93</f>
        <v>-30</v>
      </c>
      <c r="K95" s="240">
        <f>$H$93-K$93</f>
        <v>-50</v>
      </c>
      <c r="L95" s="240"/>
      <c r="M95" s="240"/>
      <c r="N95" s="240"/>
      <c r="O95" s="240">
        <f>$H$93-O$93</f>
        <v>-110</v>
      </c>
      <c r="P95" s="242">
        <f>$H$93-P$93</f>
        <v>-145</v>
      </c>
      <c r="Q95" s="167"/>
      <c r="R95" s="168"/>
      <c r="S95" s="149"/>
      <c r="T95" s="149"/>
      <c r="U95" s="149"/>
      <c r="V95" s="149"/>
      <c r="W95" s="149"/>
      <c r="X95" s="149"/>
      <c r="Y95" s="149"/>
      <c r="Z95" s="149"/>
      <c r="AA95" s="149"/>
      <c r="AB95" s="149"/>
      <c r="AC95" s="149"/>
      <c r="AD95" s="149"/>
      <c r="AE95" s="149"/>
      <c r="AF95" s="149"/>
      <c r="AG95" s="149"/>
      <c r="AH95" s="149"/>
      <c r="AI95" s="149"/>
      <c r="AJ95" s="149"/>
      <c r="AK95" s="149"/>
      <c r="AL95" s="149"/>
    </row>
    <row r="96" spans="1:38" s="1" customFormat="1" ht="18" customHeight="1" x14ac:dyDescent="0.25">
      <c r="A96" s="149"/>
      <c r="B96" s="164"/>
      <c r="C96" s="546"/>
      <c r="D96" s="547"/>
      <c r="E96" s="547"/>
      <c r="F96" s="239" t="s">
        <v>255</v>
      </c>
      <c r="G96" s="240">
        <f>$I$93-G$93</f>
        <v>29.95</v>
      </c>
      <c r="H96" s="240">
        <f>$I$93-H$93</f>
        <v>9.9499999999999993</v>
      </c>
      <c r="I96" s="241" t="s">
        <v>8</v>
      </c>
      <c r="J96" s="240">
        <f>$I$93-J$93</f>
        <v>-20.05</v>
      </c>
      <c r="K96" s="240">
        <f>$I$93-K$93</f>
        <v>-40.049999999999997</v>
      </c>
      <c r="L96" s="240"/>
      <c r="M96" s="240"/>
      <c r="N96" s="240"/>
      <c r="O96" s="240">
        <f>$I$93-O$93</f>
        <v>-100.05</v>
      </c>
      <c r="P96" s="242">
        <f>$I$93-P$93</f>
        <v>-135.05000000000001</v>
      </c>
      <c r="Q96" s="167"/>
      <c r="R96" s="168"/>
      <c r="S96" s="149"/>
      <c r="T96" s="149"/>
      <c r="U96" s="149"/>
      <c r="V96" s="149"/>
      <c r="W96" s="149"/>
      <c r="X96" s="149"/>
      <c r="Y96" s="149"/>
      <c r="Z96" s="149"/>
      <c r="AA96" s="149"/>
      <c r="AB96" s="149"/>
      <c r="AC96" s="149"/>
      <c r="AD96" s="149"/>
      <c r="AE96" s="149"/>
      <c r="AF96" s="149"/>
      <c r="AG96" s="149"/>
      <c r="AH96" s="149"/>
      <c r="AI96" s="149"/>
      <c r="AJ96" s="149"/>
      <c r="AK96" s="149"/>
      <c r="AL96" s="149"/>
    </row>
    <row r="97" spans="1:38" s="1" customFormat="1" ht="18" customHeight="1" x14ac:dyDescent="0.25">
      <c r="A97" s="149"/>
      <c r="B97" s="164"/>
      <c r="C97" s="546"/>
      <c r="D97" s="547"/>
      <c r="E97" s="547"/>
      <c r="F97" s="239" t="s">
        <v>256</v>
      </c>
      <c r="G97" s="240">
        <f>$J$93-G$93</f>
        <v>50</v>
      </c>
      <c r="H97" s="240">
        <f>$J$93-H$93</f>
        <v>30</v>
      </c>
      <c r="I97" s="240">
        <f>$J$93-I$93</f>
        <v>20.05</v>
      </c>
      <c r="J97" s="241" t="s">
        <v>8</v>
      </c>
      <c r="K97" s="240">
        <f>$J$93-K$93</f>
        <v>-20</v>
      </c>
      <c r="L97" s="240"/>
      <c r="M97" s="240"/>
      <c r="N97" s="240"/>
      <c r="O97" s="240">
        <f>$J$93-O$93</f>
        <v>-80</v>
      </c>
      <c r="P97" s="242">
        <f>$J$93-P$93</f>
        <v>-115</v>
      </c>
      <c r="Q97" s="167"/>
      <c r="R97" s="168"/>
      <c r="S97" s="149"/>
      <c r="T97" s="149"/>
      <c r="U97" s="149"/>
      <c r="V97" s="149"/>
      <c r="W97" s="149"/>
      <c r="X97" s="149"/>
      <c r="Y97" s="149"/>
      <c r="Z97" s="149"/>
      <c r="AA97" s="149"/>
      <c r="AB97" s="149"/>
      <c r="AC97" s="149"/>
      <c r="AD97" s="149"/>
      <c r="AE97" s="149"/>
      <c r="AF97" s="149"/>
      <c r="AG97" s="149"/>
      <c r="AH97" s="149"/>
      <c r="AI97" s="149"/>
      <c r="AJ97" s="149"/>
      <c r="AK97" s="149"/>
      <c r="AL97" s="149"/>
    </row>
    <row r="98" spans="1:38" s="1" customFormat="1" ht="18" customHeight="1" x14ac:dyDescent="0.25">
      <c r="A98" s="149"/>
      <c r="B98" s="164"/>
      <c r="C98" s="546"/>
      <c r="D98" s="547"/>
      <c r="E98" s="547"/>
      <c r="F98" s="239" t="s">
        <v>257</v>
      </c>
      <c r="G98" s="240">
        <f>$K$93-G$93</f>
        <v>70</v>
      </c>
      <c r="H98" s="240">
        <f>$K$93-H$93</f>
        <v>50</v>
      </c>
      <c r="I98" s="240">
        <f>$K$93-I$93</f>
        <v>40.049999999999997</v>
      </c>
      <c r="J98" s="240">
        <f>$K$93-J$93</f>
        <v>20</v>
      </c>
      <c r="K98" s="241" t="s">
        <v>8</v>
      </c>
      <c r="L98" s="240"/>
      <c r="M98" s="240"/>
      <c r="N98" s="240"/>
      <c r="O98" s="240">
        <f>$K$93-O$93</f>
        <v>-60</v>
      </c>
      <c r="P98" s="242">
        <f>$K$93-P$93</f>
        <v>-95</v>
      </c>
      <c r="Q98" s="167"/>
      <c r="R98" s="168"/>
      <c r="S98" s="149"/>
      <c r="T98" s="149"/>
      <c r="U98" s="149"/>
      <c r="V98" s="149"/>
      <c r="W98" s="149"/>
      <c r="X98" s="149"/>
      <c r="Y98" s="149"/>
      <c r="Z98" s="149"/>
      <c r="AA98" s="149"/>
      <c r="AB98" s="149"/>
      <c r="AC98" s="149"/>
      <c r="AD98" s="149"/>
      <c r="AE98" s="149"/>
      <c r="AF98" s="149"/>
      <c r="AG98" s="149"/>
      <c r="AH98" s="149"/>
      <c r="AI98" s="149"/>
      <c r="AJ98" s="149"/>
      <c r="AK98" s="149"/>
      <c r="AL98" s="149"/>
    </row>
    <row r="99" spans="1:38" s="1" customFormat="1" ht="18" hidden="1" customHeight="1" outlineLevel="1" x14ac:dyDescent="0.25">
      <c r="A99" s="149"/>
      <c r="B99" s="164"/>
      <c r="C99" s="546"/>
      <c r="D99" s="547"/>
      <c r="E99" s="547"/>
      <c r="F99" s="239"/>
      <c r="G99" s="240">
        <f>$L$93-G$93</f>
        <v>0</v>
      </c>
      <c r="H99" s="240">
        <f>$L$93-H$93</f>
        <v>-20</v>
      </c>
      <c r="I99" s="240">
        <f>$L$93-I$93</f>
        <v>-29.95</v>
      </c>
      <c r="J99" s="240">
        <f>$L$93-J$93</f>
        <v>-50</v>
      </c>
      <c r="K99" s="240">
        <f>$L$93-K$93</f>
        <v>-70</v>
      </c>
      <c r="L99" s="241"/>
      <c r="M99" s="240"/>
      <c r="N99" s="240"/>
      <c r="O99" s="240">
        <f>$L$93-O$93</f>
        <v>-130</v>
      </c>
      <c r="P99" s="242">
        <f>$L$93-P$93</f>
        <v>-165</v>
      </c>
      <c r="Q99" s="167"/>
      <c r="R99" s="168"/>
      <c r="S99" s="149"/>
      <c r="T99" s="149"/>
      <c r="U99" s="149"/>
      <c r="V99" s="149"/>
      <c r="W99" s="149"/>
      <c r="X99" s="149"/>
      <c r="Y99" s="149"/>
      <c r="Z99" s="149"/>
      <c r="AA99" s="149"/>
      <c r="AB99" s="149"/>
      <c r="AC99" s="149"/>
      <c r="AD99" s="149"/>
      <c r="AE99" s="149"/>
      <c r="AF99" s="149"/>
      <c r="AG99" s="149"/>
      <c r="AH99" s="149"/>
      <c r="AI99" s="149"/>
      <c r="AJ99" s="149"/>
      <c r="AK99" s="149"/>
      <c r="AL99" s="149"/>
    </row>
    <row r="100" spans="1:38" s="1" customFormat="1" ht="18" hidden="1" customHeight="1" outlineLevel="1" x14ac:dyDescent="0.25">
      <c r="A100" s="149"/>
      <c r="B100" s="164"/>
      <c r="C100" s="546"/>
      <c r="D100" s="547"/>
      <c r="E100" s="547"/>
      <c r="F100" s="239"/>
      <c r="G100" s="240">
        <f>$M$93-G$93</f>
        <v>0</v>
      </c>
      <c r="H100" s="240">
        <f>$M$93-H$93</f>
        <v>-20</v>
      </c>
      <c r="I100" s="240">
        <f>$M$93-I$93</f>
        <v>-29.95</v>
      </c>
      <c r="J100" s="240">
        <f>$M$93-J$93</f>
        <v>-50</v>
      </c>
      <c r="K100" s="240">
        <f>$M$93-K$93</f>
        <v>-70</v>
      </c>
      <c r="L100" s="240"/>
      <c r="M100" s="241"/>
      <c r="N100" s="240"/>
      <c r="O100" s="240">
        <f>$M$93-O$93</f>
        <v>-130</v>
      </c>
      <c r="P100" s="242">
        <f>$M$93-P$93</f>
        <v>-165</v>
      </c>
      <c r="Q100" s="167"/>
      <c r="R100" s="168"/>
      <c r="S100" s="149"/>
      <c r="T100" s="149"/>
      <c r="U100" s="149"/>
      <c r="V100" s="149"/>
      <c r="W100" s="149"/>
      <c r="X100" s="149"/>
      <c r="Y100" s="149"/>
      <c r="Z100" s="149"/>
      <c r="AA100" s="149"/>
      <c r="AB100" s="149"/>
      <c r="AC100" s="149"/>
      <c r="AD100" s="149"/>
      <c r="AE100" s="149"/>
      <c r="AF100" s="149"/>
      <c r="AG100" s="149"/>
      <c r="AH100" s="149"/>
      <c r="AI100" s="149"/>
      <c r="AJ100" s="149"/>
      <c r="AK100" s="149"/>
      <c r="AL100" s="149"/>
    </row>
    <row r="101" spans="1:38" s="1" customFormat="1" ht="18" hidden="1" customHeight="1" outlineLevel="1" x14ac:dyDescent="0.25">
      <c r="A101" s="149"/>
      <c r="B101" s="164"/>
      <c r="C101" s="546"/>
      <c r="D101" s="547"/>
      <c r="E101" s="547"/>
      <c r="F101" s="239"/>
      <c r="G101" s="240">
        <f>$N$93-G$93</f>
        <v>0</v>
      </c>
      <c r="H101" s="240">
        <f>$N$93-H$93</f>
        <v>-20</v>
      </c>
      <c r="I101" s="240">
        <f>$N$93-I$93</f>
        <v>-29.95</v>
      </c>
      <c r="J101" s="240">
        <f>$N$93-J$93</f>
        <v>-50</v>
      </c>
      <c r="K101" s="240">
        <f>$N$93-K$93</f>
        <v>-70</v>
      </c>
      <c r="L101" s="240"/>
      <c r="M101" s="240"/>
      <c r="N101" s="241"/>
      <c r="O101" s="240">
        <f>$N$93-O$93</f>
        <v>-130</v>
      </c>
      <c r="P101" s="242">
        <f>$N$93-P$93</f>
        <v>-165</v>
      </c>
      <c r="Q101" s="167"/>
      <c r="R101" s="168"/>
      <c r="S101" s="149"/>
      <c r="T101" s="149"/>
      <c r="U101" s="149"/>
      <c r="V101" s="149"/>
      <c r="W101" s="149"/>
      <c r="X101" s="149"/>
      <c r="Y101" s="149"/>
      <c r="Z101" s="149"/>
      <c r="AA101" s="149"/>
      <c r="AB101" s="149"/>
      <c r="AC101" s="149"/>
      <c r="AD101" s="149"/>
      <c r="AE101" s="149"/>
      <c r="AF101" s="149"/>
      <c r="AG101" s="149"/>
      <c r="AH101" s="149"/>
      <c r="AI101" s="149"/>
      <c r="AJ101" s="149"/>
      <c r="AK101" s="149"/>
      <c r="AL101" s="149"/>
    </row>
    <row r="102" spans="1:38" s="1" customFormat="1" ht="18" customHeight="1" collapsed="1" x14ac:dyDescent="0.25">
      <c r="A102" s="149"/>
      <c r="B102" s="164"/>
      <c r="C102" s="546"/>
      <c r="D102" s="547"/>
      <c r="E102" s="547"/>
      <c r="F102" s="239" t="s">
        <v>324</v>
      </c>
      <c r="G102" s="240">
        <f>$O$93-G$93</f>
        <v>130</v>
      </c>
      <c r="H102" s="240">
        <f>$O$93-H$93</f>
        <v>110</v>
      </c>
      <c r="I102" s="240">
        <f>$O$93-I$93</f>
        <v>100.05</v>
      </c>
      <c r="J102" s="240">
        <f>$O$93-J$93</f>
        <v>80</v>
      </c>
      <c r="K102" s="240">
        <f>$O$93-K$93</f>
        <v>60</v>
      </c>
      <c r="L102" s="240"/>
      <c r="M102" s="240"/>
      <c r="N102" s="240"/>
      <c r="O102" s="241" t="s">
        <v>8</v>
      </c>
      <c r="P102" s="242">
        <f>$O$93-P$93</f>
        <v>-35</v>
      </c>
      <c r="Q102" s="167"/>
      <c r="R102" s="168"/>
      <c r="S102" s="149"/>
      <c r="T102" s="149"/>
      <c r="U102" s="149"/>
      <c r="V102" s="149"/>
      <c r="W102" s="149"/>
      <c r="X102" s="149"/>
      <c r="Y102" s="149"/>
      <c r="Z102" s="149"/>
      <c r="AA102" s="149"/>
      <c r="AB102" s="149"/>
      <c r="AC102" s="149"/>
      <c r="AD102" s="149"/>
      <c r="AE102" s="149"/>
      <c r="AF102" s="149"/>
      <c r="AG102" s="149"/>
      <c r="AH102" s="149"/>
      <c r="AI102" s="149"/>
      <c r="AJ102" s="149"/>
      <c r="AK102" s="149"/>
      <c r="AL102" s="149"/>
    </row>
    <row r="103" spans="1:38" s="1" customFormat="1" ht="18.75" customHeight="1" thickBot="1" x14ac:dyDescent="0.3">
      <c r="A103" s="149"/>
      <c r="B103" s="164"/>
      <c r="C103" s="548"/>
      <c r="D103" s="549"/>
      <c r="E103" s="549"/>
      <c r="F103" s="243" t="s">
        <v>259</v>
      </c>
      <c r="G103" s="244">
        <f>$P$93-G$93</f>
        <v>165</v>
      </c>
      <c r="H103" s="244">
        <f>$P$93-H$93</f>
        <v>145</v>
      </c>
      <c r="I103" s="244">
        <f>$P$93-I$93</f>
        <v>135.05000000000001</v>
      </c>
      <c r="J103" s="244">
        <f>$P$93-J$93</f>
        <v>115</v>
      </c>
      <c r="K103" s="244">
        <f>$P$93-K$93</f>
        <v>95</v>
      </c>
      <c r="L103" s="244"/>
      <c r="M103" s="244"/>
      <c r="N103" s="244"/>
      <c r="O103" s="244">
        <f>$P$93-O$93</f>
        <v>35</v>
      </c>
      <c r="P103" s="245" t="s">
        <v>8</v>
      </c>
      <c r="Q103" s="167"/>
      <c r="R103" s="168"/>
      <c r="S103" s="149"/>
      <c r="T103" s="149"/>
      <c r="U103" s="149"/>
      <c r="V103" s="149"/>
      <c r="W103" s="149"/>
      <c r="X103" s="149"/>
      <c r="Y103" s="149"/>
      <c r="Z103" s="149"/>
      <c r="AA103" s="149"/>
      <c r="AB103" s="149"/>
      <c r="AC103" s="149"/>
      <c r="AD103" s="149"/>
      <c r="AE103" s="149"/>
      <c r="AF103" s="149"/>
      <c r="AG103" s="149"/>
      <c r="AH103" s="149"/>
      <c r="AI103" s="149"/>
      <c r="AJ103" s="149"/>
      <c r="AK103" s="149"/>
      <c r="AL103" s="149"/>
    </row>
    <row r="104" spans="1:38" s="1" customFormat="1" ht="15.75" thickBot="1" x14ac:dyDescent="0.3">
      <c r="A104" s="149"/>
      <c r="B104" s="164"/>
      <c r="C104" s="165"/>
      <c r="D104" s="261"/>
      <c r="E104" s="261"/>
      <c r="F104" s="165"/>
      <c r="G104" s="166"/>
      <c r="H104" s="166"/>
      <c r="I104" s="166"/>
      <c r="J104" s="166"/>
      <c r="K104" s="166"/>
      <c r="L104" s="166"/>
      <c r="M104" s="166"/>
      <c r="N104" s="166"/>
      <c r="O104" s="166"/>
      <c r="P104" s="166"/>
      <c r="Q104" s="167"/>
      <c r="R104" s="168"/>
      <c r="S104" s="149"/>
      <c r="T104" s="149"/>
      <c r="U104" s="149"/>
      <c r="V104" s="149"/>
      <c r="W104" s="149"/>
      <c r="X104" s="149"/>
      <c r="Y104" s="149"/>
      <c r="Z104" s="149"/>
      <c r="AA104" s="149"/>
      <c r="AB104" s="149"/>
      <c r="AC104" s="149"/>
      <c r="AD104" s="149"/>
      <c r="AE104" s="149"/>
      <c r="AF104" s="149"/>
      <c r="AG104" s="149"/>
      <c r="AH104" s="149"/>
      <c r="AI104" s="149"/>
      <c r="AJ104" s="149"/>
      <c r="AK104" s="149"/>
      <c r="AL104" s="149"/>
    </row>
    <row r="105" spans="1:38" s="1" customFormat="1" x14ac:dyDescent="0.3">
      <c r="A105" s="149"/>
      <c r="B105" s="558" t="s">
        <v>9</v>
      </c>
      <c r="C105" s="566" t="s">
        <v>215</v>
      </c>
      <c r="D105" s="567"/>
      <c r="E105" s="567"/>
      <c r="F105" s="568"/>
      <c r="G105" s="563">
        <f>SUMIF($B$31:$B$89,"x",$R$31:$R$89)</f>
        <v>0</v>
      </c>
      <c r="H105" s="564"/>
      <c r="I105" s="564"/>
      <c r="J105" s="564"/>
      <c r="K105" s="564"/>
      <c r="L105" s="564"/>
      <c r="M105" s="564"/>
      <c r="N105" s="564"/>
      <c r="O105" s="564"/>
      <c r="P105" s="565"/>
      <c r="Q105" s="169"/>
      <c r="R105" s="170"/>
      <c r="S105" s="149"/>
      <c r="T105" s="149"/>
      <c r="U105" s="149"/>
      <c r="V105" s="149"/>
      <c r="W105" s="149"/>
      <c r="X105" s="149"/>
      <c r="Y105" s="149"/>
      <c r="Z105" s="149"/>
      <c r="AA105" s="149"/>
      <c r="AB105" s="149"/>
      <c r="AC105" s="149"/>
      <c r="AD105" s="149"/>
      <c r="AE105" s="149"/>
      <c r="AF105" s="149"/>
      <c r="AG105" s="149"/>
      <c r="AH105" s="149"/>
      <c r="AI105" s="149"/>
      <c r="AJ105" s="149"/>
      <c r="AK105" s="149"/>
      <c r="AL105" s="149"/>
    </row>
    <row r="106" spans="1:38" s="1" customFormat="1" x14ac:dyDescent="0.3">
      <c r="A106" s="149"/>
      <c r="B106" s="559"/>
      <c r="C106" s="575" t="s">
        <v>216</v>
      </c>
      <c r="D106" s="576"/>
      <c r="E106" s="576"/>
      <c r="F106" s="577"/>
      <c r="G106" s="204">
        <f>$G$105-G93</f>
        <v>0</v>
      </c>
      <c r="H106" s="204">
        <f>$G$105-H93</f>
        <v>-20</v>
      </c>
      <c r="I106" s="204">
        <f>$G$105-I93</f>
        <v>-29.95</v>
      </c>
      <c r="J106" s="204">
        <f>$G$105-J93</f>
        <v>-50</v>
      </c>
      <c r="K106" s="204">
        <f>$G$105-K93</f>
        <v>-70</v>
      </c>
      <c r="L106" s="204"/>
      <c r="M106" s="204"/>
      <c r="N106" s="204"/>
      <c r="O106" s="204">
        <f>$G$105-O93</f>
        <v>-130</v>
      </c>
      <c r="P106" s="205">
        <f>$G$105-P93</f>
        <v>-165</v>
      </c>
      <c r="Q106" s="169"/>
      <c r="R106" s="170"/>
      <c r="S106" s="149"/>
      <c r="T106" s="149"/>
      <c r="U106" s="149"/>
      <c r="V106" s="149"/>
      <c r="W106" s="149"/>
      <c r="X106" s="149"/>
      <c r="Y106" s="149"/>
      <c r="Z106" s="149"/>
      <c r="AA106" s="149"/>
      <c r="AB106" s="149"/>
      <c r="AC106" s="149"/>
      <c r="AD106" s="149"/>
      <c r="AE106" s="149"/>
      <c r="AF106" s="149"/>
      <c r="AG106" s="149"/>
      <c r="AH106" s="149"/>
      <c r="AI106" s="149"/>
      <c r="AJ106" s="149"/>
      <c r="AK106" s="149"/>
      <c r="AL106" s="149"/>
    </row>
    <row r="107" spans="1:38" s="1" customFormat="1" ht="15.75" thickBot="1" x14ac:dyDescent="0.35">
      <c r="A107" s="149"/>
      <c r="B107" s="560"/>
      <c r="C107" s="578" t="s">
        <v>160</v>
      </c>
      <c r="D107" s="579"/>
      <c r="E107" s="579"/>
      <c r="F107" s="580"/>
      <c r="G107" s="202">
        <f>IFERROR(G106/$G$105,)</f>
        <v>0</v>
      </c>
      <c r="H107" s="202">
        <f t="shared" ref="H107:I107" si="7">IFERROR(H106/$G$105,)</f>
        <v>0</v>
      </c>
      <c r="I107" s="202">
        <f t="shared" si="7"/>
        <v>0</v>
      </c>
      <c r="J107" s="202">
        <f>IFERROR(J106/$G$105,)</f>
        <v>0</v>
      </c>
      <c r="K107" s="202">
        <f>IFERROR(K106/$G$105,)</f>
        <v>0</v>
      </c>
      <c r="L107" s="202"/>
      <c r="M107" s="202"/>
      <c r="N107" s="202"/>
      <c r="O107" s="202">
        <f>IFERROR(O106/$G$105,)</f>
        <v>0</v>
      </c>
      <c r="P107" s="203">
        <f>IFERROR(P106/$G$105,)</f>
        <v>0</v>
      </c>
      <c r="Q107" s="169"/>
      <c r="R107" s="170"/>
      <c r="S107" s="149"/>
      <c r="T107" s="149"/>
      <c r="U107" s="149"/>
      <c r="V107" s="149"/>
      <c r="W107" s="149"/>
      <c r="X107" s="149"/>
      <c r="Y107" s="149"/>
      <c r="Z107" s="149"/>
      <c r="AA107" s="149"/>
      <c r="AB107" s="149"/>
      <c r="AC107" s="149"/>
      <c r="AD107" s="149"/>
      <c r="AE107" s="149"/>
      <c r="AF107" s="149"/>
      <c r="AG107" s="149"/>
      <c r="AH107" s="149"/>
      <c r="AI107" s="149"/>
      <c r="AJ107" s="149"/>
      <c r="AK107" s="149"/>
      <c r="AL107" s="149"/>
    </row>
    <row r="108" spans="1:38" s="2" customFormat="1" ht="15.75" thickBot="1" x14ac:dyDescent="0.35">
      <c r="A108" s="144"/>
      <c r="B108" s="173"/>
      <c r="C108" s="144"/>
      <c r="D108" s="161"/>
      <c r="E108" s="161"/>
      <c r="F108" s="144"/>
      <c r="G108" s="161"/>
      <c r="H108" s="161"/>
      <c r="I108" s="161"/>
      <c r="J108" s="161"/>
      <c r="K108" s="161"/>
      <c r="L108" s="161"/>
      <c r="M108" s="161"/>
      <c r="N108" s="161"/>
      <c r="O108" s="161"/>
      <c r="P108" s="161"/>
      <c r="Q108" s="157"/>
      <c r="R108" s="158"/>
      <c r="S108" s="144"/>
      <c r="T108" s="144"/>
      <c r="U108" s="144"/>
      <c r="V108" s="144"/>
      <c r="W108" s="144"/>
      <c r="X108" s="144"/>
      <c r="Y108" s="144"/>
      <c r="Z108" s="144"/>
      <c r="AA108" s="144"/>
      <c r="AB108" s="144"/>
      <c r="AC108" s="144"/>
      <c r="AD108" s="144"/>
      <c r="AE108" s="144"/>
      <c r="AF108" s="144"/>
      <c r="AG108" s="144"/>
      <c r="AH108" s="144"/>
      <c r="AI108" s="144"/>
      <c r="AJ108" s="144"/>
      <c r="AK108" s="144"/>
      <c r="AL108" s="144"/>
    </row>
    <row r="109" spans="1:38" s="1" customFormat="1" ht="18" customHeight="1" x14ac:dyDescent="0.3">
      <c r="A109" s="149"/>
      <c r="B109" s="561" t="s">
        <v>10</v>
      </c>
      <c r="C109" s="572" t="s">
        <v>217</v>
      </c>
      <c r="D109" s="573"/>
      <c r="E109" s="573"/>
      <c r="F109" s="574"/>
      <c r="G109" s="270">
        <f>SUMIFS($R$31:$R$89,$B$31:$B$89,"",G$31:G$89,"µ")</f>
        <v>0</v>
      </c>
      <c r="H109" s="270">
        <f>SUMIFS($R$31:$R$89,$B$31:$B$89,"",H$31:H$89,"µ")</f>
        <v>19.95</v>
      </c>
      <c r="I109" s="270">
        <f>SUMIFS($R$31:$R$89,$B$31:$B$89,"",I$31:I$89,"µ")</f>
        <v>29.95</v>
      </c>
      <c r="J109" s="270">
        <f>SUMIFS($R$31:$R$89,$B$31:$B$89,"",J$31:J$89,"µ")</f>
        <v>49.95</v>
      </c>
      <c r="K109" s="270">
        <f>SUMIFS($R$31:$R$89,$B$31:$B$89,"",K$31:K$89,"µ")</f>
        <v>104.94999999999999</v>
      </c>
      <c r="L109" s="270"/>
      <c r="M109" s="270"/>
      <c r="N109" s="270"/>
      <c r="O109" s="270">
        <f>SUMIFS($R$31:$R$89,$B$31:$B$89,"",O$31:O$89,"µ")</f>
        <v>257.71000000000004</v>
      </c>
      <c r="P109" s="271">
        <f>SUMIFS($R$31:$R$89,$B$31:$B$89,"",P$31:P$89,"µ")</f>
        <v>312.60000000000002</v>
      </c>
      <c r="Q109" s="169"/>
      <c r="R109" s="170"/>
      <c r="S109" s="149"/>
      <c r="T109" s="149"/>
      <c r="U109" s="149"/>
      <c r="V109" s="149"/>
      <c r="W109" s="149"/>
      <c r="X109" s="149"/>
      <c r="Y109" s="149"/>
      <c r="Z109" s="149"/>
      <c r="AA109" s="149"/>
      <c r="AB109" s="149"/>
      <c r="AC109" s="149"/>
      <c r="AD109" s="149"/>
      <c r="AE109" s="149"/>
      <c r="AF109" s="149"/>
      <c r="AG109" s="149"/>
      <c r="AH109" s="149"/>
      <c r="AI109" s="149"/>
      <c r="AJ109" s="149"/>
      <c r="AK109" s="149"/>
      <c r="AL109" s="149"/>
    </row>
    <row r="110" spans="1:38" s="1" customFormat="1" ht="15.75" thickBot="1" x14ac:dyDescent="0.35">
      <c r="A110" s="149"/>
      <c r="B110" s="562"/>
      <c r="C110" s="569" t="s">
        <v>236</v>
      </c>
      <c r="D110" s="570"/>
      <c r="E110" s="570"/>
      <c r="F110" s="571"/>
      <c r="G110" s="272">
        <f>$G$105+G109</f>
        <v>0</v>
      </c>
      <c r="H110" s="272">
        <f>$G$105+H109</f>
        <v>19.95</v>
      </c>
      <c r="I110" s="272">
        <f>$G$105+I109</f>
        <v>29.95</v>
      </c>
      <c r="J110" s="272">
        <f>$G$105+J109</f>
        <v>49.95</v>
      </c>
      <c r="K110" s="272">
        <f>$G$105+K109</f>
        <v>104.94999999999999</v>
      </c>
      <c r="L110" s="272"/>
      <c r="M110" s="272"/>
      <c r="N110" s="272"/>
      <c r="O110" s="272">
        <f>$G$105+O109</f>
        <v>257.71000000000004</v>
      </c>
      <c r="P110" s="273">
        <f>$G$105+P109</f>
        <v>312.60000000000002</v>
      </c>
      <c r="Q110" s="169"/>
      <c r="R110" s="170"/>
      <c r="S110" s="149"/>
      <c r="T110" s="149"/>
      <c r="U110" s="149"/>
      <c r="V110" s="149"/>
      <c r="W110" s="149"/>
      <c r="X110" s="149"/>
      <c r="Y110" s="149"/>
      <c r="Z110" s="149"/>
      <c r="AA110" s="149"/>
      <c r="AB110" s="149"/>
      <c r="AC110" s="149"/>
      <c r="AD110" s="149"/>
      <c r="AE110" s="149"/>
      <c r="AF110" s="149"/>
      <c r="AG110" s="149"/>
      <c r="AH110" s="149"/>
      <c r="AI110" s="149"/>
      <c r="AJ110" s="149"/>
      <c r="AK110" s="149"/>
      <c r="AL110" s="149"/>
    </row>
    <row r="111" spans="1:38" s="1" customFormat="1" x14ac:dyDescent="0.3">
      <c r="A111" s="149"/>
      <c r="B111" s="561" t="s">
        <v>161</v>
      </c>
      <c r="C111" s="572" t="s">
        <v>218</v>
      </c>
      <c r="D111" s="573"/>
      <c r="E111" s="573"/>
      <c r="F111" s="574"/>
      <c r="G111" s="274">
        <f t="shared" ref="G111:P111" si="8">G110-G93</f>
        <v>0</v>
      </c>
      <c r="H111" s="274">
        <f t="shared" si="8"/>
        <v>-5.0000000000000711E-2</v>
      </c>
      <c r="I111" s="274">
        <f t="shared" si="8"/>
        <v>0</v>
      </c>
      <c r="J111" s="274">
        <f t="shared" si="8"/>
        <v>-4.9999999999997158E-2</v>
      </c>
      <c r="K111" s="274">
        <f t="shared" si="8"/>
        <v>34.949999999999989</v>
      </c>
      <c r="L111" s="274"/>
      <c r="M111" s="274"/>
      <c r="N111" s="274"/>
      <c r="O111" s="274">
        <f t="shared" si="8"/>
        <v>127.71000000000004</v>
      </c>
      <c r="P111" s="275">
        <f t="shared" si="8"/>
        <v>147.60000000000002</v>
      </c>
      <c r="Q111" s="169"/>
      <c r="R111" s="170"/>
      <c r="S111" s="149"/>
      <c r="T111" s="149"/>
      <c r="U111" s="149"/>
      <c r="V111" s="149"/>
      <c r="W111" s="149"/>
      <c r="X111" s="149"/>
      <c r="Y111" s="149"/>
      <c r="Z111" s="149"/>
      <c r="AA111" s="149"/>
      <c r="AB111" s="149"/>
      <c r="AC111" s="149"/>
      <c r="AD111" s="149"/>
      <c r="AE111" s="149"/>
      <c r="AF111" s="149"/>
      <c r="AG111" s="149"/>
      <c r="AH111" s="149"/>
      <c r="AI111" s="149"/>
      <c r="AJ111" s="149"/>
      <c r="AK111" s="149"/>
      <c r="AL111" s="149"/>
    </row>
    <row r="112" spans="1:38" s="1" customFormat="1" ht="15.75" thickBot="1" x14ac:dyDescent="0.35">
      <c r="A112" s="149"/>
      <c r="B112" s="562"/>
      <c r="C112" s="569" t="s">
        <v>160</v>
      </c>
      <c r="D112" s="570"/>
      <c r="E112" s="570"/>
      <c r="F112" s="571"/>
      <c r="G112" s="276">
        <f>IFERROR(G111/G110,)</f>
        <v>0</v>
      </c>
      <c r="H112" s="276">
        <f t="shared" ref="H112:I112" si="9">IFERROR(H111/H110,)</f>
        <v>-2.5062656641604369E-3</v>
      </c>
      <c r="I112" s="276">
        <f t="shared" si="9"/>
        <v>0</v>
      </c>
      <c r="J112" s="276">
        <f t="shared" ref="J112:P112" si="10">IFERROR(J111/J110,)</f>
        <v>-1.001001001000944E-3</v>
      </c>
      <c r="K112" s="276">
        <f t="shared" si="10"/>
        <v>0.33301572177227245</v>
      </c>
      <c r="L112" s="276"/>
      <c r="M112" s="276"/>
      <c r="N112" s="276"/>
      <c r="O112" s="276">
        <f t="shared" si="10"/>
        <v>0.49555702145822833</v>
      </c>
      <c r="P112" s="277">
        <f t="shared" si="10"/>
        <v>0.47216890595009603</v>
      </c>
      <c r="Q112" s="169"/>
      <c r="R112" s="170"/>
      <c r="S112" s="149"/>
      <c r="T112" s="149"/>
      <c r="U112" s="149"/>
      <c r="V112" s="149"/>
      <c r="W112" s="149"/>
      <c r="X112" s="149"/>
      <c r="Y112" s="149"/>
      <c r="Z112" s="149"/>
      <c r="AA112" s="149"/>
      <c r="AB112" s="149"/>
      <c r="AC112" s="149"/>
      <c r="AD112" s="149"/>
      <c r="AE112" s="149"/>
      <c r="AF112" s="149"/>
      <c r="AG112" s="149"/>
      <c r="AH112" s="149"/>
      <c r="AI112" s="149"/>
      <c r="AJ112" s="149"/>
      <c r="AK112" s="149"/>
      <c r="AL112" s="149"/>
    </row>
    <row r="113" spans="1:38" s="2" customFormat="1" ht="13.5" x14ac:dyDescent="0.25">
      <c r="A113" s="144"/>
      <c r="B113" s="173"/>
      <c r="C113" s="144"/>
      <c r="D113" s="161"/>
      <c r="E113" s="161"/>
      <c r="F113" s="144"/>
      <c r="G113" s="161"/>
      <c r="H113" s="161"/>
      <c r="I113" s="161"/>
      <c r="J113" s="161"/>
      <c r="K113" s="161"/>
      <c r="L113" s="161"/>
      <c r="M113" s="161"/>
      <c r="N113" s="161"/>
      <c r="O113" s="161"/>
      <c r="P113" s="161"/>
      <c r="Q113" s="161"/>
      <c r="R113" s="158"/>
      <c r="S113" s="144"/>
      <c r="T113" s="144"/>
      <c r="U113" s="144"/>
      <c r="V113" s="144"/>
      <c r="W113" s="144"/>
      <c r="X113" s="144"/>
      <c r="Y113" s="144"/>
      <c r="Z113" s="144"/>
      <c r="AA113" s="144"/>
      <c r="AB113" s="144"/>
      <c r="AC113" s="144"/>
      <c r="AD113" s="144"/>
      <c r="AE113" s="144"/>
      <c r="AF113" s="144"/>
      <c r="AG113" s="144"/>
      <c r="AH113" s="144"/>
      <c r="AI113" s="144"/>
      <c r="AJ113" s="144"/>
      <c r="AK113" s="144"/>
      <c r="AL113" s="144"/>
    </row>
    <row r="114" spans="1:38" s="2" customFormat="1" collapsed="1" x14ac:dyDescent="0.3">
      <c r="A114" s="150"/>
      <c r="B114" s="144"/>
      <c r="C114" s="144"/>
      <c r="D114" s="161"/>
      <c r="E114" s="161"/>
      <c r="F114" s="144"/>
      <c r="G114" s="161"/>
      <c r="H114" s="161"/>
      <c r="I114" s="161"/>
      <c r="J114" s="161"/>
      <c r="K114" s="161"/>
      <c r="M114" s="174"/>
      <c r="N114" s="171"/>
      <c r="O114" s="159"/>
      <c r="P114" s="161"/>
      <c r="Q114" s="161"/>
      <c r="R114" s="172"/>
      <c r="S114" s="144"/>
      <c r="T114" s="144"/>
      <c r="U114" s="144"/>
      <c r="V114" s="144"/>
      <c r="W114" s="144"/>
      <c r="X114" s="144"/>
      <c r="Y114" s="144"/>
      <c r="Z114" s="144"/>
      <c r="AA114" s="144"/>
      <c r="AB114" s="144"/>
      <c r="AC114" s="144"/>
      <c r="AD114" s="144"/>
      <c r="AE114" s="144"/>
      <c r="AF114" s="144"/>
      <c r="AG114" s="144"/>
      <c r="AH114" s="144"/>
      <c r="AI114" s="144"/>
      <c r="AJ114" s="144"/>
      <c r="AK114" s="144"/>
      <c r="AL114" s="144"/>
    </row>
    <row r="115" spans="1:38" s="2" customFormat="1" ht="19.5" hidden="1" customHeight="1" outlineLevel="1" thickBot="1" x14ac:dyDescent="0.35">
      <c r="A115" s="144"/>
      <c r="B115" s="176" t="s">
        <v>11</v>
      </c>
      <c r="C115" s="144"/>
      <c r="D115" s="161"/>
      <c r="E115" s="161"/>
      <c r="F115" s="144"/>
      <c r="G115" s="161"/>
      <c r="H115" s="161"/>
      <c r="I115" s="161"/>
      <c r="J115" s="161"/>
      <c r="K115" s="161"/>
      <c r="L115" s="161"/>
      <c r="M115" s="161"/>
      <c r="N115" s="174"/>
      <c r="O115" s="161"/>
      <c r="P115" s="161"/>
      <c r="Q115" s="157"/>
      <c r="R115" s="144"/>
      <c r="S115" s="144"/>
      <c r="T115" s="144"/>
      <c r="U115" s="144"/>
      <c r="V115" s="144"/>
      <c r="W115" s="144"/>
      <c r="X115" s="144"/>
      <c r="Y115" s="144"/>
      <c r="Z115" s="144"/>
      <c r="AA115" s="144"/>
      <c r="AB115" s="144"/>
      <c r="AC115" s="144"/>
      <c r="AD115" s="144"/>
      <c r="AE115" s="144"/>
      <c r="AF115" s="144"/>
      <c r="AG115" s="144"/>
      <c r="AH115" s="144"/>
      <c r="AI115" s="144"/>
      <c r="AJ115" s="144"/>
      <c r="AK115" s="144"/>
      <c r="AL115" s="144"/>
    </row>
    <row r="116" spans="1:38" s="2" customFormat="1" ht="19.5" hidden="1" customHeight="1" outlineLevel="1" thickBot="1" x14ac:dyDescent="0.35">
      <c r="A116" s="144"/>
      <c r="B116" s="176"/>
      <c r="C116" s="144"/>
      <c r="D116" s="161"/>
      <c r="E116" s="161"/>
      <c r="F116" s="144"/>
      <c r="G116" s="161"/>
      <c r="H116" s="161"/>
      <c r="I116" s="161"/>
      <c r="J116" s="161"/>
      <c r="K116" s="161"/>
      <c r="L116" s="161"/>
      <c r="M116" s="161"/>
      <c r="N116" s="174"/>
      <c r="O116" s="161"/>
      <c r="P116" s="161"/>
      <c r="Q116" s="157"/>
      <c r="R116" s="144"/>
      <c r="S116" s="144"/>
      <c r="T116" s="144"/>
      <c r="U116" s="144"/>
      <c r="V116" s="144"/>
      <c r="W116" s="144"/>
      <c r="X116" s="144"/>
      <c r="Y116" s="144"/>
      <c r="Z116" s="144"/>
      <c r="AA116" s="144"/>
      <c r="AB116" s="144"/>
      <c r="AC116" s="144"/>
      <c r="AD116" s="144"/>
      <c r="AE116" s="144"/>
      <c r="AF116" s="144"/>
      <c r="AG116" s="144"/>
      <c r="AH116" s="144"/>
      <c r="AI116" s="144"/>
      <c r="AJ116" s="144"/>
      <c r="AK116" s="144"/>
      <c r="AL116" s="144"/>
    </row>
    <row r="117" spans="1:38" s="2" customFormat="1" collapsed="1" x14ac:dyDescent="0.3">
      <c r="A117" s="144"/>
      <c r="B117" s="150"/>
      <c r="C117" s="144"/>
      <c r="D117" s="161"/>
      <c r="E117" s="161"/>
      <c r="F117" s="144"/>
      <c r="G117" s="161"/>
      <c r="H117" s="161"/>
      <c r="I117" s="161"/>
      <c r="J117" s="161"/>
      <c r="K117" s="161"/>
      <c r="L117" s="161"/>
      <c r="M117" s="161"/>
      <c r="N117" s="174"/>
      <c r="O117" s="161"/>
      <c r="P117" s="161"/>
      <c r="Q117" s="157"/>
      <c r="R117" s="144"/>
      <c r="S117" s="144"/>
      <c r="T117" s="144"/>
      <c r="U117" s="144"/>
      <c r="V117" s="144"/>
      <c r="W117" s="144"/>
      <c r="X117" s="144"/>
      <c r="Y117" s="144"/>
      <c r="Z117" s="144"/>
      <c r="AA117" s="144"/>
      <c r="AB117" s="144"/>
      <c r="AC117" s="144"/>
      <c r="AD117" s="144"/>
      <c r="AE117" s="144"/>
      <c r="AF117" s="144"/>
      <c r="AG117" s="144"/>
      <c r="AH117" s="144"/>
      <c r="AI117" s="144"/>
      <c r="AJ117" s="144"/>
      <c r="AK117" s="144"/>
      <c r="AL117" s="144"/>
    </row>
    <row r="118" spans="1:38" s="2" customFormat="1" x14ac:dyDescent="0.3">
      <c r="A118" s="144"/>
      <c r="B118" s="150"/>
      <c r="C118" s="144"/>
      <c r="D118" s="161"/>
      <c r="E118" s="161"/>
      <c r="F118" s="144"/>
      <c r="G118" s="161"/>
      <c r="H118" s="161"/>
      <c r="I118" s="161"/>
      <c r="J118" s="161"/>
      <c r="K118" s="161"/>
      <c r="L118" s="161"/>
      <c r="M118" s="161"/>
      <c r="N118" s="174"/>
      <c r="O118" s="161"/>
      <c r="P118" s="161"/>
      <c r="Q118" s="157"/>
      <c r="R118" s="144"/>
      <c r="S118" s="144"/>
      <c r="T118" s="144"/>
      <c r="U118" s="144"/>
      <c r="V118" s="144"/>
      <c r="W118" s="144"/>
      <c r="X118" s="144"/>
      <c r="Y118" s="144"/>
      <c r="Z118" s="144"/>
      <c r="AA118" s="144"/>
      <c r="AB118" s="144"/>
      <c r="AC118" s="144"/>
      <c r="AD118" s="144"/>
      <c r="AE118" s="144"/>
      <c r="AF118" s="144"/>
      <c r="AG118" s="144"/>
      <c r="AH118" s="144"/>
      <c r="AI118" s="144"/>
      <c r="AJ118" s="144"/>
      <c r="AK118" s="144"/>
      <c r="AL118" s="144"/>
    </row>
    <row r="119" spans="1:38" s="2" customFormat="1" x14ac:dyDescent="0.3">
      <c r="A119" s="144"/>
      <c r="B119" s="150"/>
      <c r="C119" s="144"/>
      <c r="D119" s="161"/>
      <c r="E119" s="161"/>
      <c r="F119" s="144"/>
      <c r="G119" s="161"/>
      <c r="H119" s="161"/>
      <c r="I119" s="161"/>
      <c r="J119" s="161"/>
      <c r="K119" s="161"/>
      <c r="L119" s="161"/>
      <c r="M119" s="161"/>
      <c r="N119" s="174"/>
      <c r="O119" s="161"/>
      <c r="P119" s="161"/>
      <c r="Q119" s="157"/>
      <c r="R119" s="144"/>
      <c r="S119" s="144"/>
      <c r="T119" s="144"/>
      <c r="U119" s="144"/>
      <c r="V119" s="144"/>
      <c r="W119" s="144"/>
      <c r="X119" s="144"/>
      <c r="Y119" s="144"/>
      <c r="Z119" s="144"/>
      <c r="AA119" s="144"/>
      <c r="AB119" s="144"/>
      <c r="AC119" s="144"/>
      <c r="AD119" s="144"/>
      <c r="AE119" s="144"/>
      <c r="AF119" s="144"/>
      <c r="AG119" s="144"/>
      <c r="AH119" s="144"/>
      <c r="AI119" s="144"/>
      <c r="AJ119" s="144"/>
      <c r="AK119" s="144"/>
      <c r="AL119" s="144"/>
    </row>
    <row r="120" spans="1:38" s="2" customFormat="1" x14ac:dyDescent="0.3">
      <c r="A120" s="144"/>
      <c r="B120" s="150"/>
      <c r="C120" s="144"/>
      <c r="D120" s="161"/>
      <c r="E120" s="161"/>
      <c r="F120" s="144"/>
      <c r="G120" s="161"/>
      <c r="H120" s="161"/>
      <c r="I120" s="161"/>
      <c r="J120" s="161"/>
      <c r="K120" s="161"/>
      <c r="L120" s="161"/>
      <c r="M120" s="161"/>
      <c r="N120" s="174"/>
      <c r="O120" s="161"/>
      <c r="P120" s="161"/>
      <c r="Q120" s="157"/>
      <c r="R120" s="144"/>
      <c r="S120" s="144"/>
      <c r="T120" s="144"/>
      <c r="U120" s="144"/>
      <c r="V120" s="144"/>
      <c r="W120" s="144"/>
      <c r="X120" s="144"/>
      <c r="Y120" s="144"/>
      <c r="Z120" s="144"/>
      <c r="AA120" s="144"/>
      <c r="AB120" s="144"/>
      <c r="AC120" s="144"/>
      <c r="AD120" s="144"/>
      <c r="AE120" s="144"/>
      <c r="AF120" s="144"/>
      <c r="AG120" s="144"/>
      <c r="AH120" s="144"/>
      <c r="AI120" s="144"/>
      <c r="AJ120" s="144"/>
      <c r="AK120" s="144"/>
      <c r="AL120" s="144"/>
    </row>
    <row r="121" spans="1:38" s="2" customFormat="1" x14ac:dyDescent="0.3">
      <c r="A121" s="144"/>
      <c r="B121" s="150"/>
      <c r="C121" s="144"/>
      <c r="D121" s="161"/>
      <c r="E121" s="161"/>
      <c r="F121" s="144"/>
      <c r="G121" s="161"/>
      <c r="H121" s="161"/>
      <c r="I121" s="161"/>
      <c r="J121" s="161"/>
      <c r="K121" s="161"/>
      <c r="L121" s="161"/>
      <c r="M121" s="161"/>
      <c r="N121" s="174"/>
      <c r="O121" s="161"/>
      <c r="P121" s="161"/>
      <c r="Q121" s="157"/>
      <c r="R121" s="144"/>
      <c r="S121" s="144"/>
      <c r="T121" s="144"/>
      <c r="U121" s="144"/>
      <c r="V121" s="144"/>
      <c r="W121" s="144"/>
      <c r="X121" s="144"/>
      <c r="Y121" s="144"/>
      <c r="Z121" s="144"/>
      <c r="AA121" s="144"/>
      <c r="AB121" s="144"/>
      <c r="AC121" s="144"/>
      <c r="AD121" s="144"/>
      <c r="AE121" s="144"/>
      <c r="AF121" s="144"/>
      <c r="AG121" s="144"/>
      <c r="AH121" s="144"/>
      <c r="AI121" s="144"/>
      <c r="AJ121" s="144"/>
      <c r="AK121" s="144"/>
      <c r="AL121" s="144"/>
    </row>
    <row r="122" spans="1:38" s="2" customFormat="1" x14ac:dyDescent="0.3">
      <c r="A122" s="144"/>
      <c r="B122" s="150"/>
      <c r="C122" s="144"/>
      <c r="D122" s="161"/>
      <c r="E122" s="161"/>
      <c r="F122" s="144"/>
      <c r="G122" s="161"/>
      <c r="H122" s="161"/>
      <c r="I122" s="161"/>
      <c r="J122" s="161"/>
      <c r="K122" s="161"/>
      <c r="L122" s="161"/>
      <c r="M122" s="161"/>
      <c r="N122" s="174"/>
      <c r="O122" s="161"/>
      <c r="P122" s="161"/>
      <c r="Q122" s="157"/>
      <c r="R122" s="144"/>
      <c r="S122" s="144"/>
      <c r="T122" s="144"/>
      <c r="U122" s="144"/>
      <c r="V122" s="144"/>
      <c r="W122" s="144"/>
      <c r="X122" s="144"/>
      <c r="Y122" s="144"/>
      <c r="Z122" s="144"/>
      <c r="AA122" s="144"/>
      <c r="AB122" s="144"/>
      <c r="AC122" s="144"/>
      <c r="AD122" s="144"/>
      <c r="AE122" s="144"/>
      <c r="AF122" s="144"/>
      <c r="AG122" s="144"/>
      <c r="AH122" s="144"/>
      <c r="AI122" s="144"/>
      <c r="AJ122" s="144"/>
      <c r="AK122" s="144"/>
      <c r="AL122" s="144"/>
    </row>
    <row r="123" spans="1:38" s="2" customFormat="1" x14ac:dyDescent="0.3">
      <c r="A123" s="144"/>
      <c r="B123" s="150"/>
      <c r="C123" s="144"/>
      <c r="D123" s="161"/>
      <c r="E123" s="161"/>
      <c r="F123" s="144"/>
      <c r="G123" s="161"/>
      <c r="H123" s="161"/>
      <c r="I123" s="161"/>
      <c r="J123" s="161"/>
      <c r="K123" s="161"/>
      <c r="L123" s="161"/>
      <c r="M123" s="161"/>
      <c r="N123" s="174"/>
      <c r="O123" s="161"/>
      <c r="P123" s="161"/>
      <c r="Q123" s="157"/>
      <c r="R123" s="144"/>
      <c r="S123" s="144"/>
      <c r="T123" s="144"/>
      <c r="U123" s="144"/>
      <c r="V123" s="144"/>
      <c r="W123" s="144"/>
      <c r="X123" s="144"/>
      <c r="Y123" s="144"/>
      <c r="Z123" s="144"/>
      <c r="AA123" s="144"/>
      <c r="AB123" s="144"/>
      <c r="AC123" s="144"/>
      <c r="AD123" s="144"/>
      <c r="AE123" s="144"/>
      <c r="AF123" s="144"/>
      <c r="AG123" s="144"/>
      <c r="AH123" s="144"/>
      <c r="AI123" s="144"/>
      <c r="AJ123" s="144"/>
      <c r="AK123" s="144"/>
      <c r="AL123" s="144"/>
    </row>
    <row r="124" spans="1:38" s="2" customFormat="1" x14ac:dyDescent="0.3">
      <c r="A124" s="144"/>
      <c r="B124" s="150"/>
      <c r="C124" s="144"/>
      <c r="D124" s="161"/>
      <c r="E124" s="161"/>
      <c r="F124" s="144"/>
      <c r="G124" s="161"/>
      <c r="H124" s="161"/>
      <c r="I124" s="161"/>
      <c r="J124" s="161"/>
      <c r="K124" s="161"/>
      <c r="L124" s="161"/>
      <c r="M124" s="161"/>
      <c r="N124" s="161"/>
      <c r="O124" s="161"/>
      <c r="P124" s="161"/>
      <c r="Q124" s="157"/>
      <c r="R124" s="144"/>
      <c r="S124" s="144"/>
      <c r="T124" s="144"/>
      <c r="U124" s="144"/>
      <c r="V124" s="144"/>
      <c r="W124" s="144"/>
      <c r="X124" s="144"/>
      <c r="Y124" s="144"/>
      <c r="Z124" s="144"/>
      <c r="AA124" s="144"/>
      <c r="AB124" s="144"/>
      <c r="AC124" s="144"/>
      <c r="AD124" s="144"/>
      <c r="AE124" s="144"/>
      <c r="AF124" s="144"/>
      <c r="AG124" s="144"/>
      <c r="AH124" s="144"/>
      <c r="AI124" s="144"/>
      <c r="AJ124" s="144"/>
      <c r="AK124" s="144"/>
      <c r="AL124" s="144"/>
    </row>
    <row r="125" spans="1:38" s="2" customFormat="1" x14ac:dyDescent="0.3">
      <c r="A125" s="144"/>
      <c r="B125" s="150"/>
      <c r="C125" s="144"/>
      <c r="D125" s="161"/>
      <c r="E125" s="161"/>
      <c r="F125" s="144"/>
      <c r="G125" s="161"/>
      <c r="H125" s="161"/>
      <c r="I125" s="161"/>
      <c r="J125" s="161"/>
      <c r="K125" s="161"/>
      <c r="L125" s="161"/>
      <c r="M125" s="161"/>
      <c r="N125" s="161"/>
      <c r="O125" s="161"/>
      <c r="P125" s="161"/>
      <c r="Q125" s="157"/>
      <c r="R125" s="144"/>
      <c r="S125" s="144"/>
      <c r="T125" s="144"/>
      <c r="U125" s="144"/>
      <c r="V125" s="144"/>
      <c r="W125" s="144"/>
      <c r="X125" s="144"/>
      <c r="Y125" s="144"/>
      <c r="Z125" s="144"/>
      <c r="AA125" s="144"/>
      <c r="AB125" s="144"/>
      <c r="AC125" s="144"/>
      <c r="AD125" s="144"/>
      <c r="AE125" s="144"/>
      <c r="AF125" s="144"/>
      <c r="AG125" s="144"/>
      <c r="AH125" s="144"/>
      <c r="AI125" s="144"/>
      <c r="AJ125" s="144"/>
      <c r="AK125" s="144"/>
      <c r="AL125" s="144"/>
    </row>
    <row r="126" spans="1:38" s="2" customFormat="1" x14ac:dyDescent="0.3">
      <c r="A126" s="144"/>
      <c r="B126" s="150"/>
      <c r="C126" s="144"/>
      <c r="D126" s="161"/>
      <c r="E126" s="161"/>
      <c r="F126" s="144"/>
      <c r="G126" s="161"/>
      <c r="H126" s="161"/>
      <c r="I126" s="161"/>
      <c r="J126" s="161"/>
      <c r="K126" s="161"/>
      <c r="L126" s="161"/>
      <c r="M126" s="161"/>
      <c r="N126" s="161"/>
      <c r="O126" s="161"/>
      <c r="P126" s="161"/>
      <c r="Q126" s="157"/>
      <c r="R126" s="144"/>
      <c r="S126" s="144"/>
      <c r="T126" s="144"/>
      <c r="U126" s="144"/>
      <c r="V126" s="144"/>
      <c r="W126" s="144"/>
      <c r="X126" s="144"/>
      <c r="Y126" s="144"/>
      <c r="Z126" s="144"/>
      <c r="AA126" s="144"/>
      <c r="AB126" s="144"/>
      <c r="AC126" s="144"/>
      <c r="AD126" s="144"/>
      <c r="AE126" s="144"/>
      <c r="AF126" s="144"/>
      <c r="AG126" s="144"/>
      <c r="AH126" s="144"/>
      <c r="AI126" s="144"/>
      <c r="AJ126" s="144"/>
      <c r="AK126" s="144"/>
      <c r="AL126" s="144"/>
    </row>
    <row r="127" spans="1:38" s="2" customFormat="1" x14ac:dyDescent="0.3">
      <c r="A127" s="144"/>
      <c r="B127" s="150"/>
      <c r="C127" s="144"/>
      <c r="D127" s="161"/>
      <c r="E127" s="161"/>
      <c r="F127" s="144"/>
      <c r="G127" s="161"/>
      <c r="H127" s="161"/>
      <c r="I127" s="161"/>
      <c r="J127" s="161"/>
      <c r="K127" s="161"/>
      <c r="L127" s="161"/>
      <c r="M127" s="161"/>
      <c r="N127" s="161"/>
      <c r="O127" s="161"/>
      <c r="P127" s="161"/>
      <c r="Q127" s="157"/>
      <c r="R127" s="144"/>
      <c r="S127" s="144"/>
      <c r="T127" s="144"/>
      <c r="U127" s="144"/>
      <c r="V127" s="144"/>
      <c r="W127" s="144"/>
      <c r="X127" s="144"/>
      <c r="Y127" s="144"/>
      <c r="Z127" s="144"/>
      <c r="AA127" s="144"/>
      <c r="AB127" s="144"/>
      <c r="AC127" s="144"/>
      <c r="AD127" s="144"/>
      <c r="AE127" s="144"/>
      <c r="AF127" s="144"/>
      <c r="AG127" s="144"/>
      <c r="AH127" s="144"/>
      <c r="AI127" s="144"/>
      <c r="AJ127" s="144"/>
      <c r="AK127" s="144"/>
      <c r="AL127" s="144"/>
    </row>
    <row r="128" spans="1:38" s="2" customFormat="1" x14ac:dyDescent="0.3">
      <c r="A128" s="144"/>
      <c r="B128" s="150"/>
      <c r="C128" s="144"/>
      <c r="D128" s="161"/>
      <c r="E128" s="161"/>
      <c r="F128" s="144"/>
      <c r="G128" s="161"/>
      <c r="H128" s="161"/>
      <c r="I128" s="161"/>
      <c r="J128" s="161"/>
      <c r="K128" s="161"/>
      <c r="L128" s="161"/>
      <c r="M128" s="161"/>
      <c r="N128" s="161"/>
      <c r="O128" s="161"/>
      <c r="P128" s="161"/>
      <c r="Q128" s="157"/>
      <c r="R128" s="144"/>
      <c r="S128" s="144"/>
      <c r="T128" s="144"/>
      <c r="U128" s="144"/>
      <c r="V128" s="144"/>
      <c r="W128" s="144"/>
      <c r="X128" s="144"/>
      <c r="Y128" s="144"/>
      <c r="Z128" s="144"/>
      <c r="AA128" s="144"/>
      <c r="AB128" s="144"/>
      <c r="AC128" s="144"/>
      <c r="AD128" s="144"/>
      <c r="AE128" s="144"/>
      <c r="AF128" s="144"/>
      <c r="AG128" s="144"/>
      <c r="AH128" s="144"/>
      <c r="AI128" s="144"/>
      <c r="AJ128" s="144"/>
      <c r="AK128" s="144"/>
      <c r="AL128" s="144"/>
    </row>
    <row r="129" spans="1:38" s="2" customFormat="1" x14ac:dyDescent="0.3">
      <c r="A129" s="144"/>
      <c r="B129" s="150"/>
      <c r="C129" s="144"/>
      <c r="D129" s="161"/>
      <c r="E129" s="161"/>
      <c r="F129" s="144"/>
      <c r="G129" s="161"/>
      <c r="H129" s="161"/>
      <c r="I129" s="161"/>
      <c r="J129" s="161"/>
      <c r="K129" s="161"/>
      <c r="L129" s="161"/>
      <c r="M129" s="161"/>
      <c r="N129" s="161"/>
      <c r="O129" s="161"/>
      <c r="P129" s="161"/>
      <c r="Q129" s="157"/>
      <c r="R129" s="144"/>
      <c r="S129" s="144"/>
      <c r="T129" s="144"/>
      <c r="U129" s="144"/>
      <c r="V129" s="144"/>
      <c r="W129" s="144"/>
      <c r="X129" s="144"/>
      <c r="Y129" s="144"/>
      <c r="Z129" s="144"/>
      <c r="AA129" s="144"/>
      <c r="AB129" s="144"/>
      <c r="AC129" s="144"/>
      <c r="AD129" s="144"/>
      <c r="AE129" s="144"/>
      <c r="AF129" s="144"/>
      <c r="AG129" s="144"/>
      <c r="AH129" s="144"/>
      <c r="AI129" s="144"/>
      <c r="AJ129" s="144"/>
      <c r="AK129" s="144"/>
      <c r="AL129" s="144"/>
    </row>
    <row r="130" spans="1:38" s="2" customFormat="1" x14ac:dyDescent="0.3">
      <c r="A130" s="144"/>
      <c r="B130" s="150"/>
      <c r="C130" s="144"/>
      <c r="D130" s="161"/>
      <c r="E130" s="161"/>
      <c r="F130" s="144"/>
      <c r="G130" s="161"/>
      <c r="H130" s="161"/>
      <c r="I130" s="161"/>
      <c r="J130" s="161"/>
      <c r="K130" s="161"/>
      <c r="L130" s="161"/>
      <c r="M130" s="161"/>
      <c r="N130" s="161"/>
      <c r="O130" s="161"/>
      <c r="P130" s="161"/>
      <c r="Q130" s="157"/>
      <c r="R130" s="144"/>
      <c r="S130" s="144"/>
      <c r="T130" s="144"/>
      <c r="U130" s="144"/>
      <c r="V130" s="144"/>
      <c r="W130" s="144"/>
      <c r="X130" s="144"/>
      <c r="Y130" s="144"/>
      <c r="Z130" s="144"/>
      <c r="AA130" s="144"/>
      <c r="AB130" s="144"/>
      <c r="AC130" s="144"/>
      <c r="AD130" s="144"/>
      <c r="AE130" s="144"/>
      <c r="AF130" s="144"/>
      <c r="AG130" s="144"/>
      <c r="AH130" s="144"/>
      <c r="AI130" s="144"/>
      <c r="AJ130" s="144"/>
      <c r="AK130" s="144"/>
      <c r="AL130" s="144"/>
    </row>
    <row r="131" spans="1:38" s="2" customFormat="1" x14ac:dyDescent="0.3">
      <c r="A131" s="144"/>
      <c r="B131" s="150"/>
      <c r="C131" s="144"/>
      <c r="D131" s="161"/>
      <c r="E131" s="161"/>
      <c r="F131" s="144"/>
      <c r="G131" s="161"/>
      <c r="H131" s="161"/>
      <c r="I131" s="161"/>
      <c r="J131" s="161"/>
      <c r="K131" s="161"/>
      <c r="L131" s="161"/>
      <c r="M131" s="161"/>
      <c r="N131" s="161"/>
      <c r="O131" s="161"/>
      <c r="P131" s="161"/>
      <c r="Q131" s="157"/>
      <c r="R131" s="158"/>
      <c r="S131" s="144"/>
      <c r="T131" s="144"/>
      <c r="U131" s="144"/>
      <c r="V131" s="144"/>
      <c r="W131" s="144"/>
      <c r="X131" s="144"/>
      <c r="Y131" s="144"/>
      <c r="Z131" s="144"/>
      <c r="AA131" s="144"/>
      <c r="AB131" s="144"/>
      <c r="AC131" s="144"/>
      <c r="AD131" s="144"/>
      <c r="AE131" s="144"/>
      <c r="AF131" s="144"/>
      <c r="AG131" s="144"/>
      <c r="AH131" s="144"/>
      <c r="AI131" s="144"/>
      <c r="AJ131" s="144"/>
      <c r="AK131" s="144"/>
      <c r="AL131" s="144"/>
    </row>
    <row r="132" spans="1:38" s="2" customFormat="1" x14ac:dyDescent="0.3">
      <c r="A132" s="144"/>
      <c r="B132" s="150"/>
      <c r="C132" s="144"/>
      <c r="D132" s="161"/>
      <c r="E132" s="161"/>
      <c r="F132" s="144"/>
      <c r="G132" s="161"/>
      <c r="H132" s="161"/>
      <c r="I132" s="161"/>
      <c r="J132" s="161"/>
      <c r="K132" s="161"/>
      <c r="L132" s="161"/>
      <c r="M132" s="161"/>
      <c r="N132" s="161"/>
      <c r="O132" s="161"/>
      <c r="P132" s="161"/>
      <c r="Q132" s="157"/>
      <c r="R132" s="158"/>
      <c r="S132" s="144"/>
      <c r="T132" s="144"/>
      <c r="U132" s="144"/>
      <c r="V132" s="144"/>
      <c r="W132" s="144"/>
      <c r="X132" s="144"/>
      <c r="Y132" s="144"/>
      <c r="Z132" s="144"/>
      <c r="AA132" s="144"/>
      <c r="AB132" s="144"/>
      <c r="AC132" s="144"/>
      <c r="AD132" s="144"/>
      <c r="AE132" s="144"/>
      <c r="AF132" s="144"/>
      <c r="AG132" s="144"/>
      <c r="AH132" s="144"/>
      <c r="AI132" s="144"/>
      <c r="AJ132" s="144"/>
      <c r="AK132" s="144"/>
      <c r="AL132" s="144"/>
    </row>
    <row r="133" spans="1:38" s="2" customFormat="1" x14ac:dyDescent="0.3">
      <c r="A133" s="144"/>
      <c r="B133" s="150"/>
      <c r="C133" s="144"/>
      <c r="D133" s="161"/>
      <c r="E133" s="161"/>
      <c r="F133" s="144"/>
      <c r="G133" s="161"/>
      <c r="H133" s="161"/>
      <c r="I133" s="161"/>
      <c r="J133" s="161"/>
      <c r="K133" s="161"/>
      <c r="L133" s="161"/>
      <c r="M133" s="161"/>
      <c r="N133" s="161"/>
      <c r="O133" s="161"/>
      <c r="P133" s="161"/>
      <c r="Q133" s="157"/>
      <c r="R133" s="158"/>
      <c r="S133" s="144"/>
      <c r="T133" s="144"/>
      <c r="U133" s="144"/>
      <c r="V133" s="144"/>
      <c r="W133" s="144"/>
      <c r="X133" s="144"/>
      <c r="Y133" s="144"/>
      <c r="Z133" s="144"/>
      <c r="AA133" s="144"/>
      <c r="AB133" s="144"/>
      <c r="AC133" s="144"/>
      <c r="AD133" s="144"/>
      <c r="AE133" s="144"/>
      <c r="AF133" s="144"/>
      <c r="AG133" s="144"/>
      <c r="AH133" s="144"/>
      <c r="AI133" s="144"/>
      <c r="AJ133" s="144"/>
      <c r="AK133" s="144"/>
      <c r="AL133" s="144"/>
    </row>
    <row r="134" spans="1:38" s="2" customFormat="1" x14ac:dyDescent="0.3">
      <c r="A134" s="144"/>
      <c r="B134" s="150"/>
      <c r="C134" s="144"/>
      <c r="D134" s="161"/>
      <c r="E134" s="161"/>
      <c r="F134" s="144"/>
      <c r="G134" s="161"/>
      <c r="H134" s="161"/>
      <c r="I134" s="161"/>
      <c r="J134" s="161"/>
      <c r="K134" s="161"/>
      <c r="L134" s="161"/>
      <c r="M134" s="161"/>
      <c r="N134" s="161"/>
      <c r="O134" s="161"/>
      <c r="P134" s="161"/>
      <c r="Q134" s="157"/>
      <c r="R134" s="158"/>
      <c r="S134" s="144"/>
      <c r="T134" s="144"/>
      <c r="U134" s="144"/>
      <c r="V134" s="144"/>
      <c r="W134" s="144"/>
      <c r="X134" s="144"/>
      <c r="Y134" s="144"/>
      <c r="Z134" s="144"/>
      <c r="AA134" s="144"/>
      <c r="AB134" s="144"/>
      <c r="AC134" s="144"/>
      <c r="AD134" s="144"/>
      <c r="AE134" s="144"/>
      <c r="AF134" s="144"/>
      <c r="AG134" s="144"/>
      <c r="AH134" s="144"/>
      <c r="AI134" s="144"/>
      <c r="AJ134" s="144"/>
      <c r="AK134" s="144"/>
      <c r="AL134" s="144"/>
    </row>
    <row r="135" spans="1:38" s="2" customFormat="1" x14ac:dyDescent="0.3">
      <c r="A135" s="144"/>
      <c r="B135" s="150"/>
      <c r="C135" s="144"/>
      <c r="D135" s="161"/>
      <c r="E135" s="161"/>
      <c r="F135" s="144"/>
      <c r="G135" s="161"/>
      <c r="H135" s="161"/>
      <c r="I135" s="161"/>
      <c r="J135" s="161"/>
      <c r="K135" s="161"/>
      <c r="L135" s="161"/>
      <c r="M135" s="161"/>
      <c r="N135" s="161"/>
      <c r="O135" s="161"/>
      <c r="P135" s="161"/>
      <c r="Q135" s="157"/>
      <c r="R135" s="158"/>
      <c r="S135" s="144"/>
      <c r="T135" s="144"/>
      <c r="U135" s="144"/>
      <c r="V135" s="144"/>
      <c r="W135" s="144"/>
      <c r="X135" s="144"/>
      <c r="Y135" s="144"/>
      <c r="Z135" s="144"/>
      <c r="AA135" s="144"/>
      <c r="AB135" s="144"/>
      <c r="AC135" s="144"/>
      <c r="AD135" s="144"/>
      <c r="AE135" s="144"/>
      <c r="AF135" s="144"/>
      <c r="AG135" s="144"/>
      <c r="AH135" s="144"/>
      <c r="AI135" s="144"/>
      <c r="AJ135" s="144"/>
      <c r="AK135" s="144"/>
      <c r="AL135" s="144"/>
    </row>
    <row r="136" spans="1:38" s="2" customFormat="1" x14ac:dyDescent="0.3">
      <c r="A136" s="144"/>
      <c r="B136" s="150"/>
      <c r="C136" s="144"/>
      <c r="D136" s="161"/>
      <c r="E136" s="161"/>
      <c r="F136" s="144"/>
      <c r="G136" s="161"/>
      <c r="H136" s="161"/>
      <c r="I136" s="161"/>
      <c r="J136" s="161"/>
      <c r="K136" s="161"/>
      <c r="L136" s="161"/>
      <c r="M136" s="161"/>
      <c r="N136" s="161"/>
      <c r="O136" s="161"/>
      <c r="P136" s="161"/>
      <c r="Q136" s="157"/>
      <c r="R136" s="158"/>
      <c r="S136" s="144"/>
      <c r="T136" s="144"/>
      <c r="U136" s="144"/>
      <c r="V136" s="144"/>
      <c r="W136" s="144"/>
      <c r="X136" s="144"/>
      <c r="Y136" s="144"/>
      <c r="Z136" s="144"/>
      <c r="AA136" s="144"/>
      <c r="AB136" s="144"/>
      <c r="AC136" s="144"/>
      <c r="AD136" s="144"/>
      <c r="AE136" s="144"/>
      <c r="AF136" s="144"/>
      <c r="AG136" s="144"/>
      <c r="AH136" s="144"/>
      <c r="AI136" s="144"/>
      <c r="AJ136" s="144"/>
      <c r="AK136" s="144"/>
      <c r="AL136" s="144"/>
    </row>
    <row r="137" spans="1:38" s="2" customFormat="1" x14ac:dyDescent="0.3">
      <c r="A137" s="144"/>
      <c r="B137" s="150"/>
      <c r="C137" s="144"/>
      <c r="D137" s="161"/>
      <c r="E137" s="161"/>
      <c r="F137" s="144"/>
      <c r="G137" s="161"/>
      <c r="H137" s="161"/>
      <c r="I137" s="161"/>
      <c r="J137" s="161"/>
      <c r="K137" s="161"/>
      <c r="L137" s="161"/>
      <c r="M137" s="161"/>
      <c r="N137" s="161"/>
      <c r="O137" s="161"/>
      <c r="P137" s="161"/>
      <c r="Q137" s="157"/>
      <c r="R137" s="158"/>
      <c r="S137" s="144"/>
      <c r="T137" s="144"/>
      <c r="U137" s="144"/>
      <c r="V137" s="144"/>
      <c r="W137" s="144"/>
      <c r="X137" s="144"/>
      <c r="Y137" s="144"/>
      <c r="Z137" s="144"/>
      <c r="AA137" s="144"/>
      <c r="AB137" s="144"/>
      <c r="AC137" s="144"/>
      <c r="AD137" s="144"/>
      <c r="AE137" s="144"/>
      <c r="AF137" s="144"/>
      <c r="AG137" s="144"/>
      <c r="AH137" s="144"/>
      <c r="AI137" s="144"/>
      <c r="AJ137" s="144"/>
      <c r="AK137" s="144"/>
      <c r="AL137" s="144"/>
    </row>
    <row r="138" spans="1:38" s="2" customFormat="1" x14ac:dyDescent="0.3">
      <c r="A138" s="144"/>
      <c r="B138" s="150"/>
      <c r="C138" s="144"/>
      <c r="D138" s="161"/>
      <c r="E138" s="161"/>
      <c r="F138" s="144"/>
      <c r="G138" s="161"/>
      <c r="H138" s="161"/>
      <c r="I138" s="161"/>
      <c r="J138" s="161"/>
      <c r="K138" s="161"/>
      <c r="L138" s="161"/>
      <c r="M138" s="161"/>
      <c r="N138" s="161"/>
      <c r="O138" s="161"/>
      <c r="P138" s="161"/>
      <c r="Q138" s="157"/>
      <c r="R138" s="158"/>
      <c r="S138" s="144"/>
      <c r="T138" s="144"/>
      <c r="U138" s="144"/>
      <c r="V138" s="144"/>
      <c r="W138" s="144"/>
      <c r="X138" s="144"/>
      <c r="Y138" s="144"/>
      <c r="Z138" s="144"/>
      <c r="AA138" s="144"/>
      <c r="AB138" s="144"/>
      <c r="AC138" s="144"/>
      <c r="AD138" s="144"/>
      <c r="AE138" s="144"/>
      <c r="AF138" s="144"/>
      <c r="AG138" s="144"/>
      <c r="AH138" s="144"/>
      <c r="AI138" s="144"/>
      <c r="AJ138" s="144"/>
      <c r="AK138" s="144"/>
      <c r="AL138" s="144"/>
    </row>
    <row r="139" spans="1:38" s="2" customFormat="1" x14ac:dyDescent="0.3">
      <c r="A139" s="144"/>
      <c r="B139" s="150"/>
      <c r="C139" s="144"/>
      <c r="D139" s="161"/>
      <c r="E139" s="161"/>
      <c r="F139" s="144"/>
      <c r="G139" s="161"/>
      <c r="H139" s="161"/>
      <c r="I139" s="161"/>
      <c r="J139" s="161"/>
      <c r="K139" s="161"/>
      <c r="L139" s="161"/>
      <c r="M139" s="161"/>
      <c r="N139" s="161"/>
      <c r="O139" s="161"/>
      <c r="P139" s="161"/>
      <c r="Q139" s="157"/>
      <c r="R139" s="158"/>
      <c r="S139" s="144"/>
      <c r="T139" s="144"/>
      <c r="U139" s="144"/>
      <c r="V139" s="144"/>
      <c r="W139" s="144"/>
      <c r="X139" s="144"/>
      <c r="Y139" s="144"/>
      <c r="Z139" s="144"/>
      <c r="AA139" s="144"/>
      <c r="AB139" s="144"/>
      <c r="AC139" s="144"/>
      <c r="AD139" s="144"/>
      <c r="AE139" s="144"/>
      <c r="AF139" s="144"/>
      <c r="AG139" s="144"/>
      <c r="AH139" s="144"/>
      <c r="AI139" s="144"/>
      <c r="AJ139" s="144"/>
      <c r="AK139" s="144"/>
      <c r="AL139" s="144"/>
    </row>
    <row r="140" spans="1:38" s="2" customFormat="1" x14ac:dyDescent="0.3">
      <c r="A140" s="144"/>
      <c r="B140" s="150"/>
      <c r="C140" s="144"/>
      <c r="D140" s="161"/>
      <c r="E140" s="161"/>
      <c r="F140" s="144"/>
      <c r="G140" s="161"/>
      <c r="H140" s="161"/>
      <c r="I140" s="161"/>
      <c r="J140" s="161"/>
      <c r="K140" s="161"/>
      <c r="L140" s="161"/>
      <c r="M140" s="161"/>
      <c r="N140" s="161"/>
      <c r="O140" s="161"/>
      <c r="P140" s="161"/>
      <c r="Q140" s="157"/>
      <c r="R140" s="158"/>
      <c r="S140" s="144"/>
      <c r="T140" s="144"/>
      <c r="U140" s="144"/>
      <c r="V140" s="144"/>
      <c r="W140" s="144"/>
      <c r="X140" s="144"/>
      <c r="Y140" s="144"/>
      <c r="Z140" s="144"/>
      <c r="AA140" s="144"/>
      <c r="AB140" s="144"/>
      <c r="AC140" s="144"/>
      <c r="AD140" s="144"/>
      <c r="AE140" s="144"/>
      <c r="AF140" s="144"/>
      <c r="AG140" s="144"/>
      <c r="AH140" s="144"/>
      <c r="AI140" s="144"/>
      <c r="AJ140" s="144"/>
      <c r="AK140" s="144"/>
      <c r="AL140" s="144"/>
    </row>
    <row r="141" spans="1:38" s="2" customFormat="1" x14ac:dyDescent="0.3">
      <c r="A141" s="144"/>
      <c r="B141" s="150"/>
      <c r="C141" s="144"/>
      <c r="D141" s="161"/>
      <c r="E141" s="161"/>
      <c r="F141" s="144"/>
      <c r="G141" s="161"/>
      <c r="H141" s="161"/>
      <c r="I141" s="161"/>
      <c r="J141" s="161"/>
      <c r="K141" s="161"/>
      <c r="L141" s="161"/>
      <c r="M141" s="161"/>
      <c r="N141" s="161"/>
      <c r="O141" s="161"/>
      <c r="P141" s="161"/>
      <c r="Q141" s="157"/>
      <c r="R141" s="158"/>
      <c r="S141" s="144"/>
      <c r="T141" s="144"/>
      <c r="U141" s="144"/>
      <c r="V141" s="144"/>
      <c r="W141" s="144"/>
      <c r="X141" s="144"/>
      <c r="Y141" s="144"/>
      <c r="Z141" s="144"/>
      <c r="AA141" s="144"/>
      <c r="AB141" s="144"/>
      <c r="AC141" s="144"/>
      <c r="AD141" s="144"/>
      <c r="AE141" s="144"/>
      <c r="AF141" s="144"/>
      <c r="AG141" s="144"/>
      <c r="AH141" s="144"/>
      <c r="AI141" s="144"/>
      <c r="AJ141" s="144"/>
      <c r="AK141" s="144"/>
      <c r="AL141" s="144"/>
    </row>
    <row r="142" spans="1:38" s="2" customFormat="1" x14ac:dyDescent="0.3">
      <c r="A142" s="144"/>
      <c r="B142" s="150"/>
      <c r="C142" s="144"/>
      <c r="D142" s="161"/>
      <c r="E142" s="161"/>
      <c r="F142" s="144"/>
      <c r="G142" s="161"/>
      <c r="H142" s="161"/>
      <c r="I142" s="161"/>
      <c r="J142" s="161"/>
      <c r="K142" s="161"/>
      <c r="L142" s="161"/>
      <c r="M142" s="161"/>
      <c r="N142" s="161"/>
      <c r="O142" s="161"/>
      <c r="P142" s="161"/>
      <c r="Q142" s="157"/>
      <c r="R142" s="158"/>
      <c r="S142" s="144"/>
      <c r="T142" s="144"/>
      <c r="U142" s="144"/>
      <c r="V142" s="144"/>
      <c r="W142" s="144"/>
      <c r="X142" s="144"/>
      <c r="Y142" s="144"/>
      <c r="Z142" s="144"/>
      <c r="AA142" s="144"/>
      <c r="AB142" s="144"/>
      <c r="AC142" s="144"/>
      <c r="AD142" s="144"/>
      <c r="AE142" s="144"/>
      <c r="AF142" s="144"/>
      <c r="AG142" s="144"/>
      <c r="AH142" s="144"/>
      <c r="AI142" s="144"/>
      <c r="AJ142" s="144"/>
      <c r="AK142" s="144"/>
      <c r="AL142" s="144"/>
    </row>
    <row r="143" spans="1:38" s="2" customFormat="1" x14ac:dyDescent="0.3">
      <c r="A143" s="144"/>
      <c r="B143" s="150"/>
      <c r="C143" s="144"/>
      <c r="D143" s="161"/>
      <c r="E143" s="161"/>
      <c r="F143" s="144"/>
      <c r="G143" s="161"/>
      <c r="H143" s="161"/>
      <c r="I143" s="161"/>
      <c r="J143" s="161"/>
      <c r="K143" s="161"/>
      <c r="L143" s="161"/>
      <c r="M143" s="161"/>
      <c r="N143" s="161"/>
      <c r="O143" s="161"/>
      <c r="P143" s="161"/>
      <c r="Q143" s="157"/>
      <c r="R143" s="158"/>
      <c r="S143" s="144"/>
      <c r="T143" s="144"/>
      <c r="U143" s="144"/>
      <c r="V143" s="144"/>
      <c r="W143" s="144"/>
      <c r="X143" s="144"/>
      <c r="Y143" s="144"/>
      <c r="Z143" s="144"/>
      <c r="AA143" s="144"/>
      <c r="AB143" s="144"/>
      <c r="AC143" s="144"/>
      <c r="AD143" s="144"/>
      <c r="AE143" s="144"/>
      <c r="AF143" s="144"/>
      <c r="AG143" s="144"/>
      <c r="AH143" s="144"/>
      <c r="AI143" s="144"/>
      <c r="AJ143" s="144"/>
      <c r="AK143" s="144"/>
      <c r="AL143" s="144"/>
    </row>
    <row r="144" spans="1:38" s="2" customFormat="1" x14ac:dyDescent="0.3">
      <c r="A144" s="144"/>
      <c r="B144" s="150"/>
      <c r="C144" s="144"/>
      <c r="D144" s="161"/>
      <c r="E144" s="161"/>
      <c r="F144" s="144"/>
      <c r="G144" s="161"/>
      <c r="H144" s="161"/>
      <c r="I144" s="161"/>
      <c r="J144" s="161"/>
      <c r="K144" s="161"/>
      <c r="L144" s="161"/>
      <c r="M144" s="161"/>
      <c r="N144" s="161"/>
      <c r="O144" s="161"/>
      <c r="P144" s="161"/>
      <c r="Q144" s="157"/>
      <c r="R144" s="158"/>
      <c r="S144" s="144"/>
      <c r="T144" s="144"/>
      <c r="U144" s="144"/>
      <c r="V144" s="144"/>
      <c r="W144" s="144"/>
      <c r="X144" s="144"/>
      <c r="Y144" s="144"/>
      <c r="Z144" s="144"/>
      <c r="AA144" s="144"/>
      <c r="AB144" s="144"/>
      <c r="AC144" s="144"/>
      <c r="AD144" s="144"/>
      <c r="AE144" s="144"/>
      <c r="AF144" s="144"/>
      <c r="AG144" s="144"/>
      <c r="AH144" s="144"/>
      <c r="AI144" s="144"/>
      <c r="AJ144" s="144"/>
      <c r="AK144" s="144"/>
      <c r="AL144" s="144"/>
    </row>
    <row r="145" spans="1:38" s="2" customFormat="1" x14ac:dyDescent="0.3">
      <c r="A145" s="144"/>
      <c r="B145" s="150"/>
      <c r="C145" s="144"/>
      <c r="D145" s="161"/>
      <c r="E145" s="161"/>
      <c r="F145" s="144"/>
      <c r="G145" s="161"/>
      <c r="H145" s="161"/>
      <c r="I145" s="161"/>
      <c r="J145" s="161"/>
      <c r="K145" s="161"/>
      <c r="L145" s="161"/>
      <c r="M145" s="161"/>
      <c r="N145" s="161"/>
      <c r="O145" s="161"/>
      <c r="P145" s="161"/>
      <c r="Q145" s="157"/>
      <c r="R145" s="158"/>
      <c r="S145" s="144"/>
      <c r="T145" s="144"/>
      <c r="U145" s="144"/>
      <c r="V145" s="144"/>
      <c r="W145" s="144"/>
      <c r="X145" s="144"/>
      <c r="Y145" s="144"/>
      <c r="Z145" s="144"/>
      <c r="AA145" s="144"/>
      <c r="AB145" s="144"/>
      <c r="AC145" s="144"/>
      <c r="AD145" s="144"/>
      <c r="AE145" s="144"/>
      <c r="AF145" s="144"/>
      <c r="AG145" s="144"/>
      <c r="AH145" s="144"/>
      <c r="AI145" s="144"/>
      <c r="AJ145" s="144"/>
      <c r="AK145" s="144"/>
      <c r="AL145" s="144"/>
    </row>
    <row r="146" spans="1:38" s="2" customFormat="1" x14ac:dyDescent="0.3">
      <c r="A146" s="144"/>
      <c r="B146" s="150"/>
      <c r="C146" s="144"/>
      <c r="D146" s="161"/>
      <c r="E146" s="161"/>
      <c r="F146" s="144"/>
      <c r="G146" s="161"/>
      <c r="H146" s="161"/>
      <c r="I146" s="161"/>
      <c r="J146" s="161"/>
      <c r="K146" s="161"/>
      <c r="L146" s="161"/>
      <c r="M146" s="161"/>
      <c r="N146" s="161"/>
      <c r="O146" s="161"/>
      <c r="P146" s="161"/>
      <c r="Q146" s="157"/>
      <c r="R146" s="158"/>
      <c r="S146" s="144"/>
      <c r="T146" s="144"/>
      <c r="U146" s="144"/>
      <c r="V146" s="144"/>
      <c r="W146" s="144"/>
      <c r="X146" s="144"/>
      <c r="Y146" s="144"/>
      <c r="Z146" s="144"/>
      <c r="AA146" s="144"/>
      <c r="AB146" s="144"/>
      <c r="AC146" s="144"/>
      <c r="AD146" s="144"/>
      <c r="AE146" s="144"/>
      <c r="AF146" s="144"/>
      <c r="AG146" s="144"/>
      <c r="AH146" s="144"/>
      <c r="AI146" s="144"/>
      <c r="AJ146" s="144"/>
      <c r="AK146" s="144"/>
      <c r="AL146" s="144"/>
    </row>
    <row r="147" spans="1:38" s="2" customFormat="1" x14ac:dyDescent="0.3">
      <c r="A147" s="144"/>
      <c r="B147" s="150"/>
      <c r="C147" s="144"/>
      <c r="D147" s="161"/>
      <c r="E147" s="161"/>
      <c r="F147" s="144"/>
      <c r="G147" s="161"/>
      <c r="H147" s="161"/>
      <c r="I147" s="161"/>
      <c r="J147" s="161"/>
      <c r="K147" s="161"/>
      <c r="L147" s="161"/>
      <c r="M147" s="161"/>
      <c r="N147" s="161"/>
      <c r="O147" s="161"/>
      <c r="P147" s="161"/>
      <c r="Q147" s="157"/>
      <c r="R147" s="158"/>
      <c r="S147" s="144"/>
      <c r="T147" s="144"/>
      <c r="U147" s="144"/>
      <c r="V147" s="144"/>
      <c r="W147" s="144"/>
      <c r="X147" s="144"/>
      <c r="Y147" s="144"/>
      <c r="Z147" s="144"/>
      <c r="AA147" s="144"/>
      <c r="AB147" s="144"/>
      <c r="AC147" s="144"/>
      <c r="AD147" s="144"/>
      <c r="AE147" s="144"/>
      <c r="AF147" s="144"/>
      <c r="AG147" s="144"/>
      <c r="AH147" s="144"/>
      <c r="AI147" s="144"/>
      <c r="AJ147" s="144"/>
      <c r="AK147" s="144"/>
      <c r="AL147" s="144"/>
    </row>
    <row r="148" spans="1:38" s="2" customFormat="1" x14ac:dyDescent="0.3">
      <c r="A148" s="144"/>
      <c r="B148" s="150"/>
      <c r="C148" s="144"/>
      <c r="D148" s="161"/>
      <c r="E148" s="161"/>
      <c r="F148" s="144"/>
      <c r="G148" s="161"/>
      <c r="H148" s="161"/>
      <c r="I148" s="161"/>
      <c r="J148" s="161"/>
      <c r="K148" s="161"/>
      <c r="L148" s="161"/>
      <c r="M148" s="161"/>
      <c r="N148" s="161"/>
      <c r="O148" s="161"/>
      <c r="P148" s="161"/>
      <c r="Q148" s="157"/>
      <c r="R148" s="158"/>
      <c r="S148" s="144"/>
      <c r="T148" s="144"/>
      <c r="U148" s="144"/>
      <c r="V148" s="144"/>
      <c r="W148" s="144"/>
      <c r="X148" s="144"/>
      <c r="Y148" s="144"/>
      <c r="Z148" s="144"/>
      <c r="AA148" s="144"/>
      <c r="AB148" s="144"/>
      <c r="AC148" s="144"/>
      <c r="AD148" s="144"/>
      <c r="AE148" s="144"/>
      <c r="AF148" s="144"/>
      <c r="AG148" s="144"/>
      <c r="AH148" s="144"/>
      <c r="AI148" s="144"/>
      <c r="AJ148" s="144"/>
      <c r="AK148" s="144"/>
      <c r="AL148" s="144"/>
    </row>
    <row r="149" spans="1:38" s="2" customFormat="1" x14ac:dyDescent="0.3">
      <c r="A149" s="144"/>
      <c r="B149" s="150"/>
      <c r="C149" s="144"/>
      <c r="D149" s="161"/>
      <c r="E149" s="161"/>
      <c r="F149" s="144"/>
      <c r="G149" s="161"/>
      <c r="H149" s="161"/>
      <c r="I149" s="161"/>
      <c r="J149" s="161"/>
      <c r="K149" s="161"/>
      <c r="L149" s="161"/>
      <c r="M149" s="161"/>
      <c r="N149" s="161"/>
      <c r="O149" s="161"/>
      <c r="P149" s="161"/>
      <c r="Q149" s="157"/>
      <c r="R149" s="158"/>
      <c r="S149" s="144"/>
      <c r="T149" s="144"/>
      <c r="U149" s="144"/>
      <c r="V149" s="144"/>
      <c r="W149" s="144"/>
      <c r="X149" s="144"/>
      <c r="Y149" s="144"/>
      <c r="Z149" s="144"/>
      <c r="AA149" s="144"/>
      <c r="AB149" s="144"/>
      <c r="AC149" s="144"/>
      <c r="AD149" s="144"/>
      <c r="AE149" s="144"/>
      <c r="AF149" s="144"/>
      <c r="AG149" s="144"/>
      <c r="AH149" s="144"/>
      <c r="AI149" s="144"/>
      <c r="AJ149" s="144"/>
      <c r="AK149" s="144"/>
      <c r="AL149" s="144"/>
    </row>
    <row r="150" spans="1:38" x14ac:dyDescent="0.3">
      <c r="B150" s="150"/>
      <c r="C150" s="144"/>
      <c r="D150" s="161"/>
      <c r="E150" s="161"/>
      <c r="F150" s="144"/>
      <c r="G150" s="161"/>
      <c r="H150" s="161"/>
      <c r="I150" s="161"/>
      <c r="J150" s="161"/>
      <c r="K150" s="161"/>
      <c r="L150" s="161"/>
      <c r="M150" s="161"/>
      <c r="N150" s="161"/>
      <c r="O150" s="161"/>
      <c r="P150" s="161"/>
      <c r="Q150" s="157"/>
      <c r="R150" s="158"/>
      <c r="S150" s="144"/>
    </row>
    <row r="151" spans="1:38" x14ac:dyDescent="0.3">
      <c r="B151" s="150"/>
      <c r="C151" s="144"/>
      <c r="D151" s="161"/>
      <c r="E151" s="161"/>
      <c r="F151" s="144"/>
      <c r="G151" s="161"/>
      <c r="H151" s="161"/>
      <c r="I151" s="161"/>
      <c r="J151" s="161"/>
      <c r="K151" s="161"/>
      <c r="L151" s="161"/>
      <c r="M151" s="161"/>
      <c r="N151" s="161"/>
      <c r="O151" s="161"/>
      <c r="P151" s="161"/>
      <c r="Q151" s="157"/>
      <c r="R151" s="158"/>
      <c r="S151" s="144"/>
    </row>
    <row r="152" spans="1:38" x14ac:dyDescent="0.3">
      <c r="B152" s="150"/>
      <c r="C152" s="144"/>
      <c r="D152" s="161"/>
      <c r="E152" s="161"/>
      <c r="F152" s="144"/>
      <c r="G152" s="161"/>
      <c r="H152" s="161"/>
      <c r="I152" s="161"/>
      <c r="J152" s="161"/>
      <c r="K152" s="161"/>
      <c r="L152" s="161"/>
      <c r="M152" s="161"/>
      <c r="N152" s="161"/>
      <c r="O152" s="161"/>
      <c r="P152" s="161"/>
      <c r="Q152" s="157"/>
      <c r="R152" s="158"/>
      <c r="S152" s="144"/>
    </row>
    <row r="153" spans="1:38" x14ac:dyDescent="0.3">
      <c r="B153" s="150"/>
      <c r="C153" s="144"/>
      <c r="D153" s="161"/>
      <c r="E153" s="161"/>
      <c r="F153" s="144"/>
      <c r="G153" s="161"/>
      <c r="H153" s="161"/>
      <c r="I153" s="161"/>
      <c r="J153" s="161"/>
      <c r="K153" s="161"/>
      <c r="L153" s="161"/>
      <c r="M153" s="161"/>
      <c r="N153" s="161"/>
      <c r="O153" s="161"/>
      <c r="P153" s="161"/>
      <c r="Q153" s="157"/>
      <c r="R153" s="158"/>
      <c r="S153" s="144"/>
    </row>
    <row r="154" spans="1:38" x14ac:dyDescent="0.3">
      <c r="B154" s="150"/>
      <c r="C154" s="144"/>
      <c r="D154" s="161"/>
      <c r="E154" s="161"/>
      <c r="F154" s="144"/>
      <c r="G154" s="161"/>
      <c r="H154" s="161"/>
      <c r="I154" s="161"/>
      <c r="J154" s="161"/>
      <c r="K154" s="161"/>
      <c r="L154" s="161"/>
      <c r="M154" s="161"/>
      <c r="N154" s="161"/>
      <c r="O154" s="161"/>
      <c r="P154" s="161"/>
      <c r="Q154" s="157"/>
      <c r="R154" s="158"/>
      <c r="S154" s="144"/>
    </row>
    <row r="155" spans="1:38" x14ac:dyDescent="0.3">
      <c r="B155" s="150"/>
      <c r="C155" s="144"/>
      <c r="D155" s="161"/>
      <c r="E155" s="161"/>
      <c r="F155" s="144"/>
      <c r="G155" s="161"/>
      <c r="H155" s="161"/>
      <c r="I155" s="161"/>
      <c r="J155" s="161"/>
      <c r="K155" s="161"/>
      <c r="L155" s="161"/>
      <c r="M155" s="161"/>
      <c r="N155" s="161"/>
      <c r="O155" s="161"/>
      <c r="P155" s="161"/>
      <c r="Q155" s="157"/>
      <c r="R155" s="158"/>
      <c r="S155" s="144"/>
    </row>
    <row r="156" spans="1:38" x14ac:dyDescent="0.3">
      <c r="B156" s="150"/>
      <c r="C156" s="144"/>
      <c r="D156" s="161"/>
      <c r="E156" s="161"/>
      <c r="F156" s="144"/>
      <c r="G156" s="161"/>
      <c r="H156" s="161"/>
      <c r="I156" s="161"/>
      <c r="J156" s="161"/>
      <c r="K156" s="161"/>
      <c r="L156" s="161"/>
      <c r="M156" s="161"/>
      <c r="N156" s="161"/>
      <c r="O156" s="161"/>
      <c r="P156" s="161"/>
      <c r="Q156" s="157"/>
      <c r="R156" s="158"/>
      <c r="S156" s="144"/>
    </row>
    <row r="157" spans="1:38" x14ac:dyDescent="0.3">
      <c r="B157" s="150"/>
      <c r="C157" s="144"/>
      <c r="D157" s="161"/>
      <c r="E157" s="161"/>
      <c r="F157" s="144"/>
      <c r="G157" s="161"/>
      <c r="H157" s="161"/>
      <c r="I157" s="161"/>
      <c r="J157" s="161"/>
      <c r="K157" s="161"/>
      <c r="L157" s="161"/>
      <c r="M157" s="161"/>
      <c r="N157" s="161"/>
      <c r="O157" s="161"/>
      <c r="P157" s="161"/>
      <c r="Q157" s="157"/>
      <c r="R157" s="158"/>
      <c r="S157" s="144"/>
    </row>
    <row r="158" spans="1:38" x14ac:dyDescent="0.3">
      <c r="B158" s="150"/>
      <c r="C158" s="144"/>
      <c r="D158" s="161"/>
      <c r="E158" s="161"/>
      <c r="F158" s="144"/>
      <c r="G158" s="161"/>
      <c r="H158" s="161"/>
      <c r="I158" s="161"/>
      <c r="J158" s="161"/>
      <c r="K158" s="161"/>
      <c r="L158" s="161"/>
      <c r="M158" s="161"/>
      <c r="N158" s="161"/>
      <c r="O158" s="161"/>
      <c r="P158" s="161"/>
      <c r="Q158" s="157"/>
      <c r="R158" s="158"/>
      <c r="S158" s="144"/>
    </row>
    <row r="159" spans="1:38" x14ac:dyDescent="0.3">
      <c r="B159" s="150"/>
      <c r="C159" s="144"/>
      <c r="D159" s="161"/>
      <c r="E159" s="161"/>
      <c r="F159" s="144"/>
      <c r="G159" s="161"/>
      <c r="H159" s="161"/>
      <c r="I159" s="161"/>
      <c r="J159" s="161"/>
      <c r="K159" s="161"/>
      <c r="L159" s="161"/>
      <c r="M159" s="161"/>
      <c r="N159" s="161"/>
      <c r="O159" s="161"/>
      <c r="P159" s="161"/>
      <c r="Q159" s="157"/>
      <c r="R159" s="158"/>
      <c r="S159" s="144"/>
    </row>
    <row r="160" spans="1:38" x14ac:dyDescent="0.3">
      <c r="B160" s="150"/>
      <c r="C160" s="144"/>
      <c r="D160" s="161"/>
      <c r="E160" s="161"/>
      <c r="F160" s="144"/>
      <c r="G160" s="161"/>
      <c r="H160" s="161"/>
      <c r="I160" s="161"/>
      <c r="J160" s="161"/>
      <c r="K160" s="161"/>
      <c r="L160" s="161"/>
      <c r="M160" s="161"/>
      <c r="N160" s="161"/>
      <c r="O160" s="161"/>
      <c r="P160" s="161"/>
      <c r="Q160" s="157"/>
      <c r="R160" s="158"/>
      <c r="S160" s="144"/>
    </row>
    <row r="161" spans="2:19" x14ac:dyDescent="0.3">
      <c r="B161" s="150"/>
      <c r="C161" s="144"/>
      <c r="D161" s="161"/>
      <c r="E161" s="161"/>
      <c r="F161" s="144"/>
      <c r="G161" s="161"/>
      <c r="H161" s="161"/>
      <c r="I161" s="161"/>
      <c r="J161" s="161"/>
      <c r="K161" s="161"/>
      <c r="L161" s="161"/>
      <c r="M161" s="161"/>
      <c r="N161" s="161"/>
      <c r="O161" s="161"/>
      <c r="P161" s="161"/>
      <c r="Q161" s="157"/>
      <c r="R161" s="158"/>
      <c r="S161" s="144"/>
    </row>
    <row r="162" spans="2:19" x14ac:dyDescent="0.3">
      <c r="B162" s="150"/>
      <c r="C162" s="144"/>
      <c r="D162" s="161"/>
      <c r="E162" s="161"/>
      <c r="F162" s="144"/>
      <c r="G162" s="161"/>
      <c r="H162" s="161"/>
      <c r="I162" s="161"/>
      <c r="J162" s="161"/>
      <c r="K162" s="161"/>
      <c r="L162" s="161"/>
      <c r="M162" s="161"/>
      <c r="N162" s="161"/>
      <c r="O162" s="161"/>
      <c r="P162" s="161"/>
      <c r="Q162" s="157"/>
      <c r="R162" s="158"/>
      <c r="S162" s="144"/>
    </row>
    <row r="163" spans="2:19" x14ac:dyDescent="0.3">
      <c r="B163" s="150"/>
      <c r="C163" s="144"/>
      <c r="D163" s="161"/>
      <c r="E163" s="161"/>
      <c r="F163" s="144"/>
      <c r="G163" s="161"/>
      <c r="H163" s="161"/>
      <c r="I163" s="161"/>
      <c r="J163" s="161"/>
      <c r="K163" s="161"/>
      <c r="L163" s="161"/>
      <c r="M163" s="161"/>
      <c r="N163" s="161"/>
      <c r="O163" s="161"/>
      <c r="P163" s="161"/>
      <c r="Q163" s="157"/>
      <c r="R163" s="158"/>
      <c r="S163" s="144"/>
    </row>
    <row r="164" spans="2:19" x14ac:dyDescent="0.3">
      <c r="B164" s="150"/>
      <c r="C164" s="144"/>
      <c r="D164" s="161"/>
      <c r="E164" s="161"/>
      <c r="F164" s="144"/>
      <c r="G164" s="161"/>
      <c r="H164" s="161"/>
      <c r="I164" s="161"/>
      <c r="J164" s="161"/>
      <c r="K164" s="161"/>
      <c r="L164" s="161"/>
      <c r="M164" s="161"/>
      <c r="N164" s="161"/>
      <c r="O164" s="161"/>
      <c r="P164" s="161"/>
      <c r="Q164" s="157"/>
      <c r="R164" s="158"/>
      <c r="S164" s="144"/>
    </row>
    <row r="165" spans="2:19" x14ac:dyDescent="0.3">
      <c r="B165" s="150"/>
      <c r="C165" s="144"/>
      <c r="D165" s="161"/>
      <c r="E165" s="161"/>
      <c r="F165" s="144"/>
      <c r="G165" s="161"/>
      <c r="H165" s="161"/>
      <c r="I165" s="161"/>
      <c r="J165" s="161"/>
      <c r="K165" s="161"/>
      <c r="L165" s="161"/>
      <c r="M165" s="161"/>
      <c r="N165" s="161"/>
      <c r="O165" s="161"/>
      <c r="P165" s="161"/>
      <c r="Q165" s="157"/>
      <c r="R165" s="158"/>
      <c r="S165" s="144"/>
    </row>
    <row r="166" spans="2:19" x14ac:dyDescent="0.3">
      <c r="B166" s="150"/>
      <c r="C166" s="144"/>
      <c r="D166" s="161"/>
      <c r="E166" s="161"/>
      <c r="F166" s="144"/>
      <c r="G166" s="161"/>
      <c r="H166" s="161"/>
      <c r="I166" s="161"/>
      <c r="J166" s="161"/>
      <c r="K166" s="161"/>
      <c r="L166" s="161"/>
      <c r="M166" s="161"/>
      <c r="N166" s="161"/>
      <c r="O166" s="161"/>
      <c r="P166" s="161"/>
      <c r="Q166" s="157"/>
      <c r="R166" s="158"/>
      <c r="S166" s="144"/>
    </row>
    <row r="167" spans="2:19" x14ac:dyDescent="0.3">
      <c r="B167" s="150"/>
      <c r="C167" s="144"/>
      <c r="D167" s="161"/>
      <c r="E167" s="161"/>
      <c r="F167" s="144"/>
      <c r="G167" s="161"/>
      <c r="H167" s="161"/>
      <c r="I167" s="161"/>
      <c r="J167" s="161"/>
      <c r="K167" s="161"/>
      <c r="L167" s="161"/>
      <c r="M167" s="161"/>
      <c r="N167" s="161"/>
      <c r="O167" s="161"/>
      <c r="P167" s="161"/>
      <c r="Q167" s="157"/>
      <c r="R167" s="158"/>
      <c r="S167" s="144"/>
    </row>
    <row r="168" spans="2:19" x14ac:dyDescent="0.3">
      <c r="B168" s="150"/>
      <c r="C168" s="144"/>
      <c r="D168" s="161"/>
      <c r="E168" s="161"/>
      <c r="F168" s="144"/>
      <c r="G168" s="161"/>
      <c r="H168" s="161"/>
      <c r="I168" s="161"/>
      <c r="J168" s="161"/>
      <c r="K168" s="161"/>
      <c r="L168" s="161"/>
      <c r="M168" s="161"/>
      <c r="N168" s="161"/>
      <c r="O168" s="161"/>
      <c r="P168" s="161"/>
      <c r="Q168" s="157"/>
      <c r="R168" s="158"/>
      <c r="S168" s="144"/>
    </row>
    <row r="169" spans="2:19" x14ac:dyDescent="0.3">
      <c r="B169" s="150"/>
      <c r="C169" s="144"/>
      <c r="D169" s="161"/>
      <c r="E169" s="161"/>
      <c r="F169" s="144"/>
      <c r="G169" s="161"/>
      <c r="H169" s="161"/>
      <c r="I169" s="161"/>
      <c r="J169" s="161"/>
      <c r="K169" s="161"/>
      <c r="L169" s="161"/>
      <c r="M169" s="161"/>
      <c r="N169" s="161"/>
      <c r="O169" s="161"/>
      <c r="P169" s="161"/>
      <c r="Q169" s="157"/>
      <c r="R169" s="158"/>
      <c r="S169" s="144"/>
    </row>
    <row r="170" spans="2:19" x14ac:dyDescent="0.3">
      <c r="B170" s="150"/>
      <c r="C170" s="144"/>
      <c r="D170" s="161"/>
      <c r="E170" s="161"/>
      <c r="F170" s="144"/>
      <c r="G170" s="161"/>
      <c r="H170" s="161"/>
      <c r="I170" s="161"/>
      <c r="J170" s="161"/>
      <c r="K170" s="161"/>
      <c r="L170" s="161"/>
      <c r="M170" s="161"/>
      <c r="N170" s="161"/>
      <c r="O170" s="161"/>
      <c r="P170" s="161"/>
      <c r="Q170" s="157"/>
      <c r="R170" s="158"/>
      <c r="S170" s="144"/>
    </row>
    <row r="171" spans="2:19" x14ac:dyDescent="0.3">
      <c r="B171" s="150"/>
      <c r="C171" s="144"/>
      <c r="D171" s="161"/>
      <c r="E171" s="161"/>
      <c r="F171" s="144"/>
      <c r="G171" s="161"/>
      <c r="H171" s="161"/>
      <c r="I171" s="161"/>
      <c r="J171" s="161"/>
      <c r="K171" s="161"/>
      <c r="L171" s="161"/>
      <c r="M171" s="161"/>
      <c r="N171" s="161"/>
      <c r="O171" s="161"/>
      <c r="P171" s="161"/>
      <c r="Q171" s="157"/>
      <c r="R171" s="158"/>
      <c r="S171" s="144"/>
    </row>
    <row r="172" spans="2:19" x14ac:dyDescent="0.3">
      <c r="B172" s="150"/>
      <c r="C172" s="144"/>
      <c r="D172" s="161"/>
      <c r="E172" s="161"/>
      <c r="F172" s="144"/>
      <c r="G172" s="161"/>
      <c r="H172" s="161"/>
      <c r="I172" s="161"/>
      <c r="J172" s="161"/>
      <c r="K172" s="161"/>
      <c r="L172" s="161"/>
      <c r="M172" s="161"/>
      <c r="N172" s="161"/>
      <c r="O172" s="161"/>
      <c r="P172" s="161"/>
      <c r="Q172" s="157"/>
      <c r="R172" s="158"/>
      <c r="S172" s="144"/>
    </row>
    <row r="173" spans="2:19" x14ac:dyDescent="0.3">
      <c r="B173" s="150"/>
      <c r="C173" s="144"/>
      <c r="D173" s="161"/>
      <c r="E173" s="161"/>
      <c r="F173" s="144"/>
      <c r="G173" s="161"/>
      <c r="H173" s="161"/>
      <c r="I173" s="161"/>
      <c r="J173" s="161"/>
      <c r="K173" s="161"/>
      <c r="L173" s="161"/>
      <c r="M173" s="161"/>
      <c r="N173" s="161"/>
      <c r="O173" s="161"/>
      <c r="P173" s="161"/>
      <c r="Q173" s="157"/>
      <c r="R173" s="158"/>
      <c r="S173" s="144"/>
    </row>
    <row r="174" spans="2:19" x14ac:dyDescent="0.3">
      <c r="B174" s="150"/>
      <c r="C174" s="144"/>
      <c r="D174" s="161"/>
      <c r="E174" s="161"/>
      <c r="F174" s="144"/>
      <c r="G174" s="161"/>
      <c r="H174" s="161"/>
      <c r="I174" s="161"/>
      <c r="J174" s="161"/>
      <c r="K174" s="161"/>
      <c r="L174" s="161"/>
      <c r="M174" s="161"/>
      <c r="N174" s="161"/>
      <c r="O174" s="161"/>
      <c r="P174" s="161"/>
      <c r="Q174" s="157"/>
      <c r="R174" s="158"/>
      <c r="S174" s="144"/>
    </row>
  </sheetData>
  <sheetProtection algorithmName="SHA-512" hashValue="LAjxjksh9N4z1uSfySw3EXXvgaLThrJ8r1uxct+VV4wOJq/Wb735dRrU4yu2OPzrWRVEqhd5wthI25SiybTKmA==" saltValue="t15DbadhYpXJHqMsHCCpBQ==" spinCount="100000" sheet="1" objects="1" scenarios="1"/>
  <protectedRanges>
    <protectedRange sqref="B35:B39 B81:B83 B31:B32 B76:B78 B46:B72" name="Auswahlfelder"/>
  </protectedRanges>
  <mergeCells count="22">
    <mergeCell ref="B105:B107"/>
    <mergeCell ref="B109:B110"/>
    <mergeCell ref="B111:B112"/>
    <mergeCell ref="G105:P105"/>
    <mergeCell ref="C105:F105"/>
    <mergeCell ref="C110:F110"/>
    <mergeCell ref="C111:F111"/>
    <mergeCell ref="C112:F112"/>
    <mergeCell ref="C106:F106"/>
    <mergeCell ref="C107:F107"/>
    <mergeCell ref="C109:F109"/>
    <mergeCell ref="C94:E103"/>
    <mergeCell ref="G3:G4"/>
    <mergeCell ref="C93:F93"/>
    <mergeCell ref="C91:F91"/>
    <mergeCell ref="C90:F90"/>
    <mergeCell ref="C73:F73"/>
    <mergeCell ref="B1:S1"/>
    <mergeCell ref="B3:C3"/>
    <mergeCell ref="B4:B5"/>
    <mergeCell ref="Q3:S5"/>
    <mergeCell ref="D3:F4"/>
  </mergeCells>
  <phoneticPr fontId="5" type="noConversion"/>
  <conditionalFormatting sqref="G31:P89">
    <cfRule type="expression" dxfId="6" priority="78">
      <formula>OR(AND($B31="x",G31="µ"),AND($B31="x",G31="enthalten"))</formula>
    </cfRule>
    <cfRule type="expression" dxfId="5" priority="186">
      <formula>OR(AND($B31="x",G31="Zusatzprodukt"),AND($B31="x",G31="Kauf nach CF"))</formula>
    </cfRule>
    <cfRule type="expression" dxfId="4" priority="187">
      <formula>AND($B31="x",G31="enthalten")</formula>
    </cfRule>
  </conditionalFormatting>
  <conditionalFormatting sqref="G93:P93">
    <cfRule type="top10" dxfId="3" priority="188" bottom="1" rank="1"/>
    <cfRule type="colorScale" priority="2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4:P103">
    <cfRule type="cellIs" dxfId="2" priority="568" operator="lessThan">
      <formula>0</formula>
    </cfRule>
  </conditionalFormatting>
  <conditionalFormatting sqref="G106:P106">
    <cfRule type="colorScale" priority="9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06:P107">
    <cfRule type="cellIs" dxfId="1" priority="924" operator="lessThan">
      <formula>0</formula>
    </cfRule>
  </conditionalFormatting>
  <conditionalFormatting sqref="G107:P107">
    <cfRule type="colorScale" priority="9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11:P111">
    <cfRule type="colorScale" priority="9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12:P112">
    <cfRule type="colorScale" priority="949">
      <colorScale>
        <cfvo type="min"/>
        <cfvo type="percentile" val="50"/>
        <cfvo type="max"/>
        <color rgb="FFF8696B"/>
        <color rgb="FFFFEB84"/>
        <color rgb="FF63BE7B"/>
      </colorScale>
    </cfRule>
    <cfRule type="cellIs" dxfId="0" priority="950" operator="lessThan">
      <formula>0</formula>
    </cfRule>
  </conditionalFormatting>
  <conditionalFormatting sqref="K9:K29">
    <cfRule type="colorScale" priority="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9:L29">
    <cfRule type="colorScale" priority="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9:M29">
    <cfRule type="colorScale" priority="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list" allowBlank="1" showInputMessage="1" showErrorMessage="1" sqref="B35:B39 B31:B32 B76:B83 B46:B72" xr:uid="{D30EEA0A-86A0-48D5-A10D-3ABC9F2C4A3A}">
      <formula1>$B$115:$B$116</formula1>
    </dataValidation>
  </dataValidations>
  <pageMargins left="0.15748031496062992" right="3.937007874015748E-2" top="0.55118110236220474" bottom="0.11811023622047245" header="0.31496062992125984" footer="7.874015748031496E-2"/>
  <pageSetup paperSize="9" scale="48" fitToHeight="0" orientation="landscape" r:id="rId1"/>
  <rowBreaks count="1" manualBreakCount="1">
    <brk id="74" max="17" man="1"/>
  </rowBreaks>
  <ignoredErrors>
    <ignoredError sqref="G7" numberStoredAsText="1"/>
  </ignoredErrors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66489-48CB-4CB3-A14C-D94BAC65D341}">
  <sheetPr codeName="Tabelle3">
    <tabColor rgb="FFFF0000"/>
  </sheetPr>
  <dimension ref="A1:BO60"/>
  <sheetViews>
    <sheetView showGridLines="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J4" sqref="AJ4:AJ24"/>
    </sheetView>
  </sheetViews>
  <sheetFormatPr baseColWidth="10" defaultRowHeight="15" outlineLevelCol="1" x14ac:dyDescent="0.25"/>
  <cols>
    <col min="3" max="3" width="14.7109375" style="3" customWidth="1"/>
    <col min="4" max="4" width="19.5703125" style="3" customWidth="1"/>
    <col min="5" max="5" width="13.140625" style="4" hidden="1" customWidth="1" outlineLevel="1"/>
    <col min="6" max="6" width="18" style="4" hidden="1" customWidth="1" outlineLevel="1"/>
    <col min="7" max="7" width="15.140625" style="4" hidden="1" customWidth="1" outlineLevel="1"/>
    <col min="8" max="10" width="20" style="4" hidden="1" customWidth="1" outlineLevel="1"/>
    <col min="11" max="14" width="11" style="4" hidden="1" customWidth="1" outlineLevel="1"/>
    <col min="15" max="15" width="11.42578125" style="20" collapsed="1"/>
    <col min="16" max="36" width="11.42578125" style="20"/>
    <col min="43" max="43" width="11.42578125" style="297"/>
    <col min="44" max="44" width="5.28515625" bestFit="1" customWidth="1"/>
    <col min="45" max="45" width="4.5703125" bestFit="1" customWidth="1"/>
    <col min="46" max="46" width="5.28515625" bestFit="1" customWidth="1"/>
    <col min="47" max="47" width="11.42578125" style="5"/>
    <col min="48" max="48" width="11.42578125" style="6"/>
    <col min="49" max="49" width="11.42578125" style="5"/>
    <col min="50" max="50" width="11.42578125" style="6"/>
    <col min="51" max="51" width="11.42578125" style="18"/>
    <col min="52" max="52" width="11.42578125" style="21"/>
    <col min="53" max="53" width="11.42578125" style="5"/>
    <col min="54" max="54" width="11.42578125" style="6"/>
    <col min="55" max="55" width="11.42578125" style="5"/>
    <col min="56" max="56" width="11.42578125" style="6"/>
    <col min="57" max="57" width="11.42578125" style="5"/>
    <col min="58" max="58" width="11.42578125" style="6"/>
    <col min="59" max="59" width="11.42578125" style="5"/>
    <col min="60" max="60" width="11.42578125" style="6"/>
    <col min="61" max="61" width="11.42578125" style="5"/>
    <col min="62" max="62" width="11.42578125" style="6"/>
    <col min="63" max="63" width="11.42578125" style="5"/>
    <col min="64" max="64" width="11.42578125" style="6"/>
    <col min="65" max="65" width="11.42578125" style="5"/>
    <col min="66" max="66" width="11.42578125" style="6"/>
  </cols>
  <sheetData>
    <row r="1" spans="2:66" x14ac:dyDescent="0.25">
      <c r="C1" s="3" t="s">
        <v>51</v>
      </c>
      <c r="D1" s="3" t="s">
        <v>51</v>
      </c>
      <c r="E1" s="4" t="s">
        <v>52</v>
      </c>
      <c r="F1" s="4" t="s">
        <v>52</v>
      </c>
      <c r="G1" s="4" t="s">
        <v>52</v>
      </c>
      <c r="H1" s="4" t="s">
        <v>52</v>
      </c>
      <c r="I1" s="4" t="s">
        <v>52</v>
      </c>
      <c r="J1" s="4" t="s">
        <v>52</v>
      </c>
      <c r="K1" s="4" t="s">
        <v>52</v>
      </c>
      <c r="L1" s="4" t="s">
        <v>52</v>
      </c>
      <c r="M1" s="4" t="s">
        <v>52</v>
      </c>
      <c r="N1" s="4" t="s">
        <v>52</v>
      </c>
      <c r="O1" s="3" t="s">
        <v>51</v>
      </c>
      <c r="P1" s="3" t="s">
        <v>51</v>
      </c>
      <c r="Q1" s="3" t="s">
        <v>51</v>
      </c>
      <c r="R1" s="3" t="s">
        <v>51</v>
      </c>
      <c r="S1" s="3" t="s">
        <v>51</v>
      </c>
      <c r="T1" s="3" t="s">
        <v>51</v>
      </c>
      <c r="U1" s="3" t="s">
        <v>51</v>
      </c>
      <c r="V1" s="3" t="s">
        <v>51</v>
      </c>
      <c r="W1" s="3" t="s">
        <v>51</v>
      </c>
      <c r="X1" s="3" t="s">
        <v>51</v>
      </c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2:66" x14ac:dyDescent="0.25">
      <c r="B2" t="s">
        <v>32</v>
      </c>
      <c r="C2" s="3" t="s">
        <v>97</v>
      </c>
      <c r="D2" s="3" t="s">
        <v>98</v>
      </c>
      <c r="E2" s="4" t="s">
        <v>54</v>
      </c>
      <c r="F2" s="4" t="s">
        <v>55</v>
      </c>
      <c r="G2" s="4" t="s">
        <v>56</v>
      </c>
      <c r="H2" s="4" t="s">
        <v>57</v>
      </c>
      <c r="I2" s="4" t="s">
        <v>73</v>
      </c>
      <c r="J2" s="4" t="s">
        <v>74</v>
      </c>
      <c r="K2" s="3" t="s">
        <v>101</v>
      </c>
      <c r="L2" s="3" t="s">
        <v>102</v>
      </c>
      <c r="M2" s="3" t="s">
        <v>154</v>
      </c>
      <c r="N2" s="3" t="s">
        <v>155</v>
      </c>
      <c r="O2" s="3" t="s">
        <v>62</v>
      </c>
      <c r="P2" s="3" t="s">
        <v>63</v>
      </c>
      <c r="Q2" s="3" t="s">
        <v>58</v>
      </c>
      <c r="R2" s="3" t="s">
        <v>59</v>
      </c>
      <c r="S2" s="3" t="s">
        <v>60</v>
      </c>
      <c r="T2" s="3" t="s">
        <v>61</v>
      </c>
      <c r="U2" s="3" t="s">
        <v>223</v>
      </c>
      <c r="V2" s="3" t="s">
        <v>224</v>
      </c>
      <c r="W2" s="3" t="s">
        <v>99</v>
      </c>
      <c r="X2" s="3" t="s">
        <v>100</v>
      </c>
      <c r="Y2" s="3" t="s">
        <v>133</v>
      </c>
      <c r="Z2" s="3" t="s">
        <v>134</v>
      </c>
      <c r="AA2" s="3" t="s">
        <v>152</v>
      </c>
      <c r="AB2" s="3" t="s">
        <v>153</v>
      </c>
      <c r="AC2" s="3" t="s">
        <v>176</v>
      </c>
      <c r="AD2" s="3" t="s">
        <v>179</v>
      </c>
      <c r="AE2" s="3" t="s">
        <v>219</v>
      </c>
      <c r="AF2" s="3" t="s">
        <v>220</v>
      </c>
      <c r="AG2" s="3" t="s">
        <v>221</v>
      </c>
      <c r="AH2" s="3" t="s">
        <v>222</v>
      </c>
      <c r="AI2" s="3" t="s">
        <v>247</v>
      </c>
      <c r="AJ2" s="3" t="s">
        <v>246</v>
      </c>
      <c r="AK2" s="7" t="s">
        <v>64</v>
      </c>
      <c r="AL2" s="7" t="s">
        <v>65</v>
      </c>
      <c r="AM2" s="7" t="s">
        <v>66</v>
      </c>
      <c r="AN2" s="7" t="s">
        <v>67</v>
      </c>
      <c r="AO2" s="7" t="s">
        <v>68</v>
      </c>
      <c r="AP2" s="7" t="s">
        <v>69</v>
      </c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</row>
    <row r="3" spans="2:66" x14ac:dyDescent="0.25">
      <c r="B3">
        <v>0</v>
      </c>
      <c r="C3" s="3">
        <v>0</v>
      </c>
      <c r="D3" s="3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236">
        <v>0</v>
      </c>
      <c r="AJ3" s="236">
        <v>0</v>
      </c>
      <c r="AK3" s="9">
        <f>Tabelle3[[#This Row],[Nedime (€)]]/C$24</f>
        <v>0</v>
      </c>
      <c r="AL3" s="9">
        <f>Tabelle3[[#This Row],[Nedime (Backer)]]/D$24</f>
        <v>0</v>
      </c>
      <c r="AM3" s="9">
        <f>Tabelle3[[#This Row],[Thorwal (€)]]/Q$24</f>
        <v>0</v>
      </c>
      <c r="AN3" s="9">
        <f>Tabelle3[[#This Row],[Thorwal (Backer)]]/R$24</f>
        <v>0</v>
      </c>
      <c r="AO3" s="9">
        <f>Tabelle3[[#This Row],[Werkzeuge (€)]]/S$24</f>
        <v>0</v>
      </c>
      <c r="AP3" s="9">
        <f>Tabelle3[[#This Row],[Werkzeuge (Backer)]]/T$24</f>
        <v>0</v>
      </c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</row>
    <row r="4" spans="2:66" x14ac:dyDescent="0.25">
      <c r="B4">
        <v>1</v>
      </c>
      <c r="C4" s="3">
        <v>14771</v>
      </c>
      <c r="D4" s="3">
        <v>73</v>
      </c>
      <c r="E4" s="4">
        <f>Tabelle3[[#This Row],[Thorwal (€)]]/Q24*E24</f>
        <v>15228.039651881134</v>
      </c>
      <c r="F4" s="4">
        <f>Tabelle3[[#This Row],[Thorwal (Backer)]]/R24*F24</f>
        <v>110.36895674300254</v>
      </c>
      <c r="G4" s="4">
        <f>Tabelle3[[#This Row],[Werkzeuge (€)]]/$S$24*$G$24</f>
        <v>15864.463389201001</v>
      </c>
      <c r="H4" s="4">
        <f>Tabelle3[[#This Row],[Werkzeuge (Backer)]]/$T$24*$H$24</f>
        <v>82.160052910052912</v>
      </c>
      <c r="I4" s="4">
        <f>Tabelle3[[#This Row],[DSK Fasar (€)]]/$U$24*$I$24</f>
        <v>18347.556793377207</v>
      </c>
      <c r="J4" s="4">
        <f>Tabelle3[[#This Row],[DSK Fasar (Backer)]]/$V$24*$J$24</f>
        <v>102.83434650455926</v>
      </c>
      <c r="K4" s="4">
        <f>Tabelle3[[#This Row],[Mythen (€)]]/$W$24*$K$24</f>
        <v>13587.026924914715</v>
      </c>
      <c r="L4" s="4">
        <f>Tabelle3[[#This Row],[Mythen (Backer)]]/$X$24*$L$24</f>
        <v>80.291750503018108</v>
      </c>
      <c r="M4" s="4">
        <f>Tabelle3[[#This Row],[SOK (€)]]/$Y$24*$K$24</f>
        <v>23400.530268490904</v>
      </c>
      <c r="N4" s="4">
        <f>Tabelle3[[#This Row],[SOK (Backer)]]/$Z$24*$L$24</f>
        <v>130.33353365384616</v>
      </c>
      <c r="O4" s="10">
        <f>O3+($O$6-$O$3)/3</f>
        <v>15333.333333333334</v>
      </c>
      <c r="P4" s="10">
        <f>P3+($P$6-$P$3)/3</f>
        <v>100</v>
      </c>
      <c r="Q4" s="3">
        <v>65000</v>
      </c>
      <c r="R4" s="3">
        <v>500</v>
      </c>
      <c r="S4" s="3">
        <v>43437</v>
      </c>
      <c r="T4" s="3">
        <v>179</v>
      </c>
      <c r="U4" s="3">
        <v>36402</v>
      </c>
      <c r="V4" s="3">
        <v>195</v>
      </c>
      <c r="W4" s="3">
        <v>19612</v>
      </c>
      <c r="X4" s="3">
        <v>115</v>
      </c>
      <c r="Y4" s="3">
        <v>89735</v>
      </c>
      <c r="Z4" s="3">
        <v>625</v>
      </c>
      <c r="AA4" s="3">
        <v>82966</v>
      </c>
      <c r="AB4" s="3">
        <v>341</v>
      </c>
      <c r="AC4" s="3">
        <v>76466</v>
      </c>
      <c r="AD4" s="3">
        <v>317</v>
      </c>
      <c r="AE4" s="3">
        <v>26725</v>
      </c>
      <c r="AF4" s="3">
        <v>136</v>
      </c>
      <c r="AG4" s="3">
        <v>97183</v>
      </c>
      <c r="AH4" s="3">
        <v>489</v>
      </c>
      <c r="AI4" s="236">
        <f>'Übersicht &amp; Anleitung'!X60</f>
        <v>8357</v>
      </c>
      <c r="AJ4" s="236">
        <f>'Übersicht &amp; Anleitung'!Y60</f>
        <v>67</v>
      </c>
      <c r="AK4" s="9">
        <f>Tabelle3[[#This Row],[Nedime (€)]]/C$24</f>
        <v>0.23692357045472773</v>
      </c>
      <c r="AL4" s="9">
        <f>Tabelle3[[#This Row],[Nedime (Backer)]]/D$24</f>
        <v>0.21037463976945245</v>
      </c>
      <c r="AM4" s="9">
        <f>Tabelle3[[#This Row],[Thorwal (€)]]/Q$24</f>
        <v>0.24425438530565619</v>
      </c>
      <c r="AN4" s="9">
        <f>Tabelle3[[#This Row],[Thorwal (Backer)]]/R$24</f>
        <v>0.31806615776081426</v>
      </c>
      <c r="AO4" s="9">
        <f>Tabelle3[[#This Row],[Werkzeuge (€)]]/S$24</f>
        <v>0.25446248118054376</v>
      </c>
      <c r="AP4" s="9">
        <f>Tabelle3[[#This Row],[Werkzeuge (Backer)]]/T$24</f>
        <v>0.23677248677248677</v>
      </c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</row>
    <row r="5" spans="2:66" x14ac:dyDescent="0.25">
      <c r="B5">
        <v>2</v>
      </c>
      <c r="C5" s="3">
        <v>16764</v>
      </c>
      <c r="D5" s="3">
        <v>82</v>
      </c>
      <c r="E5" s="11">
        <f t="shared" ref="E5:E13" si="0">E4+($E$14-$E$4)/10</f>
        <v>16633.704850516315</v>
      </c>
      <c r="F5" s="11">
        <f>F4+($F$14-$F$4)/10</f>
        <v>119.19847328244275</v>
      </c>
      <c r="G5" s="4">
        <f>Tabelle3[[#This Row],[Werkzeuge (€)]]/$S$24*$G$24</f>
        <v>18086.883439464327</v>
      </c>
      <c r="H5" s="4">
        <f>Tabelle3[[#This Row],[Werkzeuge (Backer)]]/$T$24*$H$24</f>
        <v>94.55291005291005</v>
      </c>
      <c r="I5" s="4">
        <f>Tabelle3[[#This Row],[DSK Fasar (€)]]/$U$24*$I$24</f>
        <v>21501.247877827544</v>
      </c>
      <c r="J5" s="4">
        <f>Tabelle3[[#This Row],[DSK Fasar (Backer)]]/$V$24*$J$24</f>
        <v>122.87386018237082</v>
      </c>
      <c r="K5" s="4">
        <f>Tabelle3[[#This Row],[Mythen (€)]]/$W$24*$K$24</f>
        <v>16995.561111666721</v>
      </c>
      <c r="L5" s="4">
        <f>Tabelle3[[#This Row],[Mythen (Backer)]]/$X$24*$L$24</f>
        <v>101.23742454728371</v>
      </c>
      <c r="M5" s="4">
        <f>Tabelle3[[#This Row],[SOK (€)]]/$Y$24*$K$24</f>
        <v>29728.987041831711</v>
      </c>
      <c r="N5" s="4">
        <f>Tabelle3[[#This Row],[SOK (Backer)]]/$Z$24*$L$24</f>
        <v>164.53305288461539</v>
      </c>
      <c r="O5" s="10">
        <f>O4+($O$6-$O$3)/3</f>
        <v>30666.666666666668</v>
      </c>
      <c r="P5" s="10">
        <f>P4+($P$6-$P$3)/3</f>
        <v>200</v>
      </c>
      <c r="Q5" s="10">
        <f>Q4+($Q$14-$Q$4)/10</f>
        <v>71000</v>
      </c>
      <c r="R5" s="10">
        <f>R4+($R$14-$R$4)/10</f>
        <v>540</v>
      </c>
      <c r="S5" s="3">
        <v>49522</v>
      </c>
      <c r="T5" s="3">
        <v>206</v>
      </c>
      <c r="U5" s="3">
        <v>42659</v>
      </c>
      <c r="V5" s="3">
        <v>233</v>
      </c>
      <c r="W5" s="3">
        <v>24532</v>
      </c>
      <c r="X5" s="3">
        <v>145</v>
      </c>
      <c r="Y5" s="3">
        <v>114003</v>
      </c>
      <c r="Z5" s="3">
        <v>789</v>
      </c>
      <c r="AA5" s="3">
        <v>96328</v>
      </c>
      <c r="AB5" s="3">
        <v>404</v>
      </c>
      <c r="AC5" s="3">
        <v>100197</v>
      </c>
      <c r="AD5" s="3">
        <v>417</v>
      </c>
      <c r="AE5" s="3">
        <v>32416</v>
      </c>
      <c r="AF5" s="3">
        <v>172</v>
      </c>
      <c r="AG5" s="3">
        <v>121393</v>
      </c>
      <c r="AH5" s="3">
        <v>618</v>
      </c>
      <c r="AI5" s="236">
        <f>'Übersicht &amp; Anleitung'!X61</f>
        <v>11433</v>
      </c>
      <c r="AJ5" s="236">
        <f>'Übersicht &amp; Anleitung'!Y61</f>
        <v>89</v>
      </c>
      <c r="AK5" s="9">
        <f>Tabelle3[[#This Row],[Nedime (€)]]/C$24</f>
        <v>0.2688908493062796</v>
      </c>
      <c r="AL5" s="9">
        <f>Tabelle3[[#This Row],[Nedime (Backer)]]/D$24</f>
        <v>0.23631123919308358</v>
      </c>
      <c r="AM5" s="9"/>
      <c r="AN5" s="9"/>
      <c r="AO5" s="9">
        <f>Tabelle3[[#This Row],[Werkzeuge (€)]]/S$24</f>
        <v>0.29010960685643317</v>
      </c>
      <c r="AP5" s="9">
        <f>Tabelle3[[#This Row],[Werkzeuge (Backer)]]/T$24</f>
        <v>0.2724867724867725</v>
      </c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</row>
    <row r="6" spans="2:66" ht="15.75" thickBot="1" x14ac:dyDescent="0.3">
      <c r="B6">
        <v>3</v>
      </c>
      <c r="C6" s="3">
        <v>17674</v>
      </c>
      <c r="D6" s="3">
        <v>90</v>
      </c>
      <c r="E6" s="11">
        <f t="shared" si="0"/>
        <v>18039.370049151497</v>
      </c>
      <c r="F6" s="11">
        <f t="shared" ref="F6:F13" si="1">F5+($F$14-$F$4)/10</f>
        <v>128.02798982188295</v>
      </c>
      <c r="G6" s="4">
        <f>Tabelle3[[#This Row],[Werkzeuge (€)]]/$S$24*$G$24</f>
        <v>19686.222371280779</v>
      </c>
      <c r="H6" s="4">
        <f>Tabelle3[[#This Row],[Werkzeuge (Backer)]]/$T$24*$H$24</f>
        <v>102.81481481481481</v>
      </c>
      <c r="I6" s="4">
        <f>Tabelle3[[#This Row],[DSK Fasar (€)]]/$U$24*$I$24</f>
        <v>22818.772009960063</v>
      </c>
      <c r="J6" s="4">
        <f>Tabelle3[[#This Row],[DSK Fasar (Backer)]]/$V$24*$J$24</f>
        <v>130.78419452887539</v>
      </c>
      <c r="K6" s="4">
        <f>Tabelle3[[#This Row],[Mythen (€)]]/$W$24*$K$24</f>
        <v>19170.23363447456</v>
      </c>
      <c r="L6" s="4">
        <f>Tabelle3[[#This Row],[Mythen (Backer)]]/$X$24*$L$24</f>
        <v>113.10663983903422</v>
      </c>
      <c r="M6" s="4">
        <f>Tabelle3[[#This Row],[SOK (€)]]/$Y$24*$K$24</f>
        <v>31949.736089209753</v>
      </c>
      <c r="N6" s="4">
        <f>Tabelle3[[#This Row],[SOK (Backer)]]/$Z$24*$L$24</f>
        <v>177.67067307692307</v>
      </c>
      <c r="O6" s="3">
        <v>46000</v>
      </c>
      <c r="P6" s="3">
        <v>300</v>
      </c>
      <c r="Q6" s="10">
        <f t="shared" ref="Q6:Q13" si="2">Q5+($Q$14-$Q$4)/10</f>
        <v>77000</v>
      </c>
      <c r="R6" s="10">
        <f t="shared" ref="R6:R13" si="3">R5+($R$14-$R$4)/10</f>
        <v>580</v>
      </c>
      <c r="S6" s="3">
        <v>53901</v>
      </c>
      <c r="T6" s="3">
        <v>224</v>
      </c>
      <c r="U6" s="3">
        <v>45273</v>
      </c>
      <c r="V6" s="3">
        <v>248</v>
      </c>
      <c r="W6" s="3">
        <v>27671</v>
      </c>
      <c r="X6" s="3">
        <v>162</v>
      </c>
      <c r="Y6" s="3">
        <v>122519</v>
      </c>
      <c r="Z6" s="3">
        <v>852</v>
      </c>
      <c r="AA6" s="3">
        <v>115147</v>
      </c>
      <c r="AB6" s="3">
        <v>480</v>
      </c>
      <c r="AC6" s="3">
        <v>110488</v>
      </c>
      <c r="AD6" s="3">
        <v>458</v>
      </c>
      <c r="AE6" s="3">
        <v>38191</v>
      </c>
      <c r="AF6" s="3">
        <v>199</v>
      </c>
      <c r="AG6" s="3">
        <v>143837</v>
      </c>
      <c r="AH6" s="3">
        <v>731</v>
      </c>
      <c r="AI6" s="3">
        <f>'Übersicht &amp; Anleitung'!X62</f>
        <v>13158</v>
      </c>
      <c r="AJ6" s="3">
        <f>'Übersicht &amp; Anleitung'!Y62</f>
        <v>101</v>
      </c>
      <c r="AK6" s="9">
        <f>Tabelle3[[#This Row],[Nedime (€)]]/C$24</f>
        <v>0.2834870478787393</v>
      </c>
      <c r="AL6" s="9">
        <f>Tabelle3[[#This Row],[Nedime (Backer)]]/D$24</f>
        <v>0.25936599423631124</v>
      </c>
      <c r="AM6" s="9"/>
      <c r="AN6" s="9"/>
      <c r="AO6" s="9">
        <f>Tabelle3[[#This Row],[Werkzeuge (€)]]/S$24</f>
        <v>0.31576264931078318</v>
      </c>
      <c r="AP6" s="9">
        <f>Tabelle3[[#This Row],[Werkzeuge (Backer)]]/T$24</f>
        <v>0.29629629629629628</v>
      </c>
      <c r="AU6" s="5" t="s">
        <v>252</v>
      </c>
      <c r="AV6" s="8"/>
      <c r="AX6" s="8"/>
      <c r="AZ6" s="19"/>
      <c r="BB6" s="8"/>
      <c r="BD6" s="8"/>
      <c r="BE6" s="5" t="s">
        <v>251</v>
      </c>
      <c r="BF6" s="8"/>
      <c r="BG6" s="5" t="s">
        <v>252</v>
      </c>
      <c r="BH6" s="8"/>
      <c r="BJ6" s="8"/>
      <c r="BL6" s="8"/>
      <c r="BN6" s="8"/>
    </row>
    <row r="7" spans="2:66" x14ac:dyDescent="0.25">
      <c r="B7">
        <v>4</v>
      </c>
      <c r="C7" s="3">
        <v>18881</v>
      </c>
      <c r="D7" s="3">
        <v>95</v>
      </c>
      <c r="E7" s="11">
        <f t="shared" si="0"/>
        <v>19445.03524778668</v>
      </c>
      <c r="F7" s="11">
        <f t="shared" si="1"/>
        <v>136.85750636132315</v>
      </c>
      <c r="G7" s="4">
        <f>Tabelle3[[#This Row],[Werkzeuge (€)]]/$S$24*$G$24</f>
        <v>21900.242148552148</v>
      </c>
      <c r="H7" s="4">
        <f>Tabelle3[[#This Row],[Werkzeuge (Backer)]]/$T$24*$H$24</f>
        <v>113.37169312169313</v>
      </c>
      <c r="I7" s="4">
        <f>Tabelle3[[#This Row],[DSK Fasar (€)]]/$U$24*$I$24</f>
        <v>24171.577966594985</v>
      </c>
      <c r="J7" s="4">
        <f>Tabelle3[[#This Row],[DSK Fasar (Backer)]]/$V$24*$J$24</f>
        <v>139.22188449848025</v>
      </c>
      <c r="K7" s="4">
        <f>Tabelle3[[#This Row],[Mythen (€)]]/$W$24*$K$24</f>
        <v>21008.20948761543</v>
      </c>
      <c r="L7" s="4">
        <f>Tabelle3[[#This Row],[Mythen (Backer)]]/$X$24*$L$24</f>
        <v>124.27766599597587</v>
      </c>
      <c r="M7" s="4">
        <f>Tabelle3[[#This Row],[SOK (€)]]/$Y$24*$K$24</f>
        <v>33275.770483986329</v>
      </c>
      <c r="N7" s="4">
        <f>Tabelle3[[#This Row],[SOK (Backer)]]/$Z$24*$L$24</f>
        <v>185.80348557692307</v>
      </c>
      <c r="O7" s="10">
        <f>O6+($O$24-$O$6)/18</f>
        <v>50100.388888888891</v>
      </c>
      <c r="P7" s="10">
        <f>P6+($P$24-$P$6)/18</f>
        <v>322.83333333333331</v>
      </c>
      <c r="Q7" s="10">
        <f t="shared" si="2"/>
        <v>83000</v>
      </c>
      <c r="R7" s="10">
        <f t="shared" si="3"/>
        <v>620</v>
      </c>
      <c r="S7" s="3">
        <v>59963</v>
      </c>
      <c r="T7" s="3">
        <v>247</v>
      </c>
      <c r="U7" s="3">
        <v>47957</v>
      </c>
      <c r="V7" s="3">
        <v>264</v>
      </c>
      <c r="W7" s="3">
        <v>30324</v>
      </c>
      <c r="X7" s="3">
        <v>178</v>
      </c>
      <c r="Y7" s="3">
        <v>127604</v>
      </c>
      <c r="Z7" s="3">
        <v>891</v>
      </c>
      <c r="AA7" s="3">
        <v>123834</v>
      </c>
      <c r="AB7" s="3">
        <v>520</v>
      </c>
      <c r="AC7" s="3">
        <v>117325</v>
      </c>
      <c r="AD7" s="3">
        <v>486</v>
      </c>
      <c r="AE7" s="3">
        <v>41597</v>
      </c>
      <c r="AF7" s="3">
        <v>218</v>
      </c>
      <c r="AG7" s="3">
        <v>156839</v>
      </c>
      <c r="AH7" s="3">
        <v>797</v>
      </c>
      <c r="AI7" s="3">
        <f>'Übersicht &amp; Anleitung'!X63</f>
        <v>14235</v>
      </c>
      <c r="AJ7" s="3">
        <f>'Übersicht &amp; Anleitung'!Y63</f>
        <v>110</v>
      </c>
      <c r="AK7" s="9">
        <f>Tabelle3[[#This Row],[Nedime (€)]]/C$24</f>
        <v>0.30284706071056222</v>
      </c>
      <c r="AL7" s="9">
        <f>Tabelle3[[#This Row],[Nedime (Backer)]]/D$24</f>
        <v>0.2737752161383285</v>
      </c>
      <c r="AM7" s="9"/>
      <c r="AN7" s="9"/>
      <c r="AO7" s="9">
        <f>Tabelle3[[#This Row],[Werkzeuge (€)]]/S$24</f>
        <v>0.35127503646727321</v>
      </c>
      <c r="AP7" s="9">
        <f>Tabelle3[[#This Row],[Werkzeuge (Backer)]]/T$24</f>
        <v>0.32671957671957674</v>
      </c>
      <c r="AS7" t="s">
        <v>17</v>
      </c>
      <c r="AT7" t="s">
        <v>78</v>
      </c>
      <c r="AU7" s="320" t="s">
        <v>53</v>
      </c>
      <c r="AV7" s="321" t="s">
        <v>53</v>
      </c>
      <c r="AW7" s="322" t="s">
        <v>53</v>
      </c>
      <c r="AX7" s="323" t="s">
        <v>53</v>
      </c>
      <c r="AY7" s="324" t="s">
        <v>53</v>
      </c>
      <c r="AZ7" s="325" t="s">
        <v>53</v>
      </c>
      <c r="BA7" s="326" t="s">
        <v>53</v>
      </c>
      <c r="BB7" s="327" t="s">
        <v>53</v>
      </c>
      <c r="BC7" s="328" t="s">
        <v>53</v>
      </c>
      <c r="BD7" s="329" t="s">
        <v>53</v>
      </c>
      <c r="BE7" s="322" t="s">
        <v>53</v>
      </c>
      <c r="BF7" s="330" t="s">
        <v>53</v>
      </c>
      <c r="BG7" s="331" t="s">
        <v>53</v>
      </c>
      <c r="BH7" s="332" t="s">
        <v>53</v>
      </c>
      <c r="BI7" s="331" t="s">
        <v>53</v>
      </c>
      <c r="BJ7" s="332" t="s">
        <v>53</v>
      </c>
      <c r="BK7" s="326" t="s">
        <v>53</v>
      </c>
      <c r="BL7" s="327" t="s">
        <v>53</v>
      </c>
      <c r="BM7" s="322" t="s">
        <v>53</v>
      </c>
      <c r="BN7" s="330" t="s">
        <v>53</v>
      </c>
    </row>
    <row r="8" spans="2:66" x14ac:dyDescent="0.25">
      <c r="B8">
        <v>5</v>
      </c>
      <c r="C8" s="3">
        <v>21886</v>
      </c>
      <c r="D8" s="3">
        <v>111</v>
      </c>
      <c r="E8" s="11">
        <f t="shared" si="0"/>
        <v>20850.700446421863</v>
      </c>
      <c r="F8" s="11">
        <f t="shared" si="1"/>
        <v>145.68702290076334</v>
      </c>
      <c r="G8" s="4">
        <f>Tabelle3[[#This Row],[Werkzeuge (€)]]/$S$24*$G$24</f>
        <v>23051.444777710734</v>
      </c>
      <c r="H8" s="4">
        <f>Tabelle3[[#This Row],[Werkzeuge (Backer)]]/$T$24*$H$24</f>
        <v>121.17460317460316</v>
      </c>
      <c r="I8" s="4">
        <f>Tabelle3[[#This Row],[DSK Fasar (€)]]/$U$24*$I$24</f>
        <v>25585.875103076945</v>
      </c>
      <c r="J8" s="4">
        <f>Tabelle3[[#This Row],[DSK Fasar (Backer)]]/$V$24*$J$24</f>
        <v>147.65957446808511</v>
      </c>
      <c r="K8" s="4">
        <f>Tabelle3[[#This Row],[Mythen (€)]]/$W$24*$K$24</f>
        <v>22599.551566267739</v>
      </c>
      <c r="L8" s="4">
        <f>Tabelle3[[#This Row],[Mythen (Backer)]]/$X$24*$L$24</f>
        <v>133.35412474849096</v>
      </c>
      <c r="M8" s="4">
        <f>Tabelle3[[#This Row],[SOK (€)]]/$Y$24*$K$24</f>
        <v>34232.810057010916</v>
      </c>
      <c r="N8" s="4">
        <f>Tabelle3[[#This Row],[SOK (Backer)]]/$Z$24*$L$24</f>
        <v>191.43389423076923</v>
      </c>
      <c r="O8" s="10">
        <f t="shared" ref="O8:O23" si="4">O7+($O$24-$O$6)/18</f>
        <v>54200.777777777781</v>
      </c>
      <c r="P8" s="10">
        <f t="shared" ref="P8:P23" si="5">P7+($P$24-$P$6)/18</f>
        <v>345.66666666666663</v>
      </c>
      <c r="Q8" s="10">
        <f t="shared" si="2"/>
        <v>89000</v>
      </c>
      <c r="R8" s="10">
        <f t="shared" si="3"/>
        <v>660</v>
      </c>
      <c r="S8" s="3">
        <v>63115</v>
      </c>
      <c r="T8" s="3">
        <v>264</v>
      </c>
      <c r="U8" s="3">
        <v>50763</v>
      </c>
      <c r="V8" s="3">
        <v>280</v>
      </c>
      <c r="W8" s="3">
        <v>32621</v>
      </c>
      <c r="X8" s="3">
        <v>191</v>
      </c>
      <c r="Y8" s="3">
        <v>131274</v>
      </c>
      <c r="Z8" s="3">
        <v>918</v>
      </c>
      <c r="AA8" s="3">
        <v>132002</v>
      </c>
      <c r="AB8" s="3">
        <v>564</v>
      </c>
      <c r="AC8" s="3">
        <v>120368</v>
      </c>
      <c r="AD8" s="3">
        <v>497</v>
      </c>
      <c r="AE8" s="3">
        <v>44358</v>
      </c>
      <c r="AF8" s="3">
        <v>235</v>
      </c>
      <c r="AG8" s="3">
        <v>166947</v>
      </c>
      <c r="AH8" s="3">
        <v>847</v>
      </c>
      <c r="AI8" s="3">
        <f>'Übersicht &amp; Anleitung'!X64</f>
        <v>15015</v>
      </c>
      <c r="AJ8" s="3">
        <f>'Übersicht &amp; Anleitung'!Y64</f>
        <v>116</v>
      </c>
      <c r="AK8" s="9">
        <f>Tabelle3[[#This Row],[Nedime (€)]]/C$24</f>
        <v>0.35104659555698131</v>
      </c>
      <c r="AL8" s="9">
        <f>Tabelle3[[#This Row],[Nedime (Backer)]]/D$24</f>
        <v>0.31988472622478387</v>
      </c>
      <c r="AM8" s="9"/>
      <c r="AN8" s="9"/>
      <c r="AO8" s="9">
        <f>Tabelle3[[#This Row],[Werkzeuge (€)]]/S$24</f>
        <v>0.36974007182148905</v>
      </c>
      <c r="AP8" s="9">
        <f>Tabelle3[[#This Row],[Werkzeuge (Backer)]]/T$24</f>
        <v>0.34920634920634919</v>
      </c>
      <c r="AQ8" s="298" t="s">
        <v>105</v>
      </c>
      <c r="AR8" s="15" t="s">
        <v>76</v>
      </c>
      <c r="AS8" s="22">
        <f>MIN(AU9,AW9,AY9,BA9,BC9,BE9,BG9,BI9,BK9,BM9)</f>
        <v>2.664255864489887</v>
      </c>
      <c r="AT8" s="22">
        <f>MIN(AV9,AX9,AZ9,BB9,BD9,BF9,BH9,BJ9,BL9,BN9)</f>
        <v>2.6623999999999999</v>
      </c>
      <c r="AU8" s="333" t="s">
        <v>225</v>
      </c>
      <c r="AV8" s="334" t="s">
        <v>226</v>
      </c>
      <c r="AW8" s="335" t="s">
        <v>70</v>
      </c>
      <c r="AX8" s="336" t="s">
        <v>71</v>
      </c>
      <c r="AY8" s="337" t="s">
        <v>229</v>
      </c>
      <c r="AZ8" s="338" t="s">
        <v>230</v>
      </c>
      <c r="BA8" s="339" t="s">
        <v>227</v>
      </c>
      <c r="BB8" s="340" t="s">
        <v>228</v>
      </c>
      <c r="BC8" s="341" t="s">
        <v>131</v>
      </c>
      <c r="BD8" s="342" t="s">
        <v>132</v>
      </c>
      <c r="BE8" s="335" t="s">
        <v>156</v>
      </c>
      <c r="BF8" s="343" t="s">
        <v>157</v>
      </c>
      <c r="BG8" s="344" t="s">
        <v>177</v>
      </c>
      <c r="BH8" s="345" t="s">
        <v>178</v>
      </c>
      <c r="BI8" s="344" t="s">
        <v>231</v>
      </c>
      <c r="BJ8" s="345" t="s">
        <v>232</v>
      </c>
      <c r="BK8" s="339" t="s">
        <v>233</v>
      </c>
      <c r="BL8" s="340" t="s">
        <v>234</v>
      </c>
      <c r="BM8" s="335" t="s">
        <v>248</v>
      </c>
      <c r="BN8" s="343" t="s">
        <v>249</v>
      </c>
    </row>
    <row r="9" spans="2:66" x14ac:dyDescent="0.25">
      <c r="B9">
        <v>6</v>
      </c>
      <c r="C9" s="3">
        <v>22571</v>
      </c>
      <c r="D9" s="3">
        <v>114.99999999999999</v>
      </c>
      <c r="E9" s="11">
        <f t="shared" si="0"/>
        <v>22256.365645057045</v>
      </c>
      <c r="F9" s="11">
        <f t="shared" si="1"/>
        <v>154.51653944020353</v>
      </c>
      <c r="G9" s="4">
        <f>Tabelle3[[#This Row],[Werkzeuge (€)]]/$S$24*$G$24</f>
        <v>23793.955864347601</v>
      </c>
      <c r="H9" s="4">
        <f>Tabelle3[[#This Row],[Werkzeuge (Backer)]]/$T$24*$H$24</f>
        <v>125.76455026455027</v>
      </c>
      <c r="I9" s="4">
        <f>Tabelle3[[#This Row],[DSK Fasar (€)]]/$U$24*$I$24</f>
        <v>27131.219016282117</v>
      </c>
      <c r="J9" s="4">
        <f>Tabelle3[[#This Row],[DSK Fasar (Backer)]]/$V$24*$J$24</f>
        <v>155.04255319148936</v>
      </c>
      <c r="K9" s="4">
        <f>Tabelle3[[#This Row],[Mythen (€)]]/$W$24*$K$24</f>
        <v>25966.518262937403</v>
      </c>
      <c r="L9" s="4">
        <f>Tabelle3[[#This Row],[Mythen (Backer)]]/$X$24*$L$24</f>
        <v>153.60160965794768</v>
      </c>
      <c r="M9" s="4">
        <f>Tabelle3[[#This Row],[SOK (€)]]/$Y$24*$K$24</f>
        <v>35359.091777962749</v>
      </c>
      <c r="N9" s="4">
        <f>Tabelle3[[#This Row],[SOK (Backer)]]/$Z$24*$L$24</f>
        <v>198.73257211538461</v>
      </c>
      <c r="O9" s="10">
        <f t="shared" si="4"/>
        <v>58301.166666666672</v>
      </c>
      <c r="P9" s="10">
        <f t="shared" si="5"/>
        <v>368.49999999999994</v>
      </c>
      <c r="Q9" s="10">
        <f t="shared" si="2"/>
        <v>95000</v>
      </c>
      <c r="R9" s="10">
        <f t="shared" si="3"/>
        <v>700</v>
      </c>
      <c r="S9" s="3">
        <v>65148</v>
      </c>
      <c r="T9" s="3">
        <v>274</v>
      </c>
      <c r="U9" s="3">
        <v>53829</v>
      </c>
      <c r="V9" s="3">
        <v>294</v>
      </c>
      <c r="W9" s="3">
        <v>37481</v>
      </c>
      <c r="X9" s="3">
        <v>220</v>
      </c>
      <c r="Y9" s="3">
        <v>135593</v>
      </c>
      <c r="Z9" s="3">
        <v>953</v>
      </c>
      <c r="AA9" s="3">
        <v>150957</v>
      </c>
      <c r="AB9" s="3">
        <v>652</v>
      </c>
      <c r="AC9" s="3">
        <v>123198</v>
      </c>
      <c r="AD9" s="3">
        <v>508</v>
      </c>
      <c r="AE9" s="3">
        <v>45558</v>
      </c>
      <c r="AF9" s="3">
        <v>241</v>
      </c>
      <c r="AG9" s="3">
        <v>175946</v>
      </c>
      <c r="AH9" s="3">
        <v>901</v>
      </c>
      <c r="AI9" s="3">
        <f>'Übersicht &amp; Anleitung'!X65</f>
        <v>16237</v>
      </c>
      <c r="AJ9" s="3">
        <f>'Übersicht &amp; Anleitung'!Y65</f>
        <v>123</v>
      </c>
      <c r="AK9" s="9">
        <f>Tabelle3[[#This Row],[Nedime (€)]]/C$24</f>
        <v>0.36203384393295374</v>
      </c>
      <c r="AL9" s="9">
        <f>Tabelle3[[#This Row],[Nedime (Backer)]]/D$24</f>
        <v>0.33141210374639768</v>
      </c>
      <c r="AM9" s="9"/>
      <c r="AN9" s="9"/>
      <c r="AO9" s="9">
        <f>Tabelle3[[#This Row],[Werkzeuge (€)]]/S$24</f>
        <v>0.38164978529709842</v>
      </c>
      <c r="AP9" s="9">
        <f>Tabelle3[[#This Row],[Werkzeuge (Backer)]]/T$24</f>
        <v>0.36243386243386244</v>
      </c>
      <c r="AR9" t="s">
        <v>77</v>
      </c>
      <c r="AS9" s="23">
        <f>MAX(AU9,AW9,AY9,BA9,BC9,BE9,BG9,BI9,BK9,BM9)</f>
        <v>4.7068317141961771</v>
      </c>
      <c r="AT9" s="23">
        <f>MAX(AV9,AX9,AZ9,BB9,BD9,BF9,BH9,BJ9,BL9,BN9)</f>
        <v>4.8621700879765397</v>
      </c>
      <c r="AU9" s="26">
        <f>C24/C4</f>
        <v>4.2207704285424139</v>
      </c>
      <c r="AV9" s="8">
        <f>D24/D4</f>
        <v>4.7534246575342465</v>
      </c>
      <c r="AW9" s="5">
        <f t="shared" ref="AW9:BN9" si="6">Q24/Q4</f>
        <v>4.0940923076923079</v>
      </c>
      <c r="AX9" s="8">
        <f t="shared" si="6"/>
        <v>3.1440000000000001</v>
      </c>
      <c r="AY9" s="5">
        <f t="shared" si="6"/>
        <v>3.9298524299560285</v>
      </c>
      <c r="AZ9" s="8">
        <f t="shared" si="6"/>
        <v>4.2234636871508382</v>
      </c>
      <c r="BA9" s="18">
        <f t="shared" si="6"/>
        <v>3.3980001098840722</v>
      </c>
      <c r="BB9" s="42">
        <f t="shared" si="6"/>
        <v>3.3743589743589744</v>
      </c>
      <c r="BC9" s="18">
        <f t="shared" si="6"/>
        <v>4.5885682235366101</v>
      </c>
      <c r="BD9" s="42">
        <f t="shared" si="6"/>
        <v>4.321739130434783</v>
      </c>
      <c r="BE9" s="18">
        <f t="shared" si="6"/>
        <v>2.664255864489887</v>
      </c>
      <c r="BF9" s="42">
        <f t="shared" si="6"/>
        <v>2.6623999999999999</v>
      </c>
      <c r="BG9" s="18">
        <f t="shared" si="6"/>
        <v>4.7068317141961771</v>
      </c>
      <c r="BH9" s="42">
        <f t="shared" si="6"/>
        <v>4.8621700879765397</v>
      </c>
      <c r="BI9" s="18">
        <f t="shared" si="6"/>
        <v>3.0410901577171554</v>
      </c>
      <c r="BJ9" s="42">
        <f t="shared" si="6"/>
        <v>3.0820189274447949</v>
      </c>
      <c r="BK9" s="18">
        <f t="shared" si="6"/>
        <v>4.3305144995322733</v>
      </c>
      <c r="BL9" s="42">
        <f t="shared" si="6"/>
        <v>4.742647058823529</v>
      </c>
      <c r="BM9" s="18">
        <f t="shared" si="6"/>
        <v>3.3347396149532327</v>
      </c>
      <c r="BN9" s="42">
        <f t="shared" si="6"/>
        <v>3.4212678936605316</v>
      </c>
    </row>
    <row r="10" spans="2:66" ht="15.75" thickBot="1" x14ac:dyDescent="0.3">
      <c r="B10">
        <v>7</v>
      </c>
      <c r="C10" s="3">
        <v>24180</v>
      </c>
      <c r="D10" s="3">
        <v>124</v>
      </c>
      <c r="E10" s="11">
        <f t="shared" si="0"/>
        <v>23662.030843692228</v>
      </c>
      <c r="F10" s="11">
        <f t="shared" si="1"/>
        <v>163.34605597964372</v>
      </c>
      <c r="G10" s="4">
        <f>Tabelle3[[#This Row],[Werkzeuge (€)]]/$S$24*$G$24</f>
        <v>25428.35680517396</v>
      </c>
      <c r="H10" s="4">
        <f>Tabelle3[[#This Row],[Werkzeuge (Backer)]]/$T$24*$H$24</f>
        <v>135.40343915343917</v>
      </c>
      <c r="I10" s="4">
        <f>Tabelle3[[#This Row],[DSK Fasar (€)]]/$U$24*$I$24</f>
        <v>28215.883106698791</v>
      </c>
      <c r="J10" s="4">
        <f>Tabelle3[[#This Row],[DSK Fasar (Backer)]]/$V$24*$J$24</f>
        <v>162.42553191489361</v>
      </c>
      <c r="K10" s="4">
        <f>Tabelle3[[#This Row],[Mythen (€)]]/$W$24*$K$24</f>
        <v>27866.152559700415</v>
      </c>
      <c r="L10" s="4">
        <f>Tabelle3[[#This Row],[Mythen (Backer)]]/$X$24*$L$24</f>
        <v>164.77263581488933</v>
      </c>
      <c r="M10" s="4">
        <f>Tabelle3[[#This Row],[SOK (€)]]/$Y$24*$K$24</f>
        <v>38411.187462616646</v>
      </c>
      <c r="N10" s="4">
        <f>Tabelle3[[#This Row],[SOK (Backer)]]/$Z$24*$L$24</f>
        <v>217.70913461538461</v>
      </c>
      <c r="O10" s="10">
        <f t="shared" si="4"/>
        <v>62401.555555555562</v>
      </c>
      <c r="P10" s="10">
        <f t="shared" si="5"/>
        <v>391.33333333333326</v>
      </c>
      <c r="Q10" s="10">
        <f t="shared" si="2"/>
        <v>101000</v>
      </c>
      <c r="R10" s="10">
        <f t="shared" si="3"/>
        <v>740</v>
      </c>
      <c r="S10" s="3">
        <v>69623</v>
      </c>
      <c r="T10" s="3">
        <v>295</v>
      </c>
      <c r="U10" s="3">
        <v>55981</v>
      </c>
      <c r="V10" s="3">
        <v>308</v>
      </c>
      <c r="W10" s="3">
        <v>40223</v>
      </c>
      <c r="X10" s="3">
        <v>236</v>
      </c>
      <c r="Y10" s="3">
        <v>147297</v>
      </c>
      <c r="Z10" s="3">
        <v>1044</v>
      </c>
      <c r="AA10" s="3">
        <v>164491</v>
      </c>
      <c r="AB10" s="3">
        <v>709</v>
      </c>
      <c r="AC10" s="3">
        <v>126713</v>
      </c>
      <c r="AD10" s="3">
        <v>523</v>
      </c>
      <c r="AE10" s="3">
        <v>50019</v>
      </c>
      <c r="AF10" s="3">
        <v>262</v>
      </c>
      <c r="AG10" s="3">
        <v>184883</v>
      </c>
      <c r="AH10" s="3">
        <v>953</v>
      </c>
      <c r="AI10" s="3">
        <f>'Übersicht &amp; Anleitung'!X66</f>
        <v>16727</v>
      </c>
      <c r="AJ10" s="3">
        <f>'Übersicht &amp; Anleitung'!Y66</f>
        <v>127</v>
      </c>
      <c r="AK10" s="9">
        <f>Tabelle3[[#This Row],[Nedime (€)]]/C$24</f>
        <v>0.38784184778250058</v>
      </c>
      <c r="AL10" s="9">
        <f>Tabelle3[[#This Row],[Nedime (Backer)]]/D$24</f>
        <v>0.35734870317002881</v>
      </c>
      <c r="AM10" s="9"/>
      <c r="AN10" s="9"/>
      <c r="AO10" s="9">
        <f>Tabelle3[[#This Row],[Werkzeuge (€)]]/S$24</f>
        <v>0.40786521461502862</v>
      </c>
      <c r="AP10" s="9">
        <f>Tabelle3[[#This Row],[Werkzeuge (Backer)]]/T$24</f>
        <v>0.39021164021164023</v>
      </c>
      <c r="AR10" s="297" t="s">
        <v>250</v>
      </c>
      <c r="AS10" s="23">
        <f>AVERAGE(AU9,AW9,AY9,BA9,BC9,BE9,BG9,BI9,BK9,BM9)</f>
        <v>3.8308715350500164</v>
      </c>
      <c r="AT10" s="23">
        <f>AVERAGE(AV9,AX9,AZ9,BB9,BD9,BF9,BH9,BJ9,BL9,BN9)</f>
        <v>3.8587490417384247</v>
      </c>
      <c r="AU10" s="28"/>
      <c r="AV10" s="32">
        <f>AU9-AV9</f>
        <v>-0.53265422899183257</v>
      </c>
      <c r="AW10" s="33"/>
      <c r="AX10" s="32">
        <f>AW9-AX9</f>
        <v>0.95009230769230779</v>
      </c>
      <c r="AY10" s="33"/>
      <c r="AZ10" s="32">
        <f>AY9-AZ9</f>
        <v>-0.29361125719480974</v>
      </c>
      <c r="BA10" s="33"/>
      <c r="BB10" s="29">
        <f>BA9-BB9</f>
        <v>2.3641135525097834E-2</v>
      </c>
      <c r="BC10" s="33"/>
      <c r="BD10" s="29">
        <f>BC9-BD9</f>
        <v>0.26682909310182712</v>
      </c>
      <c r="BE10" s="33"/>
      <c r="BF10" s="29">
        <f>BE9-BF9</f>
        <v>1.8558644898871712E-3</v>
      </c>
      <c r="BG10" s="33"/>
      <c r="BH10" s="29">
        <f>BG9-BH9</f>
        <v>-0.15533837378036264</v>
      </c>
      <c r="BI10" s="33"/>
      <c r="BJ10" s="29">
        <f>BI9-BJ9</f>
        <v>-4.092876972763948E-2</v>
      </c>
      <c r="BK10" s="33"/>
      <c r="BL10" s="29">
        <f>BK9-BL9</f>
        <v>-0.4121325592912557</v>
      </c>
      <c r="BM10" s="33"/>
      <c r="BN10" s="29">
        <f>BM9-BN9</f>
        <v>-8.6528278707298956E-2</v>
      </c>
    </row>
    <row r="11" spans="2:66" ht="15.75" thickBot="1" x14ac:dyDescent="0.3">
      <c r="B11">
        <v>8</v>
      </c>
      <c r="C11" s="3">
        <v>26679</v>
      </c>
      <c r="D11" s="3">
        <v>136</v>
      </c>
      <c r="E11" s="11">
        <f t="shared" si="0"/>
        <v>25067.69604232741</v>
      </c>
      <c r="F11" s="11">
        <f t="shared" si="1"/>
        <v>172.17557251908391</v>
      </c>
      <c r="G11" s="4">
        <f>Tabelle3[[#This Row],[Werkzeuge (€)]]/$S$24*$G$24</f>
        <v>26582.481268416705</v>
      </c>
      <c r="H11" s="4">
        <f>Tabelle3[[#This Row],[Werkzeuge (Backer)]]/$T$24*$H$24</f>
        <v>141.37037037037035</v>
      </c>
      <c r="I11" s="4">
        <f>Tabelle3[[#This Row],[DSK Fasar (€)]]/$U$24*$I$24</f>
        <v>29634.212451695312</v>
      </c>
      <c r="J11" s="4">
        <f>Tabelle3[[#This Row],[DSK Fasar (Backer)]]/$V$24*$J$24</f>
        <v>171.39057750759878</v>
      </c>
      <c r="K11" s="4">
        <f>Tabelle3[[#This Row],[Mythen (€)]]/$W$24*$K$24</f>
        <v>30320.712849062682</v>
      </c>
      <c r="L11" s="4">
        <f>Tabelle3[[#This Row],[Mythen (Backer)]]/$X$24*$L$24</f>
        <v>176.64185110663985</v>
      </c>
      <c r="M11" s="4">
        <f>Tabelle3[[#This Row],[SOK (€)]]/$Y$24*$K$24</f>
        <v>40199.312899191471</v>
      </c>
      <c r="N11" s="4">
        <f>Tabelle3[[#This Row],[SOK (Backer)]]/$Z$24*$L$24</f>
        <v>226.05048076923077</v>
      </c>
      <c r="O11" s="10">
        <f t="shared" si="4"/>
        <v>66501.944444444453</v>
      </c>
      <c r="P11" s="10">
        <f t="shared" si="5"/>
        <v>414.16666666666657</v>
      </c>
      <c r="Q11" s="10">
        <f t="shared" si="2"/>
        <v>107000</v>
      </c>
      <c r="R11" s="10">
        <f t="shared" si="3"/>
        <v>780</v>
      </c>
      <c r="S11" s="3">
        <v>72783</v>
      </c>
      <c r="T11" s="3">
        <v>308</v>
      </c>
      <c r="U11" s="3">
        <v>58795</v>
      </c>
      <c r="V11" s="3">
        <v>325</v>
      </c>
      <c r="W11" s="3">
        <v>43766</v>
      </c>
      <c r="X11" s="3">
        <v>253</v>
      </c>
      <c r="Y11" s="3">
        <v>154154</v>
      </c>
      <c r="Z11" s="3">
        <v>1084</v>
      </c>
      <c r="AA11" s="3">
        <v>182858</v>
      </c>
      <c r="AB11" s="3">
        <v>792</v>
      </c>
      <c r="AC11" s="3">
        <v>130050</v>
      </c>
      <c r="AD11" s="3">
        <v>539</v>
      </c>
      <c r="AE11" s="3">
        <v>54482</v>
      </c>
      <c r="AF11" s="3">
        <v>287</v>
      </c>
      <c r="AG11" s="3">
        <v>193287</v>
      </c>
      <c r="AH11" s="3">
        <v>994</v>
      </c>
      <c r="AI11" s="3">
        <f>'Übersicht &amp; Anleitung'!X67</f>
        <v>17672</v>
      </c>
      <c r="AJ11" s="3">
        <f>'Übersicht &amp; Anleitung'!Y67</f>
        <v>134</v>
      </c>
      <c r="AK11" s="9">
        <f>Tabelle3[[#This Row],[Nedime (€)]]/C$24</f>
        <v>0.42792525463148606</v>
      </c>
      <c r="AL11" s="9">
        <f>Tabelle3[[#This Row],[Nedime (Backer)]]/D$24</f>
        <v>0.39193083573487031</v>
      </c>
      <c r="AM11" s="9"/>
      <c r="AN11" s="9"/>
      <c r="AO11" s="9">
        <f>Tabelle3[[#This Row],[Werkzeuge (€)]]/S$24</f>
        <v>0.42637711554120949</v>
      </c>
      <c r="AP11" s="9">
        <f>Tabelle3[[#This Row],[Werkzeuge (Backer)]]/T$24</f>
        <v>0.40740740740740738</v>
      </c>
    </row>
    <row r="12" spans="2:66" x14ac:dyDescent="0.25">
      <c r="B12">
        <v>9</v>
      </c>
      <c r="C12" s="3">
        <v>27868</v>
      </c>
      <c r="D12" s="3">
        <v>142</v>
      </c>
      <c r="E12" s="11">
        <f t="shared" si="0"/>
        <v>26473.361240962593</v>
      </c>
      <c r="F12" s="11">
        <f t="shared" si="1"/>
        <v>181.00508905852411</v>
      </c>
      <c r="G12" s="4">
        <f>Tabelle3[[#This Row],[Werkzeuge (€)]]/$S$24*$G$24</f>
        <v>27975.465668039436</v>
      </c>
      <c r="H12" s="4">
        <f>Tabelle3[[#This Row],[Werkzeuge (Backer)]]/$T$24*$H$24</f>
        <v>151.00925925925927</v>
      </c>
      <c r="I12" s="4">
        <f>Tabelle3[[#This Row],[DSK Fasar (€)]]/$U$24*$I$24</f>
        <v>31904.84987145698</v>
      </c>
      <c r="J12" s="4">
        <f>Tabelle3[[#This Row],[DSK Fasar (Backer)]]/$V$24*$J$24</f>
        <v>184.57446808510639</v>
      </c>
      <c r="K12" s="4">
        <f>Tabelle3[[#This Row],[Mythen (€)]]/$W$24*$K$24</f>
        <v>31848.318109588741</v>
      </c>
      <c r="L12" s="4">
        <f>Tabelle3[[#This Row],[Mythen (Backer)]]/$X$24*$L$24</f>
        <v>186.41649899396378</v>
      </c>
      <c r="M12" s="4">
        <f>Tabelle3[[#This Row],[SOK (€)]]/$Y$24*$K$24</f>
        <v>41369.665379773047</v>
      </c>
      <c r="N12" s="4">
        <f>Tabelle3[[#This Row],[SOK (Backer)]]/$Z$24*$L$24</f>
        <v>231.88942307692307</v>
      </c>
      <c r="O12" s="10">
        <f t="shared" si="4"/>
        <v>70602.333333333343</v>
      </c>
      <c r="P12" s="10">
        <f t="shared" si="5"/>
        <v>436.99999999999989</v>
      </c>
      <c r="Q12" s="10">
        <f t="shared" si="2"/>
        <v>113000</v>
      </c>
      <c r="R12" s="10">
        <f t="shared" si="3"/>
        <v>820</v>
      </c>
      <c r="S12" s="3">
        <v>76597</v>
      </c>
      <c r="T12" s="3">
        <v>329</v>
      </c>
      <c r="U12" s="3">
        <v>63300</v>
      </c>
      <c r="V12" s="3">
        <v>350</v>
      </c>
      <c r="W12" s="3">
        <v>45971</v>
      </c>
      <c r="X12" s="3">
        <v>267</v>
      </c>
      <c r="Y12" s="3">
        <v>158642</v>
      </c>
      <c r="Z12" s="3">
        <v>1112</v>
      </c>
      <c r="AA12" s="3">
        <v>195000</v>
      </c>
      <c r="AB12" s="3">
        <v>851</v>
      </c>
      <c r="AC12" s="3">
        <v>133215</v>
      </c>
      <c r="AD12" s="3">
        <v>551</v>
      </c>
      <c r="AE12" s="3">
        <v>60464</v>
      </c>
      <c r="AF12" s="3">
        <v>324</v>
      </c>
      <c r="AG12" s="3">
        <v>202015</v>
      </c>
      <c r="AH12" s="3">
        <v>1040</v>
      </c>
      <c r="AI12" s="3">
        <f>'Übersicht &amp; Anleitung'!X68</f>
        <v>17982</v>
      </c>
      <c r="AJ12" s="3">
        <f>'Übersicht &amp; Anleitung'!Y68</f>
        <v>138</v>
      </c>
      <c r="AK12" s="9">
        <f>Tabelle3[[#This Row],[Nedime (€)]]/C$24</f>
        <v>0.44699655144759004</v>
      </c>
      <c r="AL12" s="9">
        <f>Tabelle3[[#This Row],[Nedime (Backer)]]/D$24</f>
        <v>0.40922190201729108</v>
      </c>
      <c r="AM12" s="9"/>
      <c r="AN12" s="9"/>
      <c r="AO12" s="9">
        <f>Tabelle3[[#This Row],[Werkzeuge (€)]]/S$24</f>
        <v>0.4487202769755303</v>
      </c>
      <c r="AP12" s="9">
        <f>Tabelle3[[#This Row],[Werkzeuge (Backer)]]/T$24</f>
        <v>0.43518518518518517</v>
      </c>
      <c r="AU12" s="24" t="s">
        <v>75</v>
      </c>
      <c r="AV12" s="30" t="s">
        <v>75</v>
      </c>
      <c r="AW12" s="47"/>
      <c r="AX12" s="48"/>
      <c r="AY12" s="43" t="s">
        <v>75</v>
      </c>
      <c r="AZ12" s="44" t="s">
        <v>75</v>
      </c>
      <c r="BA12" s="31" t="s">
        <v>75</v>
      </c>
      <c r="BB12" s="25" t="s">
        <v>75</v>
      </c>
      <c r="BC12" s="31" t="s">
        <v>75</v>
      </c>
      <c r="BD12" s="25" t="s">
        <v>75</v>
      </c>
      <c r="BE12" s="31" t="s">
        <v>75</v>
      </c>
      <c r="BF12" s="25" t="s">
        <v>75</v>
      </c>
      <c r="BG12" s="31" t="s">
        <v>75</v>
      </c>
      <c r="BH12" s="25" t="s">
        <v>75</v>
      </c>
      <c r="BI12" s="31" t="s">
        <v>75</v>
      </c>
      <c r="BJ12" s="25" t="s">
        <v>75</v>
      </c>
      <c r="BK12" s="31" t="s">
        <v>75</v>
      </c>
      <c r="BL12" s="25" t="s">
        <v>75</v>
      </c>
      <c r="BM12" s="31" t="s">
        <v>75</v>
      </c>
      <c r="BN12" s="25" t="s">
        <v>75</v>
      </c>
    </row>
    <row r="13" spans="2:66" x14ac:dyDescent="0.25">
      <c r="B13">
        <v>10</v>
      </c>
      <c r="C13" s="3">
        <v>31587</v>
      </c>
      <c r="D13" s="3">
        <v>161</v>
      </c>
      <c r="E13" s="11">
        <f t="shared" si="0"/>
        <v>27879.026439597776</v>
      </c>
      <c r="F13" s="11">
        <f t="shared" si="1"/>
        <v>189.8346055979643</v>
      </c>
      <c r="G13" s="4">
        <f>Tabelle3[[#This Row],[Werkzeuge (€)]]/$S$24*$G$24</f>
        <v>29703.00007029836</v>
      </c>
      <c r="H13" s="4">
        <f>Tabelle3[[#This Row],[Werkzeuge (Backer)]]/$T$24*$H$24</f>
        <v>160.64814814814815</v>
      </c>
      <c r="I13" s="4">
        <f>Tabelle3[[#This Row],[DSK Fasar (€)]]/$U$24*$I$24</f>
        <v>33593.337186929035</v>
      </c>
      <c r="J13" s="4">
        <f>Tabelle3[[#This Row],[DSK Fasar (Backer)]]/$V$24*$J$24</f>
        <v>194.59422492401217</v>
      </c>
      <c r="K13" s="4">
        <f>Tabelle3[[#This Row],[Mythen (€)]]/$W$24*$K$24</f>
        <v>33844.943216543877</v>
      </c>
      <c r="L13" s="4">
        <f>Tabelle3[[#This Row],[Mythen (Backer)]]/$X$24*$L$24</f>
        <v>196.88933601609659</v>
      </c>
      <c r="M13" s="4">
        <f>Tabelle3[[#This Row],[SOK (€)]]/$Y$24*$K$24</f>
        <v>42556.707378794279</v>
      </c>
      <c r="N13" s="4">
        <f>Tabelle3[[#This Row],[SOK (Backer)]]/$Z$24*$L$24</f>
        <v>237.72836538461539</v>
      </c>
      <c r="O13" s="10">
        <f t="shared" si="4"/>
        <v>74702.722222222234</v>
      </c>
      <c r="P13" s="10">
        <f t="shared" si="5"/>
        <v>459.8333333333332</v>
      </c>
      <c r="Q13" s="10">
        <f t="shared" si="2"/>
        <v>119000</v>
      </c>
      <c r="R13" s="10">
        <f t="shared" si="3"/>
        <v>860</v>
      </c>
      <c r="S13" s="3">
        <v>81327</v>
      </c>
      <c r="T13" s="3">
        <v>350</v>
      </c>
      <c r="U13" s="3">
        <v>66650</v>
      </c>
      <c r="V13" s="3">
        <v>369</v>
      </c>
      <c r="W13" s="3">
        <v>48853</v>
      </c>
      <c r="X13" s="3">
        <v>282</v>
      </c>
      <c r="Y13" s="3">
        <v>163194</v>
      </c>
      <c r="Z13" s="3">
        <v>1140</v>
      </c>
      <c r="AA13" s="3">
        <v>203877</v>
      </c>
      <c r="AB13" s="3">
        <v>893</v>
      </c>
      <c r="AC13" s="3">
        <v>136715</v>
      </c>
      <c r="AD13" s="3">
        <v>565</v>
      </c>
      <c r="AE13" s="3">
        <v>62608</v>
      </c>
      <c r="AF13" s="3">
        <v>336</v>
      </c>
      <c r="AG13" s="3">
        <v>209016</v>
      </c>
      <c r="AH13" s="3">
        <v>1073</v>
      </c>
      <c r="AI13" s="3">
        <f>'Übersicht &amp; Anleitung'!X69</f>
        <v>18530</v>
      </c>
      <c r="AJ13" s="3">
        <f>'Übersicht &amp; Anleitung'!Y69</f>
        <v>143</v>
      </c>
      <c r="AK13" s="9">
        <f>Tabelle3[[#This Row],[Nedime (€)]]/C$24</f>
        <v>0.50664848825086217</v>
      </c>
      <c r="AL13" s="9">
        <f>Tabelle3[[#This Row],[Nedime (Backer)]]/D$24</f>
        <v>0.46397694524495675</v>
      </c>
      <c r="AM13" s="9"/>
      <c r="AN13" s="9"/>
      <c r="AO13" s="9">
        <f>Tabelle3[[#This Row],[Werkzeuge (€)]]/S$24</f>
        <v>0.47642954639984536</v>
      </c>
      <c r="AP13" s="9">
        <f>Tabelle3[[#This Row],[Werkzeuge (Backer)]]/T$24</f>
        <v>0.46296296296296297</v>
      </c>
      <c r="AQ13" s="298" t="s">
        <v>106</v>
      </c>
      <c r="AR13" s="15" t="s">
        <v>76</v>
      </c>
      <c r="AS13" s="22">
        <f>MIN(AU14,AW14,AY14,BA14,BC14,BE14,BG14,BI14,BK14,BM14)</f>
        <v>2.0971114795224688</v>
      </c>
      <c r="AT13" s="22">
        <f>MIN(AV14,AX14,AZ14,BB14,BD14,BF14,BH14,BJ14,BL14,BN14)</f>
        <v>2.1089987325728772</v>
      </c>
      <c r="AU13" s="26" t="s">
        <v>225</v>
      </c>
      <c r="AV13" s="8" t="s">
        <v>226</v>
      </c>
      <c r="AW13" s="41"/>
      <c r="AX13" s="49"/>
      <c r="AY13" s="5" t="s">
        <v>229</v>
      </c>
      <c r="AZ13" s="8" t="s">
        <v>230</v>
      </c>
      <c r="BA13" s="5" t="s">
        <v>227</v>
      </c>
      <c r="BB13" s="27" t="s">
        <v>228</v>
      </c>
      <c r="BC13" s="5" t="s">
        <v>131</v>
      </c>
      <c r="BD13" s="27" t="s">
        <v>132</v>
      </c>
      <c r="BE13" s="5" t="s">
        <v>156</v>
      </c>
      <c r="BF13" s="27" t="s">
        <v>157</v>
      </c>
      <c r="BG13" s="5" t="s">
        <v>177</v>
      </c>
      <c r="BH13" s="27" t="s">
        <v>178</v>
      </c>
      <c r="BI13" s="5" t="s">
        <v>231</v>
      </c>
      <c r="BJ13" s="27" t="s">
        <v>232</v>
      </c>
      <c r="BK13" s="5" t="s">
        <v>233</v>
      </c>
      <c r="BL13" s="27" t="s">
        <v>234</v>
      </c>
      <c r="BM13" s="5" t="s">
        <v>233</v>
      </c>
      <c r="BN13" s="27" t="s">
        <v>234</v>
      </c>
    </row>
    <row r="14" spans="2:66" x14ac:dyDescent="0.25">
      <c r="B14">
        <v>11</v>
      </c>
      <c r="C14" s="3">
        <v>34703</v>
      </c>
      <c r="D14" s="3">
        <v>178</v>
      </c>
      <c r="E14" s="4">
        <f>Tabelle3[[#This Row],[Thorwal (€)]]/Q24*E24</f>
        <v>29284.691638232951</v>
      </c>
      <c r="F14" s="4">
        <f>Tabelle3[[#This Row],[Thorwal (Backer)]]/R24*F24</f>
        <v>198.66412213740458</v>
      </c>
      <c r="G14" s="4">
        <f>Tabelle3[[#This Row],[Werkzeuge (€)]]/$S$24*$G$24</f>
        <v>30336.672837300306</v>
      </c>
      <c r="H14" s="4">
        <f>Tabelle3[[#This Row],[Werkzeuge (Backer)]]/$T$24*$H$24</f>
        <v>163.40211640211641</v>
      </c>
      <c r="I14" s="4">
        <f>Tabelle3[[#This Row],[DSK Fasar (€)]]/$U$24*$I$24</f>
        <v>35114.48784904684</v>
      </c>
      <c r="J14" s="4">
        <f>Tabelle3[[#This Row],[DSK Fasar (Backer)]]/$V$24*$J$24</f>
        <v>203.55927051671733</v>
      </c>
      <c r="K14" s="4">
        <f>Tabelle3[[#This Row],[Mythen (€)]]/$W$24*$K$24</f>
        <v>34836.327855007723</v>
      </c>
      <c r="L14" s="4">
        <f>Tabelle3[[#This Row],[Mythen (Backer)]]/$X$24*$L$24</f>
        <v>203.17303822937623</v>
      </c>
      <c r="M14" s="4">
        <f>Tabelle3[[#This Row],[SOK (€)]]/$Y$24*$K$24</f>
        <v>43394.051811759389</v>
      </c>
      <c r="N14" s="4">
        <f>Tabelle3[[#This Row],[SOK (Backer)]]/$Z$24*$L$24</f>
        <v>242.52463942307693</v>
      </c>
      <c r="O14" s="10">
        <f t="shared" si="4"/>
        <v>78803.111111111124</v>
      </c>
      <c r="P14" s="10">
        <f t="shared" si="5"/>
        <v>482.66666666666652</v>
      </c>
      <c r="Q14" s="3">
        <v>125000</v>
      </c>
      <c r="R14" s="3">
        <v>900</v>
      </c>
      <c r="S14" s="3">
        <v>83062</v>
      </c>
      <c r="T14" s="3">
        <v>356</v>
      </c>
      <c r="U14" s="3">
        <v>69668</v>
      </c>
      <c r="V14" s="3">
        <v>386</v>
      </c>
      <c r="W14" s="3">
        <v>50284</v>
      </c>
      <c r="X14" s="3">
        <v>291</v>
      </c>
      <c r="Y14" s="3">
        <v>166405</v>
      </c>
      <c r="Z14" s="3">
        <v>1163</v>
      </c>
      <c r="AA14" s="3">
        <v>212794</v>
      </c>
      <c r="AB14" s="3">
        <v>935</v>
      </c>
      <c r="AC14" s="3">
        <v>139670</v>
      </c>
      <c r="AD14" s="3">
        <v>582</v>
      </c>
      <c r="AE14" s="3">
        <v>63707</v>
      </c>
      <c r="AF14" s="3">
        <v>345</v>
      </c>
      <c r="AG14" s="3">
        <v>214911</v>
      </c>
      <c r="AH14" s="3">
        <v>1104</v>
      </c>
      <c r="AI14" s="3">
        <f>'Übersicht &amp; Anleitung'!X70</f>
        <v>19542</v>
      </c>
      <c r="AJ14" s="3">
        <f>'Übersicht &amp; Anleitung'!Y70</f>
        <v>150</v>
      </c>
      <c r="AK14" s="9">
        <f>Tabelle3[[#This Row],[Nedime (€)]]/C$24</f>
        <v>0.55662843852754829</v>
      </c>
      <c r="AL14" s="9">
        <f>Tabelle3[[#This Row],[Nedime (Backer)]]/D$24</f>
        <v>0.51296829971181557</v>
      </c>
      <c r="AM14" s="9">
        <f>Tabelle3[[#This Row],[Thorwal (€)]]/Q$24</f>
        <v>0.46971997174164648</v>
      </c>
      <c r="AN14" s="9">
        <f>Tabelle3[[#This Row],[Thorwal (Backer)]]/R$24</f>
        <v>0.5725190839694656</v>
      </c>
      <c r="AO14" s="9">
        <f>Tabelle3[[#This Row],[Werkzeuge (€)]]/S$24</f>
        <v>0.48659351731975792</v>
      </c>
      <c r="AP14" s="9">
        <f>Tabelle3[[#This Row],[Werkzeuge (Backer)]]/T$24</f>
        <v>0.47089947089947087</v>
      </c>
      <c r="AR14" t="s">
        <v>77</v>
      </c>
      <c r="AS14" s="23">
        <f>MAX(AU14,AW14,AY14,BA14,BC14,BE14,BG14,BI14,BK14,BM14)</f>
        <v>4.0539303214018769</v>
      </c>
      <c r="AT14" s="23">
        <f>MAX(AV14,AX14,AZ14,BB14,BD14,BF14,BH14,BJ14,BL14,BN14)</f>
        <v>4.2317073170731705</v>
      </c>
      <c r="AU14" s="26">
        <f>C24/C5</f>
        <v>3.7189811500835122</v>
      </c>
      <c r="AV14" s="8">
        <f>D24/D5</f>
        <v>4.2317073170731705</v>
      </c>
      <c r="AW14" s="41"/>
      <c r="AX14" s="49"/>
      <c r="AY14" s="18">
        <f t="shared" ref="AY14:BN14" si="7">S24/S5</f>
        <v>3.4469730624772827</v>
      </c>
      <c r="AZ14" s="19">
        <f t="shared" si="7"/>
        <v>3.6699029126213594</v>
      </c>
      <c r="BA14" s="18">
        <f t="shared" si="7"/>
        <v>2.8995991467216764</v>
      </c>
      <c r="BB14" s="42">
        <f t="shared" si="7"/>
        <v>2.8240343347639487</v>
      </c>
      <c r="BC14" s="18">
        <f t="shared" si="7"/>
        <v>3.6683107777596606</v>
      </c>
      <c r="BD14" s="42">
        <f t="shared" si="7"/>
        <v>3.4275862068965517</v>
      </c>
      <c r="BE14" s="18">
        <f t="shared" si="7"/>
        <v>2.0971114795224688</v>
      </c>
      <c r="BF14" s="42">
        <f t="shared" si="7"/>
        <v>2.1089987325728772</v>
      </c>
      <c r="BG14" s="18">
        <f t="shared" si="7"/>
        <v>4.0539303214018769</v>
      </c>
      <c r="BH14" s="42">
        <f t="shared" si="7"/>
        <v>4.1039603960396036</v>
      </c>
      <c r="BI14" s="18">
        <f t="shared" si="7"/>
        <v>2.3208279689012645</v>
      </c>
      <c r="BJ14" s="42">
        <f t="shared" si="7"/>
        <v>2.3429256594724222</v>
      </c>
      <c r="BK14" s="18">
        <f t="shared" si="7"/>
        <v>3.5702430898321817</v>
      </c>
      <c r="BL14" s="42">
        <f t="shared" si="7"/>
        <v>3.75</v>
      </c>
      <c r="BM14" s="18">
        <f t="shared" si="7"/>
        <v>2.6696761757267717</v>
      </c>
      <c r="BN14" s="42">
        <f t="shared" si="7"/>
        <v>2.7071197411003238</v>
      </c>
    </row>
    <row r="15" spans="2:66" ht="15.75" thickBot="1" x14ac:dyDescent="0.3">
      <c r="B15">
        <v>12</v>
      </c>
      <c r="C15" s="3">
        <v>36986</v>
      </c>
      <c r="D15" s="3">
        <v>193</v>
      </c>
      <c r="E15" s="11">
        <f>E14+($E$24-$E$14)/10</f>
        <v>32590.722474409657</v>
      </c>
      <c r="F15" s="11">
        <f>F14+($F$24-$F$14)/10</f>
        <v>213.4977099236641</v>
      </c>
      <c r="G15" s="4">
        <f>Tabelle3[[#This Row],[Werkzeuge (€)]]/$S$24*$G$24</f>
        <v>31465.961710827709</v>
      </c>
      <c r="H15" s="4">
        <f>Tabelle3[[#This Row],[Werkzeuge (Backer)]]/$T$24*$H$24</f>
        <v>170.28703703703704</v>
      </c>
      <c r="I15" s="4">
        <f>Tabelle3[[#This Row],[DSK Fasar (€)]]/$U$24*$I$24</f>
        <v>35930.002021116627</v>
      </c>
      <c r="J15" s="4">
        <f>Tabelle3[[#This Row],[DSK Fasar (Backer)]]/$V$24*$J$24</f>
        <v>208.30547112462006</v>
      </c>
      <c r="K15" s="4">
        <f>Tabelle3[[#This Row],[Mythen (€)]]/$W$24*$K$24</f>
        <v>37561.769621406587</v>
      </c>
      <c r="L15" s="4">
        <f>Tabelle3[[#This Row],[Mythen (Backer)]]/$X$24*$L$24</f>
        <v>217.13682092555331</v>
      </c>
      <c r="M15" s="4">
        <f>Tabelle3[[#This Row],[SOK (€)]]/$Y$24*$K$24</f>
        <v>44274.16313572615</v>
      </c>
      <c r="N15" s="4">
        <f>Tabelle3[[#This Row],[SOK (Backer)]]/$Z$24*$L$24</f>
        <v>247.94651442307693</v>
      </c>
      <c r="O15" s="10">
        <f t="shared" si="4"/>
        <v>82903.500000000015</v>
      </c>
      <c r="P15" s="10">
        <f t="shared" si="5"/>
        <v>505.49999999999983</v>
      </c>
      <c r="Q15" s="10">
        <f>Q14+($Q$24-$Q$14)/10</f>
        <v>139111.6</v>
      </c>
      <c r="R15" s="10">
        <f>R14+($R$24-$R$14)/10</f>
        <v>967.2</v>
      </c>
      <c r="S15" s="3">
        <v>86154</v>
      </c>
      <c r="T15" s="3">
        <v>371</v>
      </c>
      <c r="U15" s="3">
        <v>71286</v>
      </c>
      <c r="V15" s="3">
        <v>395</v>
      </c>
      <c r="W15" s="3">
        <v>54218</v>
      </c>
      <c r="X15" s="3">
        <v>311</v>
      </c>
      <c r="Y15" s="3">
        <v>169780</v>
      </c>
      <c r="Z15" s="3">
        <v>1189</v>
      </c>
      <c r="AA15" s="3">
        <v>221864</v>
      </c>
      <c r="AB15" s="3">
        <v>976</v>
      </c>
      <c r="AC15" s="3">
        <v>143057</v>
      </c>
      <c r="AD15" s="3">
        <v>598</v>
      </c>
      <c r="AE15" s="3">
        <v>66094</v>
      </c>
      <c r="AF15" s="3">
        <v>361</v>
      </c>
      <c r="AG15" s="3">
        <v>220698</v>
      </c>
      <c r="AH15" s="3">
        <v>1137</v>
      </c>
      <c r="AI15" s="3">
        <f>'Übersicht &amp; Anleitung'!X71</f>
        <v>20594</v>
      </c>
      <c r="AJ15" s="3">
        <f>'Übersicht &amp; Anleitung'!Y71</f>
        <v>154</v>
      </c>
      <c r="AK15" s="9">
        <f>Tabelle3[[#This Row],[Nedime (€)]]/C$24</f>
        <v>0.59324725318790605</v>
      </c>
      <c r="AL15" s="9">
        <f>Tabelle3[[#This Row],[Nedime (Backer)]]/D$24</f>
        <v>0.55619596541786742</v>
      </c>
      <c r="AM15" s="9"/>
      <c r="AN15" s="9"/>
      <c r="AO15" s="9">
        <f>Tabelle3[[#This Row],[Werkzeuge (€)]]/S$24</f>
        <v>0.50470706088423622</v>
      </c>
      <c r="AP15" s="9">
        <f>Tabelle3[[#This Row],[Werkzeuge (Backer)]]/T$24</f>
        <v>0.49074074074074076</v>
      </c>
      <c r="AS15" s="23">
        <f>AVERAGE(AU14,AW14,AY14,BA14,BC14,BE14,BG14,BI14,BK14,BM14)</f>
        <v>3.1606281302696329</v>
      </c>
      <c r="AT15" s="23">
        <f>AVERAGE(AV14,AX14,AZ14,BB14,BD14,BF14,BH14,BJ14,BL14,BN14)</f>
        <v>3.2406928111711397</v>
      </c>
      <c r="AU15" s="28"/>
      <c r="AV15" s="32">
        <f>AU14-AV14</f>
        <v>-0.51272616698965834</v>
      </c>
      <c r="AW15" s="50"/>
      <c r="AX15" s="51"/>
      <c r="AY15" s="45"/>
      <c r="AZ15" s="46">
        <f>AY14-AZ14</f>
        <v>-0.22292985014407662</v>
      </c>
      <c r="BA15" s="33"/>
      <c r="BB15" s="29">
        <f>BA14-BB14</f>
        <v>7.5564811957727684E-2</v>
      </c>
      <c r="BC15" s="33"/>
      <c r="BD15" s="29">
        <f>BC14-BD14</f>
        <v>0.24072457086310894</v>
      </c>
      <c r="BE15" s="33"/>
      <c r="BF15" s="29">
        <f>BE14-BF14</f>
        <v>-1.1887253050408386E-2</v>
      </c>
      <c r="BG15" s="33"/>
      <c r="BH15" s="29">
        <f>BG14-BH14</f>
        <v>-5.0030074637726685E-2</v>
      </c>
      <c r="BI15" s="33"/>
      <c r="BJ15" s="29">
        <f>BI14-BJ14</f>
        <v>-2.2097690571157624E-2</v>
      </c>
      <c r="BK15" s="33"/>
      <c r="BL15" s="29">
        <f>BK14-BL14</f>
        <v>-0.17975691016781825</v>
      </c>
      <c r="BM15" s="33"/>
      <c r="BN15" s="29">
        <f>BM14-BN14</f>
        <v>-3.744356537355209E-2</v>
      </c>
    </row>
    <row r="16" spans="2:66" ht="15.75" thickBot="1" x14ac:dyDescent="0.3">
      <c r="B16">
        <v>13</v>
      </c>
      <c r="C16" s="3">
        <v>37704</v>
      </c>
      <c r="D16" s="3">
        <v>197</v>
      </c>
      <c r="E16" s="11">
        <f t="shared" ref="E16:E23" si="8">E15+($E$24-$E$14)/10</f>
        <v>35896.753310586362</v>
      </c>
      <c r="F16" s="11">
        <f t="shared" ref="F16:F23" si="9">F15+($F$24-$F$14)/10</f>
        <v>228.33129770992366</v>
      </c>
      <c r="G16" s="4">
        <f>Tabelle3[[#This Row],[Werkzeuge (€)]]/$S$24*$G$24</f>
        <v>32528.048400419448</v>
      </c>
      <c r="H16" s="4">
        <f>Tabelle3[[#This Row],[Werkzeuge (Backer)]]/$T$24*$H$24</f>
        <v>177.17195767195767</v>
      </c>
      <c r="I16" s="4">
        <f>Tabelle3[[#This Row],[DSK Fasar (€)]]/$U$24*$I$24</f>
        <v>37337.746818762433</v>
      </c>
      <c r="J16" s="4">
        <f>Tabelle3[[#This Row],[DSK Fasar (Backer)]]/$V$24*$J$24</f>
        <v>216.21580547112461</v>
      </c>
      <c r="K16" s="4">
        <f>Tabelle3[[#This Row],[Mythen (€)]]/$W$24*$K$24</f>
        <v>38508.815603782605</v>
      </c>
      <c r="L16" s="4">
        <f>Tabelle3[[#This Row],[Mythen (Backer)]]/$X$24*$L$24</f>
        <v>222.72233400402413</v>
      </c>
      <c r="M16" s="4">
        <f>Tabelle3[[#This Row],[SOK (€)]]/$Y$24*$K$24</f>
        <v>44966.778150972284</v>
      </c>
      <c r="N16" s="4">
        <f>Tabelle3[[#This Row],[SOK (Backer)]]/$Z$24*$L$24</f>
        <v>251.28305288461539</v>
      </c>
      <c r="O16" s="10">
        <f t="shared" si="4"/>
        <v>87003.888888888905</v>
      </c>
      <c r="P16" s="10">
        <f t="shared" si="5"/>
        <v>528.33333333333314</v>
      </c>
      <c r="Q16" s="10">
        <f t="shared" ref="Q16:Q23" si="10">Q15+($Q$24-$Q$14)/10</f>
        <v>153223.20000000001</v>
      </c>
      <c r="R16" s="10">
        <f t="shared" ref="R16:R23" si="11">R15+($R$24-$R$14)/10</f>
        <v>1034.4000000000001</v>
      </c>
      <c r="S16" s="3">
        <v>89062</v>
      </c>
      <c r="T16" s="3">
        <v>386</v>
      </c>
      <c r="U16" s="3">
        <v>74079</v>
      </c>
      <c r="V16" s="3">
        <v>410</v>
      </c>
      <c r="W16" s="3">
        <v>55585</v>
      </c>
      <c r="X16" s="3">
        <v>319</v>
      </c>
      <c r="Y16" s="3">
        <v>172436</v>
      </c>
      <c r="Z16" s="3">
        <v>1205</v>
      </c>
      <c r="AA16" s="3">
        <v>229701</v>
      </c>
      <c r="AB16" s="3">
        <v>1011</v>
      </c>
      <c r="AC16" s="3">
        <v>149744</v>
      </c>
      <c r="AD16" s="3">
        <v>624</v>
      </c>
      <c r="AE16" s="3">
        <v>68288</v>
      </c>
      <c r="AF16" s="3">
        <v>375</v>
      </c>
      <c r="AG16" s="3">
        <v>224732</v>
      </c>
      <c r="AH16" s="3">
        <v>1159</v>
      </c>
      <c r="AI16" s="3">
        <f>'Übersicht &amp; Anleitung'!X72</f>
        <v>20809</v>
      </c>
      <c r="AJ16" s="3">
        <f>'Übersicht &amp; Anleitung'!Y72</f>
        <v>155</v>
      </c>
      <c r="AK16" s="9">
        <f>Tabelle3[[#This Row],[Nedime (€)]]/C$24</f>
        <v>0.60476381425936321</v>
      </c>
      <c r="AL16" s="9">
        <f>Tabelle3[[#This Row],[Nedime (Backer)]]/D$24</f>
        <v>0.56772334293948123</v>
      </c>
      <c r="AM16" s="9"/>
      <c r="AN16" s="9"/>
      <c r="AO16" s="9">
        <f>Tabelle3[[#This Row],[Werkzeuge (€)]]/S$24</f>
        <v>0.5217426962935191</v>
      </c>
      <c r="AP16" s="9">
        <f>Tabelle3[[#This Row],[Werkzeuge (Backer)]]/T$24</f>
        <v>0.51058201058201058</v>
      </c>
      <c r="AV16" s="8"/>
      <c r="AX16" s="8"/>
      <c r="AZ16" s="19"/>
      <c r="BB16" s="8"/>
      <c r="BD16" s="8"/>
      <c r="BF16" s="8"/>
      <c r="BH16" s="8"/>
      <c r="BJ16" s="8"/>
      <c r="BL16" s="8"/>
      <c r="BN16" s="8"/>
    </row>
    <row r="17" spans="1:67" x14ac:dyDescent="0.25">
      <c r="B17">
        <v>14</v>
      </c>
      <c r="C17" s="3">
        <v>38541</v>
      </c>
      <c r="D17" s="3">
        <v>205</v>
      </c>
      <c r="E17" s="11">
        <f t="shared" si="8"/>
        <v>39202.784146763064</v>
      </c>
      <c r="F17" s="11">
        <f t="shared" si="9"/>
        <v>243.16488549618322</v>
      </c>
      <c r="G17" s="4">
        <f>Tabelle3[[#This Row],[Werkzeuge (€)]]/$S$24*$G$24</f>
        <v>34006.131217743306</v>
      </c>
      <c r="H17" s="4">
        <f>Tabelle3[[#This Row],[Werkzeuge (Backer)]]/$T$24*$H$24</f>
        <v>184.97486772486772</v>
      </c>
      <c r="I17" s="4">
        <f>Tabelle3[[#This Row],[DSK Fasar (€)]]/$U$24*$I$24</f>
        <v>38009.109536436692</v>
      </c>
      <c r="J17" s="4">
        <f>Tabelle3[[#This Row],[DSK Fasar (Backer)]]/$V$24*$J$24</f>
        <v>219.90729483282675</v>
      </c>
      <c r="K17" s="4">
        <f>Tabelle3[[#This Row],[Mythen (€)]]/$W$24*$K$24</f>
        <v>39944.972386127505</v>
      </c>
      <c r="L17" s="4">
        <f>Tabelle3[[#This Row],[Mythen (Backer)]]/$X$24*$L$24</f>
        <v>230.40241448692154</v>
      </c>
      <c r="M17" s="4">
        <f>Tabelle3[[#This Row],[SOK (€)]]/$Y$24*$K$24</f>
        <v>46060.20238249602</v>
      </c>
      <c r="N17" s="4">
        <f>Tabelle3[[#This Row],[SOK (Backer)]]/$Z$24*$L$24</f>
        <v>256.91346153846155</v>
      </c>
      <c r="O17" s="10">
        <f t="shared" si="4"/>
        <v>91104.277777777796</v>
      </c>
      <c r="P17" s="10">
        <f t="shared" si="5"/>
        <v>551.16666666666652</v>
      </c>
      <c r="Q17" s="10">
        <f t="shared" si="10"/>
        <v>167334.80000000002</v>
      </c>
      <c r="R17" s="10">
        <f t="shared" si="11"/>
        <v>1101.6000000000001</v>
      </c>
      <c r="S17" s="3">
        <v>93109</v>
      </c>
      <c r="T17" s="3">
        <v>403</v>
      </c>
      <c r="U17" s="3">
        <v>75411</v>
      </c>
      <c r="V17" s="3">
        <v>417</v>
      </c>
      <c r="W17" s="3">
        <v>57658</v>
      </c>
      <c r="X17" s="3">
        <v>330</v>
      </c>
      <c r="Y17" s="3">
        <v>176629</v>
      </c>
      <c r="Z17" s="3">
        <v>1232</v>
      </c>
      <c r="AA17" s="3">
        <v>240791</v>
      </c>
      <c r="AB17" s="3">
        <v>1060</v>
      </c>
      <c r="AC17" s="3">
        <v>155980</v>
      </c>
      <c r="AD17" s="3">
        <v>650</v>
      </c>
      <c r="AE17" s="3">
        <v>71648</v>
      </c>
      <c r="AF17" s="3">
        <v>395</v>
      </c>
      <c r="AG17" s="3">
        <v>232641</v>
      </c>
      <c r="AH17" s="3">
        <v>1207</v>
      </c>
      <c r="AI17" s="3">
        <f>'Übersicht &amp; Anleitung'!X73</f>
        <v>21426</v>
      </c>
      <c r="AJ17" s="3">
        <f>'Übersicht &amp; Anleitung'!Y73</f>
        <v>159</v>
      </c>
      <c r="AK17" s="9">
        <f>Tabelle3[[#This Row],[Nedime (€)]]/C$24</f>
        <v>0.61818910899029589</v>
      </c>
      <c r="AL17" s="9">
        <f>Tabelle3[[#This Row],[Nedime (Backer)]]/D$24</f>
        <v>0.59077809798270897</v>
      </c>
      <c r="AM17" s="9"/>
      <c r="AN17" s="9"/>
      <c r="AO17" s="9">
        <f>Tabelle3[[#This Row],[Werkzeuge (€)]]/S$24</f>
        <v>0.54545081751132096</v>
      </c>
      <c r="AP17" s="9">
        <f>Tabelle3[[#This Row],[Werkzeuge (Backer)]]/T$24</f>
        <v>0.53306878306878303</v>
      </c>
      <c r="AU17" s="24" t="s">
        <v>135</v>
      </c>
      <c r="AV17" s="30" t="s">
        <v>135</v>
      </c>
      <c r="AW17" s="47"/>
      <c r="AX17" s="48"/>
      <c r="AY17" s="43" t="s">
        <v>135</v>
      </c>
      <c r="AZ17" s="44" t="s">
        <v>135</v>
      </c>
      <c r="BA17" s="31" t="s">
        <v>135</v>
      </c>
      <c r="BB17" s="25" t="s">
        <v>135</v>
      </c>
      <c r="BC17" s="31" t="s">
        <v>135</v>
      </c>
      <c r="BD17" s="25" t="s">
        <v>135</v>
      </c>
      <c r="BE17" s="31" t="s">
        <v>135</v>
      </c>
      <c r="BF17" s="25" t="s">
        <v>135</v>
      </c>
      <c r="BG17" s="31" t="s">
        <v>135</v>
      </c>
      <c r="BH17" s="25" t="s">
        <v>135</v>
      </c>
      <c r="BI17" s="31" t="s">
        <v>135</v>
      </c>
      <c r="BJ17" s="25" t="s">
        <v>135</v>
      </c>
      <c r="BK17" s="31" t="s">
        <v>135</v>
      </c>
      <c r="BL17" s="25" t="s">
        <v>135</v>
      </c>
      <c r="BM17" s="31" t="s">
        <v>135</v>
      </c>
      <c r="BN17" s="25" t="s">
        <v>135</v>
      </c>
    </row>
    <row r="18" spans="1:67" x14ac:dyDescent="0.25">
      <c r="B18">
        <v>15</v>
      </c>
      <c r="C18" s="3">
        <v>40401</v>
      </c>
      <c r="D18" s="3">
        <v>214</v>
      </c>
      <c r="E18" s="11">
        <f t="shared" si="8"/>
        <v>42508.814982939766</v>
      </c>
      <c r="F18" s="11">
        <f t="shared" si="9"/>
        <v>257.99847328244277</v>
      </c>
      <c r="G18" s="4">
        <f>Tabelle3[[#This Row],[Werkzeuge (€)]]/$S$24*$G$24</f>
        <v>35597.435105828321</v>
      </c>
      <c r="H18" s="4">
        <f>Tabelle3[[#This Row],[Werkzeuge (Backer)]]/$T$24*$H$24</f>
        <v>193.69576719576722</v>
      </c>
      <c r="I18" s="4">
        <f>Tabelle3[[#This Row],[DSK Fasar (€)]]/$U$24*$I$24</f>
        <v>38818.07136967031</v>
      </c>
      <c r="J18" s="4">
        <f>Tabelle3[[#This Row],[DSK Fasar (Backer)]]/$V$24*$J$24</f>
        <v>225.18085106382978</v>
      </c>
      <c r="K18" s="4">
        <f>Tabelle3[[#This Row],[Mythen (€)]]/$W$24*$K$24</f>
        <v>40981.388472180552</v>
      </c>
      <c r="L18" s="4">
        <f>Tabelle3[[#This Row],[Mythen (Backer)]]/$X$24*$L$24</f>
        <v>235.2897384305835</v>
      </c>
      <c r="M18" s="4">
        <f>Tabelle3[[#This Row],[SOK (€)]]/$Y$24*$K$24</f>
        <v>49096.651643612728</v>
      </c>
      <c r="N18" s="4">
        <f>Tabelle3[[#This Row],[SOK (Backer)]]/$Z$24*$L$24</f>
        <v>273.8046875</v>
      </c>
      <c r="O18" s="10">
        <f t="shared" si="4"/>
        <v>95204.666666666686</v>
      </c>
      <c r="P18" s="10">
        <f t="shared" si="5"/>
        <v>573.99999999999989</v>
      </c>
      <c r="Q18" s="10">
        <f t="shared" si="10"/>
        <v>181446.40000000002</v>
      </c>
      <c r="R18" s="10">
        <f t="shared" si="11"/>
        <v>1168.8000000000002</v>
      </c>
      <c r="S18" s="3">
        <v>97466</v>
      </c>
      <c r="T18" s="3">
        <v>422</v>
      </c>
      <c r="U18" s="3">
        <v>77016</v>
      </c>
      <c r="V18" s="3">
        <v>427</v>
      </c>
      <c r="W18" s="3">
        <v>59154</v>
      </c>
      <c r="X18" s="3">
        <v>337</v>
      </c>
      <c r="Y18" s="3">
        <v>188273</v>
      </c>
      <c r="Z18" s="3">
        <v>1313</v>
      </c>
      <c r="AA18" s="3">
        <v>249000</v>
      </c>
      <c r="AB18" s="3">
        <v>1096</v>
      </c>
      <c r="AC18" s="3">
        <v>165152</v>
      </c>
      <c r="AD18" s="3">
        <v>690</v>
      </c>
      <c r="AE18" s="3">
        <v>75191</v>
      </c>
      <c r="AF18" s="3">
        <v>415</v>
      </c>
      <c r="AG18" s="3">
        <v>242719</v>
      </c>
      <c r="AH18" s="3">
        <v>1257</v>
      </c>
      <c r="AI18" s="3">
        <f>'Übersicht &amp; Anleitung'!X74</f>
        <v>22523</v>
      </c>
      <c r="AJ18" s="3">
        <f>'Übersicht &amp; Anleitung'!Y74</f>
        <v>164</v>
      </c>
      <c r="AK18" s="9">
        <f>Tabelle3[[#This Row],[Nedime (€)]]/C$24</f>
        <v>0.64802309728125751</v>
      </c>
      <c r="AL18" s="9">
        <f>Tabelle3[[#This Row],[Nedime (Backer)]]/D$24</f>
        <v>0.61671469740634011</v>
      </c>
      <c r="AM18" s="9"/>
      <c r="AN18" s="9"/>
      <c r="AO18" s="9">
        <f>Tabelle3[[#This Row],[Werkzeuge (€)]]/S$24</f>
        <v>0.57097497964276722</v>
      </c>
      <c r="AP18" s="9">
        <f>Tabelle3[[#This Row],[Werkzeuge (Backer)]]/T$24</f>
        <v>0.55820105820105825</v>
      </c>
      <c r="AQ18" s="298" t="s">
        <v>128</v>
      </c>
      <c r="AR18" s="15" t="s">
        <v>76</v>
      </c>
      <c r="AS18" s="22">
        <f>MIN(AU19,AW19,AY19,BA19,BC19,BE19,BG19,BI19,BK19,BM19)</f>
        <v>1.9513463217949869</v>
      </c>
      <c r="AT18" s="22">
        <f>MIN(AV19,AX19,AZ19,BB19,BD19,BF19,BH19,BJ19,BL19,BN19)</f>
        <v>1.9530516431924883</v>
      </c>
      <c r="AU18" s="26" t="s">
        <v>225</v>
      </c>
      <c r="AV18" s="8" t="s">
        <v>226</v>
      </c>
      <c r="AW18" s="41"/>
      <c r="AX18" s="49"/>
      <c r="AY18" s="5" t="s">
        <v>229</v>
      </c>
      <c r="AZ18" s="8" t="s">
        <v>230</v>
      </c>
      <c r="BA18" s="5" t="s">
        <v>227</v>
      </c>
      <c r="BB18" s="27" t="s">
        <v>228</v>
      </c>
      <c r="BC18" s="5" t="s">
        <v>131</v>
      </c>
      <c r="BD18" s="27" t="s">
        <v>132</v>
      </c>
      <c r="BE18" s="5" t="s">
        <v>156</v>
      </c>
      <c r="BF18" s="27" t="s">
        <v>157</v>
      </c>
      <c r="BG18" s="5" t="s">
        <v>177</v>
      </c>
      <c r="BH18" s="27" t="s">
        <v>178</v>
      </c>
      <c r="BI18" s="5" t="s">
        <v>231</v>
      </c>
      <c r="BJ18" s="27" t="s">
        <v>232</v>
      </c>
      <c r="BK18" s="5" t="s">
        <v>233</v>
      </c>
      <c r="BL18" s="27" t="s">
        <v>234</v>
      </c>
      <c r="BM18" s="5" t="s">
        <v>233</v>
      </c>
      <c r="BN18" s="27" t="s">
        <v>234</v>
      </c>
    </row>
    <row r="19" spans="1:67" x14ac:dyDescent="0.25">
      <c r="B19">
        <v>16</v>
      </c>
      <c r="C19" s="3">
        <v>42277</v>
      </c>
      <c r="D19" s="3">
        <v>224</v>
      </c>
      <c r="E19" s="11">
        <f t="shared" si="8"/>
        <v>45814.845819116468</v>
      </c>
      <c r="F19" s="11">
        <f t="shared" si="9"/>
        <v>272.83206106870233</v>
      </c>
      <c r="G19" s="4">
        <f>Tabelle3[[#This Row],[Werkzeuge (€)]]/$S$24*$G$24</f>
        <v>37783.69745930018</v>
      </c>
      <c r="H19" s="4">
        <f>Tabelle3[[#This Row],[Werkzeuge (Backer)]]/$T$24*$H$24</f>
        <v>204.25264550264549</v>
      </c>
      <c r="I19" s="4">
        <f>Tabelle3[[#This Row],[DSK Fasar (€)]]/$U$24*$I$24</f>
        <v>40346.782422752927</v>
      </c>
      <c r="J19" s="4">
        <f>Tabelle3[[#This Row],[DSK Fasar (Backer)]]/$V$24*$J$24</f>
        <v>234.14589665653497</v>
      </c>
      <c r="K19" s="4">
        <f>Tabelle3[[#This Row],[Mythen (€)]]/$W$24*$K$24</f>
        <v>42843.612027869458</v>
      </c>
      <c r="L19" s="4">
        <f>Tabelle3[[#This Row],[Mythen (Backer)]]/$X$24*$L$24</f>
        <v>243.66800804828975</v>
      </c>
      <c r="M19" s="4">
        <f>Tabelle3[[#This Row],[SOK (€)]]/$Y$24*$K$24</f>
        <v>50398.173308181045</v>
      </c>
      <c r="N19" s="4">
        <f>Tabelle3[[#This Row],[SOK (Backer)]]/$Z$24*$L$24</f>
        <v>281.52043269230768</v>
      </c>
      <c r="O19" s="10">
        <f t="shared" si="4"/>
        <v>99305.055555555577</v>
      </c>
      <c r="P19" s="10">
        <f t="shared" si="5"/>
        <v>596.83333333333326</v>
      </c>
      <c r="Q19" s="10">
        <f t="shared" si="10"/>
        <v>195558.00000000003</v>
      </c>
      <c r="R19" s="10">
        <f t="shared" si="11"/>
        <v>1236.0000000000002</v>
      </c>
      <c r="S19" s="3">
        <v>103452</v>
      </c>
      <c r="T19" s="3">
        <v>445</v>
      </c>
      <c r="U19" s="3">
        <v>80049</v>
      </c>
      <c r="V19" s="3">
        <v>444</v>
      </c>
      <c r="W19" s="3">
        <v>61842</v>
      </c>
      <c r="X19" s="3">
        <v>349</v>
      </c>
      <c r="Y19" s="3">
        <v>193264</v>
      </c>
      <c r="Z19" s="3">
        <v>1350</v>
      </c>
      <c r="AA19" s="3">
        <v>257666</v>
      </c>
      <c r="AB19" s="3">
        <v>1134</v>
      </c>
      <c r="AC19" s="3">
        <v>174081</v>
      </c>
      <c r="AD19" s="3">
        <v>729</v>
      </c>
      <c r="AE19" s="3">
        <v>78668</v>
      </c>
      <c r="AF19" s="3">
        <v>438</v>
      </c>
      <c r="AG19" s="3">
        <v>251181</v>
      </c>
      <c r="AH19" s="3">
        <v>1301</v>
      </c>
      <c r="AI19" s="3">
        <f>'Übersicht &amp; Anleitung'!X75</f>
        <v>23503</v>
      </c>
      <c r="AJ19" s="3">
        <f>'Übersicht &amp; Anleitung'!Y75</f>
        <v>172</v>
      </c>
      <c r="AK19" s="9">
        <f>Tabelle3[[#This Row],[Nedime (€)]]/C$24</f>
        <v>0.67811372203063602</v>
      </c>
      <c r="AL19" s="9">
        <f>Tabelle3[[#This Row],[Nedime (Backer)]]/D$24</f>
        <v>0.64553314121037464</v>
      </c>
      <c r="AM19" s="9"/>
      <c r="AN19" s="9"/>
      <c r="AO19" s="9">
        <f>Tabelle3[[#This Row],[Werkzeuge (€)]]/S$24</f>
        <v>0.60604214386558952</v>
      </c>
      <c r="AP19" s="9">
        <f>Tabelle3[[#This Row],[Werkzeuge (Backer)]]/T$24</f>
        <v>0.58862433862433861</v>
      </c>
      <c r="AR19" t="s">
        <v>77</v>
      </c>
      <c r="AS19" s="23">
        <f>MAX(AU19,AW19,AY19,BA19,BC19,BE19,BG19,BI19,BK19,BM19)</f>
        <v>3.5274980196899399</v>
      </c>
      <c r="AT19" s="23">
        <f>MAX(AV19,AX19,AZ19,BB19,BD19,BF19,BH19,BJ19,BL19,BN19)</f>
        <v>3.8555555555555556</v>
      </c>
      <c r="AU19" s="26">
        <f>C24/C6</f>
        <v>3.5274980196899399</v>
      </c>
      <c r="AV19" s="8">
        <f>D24/D6</f>
        <v>3.8555555555555556</v>
      </c>
      <c r="AW19" s="41"/>
      <c r="AX19" s="49"/>
      <c r="AY19" s="18">
        <f t="shared" ref="AY19:BN19" si="12">S24/S6</f>
        <v>3.166935678373314</v>
      </c>
      <c r="AZ19" s="19">
        <f t="shared" si="12"/>
        <v>3.375</v>
      </c>
      <c r="BA19" s="18">
        <f t="shared" si="12"/>
        <v>2.7321803282309545</v>
      </c>
      <c r="BB19" s="42">
        <f t="shared" si="12"/>
        <v>2.653225806451613</v>
      </c>
      <c r="BC19" s="18">
        <f t="shared" si="12"/>
        <v>3.252177369809548</v>
      </c>
      <c r="BD19" s="42">
        <f t="shared" si="12"/>
        <v>3.0679012345679011</v>
      </c>
      <c r="BE19" s="18">
        <f t="shared" si="12"/>
        <v>1.9513463217949869</v>
      </c>
      <c r="BF19" s="42">
        <f t="shared" si="12"/>
        <v>1.9530516431924883</v>
      </c>
      <c r="BG19" s="18">
        <f t="shared" si="12"/>
        <v>3.3913779777154418</v>
      </c>
      <c r="BH19" s="42">
        <f t="shared" si="12"/>
        <v>3.4541666666666666</v>
      </c>
      <c r="BI19" s="18">
        <f t="shared" si="12"/>
        <v>2.1046629498226053</v>
      </c>
      <c r="BJ19" s="42">
        <f t="shared" si="12"/>
        <v>2.1331877729257642</v>
      </c>
      <c r="BK19" s="18">
        <f t="shared" si="12"/>
        <v>3.0303736482417323</v>
      </c>
      <c r="BL19" s="42">
        <f t="shared" si="12"/>
        <v>3.2412060301507539</v>
      </c>
      <c r="BM19" s="18">
        <f t="shared" si="12"/>
        <v>2.2531059463142307</v>
      </c>
      <c r="BN19" s="42">
        <f t="shared" si="12"/>
        <v>2.2886456908344734</v>
      </c>
    </row>
    <row r="20" spans="1:67" ht="15.75" thickBot="1" x14ac:dyDescent="0.3">
      <c r="B20">
        <v>17</v>
      </c>
      <c r="C20" s="3">
        <v>44039</v>
      </c>
      <c r="D20" s="3">
        <v>233</v>
      </c>
      <c r="E20" s="11">
        <f t="shared" si="8"/>
        <v>49120.87665529317</v>
      </c>
      <c r="F20" s="11">
        <f t="shared" si="9"/>
        <v>287.66564885496189</v>
      </c>
      <c r="G20" s="12">
        <f>Tabelle3[[#This Row],[Werkzeuge (€)]]/$S$24*$G$24</f>
        <v>40009.769802168703</v>
      </c>
      <c r="H20" s="4">
        <f>Tabelle3[[#This Row],[Werkzeuge (Backer)]]/$T$24*$H$24</f>
        <v>216.18650793650795</v>
      </c>
      <c r="I20" s="4">
        <f>Tabelle3[[#This Row],[DSK Fasar (€)]]/$U$24*$I$24</f>
        <v>43766.09524309991</v>
      </c>
      <c r="J20" s="4">
        <f>Tabelle3[[#This Row],[DSK Fasar (Backer)]]/$V$24*$J$24</f>
        <v>256.822188449848</v>
      </c>
      <c r="K20" s="4">
        <f>Tabelle3[[#This Row],[Mythen (€)]]/$W$24*$K$24</f>
        <v>44517.39629518507</v>
      </c>
      <c r="L20" s="4">
        <f>Tabelle3[[#This Row],[Mythen (Backer)]]/$X$24*$L$24</f>
        <v>253.44265593561369</v>
      </c>
      <c r="M20" s="4">
        <f>Tabelle3[[#This Row],[SOK (€)]]/$Y$24*$K$24</f>
        <v>51701.259615103081</v>
      </c>
      <c r="N20" s="4">
        <f>Tabelle3[[#This Row],[SOK (Backer)]]/$Z$24*$L$24</f>
        <v>288.61057692307696</v>
      </c>
      <c r="O20" s="10">
        <f t="shared" si="4"/>
        <v>103405.44444444447</v>
      </c>
      <c r="P20" s="10">
        <f t="shared" si="5"/>
        <v>619.66666666666663</v>
      </c>
      <c r="Q20" s="10">
        <f t="shared" si="10"/>
        <v>209669.60000000003</v>
      </c>
      <c r="R20" s="10">
        <f t="shared" si="11"/>
        <v>1303.2000000000003</v>
      </c>
      <c r="S20" s="13">
        <v>109547</v>
      </c>
      <c r="T20" s="13">
        <v>471</v>
      </c>
      <c r="U20" s="3">
        <v>86833</v>
      </c>
      <c r="V20" s="3">
        <v>487</v>
      </c>
      <c r="W20" s="3">
        <v>64258</v>
      </c>
      <c r="X20" s="3">
        <v>363</v>
      </c>
      <c r="Y20" s="3">
        <v>198261</v>
      </c>
      <c r="Z20" s="3">
        <v>1384</v>
      </c>
      <c r="AA20" s="3">
        <v>268894</v>
      </c>
      <c r="AB20" s="3">
        <v>1160</v>
      </c>
      <c r="AC20" s="3">
        <v>181054</v>
      </c>
      <c r="AD20" s="3">
        <v>757</v>
      </c>
      <c r="AE20" s="3">
        <v>83940</v>
      </c>
      <c r="AF20" s="3">
        <v>471</v>
      </c>
      <c r="AG20" s="3">
        <v>258252</v>
      </c>
      <c r="AH20" s="3">
        <v>1341</v>
      </c>
      <c r="AI20" s="3">
        <f>'Übersicht &amp; Anleitung'!X76</f>
        <v>23945</v>
      </c>
      <c r="AJ20" s="3">
        <f>'Übersicht &amp; Anleitung'!Y76</f>
        <v>175</v>
      </c>
      <c r="AK20" s="14">
        <f>Tabelle3[[#This Row],[Nedime (€)]]/C$24</f>
        <v>0.70637581201379418</v>
      </c>
      <c r="AL20" s="9">
        <f>Tabelle3[[#This Row],[Nedime (Backer)]]/D$24</f>
        <v>0.67146974063400577</v>
      </c>
      <c r="AM20" s="9"/>
      <c r="AN20" s="9"/>
      <c r="AO20" s="14">
        <f>Tabelle3[[#This Row],[Werkzeuge (€)]]/S$24</f>
        <v>0.64174785150643521</v>
      </c>
      <c r="AP20" s="14">
        <f>Tabelle3[[#This Row],[Werkzeuge (Backer)]]/T$24</f>
        <v>0.62301587301587302</v>
      </c>
      <c r="AS20" s="23">
        <f>AVERAGE(AU19,AW19,AY19,BA19,BC19,BE19,BG19,BI19,BK19,BM19)</f>
        <v>2.8232953599991948</v>
      </c>
      <c r="AT20" s="23">
        <f>AVERAGE(AV19,AX19,AZ19,BB19,BD19,BF19,BH19,BJ19,BL19,BN19)</f>
        <v>2.8913267111494689</v>
      </c>
      <c r="AU20" s="28"/>
      <c r="AV20" s="32">
        <f>AU19-AV19</f>
        <v>-0.3280575358656157</v>
      </c>
      <c r="AW20" s="50"/>
      <c r="AX20" s="51"/>
      <c r="AY20" s="45"/>
      <c r="AZ20" s="46">
        <f>AY19-AZ19</f>
        <v>-0.20806432162668598</v>
      </c>
      <c r="BA20" s="33"/>
      <c r="BB20" s="29">
        <f>BA19-BB19</f>
        <v>7.895452177934148E-2</v>
      </c>
      <c r="BC20" s="33"/>
      <c r="BD20" s="29">
        <f>BC19-BD19</f>
        <v>0.18427613524164688</v>
      </c>
      <c r="BE20" s="33"/>
      <c r="BF20" s="29">
        <f>BE19-BF19</f>
        <v>-1.705321397501347E-3</v>
      </c>
      <c r="BG20" s="33"/>
      <c r="BH20" s="29">
        <f>BG19-BH19</f>
        <v>-6.2788688951224803E-2</v>
      </c>
      <c r="BI20" s="33"/>
      <c r="BJ20" s="29">
        <f>BI19-BJ19</f>
        <v>-2.8524823103158958E-2</v>
      </c>
      <c r="BK20" s="33"/>
      <c r="BL20" s="29">
        <f>BK19-BL19</f>
        <v>-0.21083238190902165</v>
      </c>
      <c r="BM20" s="33"/>
      <c r="BN20" s="29">
        <f>BM19-BN19</f>
        <v>-3.5539744520242778E-2</v>
      </c>
    </row>
    <row r="21" spans="1:67" ht="15.75" thickBot="1" x14ac:dyDescent="0.3">
      <c r="B21">
        <v>18</v>
      </c>
      <c r="C21" s="3">
        <v>46661</v>
      </c>
      <c r="D21" s="3">
        <v>250</v>
      </c>
      <c r="E21" s="11">
        <f t="shared" si="8"/>
        <v>52426.907491469872</v>
      </c>
      <c r="F21" s="11">
        <f t="shared" si="9"/>
        <v>302.49923664122144</v>
      </c>
      <c r="G21" s="12">
        <f>Tabelle3[[#This Row],[Werkzeuge (€)]]/$S$24*$G$24</f>
        <v>42154.761249201823</v>
      </c>
      <c r="H21" s="4">
        <f>Tabelle3[[#This Row],[Werkzeuge (Backer)]]/$T$24*$H$24</f>
        <v>229.95634920634919</v>
      </c>
      <c r="I21" s="4">
        <f>Tabelle3[[#This Row],[DSK Fasar (€)]]/$U$24*$I$24</f>
        <v>46357.293239769111</v>
      </c>
      <c r="J21" s="4">
        <f>Tabelle3[[#This Row],[DSK Fasar (Backer)]]/$V$24*$J$24</f>
        <v>271.06079027355622</v>
      </c>
      <c r="K21" s="4">
        <f>Tabelle3[[#This Row],[Mythen (€)]]/$W$24*$K$24</f>
        <v>46243.13992510362</v>
      </c>
      <c r="L21" s="4">
        <f>Tabelle3[[#This Row],[Mythen (Backer)]]/$X$24*$L$24</f>
        <v>263.21730382293759</v>
      </c>
      <c r="M21" s="4">
        <f>Tabelle3[[#This Row],[SOK (€)]]/$Y$24*$K$24</f>
        <v>52968.098374163972</v>
      </c>
      <c r="N21" s="4">
        <f>Tabelle3[[#This Row],[SOK (Backer)]]/$Z$24*$L$24</f>
        <v>295.90925480769232</v>
      </c>
      <c r="O21" s="10">
        <f t="shared" si="4"/>
        <v>107505.83333333336</v>
      </c>
      <c r="P21" s="10">
        <f t="shared" si="5"/>
        <v>642.5</v>
      </c>
      <c r="Q21" s="10">
        <f t="shared" si="10"/>
        <v>223781.20000000004</v>
      </c>
      <c r="R21" s="10">
        <f t="shared" si="11"/>
        <v>1370.4000000000003</v>
      </c>
      <c r="S21" s="13">
        <v>115420</v>
      </c>
      <c r="T21" s="13">
        <v>501</v>
      </c>
      <c r="U21" s="3">
        <v>91974</v>
      </c>
      <c r="V21" s="3">
        <v>514</v>
      </c>
      <c r="W21" s="3">
        <v>66749</v>
      </c>
      <c r="X21" s="3">
        <v>377</v>
      </c>
      <c r="Y21" s="3">
        <v>203119</v>
      </c>
      <c r="Z21" s="3">
        <v>1419</v>
      </c>
      <c r="AA21" s="3">
        <v>280832</v>
      </c>
      <c r="AB21" s="3">
        <v>1210</v>
      </c>
      <c r="AC21" s="3">
        <v>187527</v>
      </c>
      <c r="AD21" s="3">
        <v>781</v>
      </c>
      <c r="AE21" s="3">
        <v>87091</v>
      </c>
      <c r="AF21" s="3">
        <v>491</v>
      </c>
      <c r="AG21" s="3">
        <v>267342</v>
      </c>
      <c r="AH21" s="3">
        <v>1386</v>
      </c>
      <c r="AI21" s="3">
        <f>'Übersicht &amp; Anleitung'!X77</f>
        <v>25263</v>
      </c>
      <c r="AJ21" s="3">
        <f>'Übersicht &amp; Anleitung'!Y77</f>
        <v>186</v>
      </c>
      <c r="AK21" s="14">
        <f>Tabelle3[[#This Row],[Nedime (€)]]/C$24</f>
        <v>0.74843211163685941</v>
      </c>
      <c r="AL21" s="9">
        <f>Tabelle3[[#This Row],[Nedime (Backer)]]/D$24</f>
        <v>0.72046109510086453</v>
      </c>
      <c r="AM21" s="9"/>
      <c r="AN21" s="9"/>
      <c r="AO21" s="14">
        <f>Tabelle3[[#This Row],[Werkzeuge (€)]]/S$24</f>
        <v>0.67615303952525174</v>
      </c>
      <c r="AP21" s="14">
        <f>Tabelle3[[#This Row],[Werkzeuge (Backer)]]/T$24</f>
        <v>0.66269841269841268</v>
      </c>
    </row>
    <row r="22" spans="1:67" x14ac:dyDescent="0.25">
      <c r="B22">
        <v>19</v>
      </c>
      <c r="C22" s="3">
        <v>49576</v>
      </c>
      <c r="D22" s="3">
        <v>267</v>
      </c>
      <c r="E22" s="11">
        <f t="shared" si="8"/>
        <v>55732.938327646574</v>
      </c>
      <c r="F22" s="11">
        <f t="shared" si="9"/>
        <v>317.332824427481</v>
      </c>
      <c r="G22" s="12">
        <f>Tabelle3[[#This Row],[Werkzeuge (€)]]/$S$24*$G$24</f>
        <v>45121.153303144099</v>
      </c>
      <c r="H22" s="4">
        <f>Tabelle3[[#This Row],[Werkzeuge (Backer)]]/$T$24*$H$24</f>
        <v>246.48015873015873</v>
      </c>
      <c r="I22" s="4">
        <f>Tabelle3[[#This Row],[DSK Fasar (€)]]/$U$24*$I$24</f>
        <v>50992.316927255975</v>
      </c>
      <c r="J22" s="4">
        <f>Tabelle3[[#This Row],[DSK Fasar (Backer)]]/$V$24*$J$24</f>
        <v>289.51823708206689</v>
      </c>
      <c r="K22" s="4">
        <f>Tabelle3[[#This Row],[Mythen (€)]]/$W$24*$K$24</f>
        <v>49488.17531753175</v>
      </c>
      <c r="L22" s="4">
        <f>Tabelle3[[#This Row],[Mythen (Backer)]]/$X$24*$L$24</f>
        <v>279.9738430583501</v>
      </c>
      <c r="M22" s="4">
        <f>Tabelle3[[#This Row],[SOK (€)]]/$Y$24*$K$24</f>
        <v>55332.533744358516</v>
      </c>
      <c r="N22" s="4">
        <f>Tabelle3[[#This Row],[SOK (Backer)]]/$Z$24*$L$24</f>
        <v>309.25540865384619</v>
      </c>
      <c r="O22" s="10">
        <f t="shared" si="4"/>
        <v>111606.22222222225</v>
      </c>
      <c r="P22" s="10">
        <f t="shared" si="5"/>
        <v>665.33333333333337</v>
      </c>
      <c r="Q22" s="10">
        <f t="shared" si="10"/>
        <v>237892.80000000005</v>
      </c>
      <c r="R22" s="10">
        <f t="shared" si="11"/>
        <v>1437.6000000000004</v>
      </c>
      <c r="S22" s="13">
        <v>123542</v>
      </c>
      <c r="T22" s="13">
        <v>537</v>
      </c>
      <c r="U22" s="3">
        <v>101170</v>
      </c>
      <c r="V22" s="3">
        <v>549</v>
      </c>
      <c r="W22" s="3">
        <v>71433</v>
      </c>
      <c r="X22" s="3">
        <v>401</v>
      </c>
      <c r="Y22" s="3">
        <v>212186</v>
      </c>
      <c r="Z22" s="3">
        <v>1483</v>
      </c>
      <c r="AA22" s="3">
        <v>299641</v>
      </c>
      <c r="AB22" s="3">
        <v>1290</v>
      </c>
      <c r="AC22" s="3">
        <v>197700</v>
      </c>
      <c r="AD22" s="3">
        <v>827</v>
      </c>
      <c r="AE22" s="3">
        <v>91598</v>
      </c>
      <c r="AF22" s="3">
        <v>519</v>
      </c>
      <c r="AG22" s="3">
        <v>279921</v>
      </c>
      <c r="AH22" s="3">
        <v>1454</v>
      </c>
      <c r="AI22" s="3">
        <f>'Übersicht &amp; Anleitung'!X78</f>
        <v>26708</v>
      </c>
      <c r="AJ22" s="3">
        <f>'Übersicht &amp; Anleitung'!Y78</f>
        <v>198</v>
      </c>
      <c r="AK22" s="14">
        <f>Tabelle3[[#This Row],[Nedime (€)]]/C$24</f>
        <v>0.79518806640468365</v>
      </c>
      <c r="AL22" s="9">
        <f>Tabelle3[[#This Row],[Nedime (Backer)]]/D$24</f>
        <v>0.7694524495677233</v>
      </c>
      <c r="AM22" s="9"/>
      <c r="AN22" s="9"/>
      <c r="AO22" s="14">
        <f>Tabelle3[[#This Row],[Werkzeuge (€)]]/S$24</f>
        <v>0.72373331146273312</v>
      </c>
      <c r="AP22" s="14">
        <f>Tabelle3[[#This Row],[Werkzeuge (Backer)]]/T$24</f>
        <v>0.71031746031746035</v>
      </c>
      <c r="AU22" s="24" t="s">
        <v>136</v>
      </c>
      <c r="AV22" s="30" t="s">
        <v>136</v>
      </c>
      <c r="AW22" s="47"/>
      <c r="AX22" s="48"/>
      <c r="AY22" s="43" t="s">
        <v>136</v>
      </c>
      <c r="AZ22" s="44" t="s">
        <v>136</v>
      </c>
      <c r="BA22" s="31" t="s">
        <v>136</v>
      </c>
      <c r="BB22" s="25" t="s">
        <v>136</v>
      </c>
      <c r="BC22" s="31" t="s">
        <v>136</v>
      </c>
      <c r="BD22" s="25" t="s">
        <v>136</v>
      </c>
      <c r="BE22" s="31" t="s">
        <v>136</v>
      </c>
      <c r="BF22" s="25" t="s">
        <v>136</v>
      </c>
      <c r="BG22" s="31" t="s">
        <v>136</v>
      </c>
      <c r="BH22" s="25" t="s">
        <v>136</v>
      </c>
      <c r="BI22" s="31" t="s">
        <v>136</v>
      </c>
      <c r="BJ22" s="25" t="s">
        <v>136</v>
      </c>
      <c r="BK22" s="31" t="s">
        <v>136</v>
      </c>
      <c r="BL22" s="25" t="s">
        <v>136</v>
      </c>
      <c r="BM22" s="31" t="s">
        <v>136</v>
      </c>
      <c r="BN22" s="25" t="s">
        <v>136</v>
      </c>
    </row>
    <row r="23" spans="1:67" s="15" customFormat="1" x14ac:dyDescent="0.25">
      <c r="B23" s="15">
        <v>20</v>
      </c>
      <c r="C23" s="13">
        <v>54612</v>
      </c>
      <c r="D23" s="13">
        <v>300</v>
      </c>
      <c r="E23" s="16">
        <f t="shared" si="8"/>
        <v>59038.969163823276</v>
      </c>
      <c r="F23" s="16">
        <f t="shared" si="9"/>
        <v>332.16641221374056</v>
      </c>
      <c r="G23" s="12">
        <f>Tabelle3[[#This Row],[Werkzeuge (€)]]/$S$24*$G$24</f>
        <v>47598.138147989761</v>
      </c>
      <c r="H23" s="12">
        <f>Tabelle3[[#This Row],[Werkzeuge (Backer)]]/$T$24*$H$24</f>
        <v>264.38095238095235</v>
      </c>
      <c r="I23" s="4">
        <f>Tabelle3[[#This Row],[DSK Fasar (€)]]/$U$24*$I$24</f>
        <v>54869.285414005528</v>
      </c>
      <c r="J23" s="4">
        <f>Tabelle3[[#This Row],[DSK Fasar (Backer)]]/$V$24*$J$24</f>
        <v>307.9756838905775</v>
      </c>
      <c r="K23" s="4">
        <f>Tabelle3[[#This Row],[Mythen (€)]]/$W$24*$K$24</f>
        <v>54725.679067906793</v>
      </c>
      <c r="L23" s="4">
        <f>Tabelle3[[#This Row],[Mythen (Backer)]]/$X$24*$L$24</f>
        <v>307.20321931589535</v>
      </c>
      <c r="M23" s="4">
        <f>Tabelle3[[#This Row],[SOK (€)]]/$Y$24*$K$24</f>
        <v>57604.133668232411</v>
      </c>
      <c r="N23" s="4">
        <f>Tabelle3[[#This Row],[SOK (Backer)]]/$Z$24*$L$24</f>
        <v>322.18449519230768</v>
      </c>
      <c r="O23" s="10">
        <f t="shared" si="4"/>
        <v>115706.61111111114</v>
      </c>
      <c r="P23" s="10">
        <f t="shared" si="5"/>
        <v>688.16666666666674</v>
      </c>
      <c r="Q23" s="17">
        <f t="shared" si="10"/>
        <v>252004.40000000005</v>
      </c>
      <c r="R23" s="17">
        <f t="shared" si="11"/>
        <v>1504.8000000000004</v>
      </c>
      <c r="S23" s="13">
        <v>130324</v>
      </c>
      <c r="T23" s="13">
        <v>576</v>
      </c>
      <c r="U23" s="13">
        <v>108862</v>
      </c>
      <c r="V23" s="13">
        <v>584</v>
      </c>
      <c r="W23" s="3">
        <v>78993</v>
      </c>
      <c r="X23" s="3">
        <v>440</v>
      </c>
      <c r="Y23" s="3">
        <v>220897</v>
      </c>
      <c r="Z23" s="3">
        <v>1545</v>
      </c>
      <c r="AA23" s="3">
        <v>330836</v>
      </c>
      <c r="AB23" s="3">
        <v>1421</v>
      </c>
      <c r="AC23" s="3">
        <v>205967</v>
      </c>
      <c r="AD23" s="3">
        <v>863</v>
      </c>
      <c r="AE23" s="3">
        <v>99702</v>
      </c>
      <c r="AF23" s="3">
        <v>558</v>
      </c>
      <c r="AG23" s="3">
        <v>295660</v>
      </c>
      <c r="AH23" s="3">
        <v>1533</v>
      </c>
      <c r="AI23" s="3">
        <f>'Übersicht &amp; Anleitung'!X79</f>
        <v>30138</v>
      </c>
      <c r="AJ23" s="3">
        <f>'Übersicht &amp; Anleitung'!Y79</f>
        <v>227</v>
      </c>
      <c r="AK23" s="14">
        <f>Tabelle3[[#This Row],[Nedime (€)]]/C$24</f>
        <v>0.87596439169139462</v>
      </c>
      <c r="AL23" s="14">
        <f>Tabelle3[[#This Row],[Nedime (Backer)]]/D$24</f>
        <v>0.86455331412103742</v>
      </c>
      <c r="AM23" s="14"/>
      <c r="AN23" s="14"/>
      <c r="AO23" s="14">
        <f>Tabelle3[[#This Row],[Werkzeuge (€)]]/S$24</f>
        <v>0.76346360009607439</v>
      </c>
      <c r="AP23" s="14">
        <f>Tabelle3[[#This Row],[Werkzeuge (Backer)]]/T$24</f>
        <v>0.76190476190476186</v>
      </c>
      <c r="AQ23" s="298" t="s">
        <v>138</v>
      </c>
      <c r="AR23" s="15" t="s">
        <v>76</v>
      </c>
      <c r="AS23" s="22">
        <f>MIN(AU24,AW24,AY24,BA24,BC24,BE24,BG24,BI24,BK24,BM24)</f>
        <v>1.8735854675402026</v>
      </c>
      <c r="AT23" s="22">
        <f>MIN(AV24,AX24,AZ24,BB24,BD24,BF24,BH24,BJ24,BL24,BN24)</f>
        <v>1.8675645342312008</v>
      </c>
      <c r="AU23" s="26" t="s">
        <v>225</v>
      </c>
      <c r="AV23" s="8" t="s">
        <v>226</v>
      </c>
      <c r="AW23" s="41"/>
      <c r="AX23" s="49"/>
      <c r="AY23" s="5" t="s">
        <v>229</v>
      </c>
      <c r="AZ23" s="8" t="s">
        <v>230</v>
      </c>
      <c r="BA23" s="5" t="s">
        <v>227</v>
      </c>
      <c r="BB23" s="27" t="s">
        <v>228</v>
      </c>
      <c r="BC23" s="5" t="s">
        <v>131</v>
      </c>
      <c r="BD23" s="27" t="s">
        <v>132</v>
      </c>
      <c r="BE23" s="5" t="s">
        <v>156</v>
      </c>
      <c r="BF23" s="27" t="s">
        <v>157</v>
      </c>
      <c r="BG23" s="5" t="s">
        <v>177</v>
      </c>
      <c r="BH23" s="27" t="s">
        <v>178</v>
      </c>
      <c r="BI23" s="5" t="s">
        <v>231</v>
      </c>
      <c r="BJ23" s="27" t="s">
        <v>232</v>
      </c>
      <c r="BK23" s="5" t="s">
        <v>233</v>
      </c>
      <c r="BL23" s="27" t="s">
        <v>234</v>
      </c>
      <c r="BM23" s="5" t="s">
        <v>233</v>
      </c>
      <c r="BN23" s="27" t="s">
        <v>234</v>
      </c>
      <c r="BO23"/>
    </row>
    <row r="24" spans="1:67" x14ac:dyDescent="0.25">
      <c r="B24">
        <v>21</v>
      </c>
      <c r="C24" s="3">
        <v>62345</v>
      </c>
      <c r="D24" s="3">
        <v>347</v>
      </c>
      <c r="E24" s="4">
        <f>Tabelle3[[#This Row],[Nedime (€)]]</f>
        <v>62345</v>
      </c>
      <c r="F24" s="4">
        <f>Tabelle3[[#This Row],[Nedime (Backer)]]</f>
        <v>347</v>
      </c>
      <c r="G24" s="12">
        <f>Tabelle3[[#This Row],[Nedime (€)]]</f>
        <v>62345</v>
      </c>
      <c r="H24" s="12">
        <f>Tabelle3[[#This Row],[Nedime (Backer)]]</f>
        <v>347</v>
      </c>
      <c r="I24" s="12">
        <f>Tabelle3[[#This Row],[Nedime (€)]]</f>
        <v>62345</v>
      </c>
      <c r="J24" s="12">
        <f>Tabelle3[[#This Row],[Nedime (Backer)]]</f>
        <v>347</v>
      </c>
      <c r="K24" s="12">
        <f>Tabelle3[[#This Row],[Nedime (€)]]</f>
        <v>62345</v>
      </c>
      <c r="L24" s="12">
        <f>Tabelle3[[#This Row],[Nedime (Backer)]]</f>
        <v>347</v>
      </c>
      <c r="M24" s="4">
        <f>Tabelle3[[#This Row],[SOK (€)]]/$Y$24*$K$24</f>
        <v>62345</v>
      </c>
      <c r="N24" s="4">
        <f>Tabelle3[[#This Row],[SOK (Backer)]]/$Z$24*$L$24</f>
        <v>347</v>
      </c>
      <c r="O24" s="13">
        <v>119807</v>
      </c>
      <c r="P24" s="13">
        <v>711</v>
      </c>
      <c r="Q24" s="3">
        <v>266116</v>
      </c>
      <c r="R24" s="3">
        <v>1572</v>
      </c>
      <c r="S24" s="13">
        <v>170701</v>
      </c>
      <c r="T24" s="13">
        <v>756</v>
      </c>
      <c r="U24" s="13">
        <v>123694</v>
      </c>
      <c r="V24" s="13">
        <v>658</v>
      </c>
      <c r="W24" s="3">
        <v>89991</v>
      </c>
      <c r="X24" s="3">
        <v>497</v>
      </c>
      <c r="Y24" s="3">
        <v>239077</v>
      </c>
      <c r="Z24" s="3">
        <v>1664</v>
      </c>
      <c r="AA24" s="3">
        <v>390507</v>
      </c>
      <c r="AB24" s="3">
        <v>1658</v>
      </c>
      <c r="AC24" s="3">
        <v>232540</v>
      </c>
      <c r="AD24" s="3">
        <v>977</v>
      </c>
      <c r="AE24" s="3">
        <v>115733</v>
      </c>
      <c r="AF24" s="3">
        <v>645</v>
      </c>
      <c r="AG24" s="3">
        <v>324080</v>
      </c>
      <c r="AH24" s="3">
        <v>1673</v>
      </c>
      <c r="AI24" s="3">
        <f>'Übersicht &amp; Anleitung'!X80</f>
        <v>36248</v>
      </c>
      <c r="AJ24" s="3">
        <f>'Übersicht &amp; Anleitung'!Y80</f>
        <v>269</v>
      </c>
      <c r="AK24" s="14">
        <f>Tabelle3[[#This Row],[Nedime (€)]]/C$24</f>
        <v>1</v>
      </c>
      <c r="AL24" s="14">
        <f>Tabelle3[[#This Row],[Nedime (Backer)]]/D$24</f>
        <v>1</v>
      </c>
      <c r="AM24" s="9">
        <f>Tabelle3[[#This Row],[Thorwal (€)]]/Q$24</f>
        <v>1</v>
      </c>
      <c r="AN24" s="9">
        <f>Tabelle3[[#This Row],[Thorwal (Backer)]]/R$24</f>
        <v>1</v>
      </c>
      <c r="AO24" s="14">
        <f>Tabelle3[[#This Row],[Werkzeuge (€)]]/S$24</f>
        <v>1</v>
      </c>
      <c r="AP24" s="14">
        <f>Tabelle3[[#This Row],[Werkzeuge (Backer)]]/T$24</f>
        <v>1</v>
      </c>
      <c r="AR24" t="s">
        <v>77</v>
      </c>
      <c r="AS24" s="23">
        <f>MAX(AU24,AW24,AY24,BA24,BC24,BE24,BG24,BI24,BK24,BM24)</f>
        <v>3.301996716275621</v>
      </c>
      <c r="AT24" s="23">
        <f>MAX(AV24,AX24,AZ24,BB24,BD24,BF24,BH24,BJ24,BL24,BN24)</f>
        <v>3.6526315789473682</v>
      </c>
      <c r="AU24" s="26">
        <f>C24/C7</f>
        <v>3.301996716275621</v>
      </c>
      <c r="AV24" s="8">
        <f>D24/D7</f>
        <v>3.6526315789473682</v>
      </c>
      <c r="AW24" s="41"/>
      <c r="AX24" s="49"/>
      <c r="AY24" s="18">
        <f t="shared" ref="AY24:BN24" si="13">S24/S7</f>
        <v>2.8467721761753082</v>
      </c>
      <c r="AZ24" s="19">
        <f t="shared" si="13"/>
        <v>3.0607287449392713</v>
      </c>
      <c r="BA24" s="18">
        <f t="shared" si="13"/>
        <v>2.5792689284150385</v>
      </c>
      <c r="BB24" s="42">
        <f t="shared" si="13"/>
        <v>2.4924242424242422</v>
      </c>
      <c r="BC24" s="18">
        <f t="shared" si="13"/>
        <v>2.9676493866244558</v>
      </c>
      <c r="BD24" s="42">
        <f t="shared" si="13"/>
        <v>2.792134831460674</v>
      </c>
      <c r="BE24" s="18">
        <f t="shared" si="13"/>
        <v>1.8735854675402026</v>
      </c>
      <c r="BF24" s="42">
        <f t="shared" si="13"/>
        <v>1.8675645342312008</v>
      </c>
      <c r="BG24" s="18">
        <f t="shared" si="13"/>
        <v>3.1534715829255293</v>
      </c>
      <c r="BH24" s="42">
        <f t="shared" si="13"/>
        <v>3.1884615384615387</v>
      </c>
      <c r="BI24" s="18">
        <f t="shared" si="13"/>
        <v>1.9820157681653527</v>
      </c>
      <c r="BJ24" s="42">
        <f t="shared" si="13"/>
        <v>2.0102880658436213</v>
      </c>
      <c r="BK24" s="18">
        <f t="shared" si="13"/>
        <v>2.7822439118205642</v>
      </c>
      <c r="BL24" s="42">
        <f t="shared" si="13"/>
        <v>2.9587155963302751</v>
      </c>
      <c r="BM24" s="18">
        <f t="shared" si="13"/>
        <v>2.0663227896122778</v>
      </c>
      <c r="BN24" s="42">
        <f t="shared" si="13"/>
        <v>2.0991217063989964</v>
      </c>
    </row>
    <row r="25" spans="1:67" ht="15.75" thickBot="1" x14ac:dyDescent="0.3">
      <c r="G25" s="12"/>
      <c r="H25" s="12"/>
      <c r="I25" s="12"/>
      <c r="J25" s="12"/>
      <c r="K25" s="12"/>
      <c r="L25" s="12"/>
      <c r="M25" s="12"/>
      <c r="N25" s="12"/>
      <c r="AS25" s="23">
        <f>AVERAGE(AU24,AW24,AY24,BA24,BC24,BE24,BG24,BI24,BK24,BM24)</f>
        <v>2.6170363030615946</v>
      </c>
      <c r="AT25" s="23">
        <f>AVERAGE(AV24,AX24,AZ24,BB24,BD24,BF24,BH24,BJ24,BL24,BN24)</f>
        <v>2.6802300932263545</v>
      </c>
      <c r="AU25" s="28"/>
      <c r="AV25" s="32">
        <f>AU24-AV24</f>
        <v>-0.35063486267174726</v>
      </c>
      <c r="AW25" s="50"/>
      <c r="AX25" s="51"/>
      <c r="AY25" s="45"/>
      <c r="AZ25" s="46">
        <f>AY24-AZ24</f>
        <v>-0.21395656876396307</v>
      </c>
      <c r="BA25" s="33"/>
      <c r="BB25" s="29">
        <f>BA24-BB24</f>
        <v>8.6844685990796311E-2</v>
      </c>
      <c r="BC25" s="33"/>
      <c r="BD25" s="29">
        <f>BC24-BD24</f>
        <v>0.17551455516378178</v>
      </c>
      <c r="BE25" s="33"/>
      <c r="BF25" s="29">
        <f>BE24-BF24</f>
        <v>6.0209333090017747E-3</v>
      </c>
      <c r="BG25" s="33"/>
      <c r="BH25" s="29">
        <f>BG24-BH24</f>
        <v>-3.4989955536009365E-2</v>
      </c>
      <c r="BI25" s="33"/>
      <c r="BJ25" s="29">
        <f>BI24-BJ24</f>
        <v>-2.8272297678268554E-2</v>
      </c>
      <c r="BK25" s="33"/>
      <c r="BL25" s="29">
        <f>BK24-BL24</f>
        <v>-0.17647168450971096</v>
      </c>
      <c r="BM25" s="33"/>
      <c r="BN25" s="29">
        <f>BM24-BN24</f>
        <v>-3.2798916786718646E-2</v>
      </c>
    </row>
    <row r="26" spans="1:67" ht="15.75" thickBot="1" x14ac:dyDescent="0.3">
      <c r="A26" t="s">
        <v>17</v>
      </c>
      <c r="B26" s="297" t="s">
        <v>238</v>
      </c>
      <c r="C26" s="316">
        <f>C5/C24</f>
        <v>0.2688908493062796</v>
      </c>
      <c r="D26" s="316"/>
      <c r="E26" s="316"/>
      <c r="F26" s="316"/>
      <c r="G26" s="316"/>
      <c r="H26" s="316"/>
      <c r="I26" s="316"/>
      <c r="J26" s="316"/>
      <c r="K26" s="316"/>
      <c r="L26" s="316"/>
      <c r="M26" s="316"/>
      <c r="N26" s="316"/>
      <c r="O26" s="316"/>
      <c r="P26" s="316"/>
      <c r="Q26" s="316"/>
      <c r="R26" s="316"/>
      <c r="S26" s="316">
        <f>S5/S24</f>
        <v>0.29010960685643317</v>
      </c>
      <c r="T26" s="316"/>
      <c r="U26" s="316">
        <f>U5/U24</f>
        <v>0.34487525668181157</v>
      </c>
      <c r="V26" s="316"/>
      <c r="W26" s="316">
        <f>W5/W24</f>
        <v>0.27260503828160593</v>
      </c>
      <c r="X26" s="316"/>
      <c r="Y26" s="316">
        <f>Y5/Y24</f>
        <v>0.47684637167105159</v>
      </c>
      <c r="Z26" s="316"/>
      <c r="AA26" s="316">
        <f>AA5/AA24</f>
        <v>0.24667419534092858</v>
      </c>
      <c r="AB26" s="316"/>
      <c r="AC26" s="316">
        <f>AC5/AC24</f>
        <v>0.43088070869527823</v>
      </c>
      <c r="AD26" s="316"/>
      <c r="AE26" s="316">
        <f>AE5/AE24</f>
        <v>0.2800929726180087</v>
      </c>
      <c r="AF26" s="316"/>
      <c r="AG26" s="316">
        <f>AG5/AG24</f>
        <v>0.37457726487287091</v>
      </c>
      <c r="AH26" s="316"/>
      <c r="AI26" s="316">
        <f>AI5/AI24</f>
        <v>0.3154105054071949</v>
      </c>
      <c r="AJ26" s="316"/>
      <c r="AK26" t="s">
        <v>240</v>
      </c>
      <c r="AL26" s="317">
        <f>MIN(C26:AJ26)</f>
        <v>0.24667419534092858</v>
      </c>
      <c r="AM26" t="s">
        <v>241</v>
      </c>
      <c r="AN26" s="317">
        <f>MAX(C26:AJ26)</f>
        <v>0.47684637167105159</v>
      </c>
      <c r="AO26" t="s">
        <v>242</v>
      </c>
      <c r="AP26" s="317">
        <f>AVERAGE(C26:AJ26)</f>
        <v>0.33009627697314631</v>
      </c>
    </row>
    <row r="27" spans="1:67" x14ac:dyDescent="0.25">
      <c r="B27" t="s">
        <v>239</v>
      </c>
      <c r="C27" s="316">
        <f>1-C28-C26</f>
        <v>0.52629721709840405</v>
      </c>
      <c r="D27" s="316"/>
      <c r="E27" s="316"/>
      <c r="F27" s="316"/>
      <c r="G27" s="316"/>
      <c r="H27" s="316"/>
      <c r="I27" s="316"/>
      <c r="J27" s="316"/>
      <c r="K27" s="316"/>
      <c r="L27" s="316"/>
      <c r="M27" s="316"/>
      <c r="N27" s="316"/>
      <c r="O27" s="316"/>
      <c r="P27" s="316"/>
      <c r="Q27" s="316"/>
      <c r="R27" s="316"/>
      <c r="S27" s="316">
        <f t="shared" ref="S27:AI27" si="14">1-S28-S26</f>
        <v>0.43362370460629995</v>
      </c>
      <c r="T27" s="316"/>
      <c r="U27" s="316">
        <f t="shared" si="14"/>
        <v>0.47303021973579967</v>
      </c>
      <c r="V27" s="316"/>
      <c r="W27" s="316">
        <f t="shared" si="14"/>
        <v>0.52117433965618787</v>
      </c>
      <c r="X27" s="316"/>
      <c r="Y27" s="316">
        <f t="shared" si="14"/>
        <v>0.41067522179046922</v>
      </c>
      <c r="Z27" s="316"/>
      <c r="AA27" s="316">
        <f t="shared" si="14"/>
        <v>0.52063855449454166</v>
      </c>
      <c r="AB27" s="316"/>
      <c r="AC27" s="316">
        <f t="shared" si="14"/>
        <v>0.41929560505719449</v>
      </c>
      <c r="AD27" s="316"/>
      <c r="AE27" s="316">
        <f t="shared" si="14"/>
        <v>0.51136668020357201</v>
      </c>
      <c r="AF27" s="316"/>
      <c r="AG27" s="316">
        <f t="shared" ref="AG27" si="15">1-AG28-AG26</f>
        <v>0.48916316958775607</v>
      </c>
      <c r="AH27" s="316"/>
      <c r="AI27" s="316">
        <f t="shared" si="14"/>
        <v>0.42140256014124916</v>
      </c>
      <c r="AJ27" s="316"/>
      <c r="AK27" t="s">
        <v>240</v>
      </c>
      <c r="AL27" s="317">
        <f>MIN(C27:AJ27)</f>
        <v>0.41067522179046922</v>
      </c>
      <c r="AM27" t="s">
        <v>241</v>
      </c>
      <c r="AN27" s="317">
        <f t="shared" ref="AN27:AN28" si="16">MAX(C27:AJ27)</f>
        <v>0.52629721709840405</v>
      </c>
      <c r="AO27" t="s">
        <v>242</v>
      </c>
      <c r="AP27" s="317">
        <f>AVERAGE(C27:AJ27)</f>
        <v>0.47266672723714748</v>
      </c>
      <c r="AU27" s="24" t="s">
        <v>137</v>
      </c>
      <c r="AV27" s="30" t="s">
        <v>137</v>
      </c>
      <c r="AW27" s="47"/>
      <c r="AX27" s="48"/>
      <c r="AY27" s="43" t="s">
        <v>137</v>
      </c>
      <c r="AZ27" s="44" t="s">
        <v>137</v>
      </c>
      <c r="BA27" s="31" t="s">
        <v>137</v>
      </c>
      <c r="BB27" s="25" t="s">
        <v>137</v>
      </c>
      <c r="BC27" s="31" t="s">
        <v>137</v>
      </c>
      <c r="BD27" s="25" t="s">
        <v>137</v>
      </c>
      <c r="BE27" s="31" t="s">
        <v>137</v>
      </c>
      <c r="BF27" s="25" t="s">
        <v>137</v>
      </c>
      <c r="BG27" s="31" t="s">
        <v>137</v>
      </c>
      <c r="BH27" s="25" t="s">
        <v>137</v>
      </c>
      <c r="BI27" s="31" t="s">
        <v>137</v>
      </c>
      <c r="BJ27" s="25" t="s">
        <v>137</v>
      </c>
      <c r="BK27" s="31" t="s">
        <v>137</v>
      </c>
      <c r="BL27" s="25" t="s">
        <v>137</v>
      </c>
      <c r="BM27" s="31" t="s">
        <v>137</v>
      </c>
      <c r="BN27" s="25" t="s">
        <v>137</v>
      </c>
    </row>
    <row r="28" spans="1:67" x14ac:dyDescent="0.25">
      <c r="B28" s="297" t="s">
        <v>237</v>
      </c>
      <c r="C28" s="316">
        <f>1-C22/C24</f>
        <v>0.20481193359531635</v>
      </c>
      <c r="D28" s="316"/>
      <c r="E28" s="316"/>
      <c r="F28" s="316"/>
      <c r="G28" s="316"/>
      <c r="H28" s="316"/>
      <c r="I28" s="316"/>
      <c r="J28" s="316"/>
      <c r="K28" s="316"/>
      <c r="L28" s="316"/>
      <c r="M28" s="316"/>
      <c r="N28" s="316"/>
      <c r="O28" s="316"/>
      <c r="P28" s="316"/>
      <c r="Q28" s="316"/>
      <c r="R28" s="316"/>
      <c r="S28" s="316">
        <f>1-S22/S24</f>
        <v>0.27626668853726688</v>
      </c>
      <c r="T28" s="316"/>
      <c r="U28" s="316">
        <f>1-U22/U24</f>
        <v>0.18209452358238876</v>
      </c>
      <c r="V28" s="316"/>
      <c r="W28" s="316">
        <f>1-W22/W24</f>
        <v>0.20622062206220626</v>
      </c>
      <c r="X28" s="316"/>
      <c r="Y28" s="316">
        <f>1-Y22/Y24</f>
        <v>0.11247840653847918</v>
      </c>
      <c r="Z28" s="316"/>
      <c r="AA28" s="316">
        <f>1-AA22/AA24</f>
        <v>0.23268725016452974</v>
      </c>
      <c r="AB28" s="316"/>
      <c r="AC28" s="316">
        <f>1-AC22/AC24</f>
        <v>0.14982368624752729</v>
      </c>
      <c r="AD28" s="316"/>
      <c r="AE28" s="316">
        <f>1-AE22/AE24</f>
        <v>0.20854034717841929</v>
      </c>
      <c r="AF28" s="316"/>
      <c r="AG28" s="316">
        <f>1-AG22/AG24</f>
        <v>0.13625956553937302</v>
      </c>
      <c r="AH28" s="316"/>
      <c r="AI28" s="316">
        <f>1-AI22/AI24</f>
        <v>0.26318693445155594</v>
      </c>
      <c r="AJ28" s="316"/>
      <c r="AK28" t="s">
        <v>240</v>
      </c>
      <c r="AL28" s="317">
        <f>MIN(C28:AJ28)</f>
        <v>0.11247840653847918</v>
      </c>
      <c r="AM28" t="s">
        <v>241</v>
      </c>
      <c r="AN28" s="317">
        <f t="shared" si="16"/>
        <v>0.27626668853726688</v>
      </c>
      <c r="AO28" t="s">
        <v>242</v>
      </c>
      <c r="AP28" s="317">
        <f>AVERAGE(C28:AJ28)</f>
        <v>0.19723699578970627</v>
      </c>
      <c r="AQ28" s="298" t="s">
        <v>139</v>
      </c>
      <c r="AR28" s="15" t="s">
        <v>76</v>
      </c>
      <c r="AS28" s="22">
        <f>MIN(AU29,AW29,AY29,BA29,BC29,BE29,BG29,BI29,BK29,BM29)</f>
        <v>1.8212060270883801</v>
      </c>
      <c r="AT28" s="22">
        <f>MIN(AV29,AX29,AZ29,BB29,BD29,BF29,BH29,BJ29,BL29,BN29)</f>
        <v>1.812636165577342</v>
      </c>
      <c r="AU28" s="26" t="s">
        <v>225</v>
      </c>
      <c r="AV28" s="8" t="s">
        <v>226</v>
      </c>
      <c r="AW28" s="41"/>
      <c r="AX28" s="49"/>
      <c r="AY28" s="5" t="s">
        <v>229</v>
      </c>
      <c r="AZ28" s="8" t="s">
        <v>230</v>
      </c>
      <c r="BA28" s="5" t="s">
        <v>227</v>
      </c>
      <c r="BB28" s="27" t="s">
        <v>228</v>
      </c>
      <c r="BC28" s="5" t="s">
        <v>131</v>
      </c>
      <c r="BD28" s="27" t="s">
        <v>132</v>
      </c>
      <c r="BE28" s="5" t="s">
        <v>156</v>
      </c>
      <c r="BF28" s="27" t="s">
        <v>157</v>
      </c>
      <c r="BG28" s="5" t="s">
        <v>177</v>
      </c>
      <c r="BH28" s="27" t="s">
        <v>178</v>
      </c>
      <c r="BI28" s="5" t="s">
        <v>231</v>
      </c>
      <c r="BJ28" s="27" t="s">
        <v>232</v>
      </c>
      <c r="BK28" s="5" t="s">
        <v>233</v>
      </c>
      <c r="BL28" s="27" t="s">
        <v>234</v>
      </c>
      <c r="BM28" s="5" t="s">
        <v>233</v>
      </c>
      <c r="BN28" s="27" t="s">
        <v>234</v>
      </c>
    </row>
    <row r="29" spans="1:67" x14ac:dyDescent="0.25">
      <c r="AR29" t="s">
        <v>77</v>
      </c>
      <c r="AS29" s="23">
        <f>MAX(AU29,AW29,AY29,BA29,BC29,BE29,BG29,BI29,BK29,BM29)</f>
        <v>2.9583415402796929</v>
      </c>
      <c r="AT29" s="23">
        <f>MAX(AV29,AX29,AZ29,BB29,BD29,BF29,BH29,BJ29,BL29,BN29)</f>
        <v>3.1261261261261262</v>
      </c>
      <c r="AU29" s="26">
        <f>C24/C8</f>
        <v>2.8486246915836606</v>
      </c>
      <c r="AV29" s="8">
        <f>D24/D8</f>
        <v>3.1261261261261262</v>
      </c>
      <c r="AW29" s="41"/>
      <c r="AX29" s="49"/>
      <c r="AY29" s="18">
        <f t="shared" ref="AY29:BN29" si="17">S24/S8</f>
        <v>2.7046027093400933</v>
      </c>
      <c r="AZ29" s="19">
        <f t="shared" si="17"/>
        <v>2.8636363636363638</v>
      </c>
      <c r="BA29" s="18">
        <f t="shared" si="17"/>
        <v>2.4366960187538167</v>
      </c>
      <c r="BB29" s="42">
        <f t="shared" si="17"/>
        <v>2.35</v>
      </c>
      <c r="BC29" s="18">
        <f t="shared" si="17"/>
        <v>2.7586830569265199</v>
      </c>
      <c r="BD29" s="42">
        <f t="shared" si="17"/>
        <v>2.6020942408376961</v>
      </c>
      <c r="BE29" s="18">
        <f t="shared" si="17"/>
        <v>1.8212060270883801</v>
      </c>
      <c r="BF29" s="42">
        <f t="shared" si="17"/>
        <v>1.812636165577342</v>
      </c>
      <c r="BG29" s="18">
        <f t="shared" si="17"/>
        <v>2.9583415402796929</v>
      </c>
      <c r="BH29" s="42">
        <f t="shared" si="17"/>
        <v>2.9397163120567376</v>
      </c>
      <c r="BI29" s="18">
        <f t="shared" si="17"/>
        <v>1.9319088129735478</v>
      </c>
      <c r="BJ29" s="42">
        <f t="shared" si="17"/>
        <v>1.9657947686116701</v>
      </c>
      <c r="BK29" s="18">
        <f t="shared" si="17"/>
        <v>2.6090671355787007</v>
      </c>
      <c r="BL29" s="42">
        <f t="shared" si="17"/>
        <v>2.7446808510638299</v>
      </c>
      <c r="BM29" s="18">
        <f t="shared" si="17"/>
        <v>1.9412148765775965</v>
      </c>
      <c r="BN29" s="42">
        <f t="shared" si="17"/>
        <v>1.975206611570248</v>
      </c>
    </row>
    <row r="30" spans="1:67" ht="15.75" thickBot="1" x14ac:dyDescent="0.3">
      <c r="A30" t="s">
        <v>16</v>
      </c>
      <c r="B30" s="297" t="s">
        <v>238</v>
      </c>
      <c r="C30" s="316"/>
      <c r="D30" s="316">
        <f>D5/D24</f>
        <v>0.23631123919308358</v>
      </c>
      <c r="E30" s="316"/>
      <c r="F30" s="316"/>
      <c r="G30" s="316"/>
      <c r="H30" s="316"/>
      <c r="I30" s="316"/>
      <c r="J30" s="316"/>
      <c r="K30" s="316"/>
      <c r="L30" s="316"/>
      <c r="M30" s="316"/>
      <c r="N30" s="316"/>
      <c r="O30" s="316"/>
      <c r="P30" s="316"/>
      <c r="Q30" s="316"/>
      <c r="R30" s="316"/>
      <c r="S30" s="316"/>
      <c r="T30" s="316">
        <f>T5/T24</f>
        <v>0.2724867724867725</v>
      </c>
      <c r="U30" s="316"/>
      <c r="V30" s="316">
        <f>V5/V24</f>
        <v>0.35410334346504557</v>
      </c>
      <c r="W30" s="316"/>
      <c r="X30" s="316">
        <f>X5/X24</f>
        <v>0.29175050301810868</v>
      </c>
      <c r="Y30" s="316"/>
      <c r="Z30" s="316">
        <f>Z5/Z24</f>
        <v>0.47415865384615385</v>
      </c>
      <c r="AA30" s="316"/>
      <c r="AB30" s="316">
        <f>AB5/AB24</f>
        <v>0.24366706875753921</v>
      </c>
      <c r="AC30" s="316"/>
      <c r="AD30" s="316">
        <f>AD5/AD24</f>
        <v>0.42681678607983625</v>
      </c>
      <c r="AE30" s="316"/>
      <c r="AF30" s="316">
        <f>AF5/AF24</f>
        <v>0.26666666666666666</v>
      </c>
      <c r="AG30" s="316"/>
      <c r="AH30" s="316">
        <f>AH5/AH24</f>
        <v>0.36939629408248653</v>
      </c>
      <c r="AI30" s="316"/>
      <c r="AJ30" s="316">
        <f>AJ5/AJ24</f>
        <v>0.33085501858736061</v>
      </c>
      <c r="AK30" t="s">
        <v>240</v>
      </c>
      <c r="AL30" s="317">
        <f>MIN(C30:AJ30)</f>
        <v>0.23631123919308358</v>
      </c>
      <c r="AM30" t="s">
        <v>241</v>
      </c>
      <c r="AN30" s="317">
        <f>MAX(C30:AJ30)</f>
        <v>0.47415865384615385</v>
      </c>
      <c r="AO30" t="s">
        <v>242</v>
      </c>
      <c r="AP30" s="317">
        <f>AVERAGE(C30:AJ30)</f>
        <v>0.32662123461830533</v>
      </c>
      <c r="AS30" s="23">
        <f>AVERAGE(AU29,AW29,AY29,BA29,BC29,BE29,BG29,BI29,BK29,BM29)</f>
        <v>2.4455938743446679</v>
      </c>
      <c r="AT30" s="23">
        <f>AVERAGE(AV29,AX29,AZ29,BB29,BD29,BF29,BH29,BJ29,BL29,BN29)</f>
        <v>2.486654604386668</v>
      </c>
      <c r="AU30" s="28"/>
      <c r="AV30" s="32">
        <f>AU29-AV29</f>
        <v>-0.27750143454246556</v>
      </c>
      <c r="AW30" s="50"/>
      <c r="AX30" s="51"/>
      <c r="AY30" s="45"/>
      <c r="AZ30" s="46">
        <f>AY29-AZ29</f>
        <v>-0.15903365429627048</v>
      </c>
      <c r="BA30" s="33"/>
      <c r="BB30" s="29">
        <f>BA29-BB29</f>
        <v>8.6696018753816606E-2</v>
      </c>
      <c r="BC30" s="33"/>
      <c r="BD30" s="29">
        <f>BC29-BD29</f>
        <v>0.1565888160888238</v>
      </c>
      <c r="BE30" s="33"/>
      <c r="BF30" s="29">
        <f>BE29-BF29</f>
        <v>8.5698615110381127E-3</v>
      </c>
      <c r="BG30" s="33"/>
      <c r="BH30" s="29">
        <f>BG29-BH29</f>
        <v>1.8625228222955315E-2</v>
      </c>
      <c r="BI30" s="33"/>
      <c r="BJ30" s="29">
        <f>BI29-BJ29</f>
        <v>-3.3885955638122356E-2</v>
      </c>
      <c r="BK30" s="33"/>
      <c r="BL30" s="29">
        <f>BK29-BL29</f>
        <v>-0.13561371548512913</v>
      </c>
      <c r="BM30" s="33"/>
      <c r="BN30" s="29">
        <f>BM29-BN29</f>
        <v>-3.3991734992651512E-2</v>
      </c>
    </row>
    <row r="31" spans="1:67" ht="15.75" thickBot="1" x14ac:dyDescent="0.3">
      <c r="B31" t="s">
        <v>239</v>
      </c>
      <c r="C31" s="316"/>
      <c r="D31" s="316">
        <f>1-D32-D30</f>
        <v>0.53314121037463968</v>
      </c>
      <c r="E31" s="316"/>
      <c r="F31" s="316"/>
      <c r="G31" s="316"/>
      <c r="H31" s="316"/>
      <c r="I31" s="316"/>
      <c r="J31" s="316"/>
      <c r="K31" s="316"/>
      <c r="L31" s="316"/>
      <c r="M31" s="316"/>
      <c r="N31" s="316"/>
      <c r="O31" s="316"/>
      <c r="P31" s="316"/>
      <c r="Q31" s="316"/>
      <c r="R31" s="316"/>
      <c r="S31" s="316"/>
      <c r="T31" s="316">
        <f>1-T32-T30</f>
        <v>0.43783068783068785</v>
      </c>
      <c r="U31" s="316"/>
      <c r="V31" s="316">
        <f>1-V32-V30</f>
        <v>0.48024316109422494</v>
      </c>
      <c r="W31" s="316"/>
      <c r="X31" s="316">
        <f>1-X32-X30</f>
        <v>0.51509054325955728</v>
      </c>
      <c r="Y31" s="316"/>
      <c r="Z31" s="316">
        <f>1-Z32-Z30</f>
        <v>0.41706730769230771</v>
      </c>
      <c r="AA31" s="316"/>
      <c r="AB31" s="316">
        <f>1-AB32-AB30</f>
        <v>0.53437876960193009</v>
      </c>
      <c r="AC31" s="316"/>
      <c r="AD31" s="316">
        <f>1-AD32-AD30</f>
        <v>0.41965199590583419</v>
      </c>
      <c r="AE31" s="316"/>
      <c r="AF31" s="316">
        <f>1-AF32-AF30</f>
        <v>0.53798449612403099</v>
      </c>
      <c r="AG31" s="316"/>
      <c r="AH31" s="316">
        <f>1-AH32-AH30</f>
        <v>0.49970113568439933</v>
      </c>
      <c r="AI31" s="316"/>
      <c r="AJ31" s="316">
        <f>1-AJ32-AJ30</f>
        <v>0.40520446096654278</v>
      </c>
      <c r="AK31" t="s">
        <v>240</v>
      </c>
      <c r="AL31" s="317">
        <f>MIN(C31:AJ31)</f>
        <v>0.40520446096654278</v>
      </c>
      <c r="AM31" t="s">
        <v>241</v>
      </c>
      <c r="AN31" s="317">
        <f t="shared" ref="AN31:AN32" si="18">MAX(C31:AJ31)</f>
        <v>0.53798449612403099</v>
      </c>
      <c r="AO31" t="s">
        <v>242</v>
      </c>
      <c r="AP31" s="317">
        <f>AVERAGE(C31:AJ31)</f>
        <v>0.4780293768534154</v>
      </c>
    </row>
    <row r="32" spans="1:67" x14ac:dyDescent="0.25">
      <c r="B32" s="297" t="s">
        <v>237</v>
      </c>
      <c r="C32" s="316"/>
      <c r="D32" s="316">
        <f>1-D22/D24</f>
        <v>0.2305475504322767</v>
      </c>
      <c r="E32" s="316"/>
      <c r="F32" s="316"/>
      <c r="G32" s="316"/>
      <c r="H32" s="316"/>
      <c r="I32" s="316"/>
      <c r="J32" s="316"/>
      <c r="K32" s="316"/>
      <c r="L32" s="316"/>
      <c r="M32" s="316"/>
      <c r="N32" s="316"/>
      <c r="O32" s="316"/>
      <c r="P32" s="316"/>
      <c r="Q32" s="316"/>
      <c r="R32" s="316"/>
      <c r="S32" s="316"/>
      <c r="T32" s="316">
        <f>1-T22/T24</f>
        <v>0.28968253968253965</v>
      </c>
      <c r="U32" s="316"/>
      <c r="V32" s="316">
        <f>1-V22/V24</f>
        <v>0.16565349544072949</v>
      </c>
      <c r="W32" s="316"/>
      <c r="X32" s="316">
        <f>1-X22/X24</f>
        <v>0.19315895372233405</v>
      </c>
      <c r="Y32" s="316"/>
      <c r="Z32" s="316">
        <f>1-Z22/Z24</f>
        <v>0.10877403846153844</v>
      </c>
      <c r="AA32" s="316"/>
      <c r="AB32" s="316">
        <f>1-AB22/AB24</f>
        <v>0.22195416164053072</v>
      </c>
      <c r="AC32" s="316"/>
      <c r="AD32" s="316">
        <f>1-AD22/AD24</f>
        <v>0.15353121801432956</v>
      </c>
      <c r="AE32" s="316"/>
      <c r="AF32" s="316">
        <f>1-AF22/AF24</f>
        <v>0.1953488372093023</v>
      </c>
      <c r="AG32" s="316"/>
      <c r="AH32" s="316">
        <f>1-AH22/AH24</f>
        <v>0.13090257023311413</v>
      </c>
      <c r="AI32" s="316"/>
      <c r="AJ32" s="316">
        <f>1-AJ22/AJ24</f>
        <v>0.26394052044609662</v>
      </c>
      <c r="AK32" t="s">
        <v>240</v>
      </c>
      <c r="AL32" s="317">
        <f>MIN(C32:AJ32)</f>
        <v>0.10877403846153844</v>
      </c>
      <c r="AM32" t="s">
        <v>241</v>
      </c>
      <c r="AN32" s="317">
        <f t="shared" si="18"/>
        <v>0.28968253968253965</v>
      </c>
      <c r="AO32" t="s">
        <v>242</v>
      </c>
      <c r="AP32" s="317">
        <f>AVERAGE(C32:AJ32)</f>
        <v>0.19534938852827916</v>
      </c>
      <c r="AU32" s="24" t="s">
        <v>140</v>
      </c>
      <c r="AV32" s="30" t="s">
        <v>140</v>
      </c>
      <c r="AW32" s="47"/>
      <c r="AX32" s="48"/>
      <c r="AY32" s="43" t="s">
        <v>140</v>
      </c>
      <c r="AZ32" s="44" t="s">
        <v>140</v>
      </c>
      <c r="BA32" s="31" t="s">
        <v>140</v>
      </c>
      <c r="BB32" s="25" t="s">
        <v>140</v>
      </c>
      <c r="BC32" s="31" t="s">
        <v>140</v>
      </c>
      <c r="BD32" s="25" t="s">
        <v>140</v>
      </c>
      <c r="BE32" s="31" t="s">
        <v>140</v>
      </c>
      <c r="BF32" s="25" t="s">
        <v>140</v>
      </c>
      <c r="BG32" s="31" t="s">
        <v>140</v>
      </c>
      <c r="BH32" s="25" t="s">
        <v>140</v>
      </c>
      <c r="BI32" s="31" t="s">
        <v>140</v>
      </c>
      <c r="BJ32" s="25" t="s">
        <v>140</v>
      </c>
      <c r="BK32" s="31" t="s">
        <v>140</v>
      </c>
      <c r="BL32" s="25" t="s">
        <v>140</v>
      </c>
      <c r="BM32" s="31" t="s">
        <v>140</v>
      </c>
      <c r="BN32" s="25" t="s">
        <v>140</v>
      </c>
    </row>
    <row r="33" spans="16:66" ht="15.75" thickBot="1" x14ac:dyDescent="0.3">
      <c r="AQ33" s="298" t="s">
        <v>141</v>
      </c>
      <c r="AR33" s="15" t="s">
        <v>76</v>
      </c>
      <c r="AS33" s="22">
        <f>MIN(AU34,AW34,AY34,BA34,BC34,BE34,BG34,BI34,BK34,BM34)</f>
        <v>1.7631957401930778</v>
      </c>
      <c r="AT33" s="22">
        <f>MIN(AV34,AX34,AZ34,BB34,BD34,BF34,BH34,BJ34,BL34,BN34)</f>
        <v>1.746065057712487</v>
      </c>
      <c r="AU33" s="26" t="s">
        <v>225</v>
      </c>
      <c r="AV33" s="8" t="s">
        <v>226</v>
      </c>
      <c r="AW33" s="41"/>
      <c r="AX33" s="49"/>
      <c r="AY33" s="5" t="s">
        <v>229</v>
      </c>
      <c r="AZ33" s="8" t="s">
        <v>230</v>
      </c>
      <c r="BA33" s="5" t="s">
        <v>227</v>
      </c>
      <c r="BB33" s="27" t="s">
        <v>228</v>
      </c>
      <c r="BC33" s="5" t="s">
        <v>131</v>
      </c>
      <c r="BD33" s="27" t="s">
        <v>132</v>
      </c>
      <c r="BE33" s="5" t="s">
        <v>156</v>
      </c>
      <c r="BF33" s="27" t="s">
        <v>157</v>
      </c>
      <c r="BG33" s="5" t="s">
        <v>177</v>
      </c>
      <c r="BH33" s="27" t="s">
        <v>178</v>
      </c>
      <c r="BI33" s="5" t="s">
        <v>231</v>
      </c>
      <c r="BJ33" s="27" t="s">
        <v>232</v>
      </c>
      <c r="BK33" s="5" t="s">
        <v>233</v>
      </c>
      <c r="BL33" s="27" t="s">
        <v>234</v>
      </c>
      <c r="BM33" s="5" t="s">
        <v>233</v>
      </c>
      <c r="BN33" s="27" t="s">
        <v>234</v>
      </c>
    </row>
    <row r="34" spans="16:66" x14ac:dyDescent="0.25">
      <c r="P34"/>
      <c r="U34"/>
      <c r="V34"/>
      <c r="AE34" s="36"/>
      <c r="AF34" s="36"/>
      <c r="AG34" s="279" t="s">
        <v>105</v>
      </c>
      <c r="AH34" s="280" t="s">
        <v>107</v>
      </c>
      <c r="AI34" s="296">
        <f>$AI$4*AS8</f>
        <v>22265.186259541984</v>
      </c>
      <c r="AJ34" s="296">
        <f>$AJ$4*AT8</f>
        <v>178.38079999999999</v>
      </c>
      <c r="AK34" s="281"/>
      <c r="AL34" s="281"/>
      <c r="AM34" s="282">
        <f>AI34/AJ34</f>
        <v>124.81828907338674</v>
      </c>
      <c r="AN34" s="283"/>
      <c r="AR34" t="s">
        <v>77</v>
      </c>
      <c r="AS34" s="23">
        <f>MAX(AU34,AW34,AY34,BA34,BC34,BE34,BG34,BI34,BK34,BM34)</f>
        <v>2.7621726994816358</v>
      </c>
      <c r="AT34" s="23">
        <f>MAX(AV34,AX34,AZ34,BB34,BD34,BF34,BH34,BJ34,BL34,BN34)</f>
        <v>3.0173913043478264</v>
      </c>
      <c r="AU34" s="26">
        <f>C24/C9</f>
        <v>2.7621726994816358</v>
      </c>
      <c r="AV34" s="8">
        <f>D24/D9</f>
        <v>3.0173913043478264</v>
      </c>
      <c r="AW34" s="41"/>
      <c r="AX34" s="49"/>
      <c r="AY34" s="18">
        <f t="shared" ref="AY34:BN34" si="19">S24/S9</f>
        <v>2.6202032295695954</v>
      </c>
      <c r="AZ34" s="19">
        <f t="shared" si="19"/>
        <v>2.7591240875912408</v>
      </c>
      <c r="BA34" s="18">
        <f t="shared" si="19"/>
        <v>2.2979063330175182</v>
      </c>
      <c r="BB34" s="42">
        <f t="shared" si="19"/>
        <v>2.2380952380952381</v>
      </c>
      <c r="BC34" s="18">
        <f t="shared" si="19"/>
        <v>2.4009764947573435</v>
      </c>
      <c r="BD34" s="42">
        <f t="shared" si="19"/>
        <v>2.2590909090909093</v>
      </c>
      <c r="BE34" s="18">
        <f t="shared" si="19"/>
        <v>1.7631957401930778</v>
      </c>
      <c r="BF34" s="42">
        <f t="shared" si="19"/>
        <v>1.746065057712487</v>
      </c>
      <c r="BG34" s="18">
        <f t="shared" si="19"/>
        <v>2.5868757328245793</v>
      </c>
      <c r="BH34" s="42">
        <f t="shared" si="19"/>
        <v>2.5429447852760738</v>
      </c>
      <c r="BI34" s="18">
        <f t="shared" si="19"/>
        <v>1.887530641731197</v>
      </c>
      <c r="BJ34" s="42">
        <f t="shared" si="19"/>
        <v>1.9232283464566928</v>
      </c>
      <c r="BK34" s="18">
        <f t="shared" si="19"/>
        <v>2.5403441766539356</v>
      </c>
      <c r="BL34" s="42">
        <f t="shared" si="19"/>
        <v>2.6763485477178421</v>
      </c>
      <c r="BM34" s="18">
        <f t="shared" si="19"/>
        <v>1.8419287736009913</v>
      </c>
      <c r="BN34" s="42">
        <f t="shared" si="19"/>
        <v>1.8568257491675915</v>
      </c>
    </row>
    <row r="35" spans="16:66" ht="15.75" thickBot="1" x14ac:dyDescent="0.3">
      <c r="P35"/>
      <c r="U35"/>
      <c r="V35"/>
      <c r="AE35" s="34"/>
      <c r="AF35" s="34"/>
      <c r="AG35" s="284"/>
      <c r="AH35" s="34" t="s">
        <v>108</v>
      </c>
      <c r="AI35" s="7">
        <f>$AI$4*AS9</f>
        <v>39334.992635537448</v>
      </c>
      <c r="AJ35" s="7">
        <f>$AJ$4*AT9</f>
        <v>325.76539589442814</v>
      </c>
      <c r="AK35" s="35"/>
      <c r="AL35" s="35"/>
      <c r="AM35" s="35">
        <f>AI35/AJ35</f>
        <v>120.74638108058865</v>
      </c>
      <c r="AN35" s="285"/>
      <c r="AS35" s="23">
        <f>AVERAGE(AU34,AW34,AY34,BA34,BC34,BE34,BG34,BI34,BK34,BM34)</f>
        <v>2.3001259802033189</v>
      </c>
      <c r="AT35" s="23">
        <f>AVERAGE(AV34,AX34,AZ34,BB34,BD34,BF34,BH34,BJ34,BL34,BN34)</f>
        <v>2.3354571139395448</v>
      </c>
      <c r="AU35" s="28"/>
      <c r="AV35" s="32">
        <f>AU34-AV34</f>
        <v>-0.25521860486619063</v>
      </c>
      <c r="AW35" s="50"/>
      <c r="AX35" s="51"/>
      <c r="AY35" s="45"/>
      <c r="AZ35" s="46">
        <f>AY34-AZ34</f>
        <v>-0.13892085802164544</v>
      </c>
      <c r="BA35" s="33"/>
      <c r="BB35" s="29">
        <f>BA34-BB34</f>
        <v>5.9811094922280095E-2</v>
      </c>
      <c r="BC35" s="33"/>
      <c r="BD35" s="29">
        <f>BC34-BD34</f>
        <v>0.14188558566643428</v>
      </c>
      <c r="BE35" s="33"/>
      <c r="BF35" s="29">
        <f>BE34-BF34</f>
        <v>1.7130682480590798E-2</v>
      </c>
      <c r="BG35" s="33"/>
      <c r="BH35" s="29">
        <f>BG34-BH34</f>
        <v>4.3930947548505461E-2</v>
      </c>
      <c r="BI35" s="33"/>
      <c r="BJ35" s="29">
        <f>BI34-BJ34</f>
        <v>-3.5697704725495827E-2</v>
      </c>
      <c r="BK35" s="33"/>
      <c r="BL35" s="29">
        <f>BK34-BL34</f>
        <v>-0.1360043710639065</v>
      </c>
      <c r="BM35" s="33"/>
      <c r="BN35" s="29">
        <f>BM34-BN34</f>
        <v>-1.489697556660019E-2</v>
      </c>
    </row>
    <row r="36" spans="16:66" ht="15.75" thickBot="1" x14ac:dyDescent="0.3">
      <c r="AE36" s="34"/>
      <c r="AF36" s="34"/>
      <c r="AG36" s="284"/>
      <c r="AH36" s="34"/>
      <c r="AK36" s="3">
        <f>AVERAGE(AI34:AI35)</f>
        <v>30800.089447539714</v>
      </c>
      <c r="AL36" s="3">
        <f>AVERAGE(AJ34:AJ35)</f>
        <v>252.07309794721408</v>
      </c>
      <c r="AM36" s="35"/>
      <c r="AN36" s="285">
        <f>AK36/AL36</f>
        <v>122.18713420179996</v>
      </c>
    </row>
    <row r="37" spans="16:66" x14ac:dyDescent="0.25">
      <c r="AE37" s="34"/>
      <c r="AF37" s="34"/>
      <c r="AG37" s="284" t="s">
        <v>106</v>
      </c>
      <c r="AH37" s="34" t="s">
        <v>107</v>
      </c>
      <c r="AI37" s="7">
        <f>$AI$5*AS13</f>
        <v>23976.275545380387</v>
      </c>
      <c r="AJ37" s="7">
        <f>$AJ$5*AT13</f>
        <v>187.70088719898607</v>
      </c>
      <c r="AK37" s="34"/>
      <c r="AL37" s="34"/>
      <c r="AM37" s="35">
        <f>AI37/AJ37</f>
        <v>127.73661277350587</v>
      </c>
      <c r="AN37" s="285"/>
      <c r="AU37" s="24" t="s">
        <v>143</v>
      </c>
      <c r="AV37" s="30" t="s">
        <v>143</v>
      </c>
      <c r="AW37" s="47"/>
      <c r="AX37" s="48"/>
      <c r="AY37" s="43" t="s">
        <v>143</v>
      </c>
      <c r="AZ37" s="44" t="s">
        <v>143</v>
      </c>
      <c r="BA37" s="31" t="s">
        <v>143</v>
      </c>
      <c r="BB37" s="25" t="s">
        <v>143</v>
      </c>
      <c r="BC37" s="31" t="s">
        <v>143</v>
      </c>
      <c r="BD37" s="25" t="s">
        <v>143</v>
      </c>
      <c r="BE37" s="31" t="s">
        <v>143</v>
      </c>
      <c r="BF37" s="25" t="s">
        <v>143</v>
      </c>
      <c r="BG37" s="31" t="s">
        <v>143</v>
      </c>
      <c r="BH37" s="25" t="s">
        <v>143</v>
      </c>
      <c r="BI37" s="31" t="s">
        <v>143</v>
      </c>
      <c r="BJ37" s="25" t="s">
        <v>143</v>
      </c>
      <c r="BK37" s="31" t="s">
        <v>143</v>
      </c>
      <c r="BL37" s="25" t="s">
        <v>143</v>
      </c>
      <c r="BM37" s="31" t="s">
        <v>143</v>
      </c>
      <c r="BN37" s="25" t="s">
        <v>143</v>
      </c>
    </row>
    <row r="38" spans="16:66" x14ac:dyDescent="0.25">
      <c r="P38"/>
      <c r="U38"/>
      <c r="V38"/>
      <c r="AE38" s="34"/>
      <c r="AF38" s="34"/>
      <c r="AG38" s="284"/>
      <c r="AH38" s="34" t="s">
        <v>108</v>
      </c>
      <c r="AI38" s="7">
        <f>$AI$5*AS14</f>
        <v>46348.585364587656</v>
      </c>
      <c r="AJ38" s="7">
        <f>$AJ$5*AT14</f>
        <v>376.6219512195122</v>
      </c>
      <c r="AK38" s="35"/>
      <c r="AL38" s="35"/>
      <c r="AM38" s="35">
        <f>AI38/AJ38</f>
        <v>123.06395103766434</v>
      </c>
      <c r="AN38" s="285"/>
      <c r="AQ38" s="298" t="s">
        <v>142</v>
      </c>
      <c r="AR38" s="15" t="s">
        <v>76</v>
      </c>
      <c r="AS38" s="22">
        <f>MIN(AU39,AW39,AY39,BA39,BC39,BE39,BG39,BI39,BK39,BM39)</f>
        <v>1.6230948356042554</v>
      </c>
      <c r="AT38" s="22">
        <f>MIN(AV39,AX39,AZ39,BB39,BD39,BF39,BH39,BJ39,BL39,BN39)</f>
        <v>1.5938697318007662</v>
      </c>
      <c r="AU38" s="26" t="s">
        <v>225</v>
      </c>
      <c r="AV38" s="8" t="s">
        <v>226</v>
      </c>
      <c r="AW38" s="41"/>
      <c r="AX38" s="49"/>
      <c r="AY38" s="5" t="s">
        <v>229</v>
      </c>
      <c r="AZ38" s="8" t="s">
        <v>230</v>
      </c>
      <c r="BA38" s="5" t="s">
        <v>227</v>
      </c>
      <c r="BB38" s="27" t="s">
        <v>228</v>
      </c>
      <c r="BC38" s="5" t="s">
        <v>131</v>
      </c>
      <c r="BD38" s="27" t="s">
        <v>132</v>
      </c>
      <c r="BE38" s="5" t="s">
        <v>156</v>
      </c>
      <c r="BF38" s="27" t="s">
        <v>157</v>
      </c>
      <c r="BG38" s="5" t="s">
        <v>177</v>
      </c>
      <c r="BH38" s="27" t="s">
        <v>178</v>
      </c>
      <c r="BI38" s="5" t="s">
        <v>231</v>
      </c>
      <c r="BJ38" s="27" t="s">
        <v>232</v>
      </c>
      <c r="BK38" s="5" t="s">
        <v>233</v>
      </c>
      <c r="BL38" s="27" t="s">
        <v>234</v>
      </c>
      <c r="BM38" s="5" t="s">
        <v>233</v>
      </c>
      <c r="BN38" s="27" t="s">
        <v>234</v>
      </c>
    </row>
    <row r="39" spans="16:66" ht="15.75" thickBot="1" x14ac:dyDescent="0.3">
      <c r="P39"/>
      <c r="U39"/>
      <c r="V39"/>
      <c r="AE39" s="34"/>
      <c r="AF39" s="34"/>
      <c r="AG39" s="286"/>
      <c r="AH39" s="287"/>
      <c r="AI39" s="355"/>
      <c r="AJ39" s="355"/>
      <c r="AK39" s="356">
        <f>AVERAGE(AI37:AI38)</f>
        <v>35162.430454984024</v>
      </c>
      <c r="AL39" s="356">
        <f>AVERAGE(AJ37:AJ38)</f>
        <v>282.16141920924912</v>
      </c>
      <c r="AM39" s="288"/>
      <c r="AN39" s="289">
        <f t="shared" ref="AN39" si="20">AK39/AL39</f>
        <v>124.61813721211753</v>
      </c>
      <c r="AR39" t="s">
        <v>77</v>
      </c>
      <c r="AS39" s="23">
        <f>MAX(AU39,AW39,AY39,BA39,BC39,BE39,BG39,BI39,BK39,BM39)</f>
        <v>2.5783705541770057</v>
      </c>
      <c r="AT39" s="23">
        <f>MAX(AV39,AX39,AZ39,BB39,BD39,BF39,BH39,BJ39,BL39,BN39)</f>
        <v>2.7983870967741935</v>
      </c>
      <c r="AU39" s="26">
        <f>C24/C10</f>
        <v>2.5783705541770057</v>
      </c>
      <c r="AV39" s="8">
        <f>D24/D10</f>
        <v>2.7983870967741935</v>
      </c>
      <c r="AW39" s="41"/>
      <c r="AX39" s="49"/>
      <c r="AY39" s="18">
        <f t="shared" ref="AY39:BN39" si="21">S24/S10</f>
        <v>2.4517903566350201</v>
      </c>
      <c r="AZ39" s="19">
        <f t="shared" si="21"/>
        <v>2.5627118644067797</v>
      </c>
      <c r="BA39" s="18">
        <f t="shared" si="21"/>
        <v>2.2095711044818778</v>
      </c>
      <c r="BB39" s="42">
        <f t="shared" si="21"/>
        <v>2.1363636363636362</v>
      </c>
      <c r="BC39" s="18">
        <f t="shared" si="21"/>
        <v>2.2373020411207518</v>
      </c>
      <c r="BD39" s="42">
        <f t="shared" si="21"/>
        <v>2.1059322033898304</v>
      </c>
      <c r="BE39" s="18">
        <f t="shared" si="21"/>
        <v>1.6230948356042554</v>
      </c>
      <c r="BF39" s="42">
        <f t="shared" si="21"/>
        <v>1.5938697318007662</v>
      </c>
      <c r="BG39" s="18">
        <f t="shared" si="21"/>
        <v>2.3740326218455721</v>
      </c>
      <c r="BH39" s="42">
        <f t="shared" si="21"/>
        <v>2.3385049365303243</v>
      </c>
      <c r="BI39" s="18">
        <f t="shared" si="21"/>
        <v>1.8351708190951204</v>
      </c>
      <c r="BJ39" s="42">
        <f t="shared" si="21"/>
        <v>1.8680688336520077</v>
      </c>
      <c r="BK39" s="18">
        <f t="shared" si="21"/>
        <v>2.3137807633099423</v>
      </c>
      <c r="BL39" s="42">
        <f t="shared" si="21"/>
        <v>2.4618320610687023</v>
      </c>
      <c r="BM39" s="18">
        <f t="shared" si="21"/>
        <v>1.7528923697689891</v>
      </c>
      <c r="BN39" s="42">
        <f t="shared" si="21"/>
        <v>1.7555089192025184</v>
      </c>
    </row>
    <row r="40" spans="16:66" ht="15.75" thickBot="1" x14ac:dyDescent="0.3">
      <c r="AE40" s="34"/>
      <c r="AF40" s="34"/>
      <c r="AG40" s="357" t="s">
        <v>128</v>
      </c>
      <c r="AH40" s="357" t="s">
        <v>107</v>
      </c>
      <c r="AI40" s="296">
        <f>$AI$6*AS18</f>
        <v>25675.814902178437</v>
      </c>
      <c r="AJ40" s="296">
        <f>$AJ$6*AT18</f>
        <v>197.25821596244131</v>
      </c>
      <c r="AK40" s="357"/>
      <c r="AL40" s="357"/>
      <c r="AM40" s="282">
        <f>AI40/AJ40</f>
        <v>130.16347520382729</v>
      </c>
      <c r="AN40" s="282"/>
      <c r="AS40" s="23">
        <f>AVERAGE(AU39,AW39,AY39,BA39,BC39,BE39,BG39,BI39,BK39,BM39)</f>
        <v>2.1528894962265039</v>
      </c>
      <c r="AT40" s="23">
        <f>AVERAGE(AV39,AX39,AZ39,BB39,BD39,BF39,BH39,BJ39,BL39,BN39)</f>
        <v>2.1801310314654176</v>
      </c>
      <c r="AU40" s="28"/>
      <c r="AV40" s="32">
        <f>AU39-AV39</f>
        <v>-0.22001654259718784</v>
      </c>
      <c r="AW40" s="50"/>
      <c r="AX40" s="51"/>
      <c r="AY40" s="45"/>
      <c r="AZ40" s="46">
        <f>AY39-AZ39</f>
        <v>-0.11092150777175958</v>
      </c>
      <c r="BA40" s="33"/>
      <c r="BB40" s="29">
        <f>BA39-BB39</f>
        <v>7.3207468118241525E-2</v>
      </c>
      <c r="BC40" s="33"/>
      <c r="BD40" s="29">
        <f>BC39-BD39</f>
        <v>0.13136983773092137</v>
      </c>
      <c r="BE40" s="33"/>
      <c r="BF40" s="29">
        <f>BE39-BF39</f>
        <v>2.9225103803489194E-2</v>
      </c>
      <c r="BG40" s="33"/>
      <c r="BH40" s="29">
        <f>BG39-BH39</f>
        <v>3.5527685315247748E-2</v>
      </c>
      <c r="BI40" s="33"/>
      <c r="BJ40" s="29">
        <f>BI39-BJ39</f>
        <v>-3.2898014556887345E-2</v>
      </c>
      <c r="BK40" s="33"/>
      <c r="BL40" s="29">
        <f>BK39-BL39</f>
        <v>-0.14805129775876003</v>
      </c>
      <c r="BM40" s="33"/>
      <c r="BN40" s="29">
        <f>BM39-BN39</f>
        <v>-2.6165494335292916E-3</v>
      </c>
    </row>
    <row r="41" spans="16:66" x14ac:dyDescent="0.25">
      <c r="AE41" s="34"/>
      <c r="AF41" s="34"/>
      <c r="AG41" s="34"/>
      <c r="AH41" s="34" t="s">
        <v>108</v>
      </c>
      <c r="AI41" s="7">
        <f>$AI$6*AS19</f>
        <v>46414.81894308023</v>
      </c>
      <c r="AJ41" s="7">
        <f>$AJ$6*AT19</f>
        <v>389.4111111111111</v>
      </c>
      <c r="AM41" s="35">
        <f>AI41/AJ41</f>
        <v>119.19233329178591</v>
      </c>
      <c r="AN41" s="35"/>
    </row>
    <row r="42" spans="16:66" x14ac:dyDescent="0.25">
      <c r="AE42" s="34"/>
      <c r="AF42" s="34"/>
      <c r="AG42" s="34"/>
      <c r="AH42" s="34"/>
      <c r="AK42" s="3">
        <f>AVERAGE(AI40:AI41)</f>
        <v>36045.316922629332</v>
      </c>
      <c r="AL42" s="3">
        <f>AVERAGE(AJ40:AJ41)</f>
        <v>293.33466353677619</v>
      </c>
      <c r="AM42" s="35"/>
      <c r="AN42" s="35">
        <f t="shared" ref="AN42" si="22">AK42/AL42</f>
        <v>122.88120499645699</v>
      </c>
    </row>
    <row r="43" spans="16:66" x14ac:dyDescent="0.25">
      <c r="AE43" s="34"/>
      <c r="AF43" s="34"/>
      <c r="AG43" s="34" t="s">
        <v>138</v>
      </c>
      <c r="AH43" s="34" t="s">
        <v>107</v>
      </c>
      <c r="AI43" s="7">
        <f>$AI$7*AS23</f>
        <v>26670.489130434784</v>
      </c>
      <c r="AJ43" s="7">
        <f>$AJ$7*AT23</f>
        <v>205.4320987654321</v>
      </c>
      <c r="AM43" s="35">
        <f>AI43/AJ43</f>
        <v>129.8262992527174</v>
      </c>
      <c r="AN43" s="35"/>
      <c r="AQ43" s="298"/>
    </row>
    <row r="44" spans="16:66" x14ac:dyDescent="0.25">
      <c r="AE44" s="34"/>
      <c r="AF44" s="34"/>
      <c r="AG44" s="34"/>
      <c r="AH44" s="34" t="s">
        <v>108</v>
      </c>
      <c r="AI44" s="7">
        <f>$AI$7*AS24</f>
        <v>47003.923256183465</v>
      </c>
      <c r="AJ44" s="7">
        <f>$AJ$7*AT24</f>
        <v>401.78947368421052</v>
      </c>
      <c r="AM44" s="35">
        <f>AI44/AJ44</f>
        <v>116.98644771646396</v>
      </c>
      <c r="AN44" s="35"/>
    </row>
    <row r="45" spans="16:66" x14ac:dyDescent="0.25">
      <c r="AE45" s="34"/>
      <c r="AF45" s="34"/>
      <c r="AG45" s="34"/>
      <c r="AH45" s="34"/>
      <c r="AK45" s="3">
        <f>AVERAGE(AI43:AI44)</f>
        <v>36837.206193309125</v>
      </c>
      <c r="AL45" s="3">
        <f>AVERAGE(AJ43:AJ44)</f>
        <v>303.61078622482131</v>
      </c>
      <c r="AM45" s="35"/>
      <c r="AN45" s="35">
        <f t="shared" ref="AN45" si="23">AK45/AL45</f>
        <v>121.33036066126937</v>
      </c>
    </row>
    <row r="46" spans="16:66" x14ac:dyDescent="0.25">
      <c r="AE46" s="34"/>
      <c r="AF46" s="34"/>
      <c r="AG46" s="34" t="s">
        <v>139</v>
      </c>
      <c r="AH46" s="34" t="s">
        <v>107</v>
      </c>
      <c r="AI46" s="7">
        <f>$AI$8*AS28</f>
        <v>27345.408496732027</v>
      </c>
      <c r="AJ46" s="7">
        <f>$AJ$8*AT28</f>
        <v>210.26579520697166</v>
      </c>
      <c r="AM46" s="35">
        <f>AI46/AJ46</f>
        <v>130.0516257045756</v>
      </c>
      <c r="AN46" s="35"/>
    </row>
    <row r="47" spans="16:66" x14ac:dyDescent="0.25">
      <c r="AE47" s="34"/>
      <c r="AF47" s="34"/>
      <c r="AG47" s="34"/>
      <c r="AH47" s="34" t="s">
        <v>108</v>
      </c>
      <c r="AI47" s="7">
        <f>$AI$8*AS29</f>
        <v>44419.498227299591</v>
      </c>
      <c r="AJ47" s="7">
        <f>$AJ$8*AT29</f>
        <v>362.63063063063066</v>
      </c>
      <c r="AM47" s="35">
        <f>AI47/AJ47</f>
        <v>122.49240542656896</v>
      </c>
      <c r="AN47" s="35"/>
    </row>
    <row r="48" spans="16:66" x14ac:dyDescent="0.25">
      <c r="AE48" s="34"/>
      <c r="AF48" s="34"/>
      <c r="AG48" s="34"/>
      <c r="AH48" s="34"/>
      <c r="AK48" s="3">
        <f>AVERAGE(AI46:AI47)</f>
        <v>35882.453362015811</v>
      </c>
      <c r="AL48" s="3">
        <f>AVERAGE(AJ46:AJ47)</f>
        <v>286.44821291880118</v>
      </c>
      <c r="AM48" s="35"/>
      <c r="AN48" s="35">
        <f t="shared" ref="AN48" si="24">AK48/AL48</f>
        <v>125.26680825265727</v>
      </c>
    </row>
    <row r="49" spans="23:40" x14ac:dyDescent="0.25">
      <c r="AE49" s="34"/>
      <c r="AF49" s="34"/>
      <c r="AG49" s="34" t="s">
        <v>141</v>
      </c>
      <c r="AH49" s="34" t="s">
        <v>107</v>
      </c>
      <c r="AI49" s="53">
        <f>$AI$9*AS33</f>
        <v>28629.009233515004</v>
      </c>
      <c r="AJ49" s="53">
        <f>$AJ$9*AT33</f>
        <v>214.76600209863591</v>
      </c>
      <c r="AM49" s="35">
        <f>AI49/AJ49</f>
        <v>133.30326473352386</v>
      </c>
      <c r="AN49" s="35"/>
    </row>
    <row r="50" spans="23:40" x14ac:dyDescent="0.25">
      <c r="AE50" s="34"/>
      <c r="AF50" s="34"/>
      <c r="AG50" s="34"/>
      <c r="AH50" s="34" t="s">
        <v>108</v>
      </c>
      <c r="AI50" s="53">
        <f>$AI$9*AS34</f>
        <v>44849.398121483318</v>
      </c>
      <c r="AJ50" s="53">
        <f>$AJ$9*AT34</f>
        <v>371.13913043478266</v>
      </c>
      <c r="AM50" s="35">
        <f>AI50/AJ50</f>
        <v>120.84254783089855</v>
      </c>
      <c r="AN50" s="35"/>
    </row>
    <row r="51" spans="23:40" x14ac:dyDescent="0.25">
      <c r="AE51" s="34"/>
      <c r="AF51" s="34"/>
      <c r="AG51" s="34"/>
      <c r="AH51" s="34"/>
      <c r="AK51" s="3">
        <f>AVERAGE(AI49:AI50)</f>
        <v>36739.203677499157</v>
      </c>
      <c r="AL51" s="3">
        <f>AVERAGE(AJ49:AJ50)</f>
        <v>292.95256626670925</v>
      </c>
      <c r="AM51" s="35"/>
      <c r="AN51" s="35">
        <f t="shared" ref="AN51" si="25">AK51/AL51</f>
        <v>125.41007626487604</v>
      </c>
    </row>
    <row r="52" spans="23:40" x14ac:dyDescent="0.25">
      <c r="AE52" s="34"/>
      <c r="AF52" s="34"/>
      <c r="AG52" s="34" t="s">
        <v>142</v>
      </c>
      <c r="AH52" s="34" t="s">
        <v>107</v>
      </c>
      <c r="AI52" s="53">
        <f>$AI$10*AS38</f>
        <v>27149.507315152379</v>
      </c>
      <c r="AJ52" s="53">
        <f>$AJ$10*AT38</f>
        <v>202.42145593869731</v>
      </c>
      <c r="AM52" s="35">
        <f>AI52/AJ52</f>
        <v>134.12366386384713</v>
      </c>
      <c r="AN52" s="35"/>
    </row>
    <row r="53" spans="23:40" x14ac:dyDescent="0.25">
      <c r="AE53" s="34"/>
      <c r="AF53" s="34"/>
      <c r="AG53" s="34"/>
      <c r="AH53" s="34" t="s">
        <v>108</v>
      </c>
      <c r="AI53" s="53">
        <f>$AI$10*AS39</f>
        <v>43128.404259718773</v>
      </c>
      <c r="AJ53" s="53">
        <f>$AJ$10*AT39</f>
        <v>355.39516129032256</v>
      </c>
      <c r="AM53" s="35">
        <f>AI53/AJ53</f>
        <v>121.35338056695473</v>
      </c>
      <c r="AN53" s="35"/>
    </row>
    <row r="54" spans="23:40" x14ac:dyDescent="0.25">
      <c r="AA54" s="34"/>
      <c r="AB54" s="34"/>
      <c r="AC54" s="34"/>
      <c r="AD54" s="34"/>
      <c r="AE54" s="34"/>
      <c r="AF54" s="34"/>
      <c r="AG54" s="34"/>
      <c r="AH54" s="34"/>
      <c r="AK54" s="3">
        <f>AVERAGE(AI52:AI53)</f>
        <v>35138.955787435574</v>
      </c>
      <c r="AL54" s="3">
        <f>AVERAGE(AJ52:AJ53)</f>
        <v>278.90830861450991</v>
      </c>
      <c r="AM54" s="35"/>
      <c r="AN54" s="35">
        <f t="shared" ref="AN54" si="26">AK54/AL54</f>
        <v>125.98748299034182</v>
      </c>
    </row>
    <row r="55" spans="23:40" x14ac:dyDescent="0.25">
      <c r="W55" s="34"/>
      <c r="X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M55" s="35"/>
      <c r="AN55" s="35"/>
    </row>
    <row r="56" spans="23:40" x14ac:dyDescent="0.25">
      <c r="AM56" s="35"/>
      <c r="AN56" s="35"/>
    </row>
    <row r="57" spans="23:40" x14ac:dyDescent="0.25">
      <c r="AI57" s="3">
        <f>AVERAGE(AI34:AI53)</f>
        <v>35229.379406487533</v>
      </c>
      <c r="AJ57" s="3">
        <f>AVERAGE(AJ34:AJ53)</f>
        <v>284.21272210258297</v>
      </c>
      <c r="AK57" s="3"/>
      <c r="AL57" s="3"/>
    </row>
    <row r="58" spans="23:40" x14ac:dyDescent="0.25">
      <c r="AI58" s="20">
        <f>AI57/AJ57</f>
        <v>123.95426617733155</v>
      </c>
      <c r="AK58" s="20"/>
      <c r="AL58" s="20"/>
    </row>
    <row r="59" spans="23:40" x14ac:dyDescent="0.25">
      <c r="AK59" s="20"/>
      <c r="AL59" s="20"/>
    </row>
    <row r="60" spans="23:40" x14ac:dyDescent="0.25">
      <c r="AK60" s="20"/>
      <c r="AL60" s="20"/>
    </row>
  </sheetData>
  <phoneticPr fontId="5" type="noConversion"/>
  <conditionalFormatting sqref="C26:AJ26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7:AJ27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8:AJ28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0:AJ30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1:AJ31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2:AJ32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I34:AI53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34:AJ53">
    <cfRule type="colorScale" priority="9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36:AK54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3:AP24">
    <cfRule type="colorScale" priority="9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36:AL54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M34:AM54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36:AN54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S8:AT40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U9:BN9"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U14:BN14"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U19:BN19">
    <cfRule type="colorScale" priority="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U24:BN24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U29:BN29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U34:BN34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U39:BN39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8740157499999996" bottom="0.78740157499999996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4</vt:i4>
      </vt:variant>
    </vt:vector>
  </HeadingPairs>
  <TitlesOfParts>
    <vt:vector size="7" baseType="lpstr">
      <vt:lpstr>Übersicht &amp; Anleitung</vt:lpstr>
      <vt:lpstr>CF-Guide</vt:lpstr>
      <vt:lpstr>Vergleich</vt:lpstr>
      <vt:lpstr>'CF-Guide'!Druckbereich</vt:lpstr>
      <vt:lpstr>'Übersicht &amp; Anleitung'!Druckbereich</vt:lpstr>
      <vt:lpstr>'CF-Guide'!Drucktitel</vt:lpstr>
      <vt:lpstr>'Übersicht &amp; Anleitung'!Drucktitel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Gernot</dc:creator>
  <cp:lastModifiedBy>Gernot Ohrner</cp:lastModifiedBy>
  <cp:lastPrinted>2023-11-26T00:38:33Z</cp:lastPrinted>
  <dcterms:created xsi:type="dcterms:W3CDTF">2021-01-19T21:15:58Z</dcterms:created>
  <dcterms:modified xsi:type="dcterms:W3CDTF">2023-11-26T00:47:53Z</dcterms:modified>
</cp:coreProperties>
</file>