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SA\CFs\DSK\Ewige Suche\"/>
    </mc:Choice>
  </mc:AlternateContent>
  <xr:revisionPtr revIDLastSave="0" documentId="13_ncr:1_{AF99E992-1B94-41AE-A96A-F54199434E02}" xr6:coauthVersionLast="47" xr6:coauthVersionMax="47" xr10:uidLastSave="{00000000-0000-0000-0000-000000000000}"/>
  <bookViews>
    <workbookView xWindow="2595" yWindow="-120" windowWidth="35925" windowHeight="21840" xr2:uid="{3C0DC3EB-12BA-4DE2-BE53-BC5B92B614A4}"/>
  </bookViews>
  <sheets>
    <sheet name="Übersicht &amp; Anleitung" sheetId="4" r:id="rId1"/>
    <sheet name="CF-Guide" sheetId="1" r:id="rId2"/>
    <sheet name="Vergleich" sheetId="2" state="hidden" r:id="rId3"/>
  </sheets>
  <definedNames>
    <definedName name="_xlnm.Print_Area" localSheetId="1">'CF-Guide'!$A$1:$S$101</definedName>
    <definedName name="_xlnm.Print_Area" localSheetId="0">'Übersicht &amp; Anleitung'!$A$1:$R$117</definedName>
    <definedName name="_xlnm.Print_Titles" localSheetId="1">'CF-Guide'!$1:$6</definedName>
    <definedName name="_xlnm.Print_Titles" localSheetId="0">'Übersicht &amp; Anleitung'!$1:$24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1" i="4" l="1"/>
  <c r="AM71" i="4"/>
  <c r="AT71" i="4" s="1"/>
  <c r="U68" i="1"/>
  <c r="U19" i="1"/>
  <c r="AU71" i="4"/>
  <c r="AV71" i="4"/>
  <c r="AW71" i="4"/>
  <c r="AO71" i="4"/>
  <c r="AT70" i="4"/>
  <c r="AU70" i="4"/>
  <c r="AV70" i="4"/>
  <c r="AW70" i="4"/>
  <c r="AL25" i="2"/>
  <c r="AM25" i="2"/>
  <c r="AO70" i="4"/>
  <c r="U67" i="1"/>
  <c r="U18" i="1"/>
  <c r="AT69" i="4"/>
  <c r="AU69" i="4"/>
  <c r="AV69" i="4"/>
  <c r="AW69" i="4"/>
  <c r="AL24" i="2"/>
  <c r="AM24" i="2"/>
  <c r="AO69" i="4"/>
  <c r="AT67" i="4"/>
  <c r="AU67" i="4"/>
  <c r="AV67" i="4"/>
  <c r="AW67" i="4"/>
  <c r="AT68" i="4"/>
  <c r="AU68" i="4"/>
  <c r="AV68" i="4"/>
  <c r="AW68" i="4"/>
  <c r="AL22" i="2"/>
  <c r="AM22" i="2"/>
  <c r="AL23" i="2"/>
  <c r="AM23" i="2"/>
  <c r="AL21" i="2"/>
  <c r="AM21" i="2"/>
  <c r="AO66" i="4"/>
  <c r="AO67" i="4"/>
  <c r="AO68" i="4"/>
  <c r="U64" i="1"/>
  <c r="U15" i="1"/>
  <c r="AT66" i="4"/>
  <c r="AU66" i="4"/>
  <c r="AV66" i="4"/>
  <c r="AW66" i="4"/>
  <c r="AO62" i="4"/>
  <c r="AO63" i="4"/>
  <c r="AO64" i="4"/>
  <c r="AO65" i="4"/>
  <c r="AL18" i="2"/>
  <c r="AM18" i="2"/>
  <c r="AL19" i="2"/>
  <c r="AM19" i="2"/>
  <c r="AL20" i="2"/>
  <c r="AM20" i="2"/>
  <c r="AT63" i="4"/>
  <c r="AU63" i="4"/>
  <c r="AV63" i="4"/>
  <c r="AW63" i="4"/>
  <c r="AT64" i="4"/>
  <c r="AU64" i="4"/>
  <c r="AV64" i="4"/>
  <c r="AW64" i="4"/>
  <c r="AT65" i="4"/>
  <c r="AU65" i="4"/>
  <c r="AV65" i="4"/>
  <c r="AW65" i="4"/>
  <c r="AL17" i="2"/>
  <c r="AM17" i="2"/>
  <c r="AT62" i="4"/>
  <c r="AU62" i="4"/>
  <c r="AV62" i="4"/>
  <c r="AW62" i="4"/>
  <c r="U66" i="1"/>
  <c r="U60" i="1"/>
  <c r="CQ26" i="2"/>
  <c r="CP26" i="2"/>
  <c r="CQ25" i="2"/>
  <c r="CP25" i="2"/>
  <c r="CQ24" i="2"/>
  <c r="CP24" i="2"/>
  <c r="CQ23" i="2"/>
  <c r="CP23" i="2"/>
  <c r="CQ22" i="2"/>
  <c r="CP22" i="2"/>
  <c r="CQ21" i="2"/>
  <c r="CP21" i="2"/>
  <c r="CQ20" i="2"/>
  <c r="CP20" i="2"/>
  <c r="CQ19" i="2"/>
  <c r="CP19" i="2"/>
  <c r="CQ18" i="2"/>
  <c r="CP18" i="2"/>
  <c r="CQ17" i="2"/>
  <c r="CP17" i="2"/>
  <c r="CQ16" i="2"/>
  <c r="CP16" i="2"/>
  <c r="CQ15" i="2"/>
  <c r="CP15" i="2"/>
  <c r="CQ14" i="2"/>
  <c r="CP14" i="2"/>
  <c r="CQ13" i="2"/>
  <c r="CP13" i="2"/>
  <c r="CQ12" i="2"/>
  <c r="CP12" i="2"/>
  <c r="CQ11" i="2"/>
  <c r="CP11" i="2"/>
  <c r="CQ10" i="2"/>
  <c r="CP10" i="2"/>
  <c r="CQ9" i="2"/>
  <c r="CP9" i="2"/>
  <c r="CQ8" i="2"/>
  <c r="CP8" i="2"/>
  <c r="CQ7" i="2"/>
  <c r="CP7" i="2"/>
  <c r="CQ6" i="2"/>
  <c r="CP6" i="2"/>
  <c r="AL14" i="2"/>
  <c r="AL123" i="2" s="1"/>
  <c r="AM14" i="2"/>
  <c r="AM123" i="2" s="1"/>
  <c r="AL15" i="2"/>
  <c r="AL124" i="2" s="1"/>
  <c r="AM15" i="2"/>
  <c r="AM124" i="2" s="1"/>
  <c r="AL16" i="2"/>
  <c r="AL125" i="2" s="1"/>
  <c r="AM16" i="2"/>
  <c r="AM125" i="2" s="1"/>
  <c r="AK188" i="2"/>
  <c r="AJ188" i="2"/>
  <c r="AI188" i="2"/>
  <c r="AH188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DO7" i="2" l="1"/>
  <c r="DO14" i="2"/>
  <c r="DO24" i="2"/>
  <c r="CP35" i="2"/>
  <c r="CP45" i="2"/>
  <c r="CQ35" i="2"/>
  <c r="CQ45" i="2"/>
  <c r="CQ42" i="2"/>
  <c r="CQ52" i="2"/>
  <c r="CQ43" i="2"/>
  <c r="DO15" i="2"/>
  <c r="DO25" i="2"/>
  <c r="CP38" i="2"/>
  <c r="CQ38" i="2"/>
  <c r="CP39" i="2"/>
  <c r="CP49" i="2"/>
  <c r="CQ49" i="2"/>
  <c r="CP37" i="2"/>
  <c r="CP47" i="2"/>
  <c r="CQ47" i="2"/>
  <c r="CP40" i="2"/>
  <c r="CQ53" i="2"/>
  <c r="CQ36" i="2"/>
  <c r="CQ46" i="2"/>
  <c r="CP44" i="2"/>
  <c r="CQ41" i="2"/>
  <c r="CQ51" i="2"/>
  <c r="CP42" i="2"/>
  <c r="CP52" i="2"/>
  <c r="CP43" i="2"/>
  <c r="CQ28" i="2"/>
  <c r="CP54" i="2"/>
  <c r="CQ54" i="2"/>
  <c r="CQ40" i="2"/>
  <c r="CP53" i="2"/>
  <c r="CQ50" i="2"/>
  <c r="CQ44" i="2"/>
  <c r="DO12" i="2"/>
  <c r="CP28" i="2"/>
  <c r="CQ39" i="2"/>
  <c r="CP41" i="2"/>
  <c r="DO11" i="2"/>
  <c r="DO21" i="2"/>
  <c r="CP50" i="2"/>
  <c r="DO22" i="2"/>
  <c r="CP51" i="2"/>
  <c r="CQ37" i="2"/>
  <c r="DO17" i="2"/>
  <c r="CP46" i="2"/>
  <c r="DO9" i="2"/>
  <c r="DO19" i="2"/>
  <c r="CP48" i="2"/>
  <c r="CQ48" i="2"/>
  <c r="CP36" i="2"/>
  <c r="DO6" i="2"/>
  <c r="DO16" i="2"/>
  <c r="DO26" i="2"/>
  <c r="DO8" i="2"/>
  <c r="DO18" i="2"/>
  <c r="DO13" i="2"/>
  <c r="DO23" i="2"/>
  <c r="DO20" i="2"/>
  <c r="DO10" i="2"/>
  <c r="CQ55" i="2" l="1"/>
  <c r="CQ56" i="2"/>
  <c r="CP55" i="2"/>
  <c r="DO29" i="2"/>
  <c r="CP56" i="2"/>
  <c r="U52" i="1" l="1"/>
  <c r="U40" i="1"/>
  <c r="U50" i="1"/>
  <c r="U49" i="1"/>
  <c r="U48" i="1"/>
  <c r="U41" i="1"/>
  <c r="U35" i="1"/>
  <c r="U29" i="1"/>
  <c r="U28" i="1"/>
  <c r="U27" i="1"/>
  <c r="U26" i="1"/>
  <c r="U25" i="1"/>
  <c r="U46" i="1"/>
  <c r="U36" i="1"/>
  <c r="U31" i="1"/>
  <c r="U39" i="1"/>
  <c r="U45" i="1"/>
  <c r="U38" i="1"/>
  <c r="U34" i="1"/>
  <c r="U42" i="1"/>
  <c r="U43" i="1"/>
  <c r="U44" i="1"/>
  <c r="U32" i="1"/>
  <c r="U37" i="1"/>
  <c r="U33" i="1"/>
  <c r="U51" i="1"/>
  <c r="U30" i="1"/>
  <c r="U24" i="1"/>
  <c r="U23" i="1"/>
  <c r="U22" i="1"/>
  <c r="U21" i="1"/>
  <c r="U20" i="1"/>
  <c r="U17" i="1"/>
  <c r="U16" i="1"/>
  <c r="U14" i="1"/>
  <c r="U13" i="1"/>
  <c r="U12" i="1"/>
  <c r="U11" i="1"/>
  <c r="U10" i="1"/>
  <c r="U9" i="1"/>
  <c r="U8" i="1"/>
  <c r="U47" i="1"/>
  <c r="J96" i="1"/>
  <c r="H70" i="1"/>
  <c r="H72" i="1"/>
  <c r="H69" i="1"/>
  <c r="H71" i="1"/>
  <c r="G80" i="1"/>
  <c r="J72" i="1"/>
  <c r="J80" i="1" s="1"/>
  <c r="AO59" i="4" l="1"/>
  <c r="AL13" i="2"/>
  <c r="AL122" i="2" s="1"/>
  <c r="AM13" i="2"/>
  <c r="AM122" i="2" s="1"/>
  <c r="AP34" i="2"/>
  <c r="AO34" i="2"/>
  <c r="AI40" i="2"/>
  <c r="AJ40" i="2"/>
  <c r="AI41" i="2"/>
  <c r="AJ41" i="2"/>
  <c r="AI42" i="2"/>
  <c r="AJ42" i="2"/>
  <c r="AJ55" i="2"/>
  <c r="AI55" i="2"/>
  <c r="AJ54" i="2"/>
  <c r="AJ30" i="2" s="1"/>
  <c r="AI54" i="2"/>
  <c r="AI30" i="2" s="1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39" i="2"/>
  <c r="AI39" i="2"/>
  <c r="AI63" i="2" s="1"/>
  <c r="AJ38" i="2"/>
  <c r="AI38" i="2"/>
  <c r="AJ37" i="2"/>
  <c r="AI37" i="2"/>
  <c r="AJ36" i="2"/>
  <c r="AI36" i="2"/>
  <c r="AJ35" i="2"/>
  <c r="AJ59" i="2" s="1"/>
  <c r="AI35" i="2"/>
  <c r="AI59" i="2" s="1"/>
  <c r="AK19" i="2"/>
  <c r="AK18" i="2"/>
  <c r="AK14" i="2"/>
  <c r="AK13" i="2"/>
  <c r="AK12" i="2"/>
  <c r="AK9" i="2"/>
  <c r="AK8" i="2"/>
  <c r="AK7" i="2"/>
  <c r="AK6" i="2"/>
  <c r="AK10" i="2"/>
  <c r="AK11" i="2"/>
  <c r="AK15" i="2"/>
  <c r="AK16" i="2"/>
  <c r="AK17" i="2"/>
  <c r="AK20" i="2"/>
  <c r="AK21" i="2"/>
  <c r="AK22" i="2"/>
  <c r="AK23" i="2"/>
  <c r="AK24" i="2"/>
  <c r="AK25" i="2"/>
  <c r="AK26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N188" i="2"/>
  <c r="AM188" i="2"/>
  <c r="AL188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N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B33" i="2"/>
  <c r="H5" i="1"/>
  <c r="I5" i="1"/>
  <c r="J5" i="1"/>
  <c r="P5" i="1"/>
  <c r="E33" i="4"/>
  <c r="E34" i="4" s="1"/>
  <c r="E35" i="4" s="1"/>
  <c r="E36" i="4" s="1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AI67" i="2" l="1"/>
  <c r="AI76" i="2"/>
  <c r="AJ66" i="2"/>
  <c r="AI65" i="2"/>
  <c r="AJ63" i="2"/>
  <c r="AJ76" i="2"/>
  <c r="AI66" i="2"/>
  <c r="AJ67" i="2"/>
  <c r="AI72" i="2"/>
  <c r="AI61" i="2"/>
  <c r="AI74" i="2"/>
  <c r="AJ61" i="2"/>
  <c r="AJ74" i="2"/>
  <c r="AJ68" i="2"/>
  <c r="AI69" i="2"/>
  <c r="AJ79" i="2"/>
  <c r="AI71" i="2"/>
  <c r="AJ65" i="2"/>
  <c r="AI77" i="2"/>
  <c r="AI68" i="2"/>
  <c r="AI195" i="2" s="1"/>
  <c r="AJ69" i="2"/>
  <c r="AJ70" i="2"/>
  <c r="AJ71" i="2"/>
  <c r="AJ77" i="2"/>
  <c r="AJ78" i="2"/>
  <c r="AI199" i="2"/>
  <c r="AJ64" i="2"/>
  <c r="AJ199" i="2"/>
  <c r="AJ72" i="2"/>
  <c r="AI64" i="2"/>
  <c r="AI60" i="2"/>
  <c r="AI73" i="2"/>
  <c r="AJ60" i="2"/>
  <c r="AJ73" i="2"/>
  <c r="AI70" i="2"/>
  <c r="AI79" i="2"/>
  <c r="AI62" i="2"/>
  <c r="AI75" i="2"/>
  <c r="AI78" i="2"/>
  <c r="AI102" i="2" s="1"/>
  <c r="AJ62" i="2"/>
  <c r="AJ75" i="2"/>
  <c r="AP90" i="2"/>
  <c r="AO90" i="2"/>
  <c r="AP89" i="2"/>
  <c r="AO89" i="2"/>
  <c r="AP88" i="2"/>
  <c r="AO88" i="2"/>
  <c r="AP87" i="2"/>
  <c r="AO87" i="2"/>
  <c r="AP86" i="2"/>
  <c r="AO86" i="2"/>
  <c r="AP85" i="2"/>
  <c r="AO85" i="2"/>
  <c r="AP84" i="2"/>
  <c r="AO84" i="2"/>
  <c r="AP83" i="2"/>
  <c r="AO83" i="2"/>
  <c r="R78" i="4"/>
  <c r="AD78" i="4"/>
  <c r="AC78" i="4"/>
  <c r="Q78" i="4"/>
  <c r="AJ95" i="2" l="1"/>
  <c r="AJ97" i="2"/>
  <c r="AJ99" i="2"/>
  <c r="AI99" i="2"/>
  <c r="AI94" i="2"/>
  <c r="AI98" i="2"/>
  <c r="AJ100" i="2"/>
  <c r="AJ94" i="2"/>
  <c r="AI201" i="2"/>
  <c r="AI101" i="2"/>
  <c r="AI95" i="2"/>
  <c r="AI97" i="2"/>
  <c r="AI96" i="2"/>
  <c r="AJ102" i="2"/>
  <c r="AI103" i="2"/>
  <c r="AJ103" i="2"/>
  <c r="AJ98" i="2"/>
  <c r="AJ96" i="2"/>
  <c r="AJ101" i="2"/>
  <c r="AI100" i="2"/>
  <c r="AI194" i="2"/>
  <c r="AI179" i="2"/>
  <c r="AJ195" i="2"/>
  <c r="AJ190" i="2"/>
  <c r="AI186" i="2"/>
  <c r="AJ200" i="2"/>
  <c r="AI190" i="2"/>
  <c r="AJ196" i="2"/>
  <c r="AJ171" i="2"/>
  <c r="AJ179" i="2"/>
  <c r="AI196" i="2"/>
  <c r="AJ194" i="2"/>
  <c r="AI176" i="2"/>
  <c r="AJ181" i="2"/>
  <c r="AJ202" i="2"/>
  <c r="AJ191" i="2"/>
  <c r="AI191" i="2"/>
  <c r="AI180" i="2"/>
  <c r="AI185" i="2"/>
  <c r="AI200" i="2"/>
  <c r="AJ169" i="2"/>
  <c r="AJ170" i="2"/>
  <c r="AJ175" i="2"/>
  <c r="AI174" i="2"/>
  <c r="AI170" i="2"/>
  <c r="AI175" i="2"/>
  <c r="AJ201" i="2"/>
  <c r="AJ184" i="2"/>
  <c r="AJ189" i="2"/>
  <c r="AJ186" i="2"/>
  <c r="AJ176" i="2"/>
  <c r="AI181" i="2"/>
  <c r="AI202" i="2"/>
  <c r="AJ174" i="2"/>
  <c r="AI184" i="2"/>
  <c r="AI189" i="2"/>
  <c r="AJ180" i="2"/>
  <c r="AJ185" i="2"/>
  <c r="AI171" i="2"/>
  <c r="AI169" i="2"/>
  <c r="C55" i="2"/>
  <c r="B55" i="2"/>
  <c r="C54" i="2"/>
  <c r="C30" i="2" s="1"/>
  <c r="B54" i="2"/>
  <c r="B30" i="2" s="1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AG55" i="2"/>
  <c r="AF55" i="2"/>
  <c r="AD55" i="2"/>
  <c r="AC55" i="2"/>
  <c r="AA55" i="2"/>
  <c r="Z55" i="2"/>
  <c r="X55" i="2"/>
  <c r="W55" i="2"/>
  <c r="U55" i="2"/>
  <c r="T55" i="2"/>
  <c r="R55" i="2"/>
  <c r="Q55" i="2"/>
  <c r="O55" i="2"/>
  <c r="N55" i="2"/>
  <c r="L55" i="2"/>
  <c r="K55" i="2"/>
  <c r="I55" i="2"/>
  <c r="H55" i="2"/>
  <c r="F55" i="2"/>
  <c r="E55" i="2"/>
  <c r="AG54" i="2"/>
  <c r="AG30" i="2" s="1"/>
  <c r="AF54" i="2"/>
  <c r="AF30" i="2" s="1"/>
  <c r="AD54" i="2"/>
  <c r="AD30" i="2" s="1"/>
  <c r="AC54" i="2"/>
  <c r="AC30" i="2" s="1"/>
  <c r="AA54" i="2"/>
  <c r="AA30" i="2" s="1"/>
  <c r="Z54" i="2"/>
  <c r="Z30" i="2" s="1"/>
  <c r="X54" i="2"/>
  <c r="X30" i="2" s="1"/>
  <c r="W54" i="2"/>
  <c r="W30" i="2" s="1"/>
  <c r="U54" i="2"/>
  <c r="U30" i="2" s="1"/>
  <c r="T54" i="2"/>
  <c r="T30" i="2" s="1"/>
  <c r="R54" i="2"/>
  <c r="R30" i="2" s="1"/>
  <c r="Q54" i="2"/>
  <c r="Q30" i="2" s="1"/>
  <c r="O54" i="2"/>
  <c r="O30" i="2" s="1"/>
  <c r="N54" i="2"/>
  <c r="N30" i="2" s="1"/>
  <c r="L54" i="2"/>
  <c r="L30" i="2" s="1"/>
  <c r="K54" i="2"/>
  <c r="K30" i="2" s="1"/>
  <c r="I54" i="2"/>
  <c r="I30" i="2" s="1"/>
  <c r="H54" i="2"/>
  <c r="H30" i="2" s="1"/>
  <c r="F54" i="2"/>
  <c r="F30" i="2" s="1"/>
  <c r="E54" i="2"/>
  <c r="E30" i="2" s="1"/>
  <c r="AG53" i="2"/>
  <c r="AF53" i="2"/>
  <c r="AD53" i="2"/>
  <c r="AC53" i="2"/>
  <c r="AA53" i="2"/>
  <c r="Z53" i="2"/>
  <c r="X53" i="2"/>
  <c r="W53" i="2"/>
  <c r="U53" i="2"/>
  <c r="T53" i="2"/>
  <c r="R53" i="2"/>
  <c r="Q53" i="2"/>
  <c r="O53" i="2"/>
  <c r="N53" i="2"/>
  <c r="L53" i="2"/>
  <c r="K53" i="2"/>
  <c r="I53" i="2"/>
  <c r="H53" i="2"/>
  <c r="F53" i="2"/>
  <c r="E53" i="2"/>
  <c r="AG52" i="2"/>
  <c r="AF52" i="2"/>
  <c r="AD52" i="2"/>
  <c r="AC52" i="2"/>
  <c r="AA52" i="2"/>
  <c r="Z52" i="2"/>
  <c r="X52" i="2"/>
  <c r="W52" i="2"/>
  <c r="U52" i="2"/>
  <c r="T52" i="2"/>
  <c r="R52" i="2"/>
  <c r="Q52" i="2"/>
  <c r="O52" i="2"/>
  <c r="N52" i="2"/>
  <c r="L52" i="2"/>
  <c r="K52" i="2"/>
  <c r="I52" i="2"/>
  <c r="H52" i="2"/>
  <c r="F52" i="2"/>
  <c r="E52" i="2"/>
  <c r="AG51" i="2"/>
  <c r="AF51" i="2"/>
  <c r="AD51" i="2"/>
  <c r="AC51" i="2"/>
  <c r="AA51" i="2"/>
  <c r="Z51" i="2"/>
  <c r="X51" i="2"/>
  <c r="W51" i="2"/>
  <c r="U51" i="2"/>
  <c r="T51" i="2"/>
  <c r="R51" i="2"/>
  <c r="Q51" i="2"/>
  <c r="O51" i="2"/>
  <c r="N51" i="2"/>
  <c r="L51" i="2"/>
  <c r="K51" i="2"/>
  <c r="I51" i="2"/>
  <c r="H51" i="2"/>
  <c r="F51" i="2"/>
  <c r="E51" i="2"/>
  <c r="AG50" i="2"/>
  <c r="AF50" i="2"/>
  <c r="AD50" i="2"/>
  <c r="AC50" i="2"/>
  <c r="AA50" i="2"/>
  <c r="Z50" i="2"/>
  <c r="X50" i="2"/>
  <c r="W50" i="2"/>
  <c r="U50" i="2"/>
  <c r="T50" i="2"/>
  <c r="R50" i="2"/>
  <c r="Q50" i="2"/>
  <c r="O50" i="2"/>
  <c r="N50" i="2"/>
  <c r="L50" i="2"/>
  <c r="K50" i="2"/>
  <c r="I50" i="2"/>
  <c r="H50" i="2"/>
  <c r="F50" i="2"/>
  <c r="E50" i="2"/>
  <c r="AG49" i="2"/>
  <c r="AF49" i="2"/>
  <c r="AD49" i="2"/>
  <c r="AC49" i="2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G48" i="2"/>
  <c r="AF48" i="2"/>
  <c r="AD48" i="2"/>
  <c r="AC48" i="2"/>
  <c r="AA48" i="2"/>
  <c r="Z48" i="2"/>
  <c r="X48" i="2"/>
  <c r="W48" i="2"/>
  <c r="U48" i="2"/>
  <c r="T48" i="2"/>
  <c r="R48" i="2"/>
  <c r="Q48" i="2"/>
  <c r="O48" i="2"/>
  <c r="N48" i="2"/>
  <c r="L48" i="2"/>
  <c r="K48" i="2"/>
  <c r="I48" i="2"/>
  <c r="H48" i="2"/>
  <c r="F48" i="2"/>
  <c r="E48" i="2"/>
  <c r="AG47" i="2"/>
  <c r="AF47" i="2"/>
  <c r="AD47" i="2"/>
  <c r="AC47" i="2"/>
  <c r="AA47" i="2"/>
  <c r="Z47" i="2"/>
  <c r="X47" i="2"/>
  <c r="W47" i="2"/>
  <c r="U47" i="2"/>
  <c r="T47" i="2"/>
  <c r="R47" i="2"/>
  <c r="Q47" i="2"/>
  <c r="O47" i="2"/>
  <c r="N47" i="2"/>
  <c r="L47" i="2"/>
  <c r="K47" i="2"/>
  <c r="I47" i="2"/>
  <c r="H47" i="2"/>
  <c r="F47" i="2"/>
  <c r="E47" i="2"/>
  <c r="AG46" i="2"/>
  <c r="AF46" i="2"/>
  <c r="AD46" i="2"/>
  <c r="AC46" i="2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G45" i="2"/>
  <c r="AF45" i="2"/>
  <c r="AD45" i="2"/>
  <c r="AC45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G44" i="2"/>
  <c r="AF44" i="2"/>
  <c r="AD44" i="2"/>
  <c r="AC44" i="2"/>
  <c r="AA44" i="2"/>
  <c r="Z44" i="2"/>
  <c r="X44" i="2"/>
  <c r="W44" i="2"/>
  <c r="U44" i="2"/>
  <c r="T44" i="2"/>
  <c r="R44" i="2"/>
  <c r="Q44" i="2"/>
  <c r="O44" i="2"/>
  <c r="N44" i="2"/>
  <c r="L44" i="2"/>
  <c r="K44" i="2"/>
  <c r="I44" i="2"/>
  <c r="H44" i="2"/>
  <c r="F44" i="2"/>
  <c r="E44" i="2"/>
  <c r="AG43" i="2"/>
  <c r="AF43" i="2"/>
  <c r="AD43" i="2"/>
  <c r="AC43" i="2"/>
  <c r="AA43" i="2"/>
  <c r="Z43" i="2"/>
  <c r="X43" i="2"/>
  <c r="W43" i="2"/>
  <c r="U43" i="2"/>
  <c r="T43" i="2"/>
  <c r="R43" i="2"/>
  <c r="Q43" i="2"/>
  <c r="O43" i="2"/>
  <c r="N43" i="2"/>
  <c r="L43" i="2"/>
  <c r="K43" i="2"/>
  <c r="I43" i="2"/>
  <c r="H43" i="2"/>
  <c r="F43" i="2"/>
  <c r="E43" i="2"/>
  <c r="AG42" i="2"/>
  <c r="AF42" i="2"/>
  <c r="AD42" i="2"/>
  <c r="AC42" i="2"/>
  <c r="AA42" i="2"/>
  <c r="Z42" i="2"/>
  <c r="X42" i="2"/>
  <c r="W42" i="2"/>
  <c r="U42" i="2"/>
  <c r="T42" i="2"/>
  <c r="R42" i="2"/>
  <c r="Q42" i="2"/>
  <c r="O42" i="2"/>
  <c r="N42" i="2"/>
  <c r="L42" i="2"/>
  <c r="K42" i="2"/>
  <c r="I42" i="2"/>
  <c r="H42" i="2"/>
  <c r="F42" i="2"/>
  <c r="E42" i="2"/>
  <c r="AG41" i="2"/>
  <c r="AF41" i="2"/>
  <c r="AD41" i="2"/>
  <c r="AC41" i="2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F41" i="2"/>
  <c r="E41" i="2"/>
  <c r="AG40" i="2"/>
  <c r="AF40" i="2"/>
  <c r="AD40" i="2"/>
  <c r="AC40" i="2"/>
  <c r="AA40" i="2"/>
  <c r="Z40" i="2"/>
  <c r="X40" i="2"/>
  <c r="W40" i="2"/>
  <c r="U40" i="2"/>
  <c r="T40" i="2"/>
  <c r="R40" i="2"/>
  <c r="Q40" i="2"/>
  <c r="O40" i="2"/>
  <c r="N40" i="2"/>
  <c r="L40" i="2"/>
  <c r="K40" i="2"/>
  <c r="I40" i="2"/>
  <c r="H40" i="2"/>
  <c r="F40" i="2"/>
  <c r="E40" i="2"/>
  <c r="AG39" i="2"/>
  <c r="AF39" i="2"/>
  <c r="AD39" i="2"/>
  <c r="AC39" i="2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G38" i="2"/>
  <c r="AF38" i="2"/>
  <c r="AD38" i="2"/>
  <c r="AC38" i="2"/>
  <c r="AA38" i="2"/>
  <c r="Z38" i="2"/>
  <c r="X38" i="2"/>
  <c r="W38" i="2"/>
  <c r="U38" i="2"/>
  <c r="T38" i="2"/>
  <c r="R38" i="2"/>
  <c r="Q38" i="2"/>
  <c r="O38" i="2"/>
  <c r="N38" i="2"/>
  <c r="L38" i="2"/>
  <c r="K38" i="2"/>
  <c r="I38" i="2"/>
  <c r="H38" i="2"/>
  <c r="F38" i="2"/>
  <c r="E38" i="2"/>
  <c r="AG37" i="2"/>
  <c r="AF37" i="2"/>
  <c r="AD37" i="2"/>
  <c r="AC37" i="2"/>
  <c r="AA37" i="2"/>
  <c r="Z37" i="2"/>
  <c r="X37" i="2"/>
  <c r="W37" i="2"/>
  <c r="U37" i="2"/>
  <c r="T37" i="2"/>
  <c r="R37" i="2"/>
  <c r="Q37" i="2"/>
  <c r="O37" i="2"/>
  <c r="N37" i="2"/>
  <c r="L37" i="2"/>
  <c r="K37" i="2"/>
  <c r="I37" i="2"/>
  <c r="H37" i="2"/>
  <c r="F37" i="2"/>
  <c r="E37" i="2"/>
  <c r="AG36" i="2"/>
  <c r="AF36" i="2"/>
  <c r="AD36" i="2"/>
  <c r="AC36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AG35" i="2"/>
  <c r="AG59" i="2" s="1"/>
  <c r="AF35" i="2"/>
  <c r="AF59" i="2" s="1"/>
  <c r="AD35" i="2"/>
  <c r="AD59" i="2" s="1"/>
  <c r="AC35" i="2"/>
  <c r="AC59" i="2" s="1"/>
  <c r="AA35" i="2"/>
  <c r="AA59" i="2" s="1"/>
  <c r="Z35" i="2"/>
  <c r="Z59" i="2" s="1"/>
  <c r="X35" i="2"/>
  <c r="X59" i="2" s="1"/>
  <c r="W35" i="2"/>
  <c r="W59" i="2" s="1"/>
  <c r="U35" i="2"/>
  <c r="U59" i="2" s="1"/>
  <c r="T35" i="2"/>
  <c r="T59" i="2" s="1"/>
  <c r="R35" i="2"/>
  <c r="R59" i="2" s="1"/>
  <c r="Q35" i="2"/>
  <c r="Q59" i="2" s="1"/>
  <c r="O35" i="2"/>
  <c r="O59" i="2" s="1"/>
  <c r="N35" i="2"/>
  <c r="N59" i="2" s="1"/>
  <c r="L35" i="2"/>
  <c r="L59" i="2" s="1"/>
  <c r="K35" i="2"/>
  <c r="K59" i="2" s="1"/>
  <c r="I35" i="2"/>
  <c r="I59" i="2" s="1"/>
  <c r="H35" i="2"/>
  <c r="H59" i="2" s="1"/>
  <c r="F35" i="2"/>
  <c r="F59" i="2" s="1"/>
  <c r="E35" i="2"/>
  <c r="E59" i="2" s="1"/>
  <c r="AL12" i="2"/>
  <c r="AL121" i="2" s="1"/>
  <c r="AM12" i="2"/>
  <c r="AM121" i="2" s="1"/>
  <c r="AO61" i="4"/>
  <c r="L87" i="1"/>
  <c r="K5" i="1"/>
  <c r="E37" i="4"/>
  <c r="E38" i="4" s="1"/>
  <c r="E39" i="4" s="1"/>
  <c r="E40" i="4" s="1"/>
  <c r="E41" i="4" s="1"/>
  <c r="E42" i="4" s="1"/>
  <c r="E43" i="4" s="1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G44" i="2" s="1"/>
  <c r="CH15" i="2"/>
  <c r="CI15" i="2"/>
  <c r="CJ15" i="2"/>
  <c r="CK15" i="2"/>
  <c r="CL15" i="2"/>
  <c r="CM15" i="2"/>
  <c r="CN15" i="2"/>
  <c r="CO15" i="2"/>
  <c r="CO7" i="2"/>
  <c r="CN7" i="2"/>
  <c r="CM7" i="2"/>
  <c r="CL7" i="2"/>
  <c r="CK7" i="2"/>
  <c r="CJ7" i="2"/>
  <c r="CJ36" i="2" s="1"/>
  <c r="CI7" i="2"/>
  <c r="CH7" i="2"/>
  <c r="CH36" i="2" s="1"/>
  <c r="CG7" i="2"/>
  <c r="CG36" i="2" s="1"/>
  <c r="CF7" i="2"/>
  <c r="CF36" i="2" s="1"/>
  <c r="CE7" i="2"/>
  <c r="CE36" i="2" s="1"/>
  <c r="CD7" i="2"/>
  <c r="CC7" i="2"/>
  <c r="CB7" i="2"/>
  <c r="CA7" i="2"/>
  <c r="BZ7" i="2"/>
  <c r="BY7" i="2"/>
  <c r="BX7" i="2"/>
  <c r="BW7" i="2"/>
  <c r="BV7" i="2"/>
  <c r="BU7" i="2"/>
  <c r="BT7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AT61" i="4"/>
  <c r="AX61" i="4" s="1"/>
  <c r="AU61" i="4"/>
  <c r="AZ61" i="4" s="1"/>
  <c r="AV61" i="4"/>
  <c r="BB61" i="4" s="1"/>
  <c r="AW61" i="4"/>
  <c r="BD61" i="4" s="1"/>
  <c r="AT59" i="4"/>
  <c r="AX59" i="4" s="1"/>
  <c r="AU59" i="4"/>
  <c r="AZ59" i="4" s="1"/>
  <c r="AV59" i="4"/>
  <c r="BB59" i="4" s="1"/>
  <c r="AW59" i="4"/>
  <c r="BD59" i="4" s="1"/>
  <c r="AT60" i="4"/>
  <c r="AX60" i="4" s="1"/>
  <c r="AU60" i="4"/>
  <c r="AZ60" i="4" s="1"/>
  <c r="AV60" i="4"/>
  <c r="BB60" i="4" s="1"/>
  <c r="AW60" i="4"/>
  <c r="BD60" i="4" s="1"/>
  <c r="AO60" i="4"/>
  <c r="AT58" i="4"/>
  <c r="AX58" i="4" s="1"/>
  <c r="AU58" i="4"/>
  <c r="AZ58" i="4" s="1"/>
  <c r="AV58" i="4"/>
  <c r="BB58" i="4" s="1"/>
  <c r="AW58" i="4"/>
  <c r="BD58" i="4" s="1"/>
  <c r="AO58" i="4"/>
  <c r="AO57" i="4"/>
  <c r="AO56" i="4"/>
  <c r="AO55" i="4"/>
  <c r="AO54" i="4"/>
  <c r="AO53" i="4"/>
  <c r="AW57" i="4"/>
  <c r="BD57" i="4" s="1"/>
  <c r="AV57" i="4"/>
  <c r="BB57" i="4" s="1"/>
  <c r="AU57" i="4"/>
  <c r="AZ57" i="4" s="1"/>
  <c r="AT57" i="4"/>
  <c r="AX57" i="4" s="1"/>
  <c r="AT56" i="4"/>
  <c r="AX56" i="4" s="1"/>
  <c r="AU56" i="4"/>
  <c r="AZ56" i="4" s="1"/>
  <c r="AV56" i="4"/>
  <c r="BB56" i="4" s="1"/>
  <c r="AW56" i="4"/>
  <c r="BD56" i="4" s="1"/>
  <c r="AT55" i="4"/>
  <c r="AX55" i="4" s="1"/>
  <c r="AU55" i="4"/>
  <c r="AZ55" i="4" s="1"/>
  <c r="AV55" i="4"/>
  <c r="BB55" i="4" s="1"/>
  <c r="AW55" i="4"/>
  <c r="BD55" i="4" s="1"/>
  <c r="P78" i="4"/>
  <c r="O78" i="4"/>
  <c r="N78" i="4"/>
  <c r="AW54" i="4"/>
  <c r="BD54" i="4" s="1"/>
  <c r="AV54" i="4"/>
  <c r="AU54" i="4"/>
  <c r="AZ54" i="4" s="1"/>
  <c r="AT54" i="4"/>
  <c r="AX54" i="4" s="1"/>
  <c r="F88" i="1"/>
  <c r="F87" i="1"/>
  <c r="F90" i="1"/>
  <c r="F89" i="1"/>
  <c r="F86" i="1"/>
  <c r="F85" i="1"/>
  <c r="F84" i="1"/>
  <c r="F83" i="1"/>
  <c r="F82" i="1"/>
  <c r="CL36" i="2" l="1"/>
  <c r="CI36" i="2"/>
  <c r="CK36" i="2"/>
  <c r="CK42" i="2"/>
  <c r="CE54" i="2"/>
  <c r="BU49" i="2"/>
  <c r="CF44" i="2"/>
  <c r="CI43" i="2"/>
  <c r="CO40" i="2"/>
  <c r="BW39" i="2"/>
  <c r="CI52" i="2"/>
  <c r="CM50" i="2"/>
  <c r="CA46" i="2"/>
  <c r="CA37" i="2"/>
  <c r="BW48" i="2"/>
  <c r="CD36" i="2"/>
  <c r="BY38" i="2"/>
  <c r="CO49" i="2"/>
  <c r="BU40" i="2"/>
  <c r="CK51" i="2"/>
  <c r="BY47" i="2"/>
  <c r="CE44" i="2"/>
  <c r="CM41" i="2"/>
  <c r="CG53" i="2"/>
  <c r="CC45" i="2"/>
  <c r="CH43" i="2"/>
  <c r="BT40" i="2"/>
  <c r="CD54" i="2"/>
  <c r="CJ51" i="2"/>
  <c r="BX47" i="2"/>
  <c r="CN40" i="2"/>
  <c r="BX38" i="2"/>
  <c r="CH52" i="2"/>
  <c r="BT49" i="2"/>
  <c r="BZ46" i="2"/>
  <c r="CD44" i="2"/>
  <c r="CL41" i="2"/>
  <c r="BZ37" i="2"/>
  <c r="CL50" i="2"/>
  <c r="CB45" i="2"/>
  <c r="CJ42" i="2"/>
  <c r="BV39" i="2"/>
  <c r="CF53" i="2"/>
  <c r="CN49" i="2"/>
  <c r="BV48" i="2"/>
  <c r="CB36" i="2"/>
  <c r="CG37" i="2"/>
  <c r="CA49" i="2"/>
  <c r="BT43" i="2"/>
  <c r="CF37" i="2"/>
  <c r="CN52" i="2"/>
  <c r="BV51" i="2"/>
  <c r="BX50" i="2"/>
  <c r="CD47" i="2"/>
  <c r="BU43" i="2"/>
  <c r="CK54" i="2"/>
  <c r="CE47" i="2"/>
  <c r="CN43" i="2"/>
  <c r="CB39" i="2"/>
  <c r="CL53" i="2"/>
  <c r="BZ49" i="2"/>
  <c r="BW42" i="2"/>
  <c r="CM53" i="2"/>
  <c r="CI45" i="2"/>
  <c r="BV42" i="2"/>
  <c r="CD38" i="2"/>
  <c r="CJ54" i="2"/>
  <c r="BT52" i="2"/>
  <c r="CB48" i="2"/>
  <c r="CC39" i="2"/>
  <c r="BW51" i="2"/>
  <c r="BZ40" i="2"/>
  <c r="CF46" i="2"/>
  <c r="CO43" i="2"/>
  <c r="BY41" i="2"/>
  <c r="CA40" i="2"/>
  <c r="CE38" i="2"/>
  <c r="CO52" i="2"/>
  <c r="BU52" i="2"/>
  <c r="BY50" i="2"/>
  <c r="CC48" i="2"/>
  <c r="CG46" i="2"/>
  <c r="BX41" i="2"/>
  <c r="CH45" i="2"/>
  <c r="CJ44" i="2"/>
  <c r="CC36" i="2"/>
  <c r="CJ43" i="2"/>
  <c r="CL42" i="2"/>
  <c r="CN41" i="2"/>
  <c r="BT41" i="2"/>
  <c r="BV40" i="2"/>
  <c r="BX39" i="2"/>
  <c r="CM44" i="2"/>
  <c r="CK44" i="2"/>
  <c r="CK43" i="2"/>
  <c r="CM42" i="2"/>
  <c r="CO41" i="2"/>
  <c r="CL44" i="2"/>
  <c r="AJ105" i="2"/>
  <c r="AI105" i="2"/>
  <c r="BU41" i="2"/>
  <c r="CF35" i="2"/>
  <c r="CF28" i="2"/>
  <c r="CG43" i="2"/>
  <c r="CM40" i="2"/>
  <c r="CO39" i="2"/>
  <c r="BY37" i="2"/>
  <c r="CC54" i="2"/>
  <c r="CI51" i="2"/>
  <c r="CK50" i="2"/>
  <c r="CO48" i="2"/>
  <c r="CA45" i="2"/>
  <c r="CL40" i="2"/>
  <c r="BV38" i="2"/>
  <c r="CF52" i="2"/>
  <c r="CH51" i="2"/>
  <c r="CN48" i="2"/>
  <c r="CJ28" i="2"/>
  <c r="CJ35" i="2"/>
  <c r="CE43" i="2"/>
  <c r="CG42" i="2"/>
  <c r="CK40" i="2"/>
  <c r="BU38" i="2"/>
  <c r="CA54" i="2"/>
  <c r="CE52" i="2"/>
  <c r="CI50" i="2"/>
  <c r="BU47" i="2"/>
  <c r="CK35" i="2"/>
  <c r="CK28" i="2"/>
  <c r="CF42" i="2"/>
  <c r="CL39" i="2"/>
  <c r="BT38" i="2"/>
  <c r="CD52" i="2"/>
  <c r="CJ49" i="2"/>
  <c r="BT47" i="2"/>
  <c r="CA44" i="2"/>
  <c r="CG41" i="2"/>
  <c r="CI40" i="2"/>
  <c r="CO37" i="2"/>
  <c r="CE51" i="2"/>
  <c r="CI49" i="2"/>
  <c r="CM47" i="2"/>
  <c r="BW45" i="2"/>
  <c r="CM35" i="2"/>
  <c r="CM28" i="2"/>
  <c r="BZ44" i="2"/>
  <c r="CF41" i="2"/>
  <c r="CJ39" i="2"/>
  <c r="CN37" i="2"/>
  <c r="CB52" i="2"/>
  <c r="CF50" i="2"/>
  <c r="CL47" i="2"/>
  <c r="CG40" i="2"/>
  <c r="CM37" i="2"/>
  <c r="BW54" i="2"/>
  <c r="CE50" i="2"/>
  <c r="CI48" i="2"/>
  <c r="CM46" i="2"/>
  <c r="BZ43" i="2"/>
  <c r="CD41" i="2"/>
  <c r="CH39" i="2"/>
  <c r="CL37" i="2"/>
  <c r="BV54" i="2"/>
  <c r="BZ52" i="2"/>
  <c r="CJ47" i="2"/>
  <c r="CL46" i="2"/>
  <c r="BT45" i="2"/>
  <c r="BV35" i="2"/>
  <c r="BV28" i="2"/>
  <c r="BT36" i="2"/>
  <c r="CN36" i="2"/>
  <c r="BW44" i="2"/>
  <c r="BY43" i="2"/>
  <c r="CC41" i="2"/>
  <c r="CE40" i="2"/>
  <c r="CG39" i="2"/>
  <c r="CI38" i="2"/>
  <c r="CK37" i="2"/>
  <c r="CO54" i="2"/>
  <c r="BU54" i="2"/>
  <c r="BW53" i="2"/>
  <c r="CA51" i="2"/>
  <c r="CC50" i="2"/>
  <c r="CE49" i="2"/>
  <c r="CI47" i="2"/>
  <c r="CK46" i="2"/>
  <c r="CM45" i="2"/>
  <c r="AO52" i="2"/>
  <c r="BU36" i="2"/>
  <c r="CO36" i="2"/>
  <c r="BX43" i="2"/>
  <c r="CB41" i="2"/>
  <c r="CF39" i="2"/>
  <c r="CJ37" i="2"/>
  <c r="CN54" i="2"/>
  <c r="BV53" i="2"/>
  <c r="BX52" i="2"/>
  <c r="CB50" i="2"/>
  <c r="CD49" i="2"/>
  <c r="CH47" i="2"/>
  <c r="CL45" i="2"/>
  <c r="AP42" i="2"/>
  <c r="AP52" i="2"/>
  <c r="BX28" i="2"/>
  <c r="BX35" i="2"/>
  <c r="BV36" i="2"/>
  <c r="CO44" i="2"/>
  <c r="BU44" i="2"/>
  <c r="BW43" i="2"/>
  <c r="BY42" i="2"/>
  <c r="CA41" i="2"/>
  <c r="CC40" i="2"/>
  <c r="CE39" i="2"/>
  <c r="CG38" i="2"/>
  <c r="CI37" i="2"/>
  <c r="CM54" i="2"/>
  <c r="CO53" i="2"/>
  <c r="BU53" i="2"/>
  <c r="BW52" i="2"/>
  <c r="BY51" i="2"/>
  <c r="CA50" i="2"/>
  <c r="CC49" i="2"/>
  <c r="CE48" i="2"/>
  <c r="CG47" i="2"/>
  <c r="CI46" i="2"/>
  <c r="CK45" i="2"/>
  <c r="BW38" i="2"/>
  <c r="BU48" i="2"/>
  <c r="CI28" i="2"/>
  <c r="CI35" i="2"/>
  <c r="CJ41" i="2"/>
  <c r="CN39" i="2"/>
  <c r="CB54" i="2"/>
  <c r="CJ50" i="2"/>
  <c r="BT48" i="2"/>
  <c r="CI41" i="2"/>
  <c r="CO38" i="2"/>
  <c r="CG51" i="2"/>
  <c r="BW46" i="2"/>
  <c r="CJ40" i="2"/>
  <c r="CN38" i="2"/>
  <c r="CB53" i="2"/>
  <c r="CH50" i="2"/>
  <c r="BV46" i="2"/>
  <c r="CE42" i="2"/>
  <c r="BY54" i="2"/>
  <c r="BT37" i="2"/>
  <c r="CD51" i="2"/>
  <c r="CJ48" i="2"/>
  <c r="CN35" i="2"/>
  <c r="CN28" i="2"/>
  <c r="CA43" i="2"/>
  <c r="CI39" i="2"/>
  <c r="BY53" i="2"/>
  <c r="CG49" i="2"/>
  <c r="CO45" i="2"/>
  <c r="BX44" i="2"/>
  <c r="CB42" i="2"/>
  <c r="CF40" i="2"/>
  <c r="CJ38" i="2"/>
  <c r="BX53" i="2"/>
  <c r="CH48" i="2"/>
  <c r="CN45" i="2"/>
  <c r="CA42" i="2"/>
  <c r="BY52" i="2"/>
  <c r="CG48" i="2"/>
  <c r="AO42" i="2"/>
  <c r="BW35" i="2"/>
  <c r="BW28" i="2"/>
  <c r="BV44" i="2"/>
  <c r="BZ42" i="2"/>
  <c r="CD40" i="2"/>
  <c r="CH38" i="2"/>
  <c r="BT54" i="2"/>
  <c r="BZ51" i="2"/>
  <c r="CF48" i="2"/>
  <c r="CJ46" i="2"/>
  <c r="BY28" i="2"/>
  <c r="BY35" i="2"/>
  <c r="BW36" i="2"/>
  <c r="CN44" i="2"/>
  <c r="BT44" i="2"/>
  <c r="BV43" i="2"/>
  <c r="BX42" i="2"/>
  <c r="BZ41" i="2"/>
  <c r="CB40" i="2"/>
  <c r="CD39" i="2"/>
  <c r="CF38" i="2"/>
  <c r="CH37" i="2"/>
  <c r="CL54" i="2"/>
  <c r="CN53" i="2"/>
  <c r="BT53" i="2"/>
  <c r="BV52" i="2"/>
  <c r="BX51" i="2"/>
  <c r="BZ50" i="2"/>
  <c r="CB49" i="2"/>
  <c r="CD48" i="2"/>
  <c r="CF47" i="2"/>
  <c r="CH46" i="2"/>
  <c r="CJ45" i="2"/>
  <c r="CK41" i="2"/>
  <c r="CG52" i="2"/>
  <c r="BT39" i="2"/>
  <c r="CL49" i="2"/>
  <c r="CC44" i="2"/>
  <c r="CO47" i="2"/>
  <c r="CB44" i="2"/>
  <c r="CN47" i="2"/>
  <c r="CC43" i="2"/>
  <c r="CA53" i="2"/>
  <c r="BU46" i="2"/>
  <c r="CB43" i="2"/>
  <c r="BX54" i="2"/>
  <c r="BV45" i="2"/>
  <c r="CC42" i="2"/>
  <c r="CA52" i="2"/>
  <c r="BZ35" i="2"/>
  <c r="BZ28" i="2"/>
  <c r="CB28" i="2"/>
  <c r="CB35" i="2"/>
  <c r="BZ36" i="2"/>
  <c r="CM43" i="2"/>
  <c r="CO42" i="2"/>
  <c r="BU42" i="2"/>
  <c r="BW41" i="2"/>
  <c r="BY40" i="2"/>
  <c r="CA39" i="2"/>
  <c r="CC38" i="2"/>
  <c r="CE37" i="2"/>
  <c r="CI54" i="2"/>
  <c r="CK53" i="2"/>
  <c r="CM52" i="2"/>
  <c r="CO51" i="2"/>
  <c r="BU51" i="2"/>
  <c r="BW50" i="2"/>
  <c r="BY49" i="2"/>
  <c r="CA48" i="2"/>
  <c r="CC47" i="2"/>
  <c r="CE46" i="2"/>
  <c r="CG45" i="2"/>
  <c r="CG28" i="2"/>
  <c r="CG35" i="2"/>
  <c r="CI42" i="2"/>
  <c r="CE53" i="2"/>
  <c r="BW47" i="2"/>
  <c r="CH42" i="2"/>
  <c r="BV47" i="2"/>
  <c r="CM39" i="2"/>
  <c r="CK49" i="2"/>
  <c r="BV37" i="2"/>
  <c r="CL48" i="2"/>
  <c r="CL35" i="2"/>
  <c r="CL28" i="2"/>
  <c r="BU37" i="2"/>
  <c r="CK48" i="2"/>
  <c r="CH40" i="2"/>
  <c r="CH49" i="2"/>
  <c r="BY44" i="2"/>
  <c r="CK47" i="2"/>
  <c r="CM36" i="2"/>
  <c r="CD50" i="2"/>
  <c r="BY36" i="2"/>
  <c r="CC28" i="2"/>
  <c r="CC35" i="2"/>
  <c r="CA36" i="2"/>
  <c r="CL43" i="2"/>
  <c r="CN42" i="2"/>
  <c r="BT42" i="2"/>
  <c r="BV41" i="2"/>
  <c r="BX40" i="2"/>
  <c r="BZ39" i="2"/>
  <c r="CB38" i="2"/>
  <c r="CD37" i="2"/>
  <c r="CH54" i="2"/>
  <c r="CJ53" i="2"/>
  <c r="CL52" i="2"/>
  <c r="CN51" i="2"/>
  <c r="BT51" i="2"/>
  <c r="BV50" i="2"/>
  <c r="BX49" i="2"/>
  <c r="BZ48" i="2"/>
  <c r="CB47" i="2"/>
  <c r="CD46" i="2"/>
  <c r="CF45" i="2"/>
  <c r="BY46" i="2"/>
  <c r="CF43" i="2"/>
  <c r="CD53" i="2"/>
  <c r="BX46" i="2"/>
  <c r="BW37" i="2"/>
  <c r="CM48" i="2"/>
  <c r="CD43" i="2"/>
  <c r="BZ54" i="2"/>
  <c r="BX45" i="2"/>
  <c r="CK39" i="2"/>
  <c r="CC52" i="2"/>
  <c r="CO46" i="2"/>
  <c r="CD42" i="2"/>
  <c r="BZ53" i="2"/>
  <c r="BT46" i="2"/>
  <c r="CE41" i="2"/>
  <c r="CC51" i="2"/>
  <c r="CO35" i="2"/>
  <c r="CO28" i="2"/>
  <c r="CB51" i="2"/>
  <c r="CD28" i="2"/>
  <c r="CD35" i="2"/>
  <c r="CI44" i="2"/>
  <c r="BW40" i="2"/>
  <c r="BY39" i="2"/>
  <c r="CA38" i="2"/>
  <c r="CC37" i="2"/>
  <c r="CG54" i="2"/>
  <c r="CI53" i="2"/>
  <c r="CK52" i="2"/>
  <c r="CM51" i="2"/>
  <c r="CO50" i="2"/>
  <c r="BU50" i="2"/>
  <c r="BW49" i="2"/>
  <c r="BY48" i="2"/>
  <c r="CA47" i="2"/>
  <c r="CC46" i="2"/>
  <c r="CE45" i="2"/>
  <c r="CH28" i="2"/>
  <c r="CH35" i="2"/>
  <c r="BU39" i="2"/>
  <c r="CM49" i="2"/>
  <c r="BX37" i="2"/>
  <c r="BZ45" i="2"/>
  <c r="CC53" i="2"/>
  <c r="BY45" i="2"/>
  <c r="CH41" i="2"/>
  <c r="CF51" i="2"/>
  <c r="CM38" i="2"/>
  <c r="CG50" i="2"/>
  <c r="CL38" i="2"/>
  <c r="CN46" i="2"/>
  <c r="BT35" i="2"/>
  <c r="BT28" i="2"/>
  <c r="CK38" i="2"/>
  <c r="BU45" i="2"/>
  <c r="BU35" i="2"/>
  <c r="BU28" i="2"/>
  <c r="CF49" i="2"/>
  <c r="BX36" i="2"/>
  <c r="CA28" i="2"/>
  <c r="CA35" i="2"/>
  <c r="CE28" i="2"/>
  <c r="CE35" i="2"/>
  <c r="CH44" i="2"/>
  <c r="BZ38" i="2"/>
  <c r="CB37" i="2"/>
  <c r="CF54" i="2"/>
  <c r="CH53" i="2"/>
  <c r="CJ52" i="2"/>
  <c r="CL51" i="2"/>
  <c r="CN50" i="2"/>
  <c r="BT50" i="2"/>
  <c r="BV49" i="2"/>
  <c r="BX48" i="2"/>
  <c r="BZ47" i="2"/>
  <c r="CB46" i="2"/>
  <c r="CD45" i="2"/>
  <c r="AJ109" i="2"/>
  <c r="AI109" i="2"/>
  <c r="BQ13" i="2"/>
  <c r="BO13" i="2"/>
  <c r="BQ22" i="2"/>
  <c r="BO22" i="2"/>
  <c r="BP13" i="2"/>
  <c r="BN13" i="2"/>
  <c r="BP22" i="2"/>
  <c r="BN22" i="2"/>
  <c r="BQ12" i="2"/>
  <c r="BO12" i="2"/>
  <c r="BQ21" i="2"/>
  <c r="BO21" i="2"/>
  <c r="BP14" i="2"/>
  <c r="BN14" i="2"/>
  <c r="BP23" i="2"/>
  <c r="BN23" i="2"/>
  <c r="BN9" i="2"/>
  <c r="BP9" i="2"/>
  <c r="BP18" i="2"/>
  <c r="BN18" i="2"/>
  <c r="BP24" i="2"/>
  <c r="BN24" i="2"/>
  <c r="BP19" i="2"/>
  <c r="BN19" i="2"/>
  <c r="BO8" i="2"/>
  <c r="BQ8" i="2"/>
  <c r="BQ17" i="2"/>
  <c r="BO17" i="2"/>
  <c r="BO11" i="2"/>
  <c r="BQ11" i="2"/>
  <c r="BQ20" i="2"/>
  <c r="BO20" i="2"/>
  <c r="BP17" i="2"/>
  <c r="BN17" i="2"/>
  <c r="BO26" i="2"/>
  <c r="BQ26" i="2"/>
  <c r="AI107" i="2"/>
  <c r="AI104" i="2"/>
  <c r="BQ14" i="2"/>
  <c r="BO14" i="2"/>
  <c r="BP21" i="2"/>
  <c r="BN21" i="2"/>
  <c r="BP20" i="2"/>
  <c r="BN20" i="2"/>
  <c r="BO9" i="2"/>
  <c r="BQ9" i="2"/>
  <c r="BO18" i="2"/>
  <c r="BQ18" i="2"/>
  <c r="BN26" i="2"/>
  <c r="BP26" i="2"/>
  <c r="BP16" i="2"/>
  <c r="BN16" i="2"/>
  <c r="BN15" i="2"/>
  <c r="BP15" i="2"/>
  <c r="BP12" i="2"/>
  <c r="BN12" i="2"/>
  <c r="BQ10" i="2"/>
  <c r="BO10" i="2"/>
  <c r="AJ104" i="2"/>
  <c r="BN8" i="2"/>
  <c r="BP8" i="2"/>
  <c r="BN6" i="2"/>
  <c r="BP6" i="2"/>
  <c r="BQ16" i="2"/>
  <c r="BO16" i="2"/>
  <c r="BN7" i="2"/>
  <c r="BP7" i="2"/>
  <c r="BO25" i="2"/>
  <c r="BQ25" i="2"/>
  <c r="AJ107" i="2"/>
  <c r="BO15" i="2"/>
  <c r="BQ15" i="2"/>
  <c r="BQ24" i="2"/>
  <c r="BO24" i="2"/>
  <c r="BQ23" i="2"/>
  <c r="BO23" i="2"/>
  <c r="BO52" i="2" s="1"/>
  <c r="BP11" i="2"/>
  <c r="BN11" i="2"/>
  <c r="BQ19" i="2"/>
  <c r="BO19" i="2"/>
  <c r="BN10" i="2"/>
  <c r="BP10" i="2"/>
  <c r="BO6" i="2"/>
  <c r="BQ6" i="2"/>
  <c r="BO7" i="2"/>
  <c r="BQ7" i="2"/>
  <c r="BN25" i="2"/>
  <c r="BP25" i="2"/>
  <c r="BS8" i="2"/>
  <c r="BS6" i="2"/>
  <c r="BR23" i="2"/>
  <c r="BS13" i="2"/>
  <c r="BS22" i="2"/>
  <c r="BS17" i="2"/>
  <c r="BR16" i="2"/>
  <c r="BS7" i="2"/>
  <c r="BR13" i="2"/>
  <c r="BI13" i="2" s="1"/>
  <c r="BR22" i="2"/>
  <c r="BR25" i="2"/>
  <c r="BR15" i="2"/>
  <c r="BS12" i="2"/>
  <c r="BS21" i="2"/>
  <c r="BR17" i="2"/>
  <c r="BR6" i="2"/>
  <c r="BR26" i="2"/>
  <c r="BS25" i="2"/>
  <c r="BS24" i="2"/>
  <c r="BS53" i="2" s="1"/>
  <c r="BR24" i="2"/>
  <c r="BS14" i="2"/>
  <c r="BS23" i="2"/>
  <c r="BR14" i="2"/>
  <c r="BR12" i="2"/>
  <c r="BR21" i="2"/>
  <c r="BS11" i="2"/>
  <c r="BR11" i="2"/>
  <c r="BR20" i="2"/>
  <c r="BS20" i="2"/>
  <c r="BS10" i="2"/>
  <c r="BS19" i="2"/>
  <c r="BR10" i="2"/>
  <c r="BR19" i="2"/>
  <c r="BR8" i="2"/>
  <c r="BS15" i="2"/>
  <c r="BS9" i="2"/>
  <c r="BS18" i="2"/>
  <c r="BS26" i="2"/>
  <c r="BS16" i="2"/>
  <c r="BR7" i="2"/>
  <c r="BR9" i="2"/>
  <c r="BR18" i="2"/>
  <c r="DE20" i="2"/>
  <c r="AO53" i="2"/>
  <c r="AP53" i="2"/>
  <c r="AO43" i="2"/>
  <c r="AO54" i="2"/>
  <c r="AP37" i="2"/>
  <c r="AP47" i="2"/>
  <c r="AP54" i="2"/>
  <c r="AP55" i="2"/>
  <c r="AO46" i="2"/>
  <c r="AP46" i="2"/>
  <c r="AO38" i="2"/>
  <c r="AO48" i="2"/>
  <c r="AO39" i="2"/>
  <c r="AO49" i="2"/>
  <c r="AP39" i="2"/>
  <c r="AP49" i="2"/>
  <c r="AP38" i="2"/>
  <c r="AO40" i="2"/>
  <c r="AO50" i="2"/>
  <c r="AP48" i="2"/>
  <c r="AP40" i="2"/>
  <c r="AP50" i="2"/>
  <c r="AO45" i="2"/>
  <c r="AO41" i="2"/>
  <c r="AO51" i="2"/>
  <c r="AP43" i="2"/>
  <c r="AO55" i="2"/>
  <c r="AP41" i="2"/>
  <c r="AP51" i="2"/>
  <c r="AO44" i="2"/>
  <c r="AP44" i="2"/>
  <c r="AO35" i="2"/>
  <c r="AP35" i="2"/>
  <c r="AP36" i="2"/>
  <c r="AO47" i="2"/>
  <c r="AP45" i="2"/>
  <c r="AO36" i="2"/>
  <c r="AO37" i="2"/>
  <c r="AN122" i="2"/>
  <c r="AN13" i="2"/>
  <c r="AN123" i="2"/>
  <c r="AN14" i="2"/>
  <c r="AN16" i="2"/>
  <c r="AN124" i="2"/>
  <c r="AN15" i="2"/>
  <c r="AN11" i="2"/>
  <c r="AN10" i="2"/>
  <c r="AN121" i="2"/>
  <c r="AN12" i="2"/>
  <c r="L69" i="2"/>
  <c r="K69" i="2"/>
  <c r="L63" i="2"/>
  <c r="R199" i="2"/>
  <c r="U199" i="2"/>
  <c r="W199" i="2"/>
  <c r="T199" i="2"/>
  <c r="Z199" i="2"/>
  <c r="AG199" i="2"/>
  <c r="H199" i="2"/>
  <c r="N199" i="2"/>
  <c r="X199" i="2"/>
  <c r="AA199" i="2"/>
  <c r="AC199" i="2"/>
  <c r="AD199" i="2"/>
  <c r="AF199" i="2"/>
  <c r="E199" i="2"/>
  <c r="F199" i="2"/>
  <c r="I199" i="2"/>
  <c r="O199" i="2"/>
  <c r="K199" i="2"/>
  <c r="L199" i="2"/>
  <c r="Q199" i="2"/>
  <c r="I69" i="2"/>
  <c r="I77" i="2"/>
  <c r="B59" i="2"/>
  <c r="AO59" i="2" s="1"/>
  <c r="C59" i="2"/>
  <c r="AP59" i="2" s="1"/>
  <c r="B69" i="2"/>
  <c r="C79" i="2"/>
  <c r="B79" i="2"/>
  <c r="C69" i="2"/>
  <c r="CW26" i="2"/>
  <c r="DE22" i="2"/>
  <c r="DG21" i="2"/>
  <c r="DM18" i="2"/>
  <c r="CU17" i="2"/>
  <c r="T64" i="2"/>
  <c r="AF67" i="2"/>
  <c r="E61" i="2"/>
  <c r="F69" i="2"/>
  <c r="K66" i="2"/>
  <c r="F66" i="2"/>
  <c r="F67" i="2"/>
  <c r="H69" i="2"/>
  <c r="E77" i="2"/>
  <c r="N62" i="2"/>
  <c r="N63" i="2"/>
  <c r="N67" i="2"/>
  <c r="K73" i="2"/>
  <c r="K74" i="2"/>
  <c r="K75" i="2"/>
  <c r="O62" i="2"/>
  <c r="O65" i="2"/>
  <c r="O68" i="2"/>
  <c r="L75" i="2"/>
  <c r="W61" i="2"/>
  <c r="C72" i="2"/>
  <c r="AC74" i="2"/>
  <c r="I67" i="2"/>
  <c r="F70" i="2"/>
  <c r="F73" i="2"/>
  <c r="K64" i="2"/>
  <c r="H77" i="2"/>
  <c r="L62" i="2"/>
  <c r="L66" i="2"/>
  <c r="I70" i="2"/>
  <c r="I72" i="2"/>
  <c r="Q62" i="2"/>
  <c r="Q65" i="2"/>
  <c r="N72" i="2"/>
  <c r="N73" i="2"/>
  <c r="N75" i="2"/>
  <c r="N76" i="2"/>
  <c r="N77" i="2"/>
  <c r="N78" i="2"/>
  <c r="AY54" i="4"/>
  <c r="BA54" i="4"/>
  <c r="BB54" i="4"/>
  <c r="BC54" i="4" s="1"/>
  <c r="BE54" i="4"/>
  <c r="N60" i="2"/>
  <c r="L65" i="2"/>
  <c r="N66" i="2"/>
  <c r="K70" i="2"/>
  <c r="K72" i="2"/>
  <c r="K76" i="2"/>
  <c r="K77" i="2"/>
  <c r="O66" i="2"/>
  <c r="L73" i="2"/>
  <c r="L76" i="2"/>
  <c r="R68" i="2"/>
  <c r="U61" i="2"/>
  <c r="U68" i="2"/>
  <c r="R70" i="2"/>
  <c r="AF66" i="2"/>
  <c r="I62" i="2"/>
  <c r="I66" i="2"/>
  <c r="F72" i="2"/>
  <c r="F77" i="2"/>
  <c r="H70" i="2"/>
  <c r="H79" i="2"/>
  <c r="Q61" i="2"/>
  <c r="Z68" i="2"/>
  <c r="AF63" i="2"/>
  <c r="E76" i="2"/>
  <c r="F76" i="2"/>
  <c r="K63" i="2"/>
  <c r="H72" i="2"/>
  <c r="I76" i="2"/>
  <c r="Q68" i="2"/>
  <c r="I79" i="2"/>
  <c r="H62" i="2"/>
  <c r="H66" i="2"/>
  <c r="E73" i="2"/>
  <c r="K65" i="2"/>
  <c r="H71" i="2"/>
  <c r="H76" i="2"/>
  <c r="I73" i="2"/>
  <c r="B60" i="2"/>
  <c r="C60" i="2"/>
  <c r="T74" i="2"/>
  <c r="AD60" i="2"/>
  <c r="AC62" i="2"/>
  <c r="AC64" i="2"/>
  <c r="Z73" i="2"/>
  <c r="Z77" i="2"/>
  <c r="E69" i="2"/>
  <c r="F78" i="2"/>
  <c r="K62" i="2"/>
  <c r="L72" i="2"/>
  <c r="Q66" i="2"/>
  <c r="AF60" i="2"/>
  <c r="AF174" i="2" s="1"/>
  <c r="AD63" i="2"/>
  <c r="AD65" i="2"/>
  <c r="H78" i="2"/>
  <c r="B70" i="2"/>
  <c r="C70" i="2"/>
  <c r="O69" i="2"/>
  <c r="O75" i="2"/>
  <c r="K79" i="2"/>
  <c r="T63" i="2"/>
  <c r="Q69" i="2"/>
  <c r="C61" i="2"/>
  <c r="W68" i="2"/>
  <c r="X61" i="2"/>
  <c r="X68" i="2"/>
  <c r="U70" i="2"/>
  <c r="Q79" i="2"/>
  <c r="B73" i="2"/>
  <c r="R79" i="2"/>
  <c r="AA75" i="2"/>
  <c r="AG64" i="2"/>
  <c r="AD71" i="2"/>
  <c r="AD78" i="2"/>
  <c r="K60" i="2"/>
  <c r="I63" i="2"/>
  <c r="I65" i="2"/>
  <c r="F74" i="2"/>
  <c r="H75" i="2"/>
  <c r="R61" i="2"/>
  <c r="B71" i="2"/>
  <c r="T65" i="2"/>
  <c r="T68" i="2"/>
  <c r="L79" i="2"/>
  <c r="W65" i="2"/>
  <c r="Z60" i="2"/>
  <c r="Z174" i="2" s="1"/>
  <c r="X65" i="2"/>
  <c r="U69" i="2"/>
  <c r="U78" i="2"/>
  <c r="B63" i="2"/>
  <c r="Z66" i="2"/>
  <c r="C63" i="2"/>
  <c r="AD64" i="2"/>
  <c r="AA77" i="2"/>
  <c r="AG60" i="2"/>
  <c r="AG174" i="2" s="1"/>
  <c r="AC77" i="2"/>
  <c r="L60" i="2"/>
  <c r="L174" i="2" s="1"/>
  <c r="H73" i="2"/>
  <c r="N65" i="2"/>
  <c r="N68" i="2"/>
  <c r="F79" i="2"/>
  <c r="N69" i="2"/>
  <c r="R65" i="2"/>
  <c r="B61" i="2"/>
  <c r="T61" i="2"/>
  <c r="Q70" i="2"/>
  <c r="C71" i="2"/>
  <c r="U63" i="2"/>
  <c r="U65" i="2"/>
  <c r="N79" i="2"/>
  <c r="W69" i="2"/>
  <c r="C73" i="2"/>
  <c r="AC60" i="2"/>
  <c r="AC174" i="2" s="1"/>
  <c r="AA64" i="2"/>
  <c r="AA68" i="2"/>
  <c r="X71" i="2"/>
  <c r="X77" i="2"/>
  <c r="Z71" i="2"/>
  <c r="Z74" i="2"/>
  <c r="AA71" i="2"/>
  <c r="AF64" i="2"/>
  <c r="AC71" i="2"/>
  <c r="C78" i="2"/>
  <c r="B62" i="2"/>
  <c r="T60" i="2"/>
  <c r="R62" i="2"/>
  <c r="R63" i="2"/>
  <c r="R64" i="2"/>
  <c r="R66" i="2"/>
  <c r="R67" i="2"/>
  <c r="O70" i="2"/>
  <c r="O71" i="2"/>
  <c r="O72" i="2"/>
  <c r="O73" i="2"/>
  <c r="O74" i="2"/>
  <c r="O76" i="2"/>
  <c r="O77" i="2"/>
  <c r="O78" i="2"/>
  <c r="U60" i="2"/>
  <c r="U174" i="2" s="1"/>
  <c r="T62" i="2"/>
  <c r="T66" i="2"/>
  <c r="T67" i="2"/>
  <c r="Q71" i="2"/>
  <c r="Q72" i="2"/>
  <c r="Q73" i="2"/>
  <c r="Q74" i="2"/>
  <c r="Q75" i="2"/>
  <c r="Q76" i="2"/>
  <c r="Q77" i="2"/>
  <c r="Q78" i="2"/>
  <c r="W60" i="2"/>
  <c r="W174" i="2" s="1"/>
  <c r="U62" i="2"/>
  <c r="U64" i="2"/>
  <c r="U66" i="2"/>
  <c r="U67" i="2"/>
  <c r="R69" i="2"/>
  <c r="R71" i="2"/>
  <c r="R72" i="2"/>
  <c r="R73" i="2"/>
  <c r="R74" i="2"/>
  <c r="R75" i="2"/>
  <c r="R76" i="2"/>
  <c r="R77" i="2"/>
  <c r="R78" i="2"/>
  <c r="B72" i="2"/>
  <c r="X60" i="2"/>
  <c r="X174" i="2" s="1"/>
  <c r="W62" i="2"/>
  <c r="W63" i="2"/>
  <c r="W64" i="2"/>
  <c r="W66" i="2"/>
  <c r="W67" i="2"/>
  <c r="T69" i="2"/>
  <c r="T70" i="2"/>
  <c r="T71" i="2"/>
  <c r="T72" i="2"/>
  <c r="T73" i="2"/>
  <c r="T75" i="2"/>
  <c r="T76" i="2"/>
  <c r="T77" i="2"/>
  <c r="T78" i="2"/>
  <c r="O79" i="2"/>
  <c r="C62" i="2"/>
  <c r="U71" i="2"/>
  <c r="U75" i="2"/>
  <c r="AA60" i="2"/>
  <c r="AA174" i="2" s="1"/>
  <c r="Z62" i="2"/>
  <c r="Z64" i="2"/>
  <c r="Z67" i="2"/>
  <c r="W70" i="2"/>
  <c r="W71" i="2"/>
  <c r="W74" i="2"/>
  <c r="W75" i="2"/>
  <c r="W76" i="2"/>
  <c r="W77" i="2"/>
  <c r="W78" i="2"/>
  <c r="X62" i="2"/>
  <c r="X64" i="2"/>
  <c r="X67" i="2"/>
  <c r="U72" i="2"/>
  <c r="U74" i="2"/>
  <c r="Z61" i="2"/>
  <c r="AA61" i="2"/>
  <c r="AA62" i="2"/>
  <c r="AA67" i="2"/>
  <c r="X74" i="2"/>
  <c r="T79" i="2"/>
  <c r="AD61" i="2"/>
  <c r="AD67" i="2"/>
  <c r="AA70" i="2"/>
  <c r="AA74" i="2"/>
  <c r="AA78" i="2"/>
  <c r="E60" i="2"/>
  <c r="E174" i="2" s="1"/>
  <c r="AG62" i="2"/>
  <c r="AG63" i="2"/>
  <c r="AG65" i="2"/>
  <c r="AG66" i="2"/>
  <c r="AG67" i="2"/>
  <c r="AG68" i="2"/>
  <c r="AD70" i="2"/>
  <c r="AD72" i="2"/>
  <c r="AD73" i="2"/>
  <c r="AD74" i="2"/>
  <c r="AD75" i="2"/>
  <c r="AD77" i="2"/>
  <c r="F60" i="2"/>
  <c r="F174" i="2" s="1"/>
  <c r="E62" i="2"/>
  <c r="E63" i="2"/>
  <c r="E64" i="2"/>
  <c r="E66" i="2"/>
  <c r="E67" i="2"/>
  <c r="E68" i="2"/>
  <c r="AF70" i="2"/>
  <c r="AF71" i="2"/>
  <c r="AF73" i="2"/>
  <c r="AF74" i="2"/>
  <c r="AF76" i="2"/>
  <c r="AF77" i="2"/>
  <c r="AF78" i="2"/>
  <c r="H60" i="2"/>
  <c r="H174" i="2" s="1"/>
  <c r="F62" i="2"/>
  <c r="F63" i="2"/>
  <c r="F64" i="2"/>
  <c r="F68" i="2"/>
  <c r="AG70" i="2"/>
  <c r="AG71" i="2"/>
  <c r="AG72" i="2"/>
  <c r="AG73" i="2"/>
  <c r="AG74" i="2"/>
  <c r="AG75" i="2"/>
  <c r="AG76" i="2"/>
  <c r="AG77" i="2"/>
  <c r="B67" i="2"/>
  <c r="B78" i="2"/>
  <c r="I60" i="2"/>
  <c r="I174" i="2" s="1"/>
  <c r="H63" i="2"/>
  <c r="H64" i="2"/>
  <c r="E70" i="2"/>
  <c r="E72" i="2"/>
  <c r="E74" i="2"/>
  <c r="E75" i="2"/>
  <c r="C67" i="2"/>
  <c r="C77" i="2"/>
  <c r="AC67" i="2"/>
  <c r="C74" i="2"/>
  <c r="I64" i="2"/>
  <c r="F75" i="2"/>
  <c r="L61" i="2"/>
  <c r="L67" i="2"/>
  <c r="L68" i="2"/>
  <c r="I71" i="2"/>
  <c r="I74" i="2"/>
  <c r="I75" i="2"/>
  <c r="I78" i="2"/>
  <c r="B64" i="2"/>
  <c r="AC63" i="2"/>
  <c r="Z72" i="2"/>
  <c r="K61" i="2"/>
  <c r="O60" i="2"/>
  <c r="N61" i="2"/>
  <c r="N64" i="2"/>
  <c r="K71" i="2"/>
  <c r="K78" i="2"/>
  <c r="B74" i="2"/>
  <c r="AC66" i="2"/>
  <c r="Z70" i="2"/>
  <c r="Z75" i="2"/>
  <c r="C64" i="2"/>
  <c r="AF65" i="2"/>
  <c r="AC70" i="2"/>
  <c r="AC73" i="2"/>
  <c r="I68" i="2"/>
  <c r="F71" i="2"/>
  <c r="K67" i="2"/>
  <c r="L64" i="2"/>
  <c r="Q60" i="2"/>
  <c r="O61" i="2"/>
  <c r="O63" i="2"/>
  <c r="O64" i="2"/>
  <c r="O67" i="2"/>
  <c r="L70" i="2"/>
  <c r="L71" i="2"/>
  <c r="L74" i="2"/>
  <c r="L77" i="2"/>
  <c r="L78" i="2"/>
  <c r="X78" i="2"/>
  <c r="AC61" i="2"/>
  <c r="Z78" i="2"/>
  <c r="K68" i="2"/>
  <c r="H74" i="2"/>
  <c r="R60" i="2"/>
  <c r="Q63" i="2"/>
  <c r="Q64" i="2"/>
  <c r="Q67" i="2"/>
  <c r="N70" i="2"/>
  <c r="N71" i="2"/>
  <c r="N74" i="2"/>
  <c r="X63" i="2"/>
  <c r="X66" i="2"/>
  <c r="U73" i="2"/>
  <c r="U77" i="2"/>
  <c r="Z63" i="2"/>
  <c r="Z65" i="2"/>
  <c r="W72" i="2"/>
  <c r="W73" i="2"/>
  <c r="AA63" i="2"/>
  <c r="AA65" i="2"/>
  <c r="AA66" i="2"/>
  <c r="X70" i="2"/>
  <c r="X73" i="2"/>
  <c r="X75" i="2"/>
  <c r="X76" i="2"/>
  <c r="Z69" i="2"/>
  <c r="AD62" i="2"/>
  <c r="AD66" i="2"/>
  <c r="AD68" i="2"/>
  <c r="AA72" i="2"/>
  <c r="AA73" i="2"/>
  <c r="B65" i="2"/>
  <c r="B75" i="2"/>
  <c r="AF61" i="2"/>
  <c r="AF62" i="2"/>
  <c r="AF68" i="2"/>
  <c r="AC72" i="2"/>
  <c r="AC75" i="2"/>
  <c r="AC76" i="2"/>
  <c r="C75" i="2"/>
  <c r="AG61" i="2"/>
  <c r="AD69" i="2"/>
  <c r="AD76" i="2"/>
  <c r="Z79" i="2"/>
  <c r="E65" i="2"/>
  <c r="AF69" i="2"/>
  <c r="AF72" i="2"/>
  <c r="AF75" i="2"/>
  <c r="C66" i="2"/>
  <c r="F61" i="2"/>
  <c r="F65" i="2"/>
  <c r="H61" i="2"/>
  <c r="H65" i="2"/>
  <c r="H67" i="2"/>
  <c r="H68" i="2"/>
  <c r="E71" i="2"/>
  <c r="E78" i="2"/>
  <c r="AD79" i="2"/>
  <c r="B68" i="2"/>
  <c r="I61" i="2"/>
  <c r="AF79" i="2"/>
  <c r="C68" i="2"/>
  <c r="E79" i="2"/>
  <c r="AG79" i="2"/>
  <c r="X72" i="2"/>
  <c r="AC65" i="2"/>
  <c r="Z76" i="2"/>
  <c r="AA69" i="2"/>
  <c r="W79" i="2"/>
  <c r="AC69" i="2"/>
  <c r="C65" i="2"/>
  <c r="B66" i="2"/>
  <c r="AA79" i="2"/>
  <c r="AA76" i="2"/>
  <c r="AC78" i="2"/>
  <c r="B76" i="2"/>
  <c r="AC79" i="2"/>
  <c r="U76" i="2"/>
  <c r="AC68" i="2"/>
  <c r="U79" i="2"/>
  <c r="AG69" i="2"/>
  <c r="AG78" i="2"/>
  <c r="B77" i="2"/>
  <c r="X69" i="2"/>
  <c r="X79" i="2"/>
  <c r="C76" i="2"/>
  <c r="DG22" i="2"/>
  <c r="DK20" i="2"/>
  <c r="CU18" i="2"/>
  <c r="DA18" i="2"/>
  <c r="CU25" i="2"/>
  <c r="DE17" i="2"/>
  <c r="DA22" i="2"/>
  <c r="CS26" i="2"/>
  <c r="DM20" i="2"/>
  <c r="DA12" i="2"/>
  <c r="DG20" i="2"/>
  <c r="DI19" i="2"/>
  <c r="CS17" i="2"/>
  <c r="DC14" i="2"/>
  <c r="DG12" i="2"/>
  <c r="DK10" i="2"/>
  <c r="CS9" i="2"/>
  <c r="DI20" i="2"/>
  <c r="DI18" i="2"/>
  <c r="DI14" i="2"/>
  <c r="CY23" i="2"/>
  <c r="DM16" i="2"/>
  <c r="CY14" i="2"/>
  <c r="CW14" i="2"/>
  <c r="DK14" i="2"/>
  <c r="CW11" i="2"/>
  <c r="DI10" i="2"/>
  <c r="DG15" i="2"/>
  <c r="DM8" i="2"/>
  <c r="CU11" i="2"/>
  <c r="DC12" i="2"/>
  <c r="DK8" i="2"/>
  <c r="DI8" i="2"/>
  <c r="DK15" i="2"/>
  <c r="DA10" i="2"/>
  <c r="CS12" i="2"/>
  <c r="DE15" i="2"/>
  <c r="CU24" i="2"/>
  <c r="DG10" i="2"/>
  <c r="DE10" i="2"/>
  <c r="CW12" i="2"/>
  <c r="DE8" i="2"/>
  <c r="CW10" i="2"/>
  <c r="CS21" i="2"/>
  <c r="DM12" i="2"/>
  <c r="CS14" i="2"/>
  <c r="DK13" i="2"/>
  <c r="CS18" i="2"/>
  <c r="DA14" i="2"/>
  <c r="DE12" i="2"/>
  <c r="CY22" i="2"/>
  <c r="DG24" i="2"/>
  <c r="DC11" i="2"/>
  <c r="DG9" i="2"/>
  <c r="DM15" i="2"/>
  <c r="CS15" i="2"/>
  <c r="CU14" i="2"/>
  <c r="CW13" i="2"/>
  <c r="CY12" i="2"/>
  <c r="DA11" i="2"/>
  <c r="DC10" i="2"/>
  <c r="DE9" i="2"/>
  <c r="DG8" i="2"/>
  <c r="DC24" i="2"/>
  <c r="DE19" i="2"/>
  <c r="CY17" i="2"/>
  <c r="DI15" i="2"/>
  <c r="DM13" i="2"/>
  <c r="CS13" i="2"/>
  <c r="CU12" i="2"/>
  <c r="CY10" i="2"/>
  <c r="DA9" i="2"/>
  <c r="DC8" i="2"/>
  <c r="DC20" i="2"/>
  <c r="CU9" i="2"/>
  <c r="DE24" i="2"/>
  <c r="DA17" i="2"/>
  <c r="CY13" i="2"/>
  <c r="CW9" i="2"/>
  <c r="DK17" i="2"/>
  <c r="DK26" i="2"/>
  <c r="DA21" i="2"/>
  <c r="DG18" i="2"/>
  <c r="DM14" i="2"/>
  <c r="DI26" i="2"/>
  <c r="DC19" i="2"/>
  <c r="DM23" i="2"/>
  <c r="CY20" i="2"/>
  <c r="DK23" i="2"/>
  <c r="CY8" i="2"/>
  <c r="DC26" i="2"/>
  <c r="CU20" i="2"/>
  <c r="DE14" i="2"/>
  <c r="DI12" i="2"/>
  <c r="DM10" i="2"/>
  <c r="DK21" i="2"/>
  <c r="CW18" i="2"/>
  <c r="DE13" i="2"/>
  <c r="DM9" i="2"/>
  <c r="DA25" i="2"/>
  <c r="DC13" i="2"/>
  <c r="DK9" i="2"/>
  <c r="DI9" i="2"/>
  <c r="CU26" i="2"/>
  <c r="CW25" i="2"/>
  <c r="DC22" i="2"/>
  <c r="DK18" i="2"/>
  <c r="DM17" i="2"/>
  <c r="CU13" i="2"/>
  <c r="DA20" i="2"/>
  <c r="CY9" i="2"/>
  <c r="DG14" i="2"/>
  <c r="DI13" i="2"/>
  <c r="DK12" i="2"/>
  <c r="DM11" i="2"/>
  <c r="DM21" i="2"/>
  <c r="CW19" i="2"/>
  <c r="DG13" i="2"/>
  <c r="DK11" i="2"/>
  <c r="CW8" i="2"/>
  <c r="DA26" i="2"/>
  <c r="DI22" i="2"/>
  <c r="CU19" i="2"/>
  <c r="DA15" i="2"/>
  <c r="DI11" i="2"/>
  <c r="DI21" i="2"/>
  <c r="DG11" i="2"/>
  <c r="CS8" i="2"/>
  <c r="CW15" i="2"/>
  <c r="DA13" i="2"/>
  <c r="DE11" i="2"/>
  <c r="DM26" i="2"/>
  <c r="CW24" i="2"/>
  <c r="DG19" i="2"/>
  <c r="DM25" i="2"/>
  <c r="CW23" i="2"/>
  <c r="DK16" i="2"/>
  <c r="CY11" i="2"/>
  <c r="DC9" i="2"/>
  <c r="DI16" i="2"/>
  <c r="DG26" i="2"/>
  <c r="CS23" i="2"/>
  <c r="DG16" i="2"/>
  <c r="DA8" i="2"/>
  <c r="CW20" i="2"/>
  <c r="DK22" i="2"/>
  <c r="CY18" i="2"/>
  <c r="DC15" i="2"/>
  <c r="CU8" i="2"/>
  <c r="CY26" i="2"/>
  <c r="CY15" i="2"/>
  <c r="DM24" i="2"/>
  <c r="CW22" i="2"/>
  <c r="CY21" i="2"/>
  <c r="CS11" i="2"/>
  <c r="DK24" i="2"/>
  <c r="CU22" i="2"/>
  <c r="CW21" i="2"/>
  <c r="CS24" i="2"/>
  <c r="DG25" i="2"/>
  <c r="CU21" i="2"/>
  <c r="DI23" i="2"/>
  <c r="DE16" i="2"/>
  <c r="DG23" i="2"/>
  <c r="DC16" i="2"/>
  <c r="DM19" i="2"/>
  <c r="DA16" i="2"/>
  <c r="CU10" i="2"/>
  <c r="CS10" i="2"/>
  <c r="CY25" i="2"/>
  <c r="DA24" i="2"/>
  <c r="DC23" i="2"/>
  <c r="DK19" i="2"/>
  <c r="CW17" i="2"/>
  <c r="CY16" i="2"/>
  <c r="DE18" i="2"/>
  <c r="DG17" i="2"/>
  <c r="DI24" i="2"/>
  <c r="DC17" i="2"/>
  <c r="CS20" i="2"/>
  <c r="DE23" i="2"/>
  <c r="CY24" i="2"/>
  <c r="CW16" i="2"/>
  <c r="DI25" i="2"/>
  <c r="DC18" i="2"/>
  <c r="CY19" i="2"/>
  <c r="DA23" i="2"/>
  <c r="CU15" i="2"/>
  <c r="DC21" i="2"/>
  <c r="DK25" i="2"/>
  <c r="DI17" i="2"/>
  <c r="DA19" i="2"/>
  <c r="DM22" i="2"/>
  <c r="DM7" i="2"/>
  <c r="DE21" i="2"/>
  <c r="DE26" i="2"/>
  <c r="DE25" i="2"/>
  <c r="DC25" i="2"/>
  <c r="CS19" i="2"/>
  <c r="CS22" i="2"/>
  <c r="CU16" i="2"/>
  <c r="CS25" i="2"/>
  <c r="CS16" i="2"/>
  <c r="CU23" i="2"/>
  <c r="DM6" i="2"/>
  <c r="L88" i="1"/>
  <c r="C96" i="2" l="1"/>
  <c r="X101" i="2"/>
  <c r="BR40" i="2"/>
  <c r="AG101" i="2"/>
  <c r="Q102" i="2"/>
  <c r="E96" i="2"/>
  <c r="O102" i="2"/>
  <c r="H97" i="2"/>
  <c r="K99" i="2"/>
  <c r="U102" i="2"/>
  <c r="AA97" i="2"/>
  <c r="AC101" i="2"/>
  <c r="R96" i="2"/>
  <c r="L99" i="2"/>
  <c r="T100" i="2"/>
  <c r="I97" i="2"/>
  <c r="AF102" i="2"/>
  <c r="Z95" i="2"/>
  <c r="F98" i="2"/>
  <c r="N98" i="2"/>
  <c r="B94" i="2"/>
  <c r="BP40" i="2"/>
  <c r="W103" i="2"/>
  <c r="AD102" i="2"/>
  <c r="BQ52" i="2"/>
  <c r="BP38" i="2"/>
  <c r="O101" i="2"/>
  <c r="AF100" i="2"/>
  <c r="T96" i="2"/>
  <c r="N101" i="2"/>
  <c r="AF99" i="2"/>
  <c r="T95" i="2"/>
  <c r="AA101" i="2"/>
  <c r="R94" i="2"/>
  <c r="I102" i="2"/>
  <c r="W100" i="2"/>
  <c r="X96" i="2"/>
  <c r="W98" i="2"/>
  <c r="N96" i="2"/>
  <c r="X99" i="2"/>
  <c r="AG100" i="2"/>
  <c r="L96" i="2"/>
  <c r="K97" i="2"/>
  <c r="H98" i="2"/>
  <c r="AA94" i="2"/>
  <c r="I100" i="2"/>
  <c r="AG102" i="2"/>
  <c r="K101" i="2"/>
  <c r="C99" i="2"/>
  <c r="AG96" i="2"/>
  <c r="F100" i="2"/>
  <c r="E101" i="2"/>
  <c r="Z94" i="2"/>
  <c r="X98" i="2"/>
  <c r="U100" i="2"/>
  <c r="W97" i="2"/>
  <c r="AG94" i="2"/>
  <c r="Q96" i="2"/>
  <c r="AC96" i="2"/>
  <c r="R101" i="2"/>
  <c r="E95" i="2"/>
  <c r="L98" i="2"/>
  <c r="K102" i="2"/>
  <c r="C101" i="2"/>
  <c r="AD98" i="2"/>
  <c r="R100" i="2"/>
  <c r="AC95" i="2"/>
  <c r="F97" i="2"/>
  <c r="E94" i="2"/>
  <c r="T99" i="2"/>
  <c r="Z96" i="2"/>
  <c r="N102" i="2"/>
  <c r="N95" i="2"/>
  <c r="W102" i="2"/>
  <c r="W101" i="2"/>
  <c r="N100" i="2"/>
  <c r="Z100" i="2"/>
  <c r="B102" i="2"/>
  <c r="T94" i="2"/>
  <c r="AD95" i="2"/>
  <c r="C100" i="2"/>
  <c r="C97" i="2"/>
  <c r="N97" i="2"/>
  <c r="X103" i="2"/>
  <c r="AA102" i="2"/>
  <c r="O94" i="2"/>
  <c r="K98" i="2"/>
  <c r="AA98" i="2"/>
  <c r="N103" i="2"/>
  <c r="L100" i="2"/>
  <c r="AD100" i="2"/>
  <c r="Q101" i="2"/>
  <c r="B97" i="2"/>
  <c r="H96" i="2"/>
  <c r="AF103" i="2"/>
  <c r="C95" i="2"/>
  <c r="I94" i="2"/>
  <c r="U103" i="2"/>
  <c r="Q94" i="2"/>
  <c r="K100" i="2"/>
  <c r="X102" i="2"/>
  <c r="B96" i="2"/>
  <c r="E100" i="2"/>
  <c r="AD103" i="2"/>
  <c r="U99" i="2"/>
  <c r="L103" i="2"/>
  <c r="K94" i="2"/>
  <c r="L101" i="2"/>
  <c r="AD99" i="2"/>
  <c r="Q95" i="2"/>
  <c r="AC102" i="2"/>
  <c r="L95" i="2"/>
  <c r="K95" i="2"/>
  <c r="AD97" i="2"/>
  <c r="O103" i="2"/>
  <c r="R99" i="2"/>
  <c r="F103" i="2"/>
  <c r="B95" i="2"/>
  <c r="T98" i="2"/>
  <c r="H103" i="2"/>
  <c r="F94" i="2"/>
  <c r="H100" i="2"/>
  <c r="AA96" i="2"/>
  <c r="T97" i="2"/>
  <c r="O100" i="2"/>
  <c r="AF98" i="2"/>
  <c r="H102" i="2"/>
  <c r="AF96" i="2"/>
  <c r="N99" i="2"/>
  <c r="F95" i="2"/>
  <c r="AF94" i="2"/>
  <c r="AA99" i="2"/>
  <c r="AG103" i="2"/>
  <c r="AC97" i="2"/>
  <c r="R103" i="2"/>
  <c r="B101" i="2"/>
  <c r="X97" i="2"/>
  <c r="AC94" i="2"/>
  <c r="L97" i="2"/>
  <c r="Q100" i="2"/>
  <c r="Q103" i="2"/>
  <c r="I96" i="2"/>
  <c r="Z102" i="2"/>
  <c r="U94" i="2"/>
  <c r="F99" i="2"/>
  <c r="Q98" i="2"/>
  <c r="Z101" i="2"/>
  <c r="I101" i="2"/>
  <c r="AC100" i="2"/>
  <c r="K96" i="2"/>
  <c r="AC99" i="2"/>
  <c r="C98" i="2"/>
  <c r="H101" i="2"/>
  <c r="E102" i="2"/>
  <c r="W96" i="2"/>
  <c r="C102" i="2"/>
  <c r="B100" i="2"/>
  <c r="AA100" i="2"/>
  <c r="U101" i="2"/>
  <c r="L94" i="2"/>
  <c r="E99" i="2"/>
  <c r="AD96" i="2"/>
  <c r="U98" i="2"/>
  <c r="T102" i="2"/>
  <c r="R98" i="2"/>
  <c r="AA95" i="2"/>
  <c r="K103" i="2"/>
  <c r="H94" i="2"/>
  <c r="BS48" i="2"/>
  <c r="BN39" i="2"/>
  <c r="BQ40" i="2"/>
  <c r="BQ42" i="2"/>
  <c r="F96" i="2"/>
  <c r="AF101" i="2"/>
  <c r="R95" i="2"/>
  <c r="C94" i="2"/>
  <c r="X95" i="2"/>
  <c r="H95" i="2"/>
  <c r="O98" i="2"/>
  <c r="N94" i="2"/>
  <c r="AF97" i="2"/>
  <c r="O97" i="2"/>
  <c r="E97" i="2"/>
  <c r="AF95" i="2"/>
  <c r="O96" i="2"/>
  <c r="I99" i="2"/>
  <c r="W99" i="2"/>
  <c r="O95" i="2"/>
  <c r="X100" i="2"/>
  <c r="I98" i="2"/>
  <c r="I103" i="2"/>
  <c r="B103" i="2"/>
  <c r="Z103" i="2"/>
  <c r="I95" i="2"/>
  <c r="W95" i="2"/>
  <c r="C103" i="2"/>
  <c r="E103" i="2"/>
  <c r="AG99" i="2"/>
  <c r="W94" i="2"/>
  <c r="X94" i="2"/>
  <c r="AG98" i="2"/>
  <c r="F102" i="2"/>
  <c r="AG97" i="2"/>
  <c r="Q99" i="2"/>
  <c r="Z99" i="2"/>
  <c r="T103" i="2"/>
  <c r="AG95" i="2"/>
  <c r="Q97" i="2"/>
  <c r="Z97" i="2"/>
  <c r="L102" i="2"/>
  <c r="AD101" i="2"/>
  <c r="R102" i="2"/>
  <c r="AC103" i="2"/>
  <c r="B98" i="2"/>
  <c r="U95" i="2"/>
  <c r="AA103" i="2"/>
  <c r="B99" i="2"/>
  <c r="U97" i="2"/>
  <c r="E98" i="2"/>
  <c r="AD94" i="2"/>
  <c r="U96" i="2"/>
  <c r="T101" i="2"/>
  <c r="R97" i="2"/>
  <c r="Z98" i="2"/>
  <c r="H99" i="2"/>
  <c r="O99" i="2"/>
  <c r="F101" i="2"/>
  <c r="AC98" i="2"/>
  <c r="BR51" i="2"/>
  <c r="BO40" i="2"/>
  <c r="BQ47" i="2"/>
  <c r="BO51" i="2"/>
  <c r="BO47" i="2"/>
  <c r="BO49" i="2"/>
  <c r="BN38" i="2"/>
  <c r="BQ51" i="2"/>
  <c r="BR48" i="2"/>
  <c r="BQ45" i="2"/>
  <c r="BR39" i="2"/>
  <c r="BP39" i="2"/>
  <c r="BQ38" i="2"/>
  <c r="BQ49" i="2"/>
  <c r="BT56" i="2"/>
  <c r="BR36" i="2"/>
  <c r="CN56" i="2"/>
  <c r="BP54" i="2"/>
  <c r="BN53" i="2"/>
  <c r="AI111" i="2"/>
  <c r="AJ111" i="2"/>
  <c r="BS54" i="2"/>
  <c r="BN54" i="2"/>
  <c r="BO54" i="2"/>
  <c r="CA55" i="2"/>
  <c r="BO38" i="2"/>
  <c r="BS39" i="2"/>
  <c r="BS49" i="2"/>
  <c r="BR42" i="2"/>
  <c r="BN49" i="2"/>
  <c r="CL55" i="2"/>
  <c r="CI55" i="2"/>
  <c r="BN52" i="2"/>
  <c r="CK55" i="2"/>
  <c r="BR54" i="2"/>
  <c r="BP52" i="2"/>
  <c r="CF55" i="2"/>
  <c r="BR49" i="2"/>
  <c r="BS36" i="2"/>
  <c r="BN40" i="2"/>
  <c r="BP49" i="2"/>
  <c r="BU56" i="2"/>
  <c r="CG55" i="2"/>
  <c r="BS46" i="2"/>
  <c r="BP50" i="2"/>
  <c r="BS51" i="2"/>
  <c r="CM56" i="2"/>
  <c r="BO53" i="2"/>
  <c r="BP46" i="2"/>
  <c r="BR52" i="2"/>
  <c r="BQ53" i="2"/>
  <c r="BN50" i="2"/>
  <c r="CJ55" i="2"/>
  <c r="BO28" i="2"/>
  <c r="BO35" i="2"/>
  <c r="BI15" i="2"/>
  <c r="BR44" i="2"/>
  <c r="CE56" i="2"/>
  <c r="BQ48" i="2"/>
  <c r="BC14" i="2"/>
  <c r="BP43" i="2"/>
  <c r="CD56" i="2"/>
  <c r="CB55" i="2"/>
  <c r="BR50" i="2"/>
  <c r="BQ39" i="2"/>
  <c r="BQ46" i="2"/>
  <c r="CL56" i="2"/>
  <c r="BA14" i="2"/>
  <c r="BO43" i="2"/>
  <c r="BQ50" i="2"/>
  <c r="BR47" i="2"/>
  <c r="BJ13" i="2"/>
  <c r="BS42" i="2"/>
  <c r="AZ12" i="2"/>
  <c r="BN41" i="2"/>
  <c r="BD14" i="2"/>
  <c r="BQ43" i="2"/>
  <c r="BA12" i="2"/>
  <c r="BO41" i="2"/>
  <c r="CO56" i="2"/>
  <c r="BY55" i="2"/>
  <c r="CG56" i="2"/>
  <c r="BV55" i="2"/>
  <c r="BS52" i="2"/>
  <c r="BC12" i="2"/>
  <c r="BP41" i="2"/>
  <c r="BX56" i="2"/>
  <c r="BS35" i="2"/>
  <c r="BS28" i="2"/>
  <c r="BD15" i="2"/>
  <c r="BQ44" i="2"/>
  <c r="BP48" i="2"/>
  <c r="CM55" i="2"/>
  <c r="CB56" i="2"/>
  <c r="BP28" i="2"/>
  <c r="BP35" i="2"/>
  <c r="BA13" i="2"/>
  <c r="BO42" i="2"/>
  <c r="BN35" i="2"/>
  <c r="BN28" i="2"/>
  <c r="AZ14" i="2"/>
  <c r="BN43" i="2"/>
  <c r="CA56" i="2"/>
  <c r="BW56" i="2"/>
  <c r="BO39" i="2"/>
  <c r="BD13" i="2"/>
  <c r="BQ37" i="2"/>
  <c r="CE55" i="2"/>
  <c r="BI14" i="2"/>
  <c r="BR43" i="2"/>
  <c r="BO37" i="2"/>
  <c r="BV56" i="2"/>
  <c r="BR38" i="2"/>
  <c r="BN48" i="2"/>
  <c r="BD12" i="2"/>
  <c r="BQ41" i="2"/>
  <c r="BJ14" i="2"/>
  <c r="BS43" i="2"/>
  <c r="BJ16" i="2"/>
  <c r="BS45" i="2"/>
  <c r="BR53" i="2"/>
  <c r="BS37" i="2"/>
  <c r="BA15" i="2"/>
  <c r="BO44" i="2"/>
  <c r="BC15" i="2"/>
  <c r="BP44" i="2"/>
  <c r="BW55" i="2"/>
  <c r="BP37" i="2"/>
  <c r="BN37" i="2"/>
  <c r="BX55" i="2"/>
  <c r="BT55" i="2"/>
  <c r="BD16" i="2"/>
  <c r="BD73" i="4" s="1"/>
  <c r="CD55" i="2"/>
  <c r="BS47" i="2"/>
  <c r="BQ54" i="2"/>
  <c r="AZ16" i="2"/>
  <c r="AX73" i="4" s="1"/>
  <c r="BN45" i="2"/>
  <c r="BP53" i="2"/>
  <c r="AZ13" i="2"/>
  <c r="BN42" i="2"/>
  <c r="BJ12" i="2"/>
  <c r="BS41" i="2"/>
  <c r="CC55" i="2"/>
  <c r="CO55" i="2"/>
  <c r="BO46" i="2"/>
  <c r="CH56" i="2"/>
  <c r="CH55" i="2"/>
  <c r="CC56" i="2"/>
  <c r="AZ15" i="2"/>
  <c r="BN44" i="2"/>
  <c r="BN51" i="2"/>
  <c r="BY56" i="2"/>
  <c r="BP51" i="2"/>
  <c r="BZ56" i="2"/>
  <c r="BS38" i="2"/>
  <c r="BR35" i="2"/>
  <c r="BR28" i="2"/>
  <c r="BQ36" i="2"/>
  <c r="BC16" i="2"/>
  <c r="BB73" i="4" s="1"/>
  <c r="BP45" i="2"/>
  <c r="BC13" i="2"/>
  <c r="BP42" i="2"/>
  <c r="CI56" i="2"/>
  <c r="DM29" i="2"/>
  <c r="BI16" i="2"/>
  <c r="BR45" i="2"/>
  <c r="BS40" i="2"/>
  <c r="BU55" i="2"/>
  <c r="BO50" i="2"/>
  <c r="BI12" i="2"/>
  <c r="BR41" i="2"/>
  <c r="BR46" i="2"/>
  <c r="BN47" i="2"/>
  <c r="CK56" i="2"/>
  <c r="BA16" i="2"/>
  <c r="AZ73" i="4" s="1"/>
  <c r="BO45" i="2"/>
  <c r="CJ56" i="2"/>
  <c r="BO48" i="2"/>
  <c r="CN55" i="2"/>
  <c r="BJ15" i="2"/>
  <c r="BS44" i="2"/>
  <c r="BO36" i="2"/>
  <c r="BP36" i="2"/>
  <c r="BR37" i="2"/>
  <c r="BS50" i="2"/>
  <c r="BQ35" i="2"/>
  <c r="BQ28" i="2"/>
  <c r="BN36" i="2"/>
  <c r="BN46" i="2"/>
  <c r="BP47" i="2"/>
  <c r="BZ55" i="2"/>
  <c r="CF56" i="2"/>
  <c r="AP62" i="2"/>
  <c r="AP67" i="2"/>
  <c r="AO76" i="2"/>
  <c r="AP60" i="2"/>
  <c r="AO75" i="2"/>
  <c r="AO60" i="2"/>
  <c r="AO66" i="2"/>
  <c r="AO65" i="2"/>
  <c r="AP72" i="2"/>
  <c r="AP65" i="2"/>
  <c r="AP70" i="2"/>
  <c r="AP63" i="2"/>
  <c r="AO71" i="2"/>
  <c r="AP66" i="2"/>
  <c r="AP73" i="2"/>
  <c r="AO79" i="2"/>
  <c r="AO64" i="2"/>
  <c r="AP76" i="2"/>
  <c r="AO67" i="2"/>
  <c r="AO63" i="2"/>
  <c r="AP79" i="2"/>
  <c r="AO78" i="2"/>
  <c r="AP69" i="2"/>
  <c r="AO77" i="2"/>
  <c r="AO73" i="2"/>
  <c r="AO69" i="2"/>
  <c r="AP75" i="2"/>
  <c r="AO70" i="2"/>
  <c r="AP68" i="2"/>
  <c r="AP71" i="2"/>
  <c r="AO68" i="2"/>
  <c r="AO72" i="2"/>
  <c r="AP74" i="2"/>
  <c r="AO62" i="2"/>
  <c r="AO61" i="2"/>
  <c r="AP77" i="2"/>
  <c r="AP64" i="2"/>
  <c r="AO74" i="2"/>
  <c r="AP78" i="2"/>
  <c r="AP61" i="2"/>
  <c r="N184" i="2"/>
  <c r="AN125" i="2"/>
  <c r="R184" i="2"/>
  <c r="O201" i="2"/>
  <c r="N176" i="2"/>
  <c r="H202" i="2"/>
  <c r="AG184" i="2"/>
  <c r="AD200" i="2"/>
  <c r="C175" i="2"/>
  <c r="Z176" i="2"/>
  <c r="T176" i="2"/>
  <c r="U202" i="2"/>
  <c r="AG202" i="2"/>
  <c r="B176" i="2"/>
  <c r="N174" i="2"/>
  <c r="X176" i="2"/>
  <c r="T175" i="2"/>
  <c r="X175" i="2"/>
  <c r="C176" i="2"/>
  <c r="AA201" i="2"/>
  <c r="I202" i="2"/>
  <c r="T169" i="2"/>
  <c r="T200" i="2"/>
  <c r="AD176" i="2"/>
  <c r="U176" i="2"/>
  <c r="N175" i="2"/>
  <c r="F202" i="2"/>
  <c r="F176" i="2"/>
  <c r="AC202" i="2"/>
  <c r="Q169" i="2"/>
  <c r="Q200" i="2"/>
  <c r="Q201" i="2"/>
  <c r="AD174" i="2"/>
  <c r="I176" i="2"/>
  <c r="R169" i="2"/>
  <c r="R200" i="2"/>
  <c r="E201" i="2"/>
  <c r="AA176" i="2"/>
  <c r="R201" i="2"/>
  <c r="C184" i="2"/>
  <c r="C199" i="2"/>
  <c r="AP199" i="2" s="1"/>
  <c r="C174" i="2"/>
  <c r="B175" i="2"/>
  <c r="T201" i="2"/>
  <c r="Q175" i="2"/>
  <c r="N169" i="2"/>
  <c r="N200" i="2"/>
  <c r="H169" i="2"/>
  <c r="H200" i="2"/>
  <c r="H191" i="2"/>
  <c r="AG169" i="2"/>
  <c r="AG200" i="2"/>
  <c r="E179" i="2"/>
  <c r="E200" i="2"/>
  <c r="W201" i="2"/>
  <c r="B202" i="2"/>
  <c r="H186" i="2"/>
  <c r="H176" i="2"/>
  <c r="Q202" i="2"/>
  <c r="K191" i="2"/>
  <c r="AC201" i="2"/>
  <c r="AA175" i="2"/>
  <c r="F201" i="2"/>
  <c r="O191" i="2"/>
  <c r="I201" i="2"/>
  <c r="Q184" i="2"/>
  <c r="AF202" i="2"/>
  <c r="L169" i="2"/>
  <c r="L200" i="2"/>
  <c r="F175" i="2"/>
  <c r="AF201" i="2"/>
  <c r="AF176" i="2"/>
  <c r="K200" i="2"/>
  <c r="W175" i="2"/>
  <c r="K184" i="2"/>
  <c r="W176" i="2"/>
  <c r="L201" i="2"/>
  <c r="AG176" i="2"/>
  <c r="AD201" i="2"/>
  <c r="Z201" i="2"/>
  <c r="K176" i="2"/>
  <c r="B184" i="2"/>
  <c r="B199" i="2"/>
  <c r="AO199" i="2" s="1"/>
  <c r="B174" i="2"/>
  <c r="K174" i="2"/>
  <c r="F179" i="2"/>
  <c r="F200" i="2"/>
  <c r="AD202" i="2"/>
  <c r="L176" i="2"/>
  <c r="Z175" i="2"/>
  <c r="R175" i="2"/>
  <c r="T202" i="2"/>
  <c r="B200" i="2"/>
  <c r="O169" i="2"/>
  <c r="O200" i="2"/>
  <c r="AC176" i="2"/>
  <c r="L184" i="2"/>
  <c r="O175" i="2"/>
  <c r="O176" i="2"/>
  <c r="I181" i="2"/>
  <c r="B201" i="2"/>
  <c r="W200" i="2"/>
  <c r="Q174" i="2"/>
  <c r="AG175" i="2"/>
  <c r="L175" i="2"/>
  <c r="AD175" i="2"/>
  <c r="K202" i="2"/>
  <c r="R174" i="2"/>
  <c r="AA169" i="2"/>
  <c r="AA200" i="2"/>
  <c r="L202" i="2"/>
  <c r="R202" i="2"/>
  <c r="E202" i="2"/>
  <c r="C202" i="2"/>
  <c r="C201" i="2"/>
  <c r="H201" i="2"/>
  <c r="AF175" i="2"/>
  <c r="R176" i="2"/>
  <c r="C200" i="2"/>
  <c r="E176" i="2"/>
  <c r="U184" i="2"/>
  <c r="U200" i="2"/>
  <c r="H175" i="2"/>
  <c r="X201" i="2"/>
  <c r="K175" i="2"/>
  <c r="AG201" i="2"/>
  <c r="O202" i="2"/>
  <c r="X202" i="2"/>
  <c r="E175" i="2"/>
  <c r="H184" i="2"/>
  <c r="U201" i="2"/>
  <c r="I169" i="2"/>
  <c r="I200" i="2"/>
  <c r="W202" i="2"/>
  <c r="AA202" i="2"/>
  <c r="U169" i="2"/>
  <c r="T174" i="2"/>
  <c r="K201" i="2"/>
  <c r="AC169" i="2"/>
  <c r="AC200" i="2"/>
  <c r="N202" i="2"/>
  <c r="L191" i="2"/>
  <c r="AF169" i="2"/>
  <c r="AF200" i="2"/>
  <c r="U179" i="2"/>
  <c r="U175" i="2"/>
  <c r="I175" i="2"/>
  <c r="AC175" i="2"/>
  <c r="X179" i="2"/>
  <c r="X200" i="2"/>
  <c r="Q176" i="2"/>
  <c r="Z184" i="2"/>
  <c r="Z200" i="2"/>
  <c r="Z202" i="2"/>
  <c r="N201" i="2"/>
  <c r="O174" i="2"/>
  <c r="H185" i="2"/>
  <c r="I184" i="2"/>
  <c r="W189" i="2"/>
  <c r="AF184" i="2"/>
  <c r="B185" i="2"/>
  <c r="AA185" i="2"/>
  <c r="AD185" i="2"/>
  <c r="U185" i="2"/>
  <c r="I186" i="2"/>
  <c r="K185" i="2"/>
  <c r="E185" i="2"/>
  <c r="Q186" i="2"/>
  <c r="C186" i="2"/>
  <c r="F184" i="2"/>
  <c r="B186" i="2"/>
  <c r="AC185" i="2"/>
  <c r="L190" i="2"/>
  <c r="N185" i="2"/>
  <c r="AC184" i="2"/>
  <c r="L186" i="2"/>
  <c r="AD186" i="2"/>
  <c r="C185" i="2"/>
  <c r="AD189" i="2"/>
  <c r="L185" i="2"/>
  <c r="R189" i="2"/>
  <c r="AA184" i="2"/>
  <c r="AF185" i="2"/>
  <c r="T186" i="2"/>
  <c r="X189" i="2"/>
  <c r="AG186" i="2"/>
  <c r="Q189" i="2"/>
  <c r="Q185" i="2"/>
  <c r="R185" i="2"/>
  <c r="X186" i="2"/>
  <c r="F186" i="2"/>
  <c r="F189" i="2"/>
  <c r="W184" i="2"/>
  <c r="AG185" i="2"/>
  <c r="W186" i="2"/>
  <c r="O185" i="2"/>
  <c r="K186" i="2"/>
  <c r="Z185" i="2"/>
  <c r="R186" i="2"/>
  <c r="N189" i="2"/>
  <c r="I189" i="2"/>
  <c r="K189" i="2"/>
  <c r="AA186" i="2"/>
  <c r="W185" i="2"/>
  <c r="B169" i="2"/>
  <c r="U186" i="2"/>
  <c r="N186" i="2"/>
  <c r="X185" i="2"/>
  <c r="I185" i="2"/>
  <c r="AC186" i="2"/>
  <c r="T184" i="2"/>
  <c r="E184" i="2"/>
  <c r="F185" i="2"/>
  <c r="T185" i="2"/>
  <c r="X184" i="2"/>
  <c r="E186" i="2"/>
  <c r="U189" i="2"/>
  <c r="Z186" i="2"/>
  <c r="AF186" i="2"/>
  <c r="O186" i="2"/>
  <c r="O184" i="2"/>
  <c r="AD184" i="2"/>
  <c r="AD190" i="2"/>
  <c r="H189" i="2"/>
  <c r="W190" i="2"/>
  <c r="E190" i="2"/>
  <c r="C189" i="2"/>
  <c r="C191" i="2"/>
  <c r="F191" i="2"/>
  <c r="AF190" i="2"/>
  <c r="AA189" i="2"/>
  <c r="O179" i="2"/>
  <c r="O189" i="2"/>
  <c r="W191" i="2"/>
  <c r="C190" i="2"/>
  <c r="Q190" i="2"/>
  <c r="N191" i="2"/>
  <c r="X191" i="2"/>
  <c r="B190" i="2"/>
  <c r="AG191" i="2"/>
  <c r="U190" i="2"/>
  <c r="R190" i="2"/>
  <c r="K190" i="2"/>
  <c r="Z191" i="2"/>
  <c r="E189" i="2"/>
  <c r="AC191" i="2"/>
  <c r="U191" i="2"/>
  <c r="N190" i="2"/>
  <c r="AF189" i="2"/>
  <c r="AD191" i="2"/>
  <c r="Z190" i="2"/>
  <c r="F190" i="2"/>
  <c r="R191" i="2"/>
  <c r="T190" i="2"/>
  <c r="I191" i="2"/>
  <c r="E191" i="2"/>
  <c r="X190" i="2"/>
  <c r="O190" i="2"/>
  <c r="T191" i="2"/>
  <c r="H179" i="2"/>
  <c r="L189" i="2"/>
  <c r="Z189" i="2"/>
  <c r="B189" i="2"/>
  <c r="I190" i="2"/>
  <c r="AA191" i="2"/>
  <c r="Q191" i="2"/>
  <c r="AA190" i="2"/>
  <c r="B191" i="2"/>
  <c r="AC189" i="2"/>
  <c r="AC190" i="2"/>
  <c r="H190" i="2"/>
  <c r="K179" i="2"/>
  <c r="AG189" i="2"/>
  <c r="O194" i="2"/>
  <c r="T189" i="2"/>
  <c r="AF191" i="2"/>
  <c r="AG190" i="2"/>
  <c r="W194" i="2"/>
  <c r="L194" i="2"/>
  <c r="K169" i="2"/>
  <c r="AF179" i="2"/>
  <c r="E195" i="2"/>
  <c r="Z194" i="2"/>
  <c r="W169" i="2"/>
  <c r="R179" i="2"/>
  <c r="W196" i="2"/>
  <c r="H194" i="2"/>
  <c r="C179" i="2"/>
  <c r="E169" i="2"/>
  <c r="X196" i="2"/>
  <c r="K180" i="2"/>
  <c r="W179" i="2"/>
  <c r="AD179" i="2"/>
  <c r="K195" i="2"/>
  <c r="O195" i="2"/>
  <c r="T170" i="2"/>
  <c r="L196" i="2"/>
  <c r="U194" i="2"/>
  <c r="R195" i="2"/>
  <c r="R194" i="2"/>
  <c r="B196" i="2"/>
  <c r="F195" i="2"/>
  <c r="AG170" i="2"/>
  <c r="AG196" i="2"/>
  <c r="Q180" i="2"/>
  <c r="AC170" i="2"/>
  <c r="E180" i="2"/>
  <c r="Z180" i="2"/>
  <c r="Z181" i="2"/>
  <c r="Z196" i="2"/>
  <c r="L171" i="2"/>
  <c r="B170" i="2"/>
  <c r="AA180" i="2"/>
  <c r="C170" i="2"/>
  <c r="N195" i="2"/>
  <c r="F169" i="2"/>
  <c r="K171" i="2"/>
  <c r="C180" i="2"/>
  <c r="AC171" i="2"/>
  <c r="Z170" i="2"/>
  <c r="U181" i="2"/>
  <c r="F180" i="2"/>
  <c r="T180" i="2"/>
  <c r="R170" i="2"/>
  <c r="Z169" i="2"/>
  <c r="N170" i="2"/>
  <c r="F181" i="2"/>
  <c r="Z179" i="2"/>
  <c r="X195" i="2"/>
  <c r="H196" i="2"/>
  <c r="AA196" i="2"/>
  <c r="K170" i="2"/>
  <c r="AF181" i="2"/>
  <c r="O181" i="2"/>
  <c r="X181" i="2"/>
  <c r="I195" i="2"/>
  <c r="L180" i="2"/>
  <c r="AD169" i="2"/>
  <c r="X194" i="2"/>
  <c r="AA179" i="2"/>
  <c r="F170" i="2"/>
  <c r="O170" i="2"/>
  <c r="AG195" i="2"/>
  <c r="X180" i="2"/>
  <c r="T196" i="2"/>
  <c r="AC181" i="2"/>
  <c r="I180" i="2"/>
  <c r="N179" i="2"/>
  <c r="AD194" i="2"/>
  <c r="C194" i="2"/>
  <c r="X169" i="2"/>
  <c r="AA194" i="2"/>
  <c r="U171" i="2"/>
  <c r="AG171" i="2"/>
  <c r="AA195" i="2"/>
  <c r="I170" i="2"/>
  <c r="K194" i="2"/>
  <c r="C171" i="2"/>
  <c r="AG194" i="2"/>
  <c r="AA170" i="2"/>
  <c r="Q170" i="2"/>
  <c r="B194" i="2"/>
  <c r="O180" i="2"/>
  <c r="AF170" i="2"/>
  <c r="T171" i="2"/>
  <c r="AF194" i="2"/>
  <c r="R196" i="2"/>
  <c r="Q179" i="2"/>
  <c r="L195" i="2"/>
  <c r="C169" i="2"/>
  <c r="U195" i="2"/>
  <c r="AD171" i="2"/>
  <c r="N194" i="2"/>
  <c r="AC179" i="2"/>
  <c r="AD180" i="2"/>
  <c r="I171" i="2"/>
  <c r="B171" i="2"/>
  <c r="AG180" i="2"/>
  <c r="H195" i="2"/>
  <c r="N181" i="2"/>
  <c r="H181" i="2"/>
  <c r="T194" i="2"/>
  <c r="E196" i="2"/>
  <c r="E181" i="2"/>
  <c r="U180" i="2"/>
  <c r="C196" i="2"/>
  <c r="H180" i="2"/>
  <c r="U170" i="2"/>
  <c r="I179" i="2"/>
  <c r="Q181" i="2"/>
  <c r="F171" i="2"/>
  <c r="AD170" i="2"/>
  <c r="E171" i="2"/>
  <c r="R181" i="2"/>
  <c r="AG179" i="2"/>
  <c r="T195" i="2"/>
  <c r="B195" i="2"/>
  <c r="AF171" i="2"/>
  <c r="O171" i="2"/>
  <c r="I196" i="2"/>
  <c r="AC194" i="2"/>
  <c r="AD195" i="2"/>
  <c r="AF196" i="2"/>
  <c r="AA181" i="2"/>
  <c r="N171" i="2"/>
  <c r="T179" i="2"/>
  <c r="AG181" i="2"/>
  <c r="AA171" i="2"/>
  <c r="Z195" i="2"/>
  <c r="Q195" i="2"/>
  <c r="F196" i="2"/>
  <c r="W170" i="2"/>
  <c r="K196" i="2"/>
  <c r="I194" i="2"/>
  <c r="E170" i="2"/>
  <c r="B181" i="2"/>
  <c r="N180" i="2"/>
  <c r="Z171" i="2"/>
  <c r="L170" i="2"/>
  <c r="W180" i="2"/>
  <c r="K181" i="2"/>
  <c r="R180" i="2"/>
  <c r="X171" i="2"/>
  <c r="Q196" i="2"/>
  <c r="X170" i="2"/>
  <c r="AC195" i="2"/>
  <c r="AD181" i="2"/>
  <c r="R171" i="2"/>
  <c r="B180" i="2"/>
  <c r="F194" i="2"/>
  <c r="L181" i="2"/>
  <c r="AC180" i="2"/>
  <c r="B179" i="2"/>
  <c r="L179" i="2"/>
  <c r="C181" i="2"/>
  <c r="AF180" i="2"/>
  <c r="AD196" i="2"/>
  <c r="E194" i="2"/>
  <c r="U196" i="2"/>
  <c r="T181" i="2"/>
  <c r="H170" i="2"/>
  <c r="Q194" i="2"/>
  <c r="C195" i="2"/>
  <c r="W171" i="2"/>
  <c r="H171" i="2"/>
  <c r="AF195" i="2"/>
  <c r="W181" i="2"/>
  <c r="O196" i="2"/>
  <c r="AC196" i="2"/>
  <c r="W195" i="2"/>
  <c r="Q171" i="2"/>
  <c r="N196" i="2"/>
  <c r="DK7" i="2"/>
  <c r="AO96" i="2" l="1"/>
  <c r="AP96" i="2"/>
  <c r="BD62" i="4"/>
  <c r="BD63" i="4" s="1"/>
  <c r="BD64" i="4" s="1"/>
  <c r="BD65" i="4" s="1"/>
  <c r="BD66" i="4" s="1"/>
  <c r="BD67" i="4" s="1"/>
  <c r="BD68" i="4" s="1"/>
  <c r="BD69" i="4" s="1"/>
  <c r="BD70" i="4" s="1"/>
  <c r="BD71" i="4" s="1"/>
  <c r="AO94" i="2"/>
  <c r="AO95" i="2"/>
  <c r="AP95" i="2"/>
  <c r="BB13" i="2"/>
  <c r="AP94" i="2"/>
  <c r="L105" i="2"/>
  <c r="BB15" i="2"/>
  <c r="X105" i="2"/>
  <c r="BB14" i="2"/>
  <c r="AD105" i="2"/>
  <c r="O105" i="2"/>
  <c r="AX62" i="4"/>
  <c r="AX63" i="4" s="1"/>
  <c r="AX64" i="4" s="1"/>
  <c r="AX65" i="4" s="1"/>
  <c r="AX66" i="4" s="1"/>
  <c r="AX67" i="4" s="1"/>
  <c r="AX68" i="4" s="1"/>
  <c r="AX69" i="4" s="1"/>
  <c r="AX70" i="4" s="1"/>
  <c r="AX71" i="4" s="1"/>
  <c r="B105" i="2"/>
  <c r="AZ62" i="4"/>
  <c r="AZ63" i="4" s="1"/>
  <c r="AZ64" i="4" s="1"/>
  <c r="AZ65" i="4" s="1"/>
  <c r="AZ66" i="4" s="1"/>
  <c r="AZ67" i="4" s="1"/>
  <c r="AZ68" i="4" s="1"/>
  <c r="AZ69" i="4" s="1"/>
  <c r="AZ70" i="4" s="1"/>
  <c r="AZ71" i="4" s="1"/>
  <c r="BB12" i="2"/>
  <c r="I105" i="2"/>
  <c r="AF105" i="2"/>
  <c r="AA105" i="2"/>
  <c r="C105" i="2"/>
  <c r="U105" i="2"/>
  <c r="BR55" i="2"/>
  <c r="BO56" i="2"/>
  <c r="K105" i="2"/>
  <c r="N105" i="2"/>
  <c r="AG105" i="2"/>
  <c r="E105" i="2"/>
  <c r="H105" i="2"/>
  <c r="Q105" i="2"/>
  <c r="T105" i="2"/>
  <c r="BS55" i="2"/>
  <c r="F105" i="2"/>
  <c r="W105" i="2"/>
  <c r="AC105" i="2"/>
  <c r="BB62" i="4"/>
  <c r="BB63" i="4" s="1"/>
  <c r="BB64" i="4" s="1"/>
  <c r="BB65" i="4" s="1"/>
  <c r="BB66" i="4" s="1"/>
  <c r="BB67" i="4" s="1"/>
  <c r="BB68" i="4" s="1"/>
  <c r="BB69" i="4" s="1"/>
  <c r="BB70" i="4" s="1"/>
  <c r="BB71" i="4" s="1"/>
  <c r="BB16" i="2"/>
  <c r="R105" i="2"/>
  <c r="E109" i="2"/>
  <c r="Z105" i="2"/>
  <c r="BQ55" i="2"/>
  <c r="BN56" i="2"/>
  <c r="BN55" i="2"/>
  <c r="BP56" i="2"/>
  <c r="BP55" i="2"/>
  <c r="BR56" i="2"/>
  <c r="BS56" i="2"/>
  <c r="BQ56" i="2"/>
  <c r="BO55" i="2"/>
  <c r="I109" i="2"/>
  <c r="AA109" i="2"/>
  <c r="B109" i="2"/>
  <c r="F109" i="2"/>
  <c r="T109" i="2"/>
  <c r="L109" i="2"/>
  <c r="K109" i="2"/>
  <c r="H109" i="2"/>
  <c r="X109" i="2"/>
  <c r="AG109" i="2"/>
  <c r="W107" i="2"/>
  <c r="O109" i="2"/>
  <c r="AC109" i="2"/>
  <c r="C109" i="2"/>
  <c r="AF109" i="2"/>
  <c r="W109" i="2"/>
  <c r="O107" i="2"/>
  <c r="U109" i="2"/>
  <c r="R109" i="2"/>
  <c r="Q109" i="2"/>
  <c r="AD109" i="2"/>
  <c r="N109" i="2"/>
  <c r="Z109" i="2"/>
  <c r="Z107" i="2"/>
  <c r="AD107" i="2"/>
  <c r="AO186" i="2"/>
  <c r="W104" i="2"/>
  <c r="X104" i="2"/>
  <c r="AP194" i="2"/>
  <c r="H104" i="2"/>
  <c r="AP191" i="2"/>
  <c r="U107" i="2"/>
  <c r="AO169" i="2"/>
  <c r="E107" i="2"/>
  <c r="AP98" i="2"/>
  <c r="AO194" i="2"/>
  <c r="AO184" i="2"/>
  <c r="AP174" i="2"/>
  <c r="AO101" i="2"/>
  <c r="AD104" i="2"/>
  <c r="AO196" i="2"/>
  <c r="AO185" i="2"/>
  <c r="AO201" i="2"/>
  <c r="AP99" i="2"/>
  <c r="C107" i="2"/>
  <c r="AO180" i="2"/>
  <c r="AP175" i="2"/>
  <c r="AP179" i="2"/>
  <c r="H107" i="2"/>
  <c r="I104" i="2"/>
  <c r="AP184" i="2"/>
  <c r="AP103" i="2"/>
  <c r="AF104" i="2"/>
  <c r="AP169" i="2"/>
  <c r="AP195" i="2"/>
  <c r="L104" i="2"/>
  <c r="AP185" i="2"/>
  <c r="AO171" i="2"/>
  <c r="AP101" i="2"/>
  <c r="I107" i="2"/>
  <c r="AO98" i="2"/>
  <c r="AP196" i="2"/>
  <c r="AG104" i="2"/>
  <c r="AO175" i="2"/>
  <c r="AP100" i="2"/>
  <c r="AP176" i="2"/>
  <c r="AP171" i="2"/>
  <c r="AO181" i="2"/>
  <c r="AO202" i="2"/>
  <c r="Q104" i="2"/>
  <c r="N104" i="2"/>
  <c r="X107" i="2"/>
  <c r="AO174" i="2"/>
  <c r="AC107" i="2"/>
  <c r="N107" i="2"/>
  <c r="AP190" i="2"/>
  <c r="AP201" i="2"/>
  <c r="AP102" i="2"/>
  <c r="T104" i="2"/>
  <c r="T107" i="2"/>
  <c r="L107" i="2"/>
  <c r="AG107" i="2"/>
  <c r="B104" i="2"/>
  <c r="AP97" i="2"/>
  <c r="K107" i="2"/>
  <c r="C104" i="2"/>
  <c r="AP202" i="2"/>
  <c r="AO176" i="2"/>
  <c r="U104" i="2"/>
  <c r="AO97" i="2"/>
  <c r="AF107" i="2"/>
  <c r="AA107" i="2"/>
  <c r="R104" i="2"/>
  <c r="AO100" i="2"/>
  <c r="AP189" i="2"/>
  <c r="AC104" i="2"/>
  <c r="AP180" i="2"/>
  <c r="AO179" i="2"/>
  <c r="AO200" i="2"/>
  <c r="Q107" i="2"/>
  <c r="AO102" i="2"/>
  <c r="O104" i="2"/>
  <c r="E104" i="2"/>
  <c r="AP186" i="2"/>
  <c r="AA104" i="2"/>
  <c r="AO191" i="2"/>
  <c r="F104" i="2"/>
  <c r="R107" i="2"/>
  <c r="AO189" i="2"/>
  <c r="AO190" i="2"/>
  <c r="AP200" i="2"/>
  <c r="Z104" i="2"/>
  <c r="AO99" i="2"/>
  <c r="B107" i="2"/>
  <c r="AO103" i="2"/>
  <c r="AO195" i="2"/>
  <c r="AP181" i="2"/>
  <c r="AP170" i="2"/>
  <c r="AO170" i="2"/>
  <c r="K104" i="2"/>
  <c r="F107" i="2"/>
  <c r="AP91" i="2"/>
  <c r="AP93" i="2"/>
  <c r="AP92" i="2"/>
  <c r="AO92" i="2"/>
  <c r="AO91" i="2"/>
  <c r="AO93" i="2"/>
  <c r="DK6" i="2"/>
  <c r="DK29" i="2" s="1"/>
  <c r="B1" i="1"/>
  <c r="AT53" i="4"/>
  <c r="AX53" i="4" s="1"/>
  <c r="AU53" i="4"/>
  <c r="AZ53" i="4" s="1"/>
  <c r="AV53" i="4"/>
  <c r="BB53" i="4" s="1"/>
  <c r="AW53" i="4"/>
  <c r="BD53" i="4" s="1"/>
  <c r="S23" i="4"/>
  <c r="S22" i="4"/>
  <c r="S21" i="4"/>
  <c r="S20" i="4"/>
  <c r="S19" i="4"/>
  <c r="S18" i="4"/>
  <c r="S17" i="4"/>
  <c r="S16" i="4"/>
  <c r="S15" i="4"/>
  <c r="O5" i="1"/>
  <c r="N5" i="1"/>
  <c r="M5" i="1"/>
  <c r="L5" i="1"/>
  <c r="D23" i="4"/>
  <c r="D22" i="4"/>
  <c r="B20" i="4"/>
  <c r="AM6" i="2"/>
  <c r="AM115" i="2" s="1"/>
  <c r="AL6" i="2"/>
  <c r="AL115" i="2" s="1"/>
  <c r="I80" i="4"/>
  <c r="M79" i="4"/>
  <c r="L79" i="4"/>
  <c r="I79" i="4"/>
  <c r="M78" i="4"/>
  <c r="L78" i="4"/>
  <c r="K78" i="4"/>
  <c r="J78" i="4"/>
  <c r="I78" i="4"/>
  <c r="AW52" i="4"/>
  <c r="BD52" i="4" s="1"/>
  <c r="AV52" i="4"/>
  <c r="BB52" i="4" s="1"/>
  <c r="AU52" i="4"/>
  <c r="AT52" i="4"/>
  <c r="AQ52" i="4"/>
  <c r="AO52" i="4"/>
  <c r="AX51" i="4"/>
  <c r="AW51" i="4"/>
  <c r="K80" i="4" s="1"/>
  <c r="AV51" i="4"/>
  <c r="K51" i="4" s="1"/>
  <c r="AU51" i="4"/>
  <c r="J80" i="4" s="1"/>
  <c r="AT51" i="4"/>
  <c r="J51" i="4" s="1"/>
  <c r="AQ51" i="4"/>
  <c r="AP51" i="4"/>
  <c r="AP4" i="4" s="1"/>
  <c r="AO51" i="4"/>
  <c r="AZ51" i="4" s="1"/>
  <c r="L80" i="4" s="1"/>
  <c r="AH51" i="4"/>
  <c r="AJ51" i="4" s="1"/>
  <c r="H51" i="4" s="1"/>
  <c r="H80" i="4" s="1"/>
  <c r="I51" i="4"/>
  <c r="M50" i="4"/>
  <c r="I50" i="4"/>
  <c r="AX50" i="4"/>
  <c r="L50" i="4" s="1"/>
  <c r="AW50" i="4"/>
  <c r="K79" i="4" s="1"/>
  <c r="AV50" i="4"/>
  <c r="K50" i="4" s="1"/>
  <c r="AU50" i="4"/>
  <c r="J79" i="4" s="1"/>
  <c r="AT50" i="4"/>
  <c r="J50" i="4" s="1"/>
  <c r="AJ50" i="4"/>
  <c r="H50" i="4" s="1"/>
  <c r="H79" i="4" s="1"/>
  <c r="AG50" i="4"/>
  <c r="T11" i="4"/>
  <c r="D20" i="4" s="1"/>
  <c r="Z111" i="2" l="1"/>
  <c r="AG111" i="2"/>
  <c r="K111" i="2"/>
  <c r="I111" i="2"/>
  <c r="AA111" i="2"/>
  <c r="N111" i="2"/>
  <c r="C111" i="2"/>
  <c r="AC111" i="2"/>
  <c r="B111" i="2"/>
  <c r="W111" i="2"/>
  <c r="O111" i="2"/>
  <c r="AF111" i="2"/>
  <c r="F111" i="2"/>
  <c r="AD111" i="2"/>
  <c r="T111" i="2"/>
  <c r="X111" i="2"/>
  <c r="Q111" i="2"/>
  <c r="H111" i="2"/>
  <c r="U111" i="2"/>
  <c r="R111" i="2"/>
  <c r="AP105" i="2"/>
  <c r="E111" i="2"/>
  <c r="L111" i="2"/>
  <c r="AO105" i="2"/>
  <c r="AO109" i="2"/>
  <c r="AP109" i="2"/>
  <c r="AO104" i="2"/>
  <c r="AO107" i="2"/>
  <c r="AP107" i="2"/>
  <c r="AP104" i="2"/>
  <c r="AN7" i="2"/>
  <c r="AN115" i="2"/>
  <c r="AN6" i="2"/>
  <c r="BE14" i="2"/>
  <c r="T12" i="4"/>
  <c r="J6" i="1" s="1"/>
  <c r="AQ4" i="4"/>
  <c r="AR4" i="4" s="1"/>
  <c r="AS51" i="4"/>
  <c r="AH52" i="4"/>
  <c r="AG52" i="4" s="1"/>
  <c r="AS52" i="4"/>
  <c r="AZ52" i="4"/>
  <c r="AR51" i="4"/>
  <c r="BA51" i="4"/>
  <c r="AR52" i="4"/>
  <c r="BE52" i="4"/>
  <c r="AY51" i="4"/>
  <c r="AX52" i="4"/>
  <c r="BB51" i="4"/>
  <c r="L51" i="4"/>
  <c r="BD51" i="4"/>
  <c r="BC52" i="4"/>
  <c r="AK51" i="4"/>
  <c r="AO111" i="2" l="1"/>
  <c r="AP111" i="2"/>
  <c r="BG13" i="2"/>
  <c r="K6" i="1"/>
  <c r="P6" i="1"/>
  <c r="BG12" i="2"/>
  <c r="BE12" i="2"/>
  <c r="BF16" i="2"/>
  <c r="BG15" i="2"/>
  <c r="BE16" i="2"/>
  <c r="BG16" i="2"/>
  <c r="BE13" i="2"/>
  <c r="BG14" i="2"/>
  <c r="BF14" i="2"/>
  <c r="BK14" i="2" s="1"/>
  <c r="BE15" i="2"/>
  <c r="BF15" i="2"/>
  <c r="BK15" i="2" s="1"/>
  <c r="BF13" i="2"/>
  <c r="BK13" i="2" s="1"/>
  <c r="BF12" i="2"/>
  <c r="BK12" i="2" s="1"/>
  <c r="T13" i="4"/>
  <c r="N6" i="1"/>
  <c r="O6" i="1"/>
  <c r="M6" i="1"/>
  <c r="I6" i="1"/>
  <c r="AH53" i="4"/>
  <c r="AH54" i="4" s="1"/>
  <c r="AJ54" i="4" s="1"/>
  <c r="H54" i="4" s="1"/>
  <c r="H83" i="4" s="1"/>
  <c r="L6" i="1"/>
  <c r="H6" i="1"/>
  <c r="AJ52" i="4"/>
  <c r="AK52" i="4" s="1"/>
  <c r="BA52" i="4"/>
  <c r="BE51" i="4"/>
  <c r="M80" i="4"/>
  <c r="AL51" i="4"/>
  <c r="BF51" i="4" s="1"/>
  <c r="BG51" i="4"/>
  <c r="M51" i="4"/>
  <c r="BC51" i="4"/>
  <c r="AY52" i="4"/>
  <c r="BK16" i="2" l="1"/>
  <c r="BH12" i="2"/>
  <c r="BH13" i="2"/>
  <c r="BH15" i="2"/>
  <c r="AH55" i="4"/>
  <c r="AG55" i="4" s="1"/>
  <c r="AG53" i="4"/>
  <c r="BH16" i="2"/>
  <c r="BH14" i="2"/>
  <c r="AG54" i="4"/>
  <c r="AJ53" i="4"/>
  <c r="AK53" i="4" s="1"/>
  <c r="AL53" i="4" s="1"/>
  <c r="AK54" i="4"/>
  <c r="H52" i="4"/>
  <c r="H81" i="4" s="1"/>
  <c r="AL52" i="4"/>
  <c r="BF52" i="4" s="1"/>
  <c r="BG52" i="4"/>
  <c r="AH56" i="4" l="1"/>
  <c r="AG56" i="4" s="1"/>
  <c r="AJ55" i="4"/>
  <c r="H55" i="4" s="1"/>
  <c r="H84" i="4" s="1"/>
  <c r="H53" i="4"/>
  <c r="H82" i="4" s="1"/>
  <c r="AL54" i="4"/>
  <c r="DI7" i="2"/>
  <c r="AN8" i="2" l="1"/>
  <c r="AK55" i="4"/>
  <c r="AL55" i="4" s="1"/>
  <c r="AH57" i="4"/>
  <c r="AJ57" i="4" s="1"/>
  <c r="AK57" i="4" s="1"/>
  <c r="AJ56" i="4"/>
  <c r="AK56" i="4" s="1"/>
  <c r="AL56" i="4" s="1"/>
  <c r="DI6" i="2"/>
  <c r="DI29" i="2" s="1"/>
  <c r="BG53" i="4"/>
  <c r="AQ53" i="4"/>
  <c r="L53" i="1"/>
  <c r="L55" i="1"/>
  <c r="AG57" i="4" l="1"/>
  <c r="H57" i="4"/>
  <c r="H86" i="4" s="1"/>
  <c r="AH58" i="4"/>
  <c r="AH59" i="4" s="1"/>
  <c r="AL57" i="4"/>
  <c r="H56" i="4"/>
  <c r="H85" i="4" s="1"/>
  <c r="AG58" i="4"/>
  <c r="AJ58" i="4"/>
  <c r="H58" i="4" s="1"/>
  <c r="H87" i="4" s="1"/>
  <c r="AJ59" i="4"/>
  <c r="AG59" i="4"/>
  <c r="AH60" i="4"/>
  <c r="BF53" i="4"/>
  <c r="AS53" i="4"/>
  <c r="AR53" i="4"/>
  <c r="L77" i="1"/>
  <c r="L78" i="1" s="1"/>
  <c r="AK58" i="4" l="1"/>
  <c r="AL58" i="4" s="1"/>
  <c r="H59" i="4"/>
  <c r="H88" i="4" s="1"/>
  <c r="AK59" i="4"/>
  <c r="AG60" i="4"/>
  <c r="AH61" i="4"/>
  <c r="AJ60" i="4"/>
  <c r="AL59" i="4" l="1"/>
  <c r="H60" i="4"/>
  <c r="H89" i="4" s="1"/>
  <c r="AK60" i="4"/>
  <c r="AL60" i="4" s="1"/>
  <c r="AJ61" i="4"/>
  <c r="AG61" i="4"/>
  <c r="AH62" i="4"/>
  <c r="DG7" i="2"/>
  <c r="DE7" i="2"/>
  <c r="DG6" i="2"/>
  <c r="DG29" i="2" s="1"/>
  <c r="DE6" i="2"/>
  <c r="DE29" i="2" s="1"/>
  <c r="AH63" i="4" l="1"/>
  <c r="AJ62" i="4"/>
  <c r="AG62" i="4"/>
  <c r="H61" i="4"/>
  <c r="H90" i="4" s="1"/>
  <c r="AK61" i="4"/>
  <c r="AL61" i="4" s="1"/>
  <c r="AK62" i="4" l="1"/>
  <c r="AL62" i="4" s="1"/>
  <c r="H62" i="4"/>
  <c r="H91" i="4" s="1"/>
  <c r="AJ63" i="4"/>
  <c r="AG63" i="4"/>
  <c r="AH64" i="4"/>
  <c r="AK63" i="4" l="1"/>
  <c r="AL63" i="4" s="1"/>
  <c r="H63" i="4"/>
  <c r="H92" i="4" s="1"/>
  <c r="AJ64" i="4"/>
  <c r="AG64" i="4"/>
  <c r="AH65" i="4"/>
  <c r="H80" i="1"/>
  <c r="L82" i="1" s="1"/>
  <c r="I80" i="1"/>
  <c r="L83" i="1" s="1"/>
  <c r="I55" i="1"/>
  <c r="H55" i="1"/>
  <c r="H53" i="1"/>
  <c r="AK64" i="4" l="1"/>
  <c r="AL64" i="4" s="1"/>
  <c r="H64" i="4"/>
  <c r="H93" i="4" s="1"/>
  <c r="AJ65" i="4"/>
  <c r="AG65" i="4"/>
  <c r="AH66" i="4"/>
  <c r="I82" i="1"/>
  <c r="H86" i="1"/>
  <c r="I86" i="1"/>
  <c r="H83" i="1"/>
  <c r="H96" i="1"/>
  <c r="AJ66" i="4" l="1"/>
  <c r="AG66" i="4"/>
  <c r="AH67" i="4"/>
  <c r="AK65" i="4"/>
  <c r="AL65" i="4" s="1"/>
  <c r="H65" i="4"/>
  <c r="H94" i="4" s="1"/>
  <c r="I77" i="1"/>
  <c r="H77" i="1"/>
  <c r="H78" i="1" s="1"/>
  <c r="AG67" i="4" l="1"/>
  <c r="AH68" i="4"/>
  <c r="AJ67" i="4"/>
  <c r="H66" i="4"/>
  <c r="H95" i="4" s="1"/>
  <c r="AK66" i="4"/>
  <c r="AL66" i="4" s="1"/>
  <c r="AH69" i="4" l="1"/>
  <c r="AJ68" i="4"/>
  <c r="AG68" i="4"/>
  <c r="H67" i="4"/>
  <c r="H96" i="4" s="1"/>
  <c r="AK67" i="4"/>
  <c r="AL67" i="4" s="1"/>
  <c r="AK68" i="4" l="1"/>
  <c r="AL68" i="4" s="1"/>
  <c r="H68" i="4"/>
  <c r="H97" i="4" s="1"/>
  <c r="AJ69" i="4"/>
  <c r="AG69" i="4"/>
  <c r="AH70" i="4"/>
  <c r="AK69" i="4" l="1"/>
  <c r="AL69" i="4" s="1"/>
  <c r="H69" i="4"/>
  <c r="H98" i="4" s="1"/>
  <c r="AJ70" i="4"/>
  <c r="AG70" i="4"/>
  <c r="AH71" i="4"/>
  <c r="DC6" i="2"/>
  <c r="DC7" i="2"/>
  <c r="DC29" i="2" l="1"/>
  <c r="AG71" i="4"/>
  <c r="AJ71" i="4"/>
  <c r="H70" i="4"/>
  <c r="H99" i="4" s="1"/>
  <c r="AK70" i="4"/>
  <c r="AL70" i="4" s="1"/>
  <c r="Q53" i="1"/>
  <c r="P53" i="1"/>
  <c r="O53" i="1"/>
  <c r="N53" i="1"/>
  <c r="M53" i="1"/>
  <c r="J53" i="1"/>
  <c r="G53" i="1"/>
  <c r="J55" i="1"/>
  <c r="K55" i="1"/>
  <c r="M55" i="1"/>
  <c r="N55" i="1"/>
  <c r="O55" i="1"/>
  <c r="P55" i="1"/>
  <c r="G77" i="1"/>
  <c r="Q77" i="1"/>
  <c r="P80" i="1"/>
  <c r="L90" i="1" s="1"/>
  <c r="H71" i="4" l="1"/>
  <c r="H100" i="4" s="1"/>
  <c r="AK71" i="4"/>
  <c r="AL71" i="4" s="1"/>
  <c r="P86" i="1"/>
  <c r="I90" i="1"/>
  <c r="H90" i="1"/>
  <c r="P82" i="1"/>
  <c r="P83" i="1"/>
  <c r="I87" i="1"/>
  <c r="P87" i="1"/>
  <c r="H87" i="1"/>
  <c r="L89" i="1"/>
  <c r="M77" i="1"/>
  <c r="M78" i="1" s="1"/>
  <c r="R53" i="1"/>
  <c r="I53" i="1"/>
  <c r="I78" i="1" s="1"/>
  <c r="I96" i="1"/>
  <c r="L81" i="1"/>
  <c r="P77" i="1"/>
  <c r="P78" i="1" s="1"/>
  <c r="R77" i="1"/>
  <c r="K53" i="1"/>
  <c r="L85" i="1"/>
  <c r="L84" i="1"/>
  <c r="Q78" i="1"/>
  <c r="G78" i="1"/>
  <c r="O77" i="1"/>
  <c r="O78" i="1" s="1"/>
  <c r="N77" i="1"/>
  <c r="N78" i="1" s="1"/>
  <c r="O86" i="1" l="1"/>
  <c r="G89" i="1"/>
  <c r="O82" i="1"/>
  <c r="G88" i="1"/>
  <c r="I81" i="1"/>
  <c r="J81" i="1"/>
  <c r="K81" i="1"/>
  <c r="O81" i="1"/>
  <c r="G86" i="1"/>
  <c r="G87" i="1"/>
  <c r="H81" i="1"/>
  <c r="G83" i="1"/>
  <c r="G82" i="1"/>
  <c r="G84" i="1"/>
  <c r="J82" i="1"/>
  <c r="G85" i="1"/>
  <c r="K82" i="1"/>
  <c r="G90" i="1"/>
  <c r="P81" i="1"/>
  <c r="K86" i="1"/>
  <c r="J86" i="1"/>
  <c r="K87" i="1"/>
  <c r="O87" i="1"/>
  <c r="I84" i="1"/>
  <c r="O84" i="1"/>
  <c r="H84" i="1"/>
  <c r="P84" i="1"/>
  <c r="K84" i="1"/>
  <c r="J83" i="1"/>
  <c r="P85" i="1"/>
  <c r="O85" i="1"/>
  <c r="H85" i="1"/>
  <c r="I85" i="1"/>
  <c r="J85" i="1"/>
  <c r="K83" i="1"/>
  <c r="J87" i="1"/>
  <c r="K90" i="1"/>
  <c r="J90" i="1"/>
  <c r="H88" i="1"/>
  <c r="I88" i="1"/>
  <c r="O88" i="1"/>
  <c r="J88" i="1"/>
  <c r="K88" i="1"/>
  <c r="P88" i="1"/>
  <c r="H89" i="1"/>
  <c r="I89" i="1"/>
  <c r="K89" i="1"/>
  <c r="J89" i="1"/>
  <c r="P89" i="1"/>
  <c r="O83" i="1"/>
  <c r="O90" i="1"/>
  <c r="R78" i="1"/>
  <c r="K77" i="1"/>
  <c r="K78" i="1" s="1"/>
  <c r="J77" i="1"/>
  <c r="J78" i="1" s="1"/>
  <c r="DA6" i="2" l="1"/>
  <c r="DA7" i="2" l="1"/>
  <c r="DA29" i="2" s="1"/>
  <c r="CY6" i="2" l="1"/>
  <c r="CY7" i="2" l="1"/>
  <c r="CY29" i="2" s="1"/>
  <c r="CS6" i="2" l="1"/>
  <c r="CU7" i="2" l="1"/>
  <c r="BC6" i="2" l="1"/>
  <c r="AZ6" i="2"/>
  <c r="BI6" i="2"/>
  <c r="BA6" i="2"/>
  <c r="BD6" i="2"/>
  <c r="BJ6" i="2"/>
  <c r="CU6" i="2"/>
  <c r="CU29" i="2" s="1"/>
  <c r="BD29" i="2" l="1"/>
  <c r="BD30" i="2"/>
  <c r="BC30" i="2"/>
  <c r="BC29" i="2"/>
  <c r="BA30" i="2"/>
  <c r="BA29" i="2"/>
  <c r="AZ29" i="2"/>
  <c r="AZ30" i="2"/>
  <c r="BF6" i="2"/>
  <c r="BK6" i="2" s="1"/>
  <c r="BG6" i="2"/>
  <c r="BE53" i="4"/>
  <c r="BE6" i="2"/>
  <c r="CS7" i="2"/>
  <c r="CS29" i="2" s="1"/>
  <c r="BC53" i="4" l="1"/>
  <c r="AY53" i="4"/>
  <c r="BA53" i="4"/>
  <c r="BB6" i="2"/>
  <c r="BH6" i="2" l="1"/>
  <c r="AQ54" i="4" l="1"/>
  <c r="BG54" i="4"/>
  <c r="G92" i="1"/>
  <c r="J93" i="1" l="1"/>
  <c r="J94" i="1" s="1"/>
  <c r="J97" i="1"/>
  <c r="J98" i="1" s="1"/>
  <c r="J99" i="1" s="1"/>
  <c r="AN9" i="2"/>
  <c r="K57" i="4"/>
  <c r="BF54" i="4"/>
  <c r="AR54" i="4"/>
  <c r="AS54" i="4"/>
  <c r="M57" i="4"/>
  <c r="L57" i="4"/>
  <c r="I93" i="1"/>
  <c r="I94" i="1" s="1"/>
  <c r="H93" i="1"/>
  <c r="H94" i="1" s="1"/>
  <c r="H97" i="1"/>
  <c r="H98" i="1" s="1"/>
  <c r="H99" i="1" s="1"/>
  <c r="I97" i="1"/>
  <c r="I98" i="1" s="1"/>
  <c r="I99" i="1" s="1"/>
  <c r="P93" i="1"/>
  <c r="P94" i="1" s="1"/>
  <c r="G93" i="1"/>
  <c r="G94" i="1" s="1"/>
  <c r="K58" i="4" l="1"/>
  <c r="L58" i="4"/>
  <c r="M58" i="4"/>
  <c r="K59" i="4" l="1"/>
  <c r="J57" i="4"/>
  <c r="L59" i="4"/>
  <c r="M59" i="4"/>
  <c r="K60" i="4" l="1"/>
  <c r="J58" i="4"/>
  <c r="BG55" i="4"/>
  <c r="AY55" i="4"/>
  <c r="AQ55" i="4"/>
  <c r="BC55" i="4"/>
  <c r="L86" i="4"/>
  <c r="BA55" i="4"/>
  <c r="BE55" i="4"/>
  <c r="K86" i="4"/>
  <c r="M86" i="4"/>
  <c r="M60" i="4"/>
  <c r="L60" i="4"/>
  <c r="J59" i="4" l="1"/>
  <c r="J60" i="4"/>
  <c r="BE56" i="4"/>
  <c r="BA56" i="4"/>
  <c r="L87" i="4"/>
  <c r="K87" i="4"/>
  <c r="M87" i="4"/>
  <c r="BF55" i="4"/>
  <c r="AR55" i="4"/>
  <c r="AS55" i="4"/>
  <c r="J86" i="4"/>
  <c r="L61" i="4"/>
  <c r="M61" i="4"/>
  <c r="CW6" i="2"/>
  <c r="CW7" i="2"/>
  <c r="CW29" i="2" l="1"/>
  <c r="J61" i="4"/>
  <c r="AQ12" i="4"/>
  <c r="AQ56" i="4"/>
  <c r="BC56" i="4"/>
  <c r="AY56" i="4"/>
  <c r="BG56" i="4"/>
  <c r="L88" i="4"/>
  <c r="K88" i="4"/>
  <c r="M88" i="4"/>
  <c r="J87" i="4"/>
  <c r="BE57" i="4"/>
  <c r="BA57" i="4"/>
  <c r="I86" i="4"/>
  <c r="K61" i="4"/>
  <c r="AR56" i="4" l="1"/>
  <c r="BF56" i="4"/>
  <c r="AS56" i="4"/>
  <c r="L89" i="4"/>
  <c r="BA58" i="4"/>
  <c r="I87" i="4"/>
  <c r="BE58" i="4"/>
  <c r="J88" i="4"/>
  <c r="M89" i="4"/>
  <c r="AQ8" i="4"/>
  <c r="I57" i="4" l="1"/>
  <c r="AQ57" i="4"/>
  <c r="BC57" i="4"/>
  <c r="AY57" i="4"/>
  <c r="BG57" i="4"/>
  <c r="M90" i="4"/>
  <c r="K89" i="4"/>
  <c r="J89" i="4"/>
  <c r="I88" i="4"/>
  <c r="BA59" i="4"/>
  <c r="BE59" i="4"/>
  <c r="AQ18" i="4"/>
  <c r="L90" i="4"/>
  <c r="J90" i="4" l="1"/>
  <c r="K90" i="4"/>
  <c r="BA60" i="4"/>
  <c r="BE60" i="4"/>
  <c r="I89" i="4"/>
  <c r="BF57" i="4"/>
  <c r="AR57" i="4"/>
  <c r="AS57" i="4"/>
  <c r="AQ16" i="4"/>
  <c r="I90" i="4" l="1"/>
  <c r="BE61" i="4"/>
  <c r="BA61" i="4"/>
  <c r="BG58" i="4"/>
  <c r="AY58" i="4"/>
  <c r="BC58" i="4"/>
  <c r="AP58" i="4"/>
  <c r="I58" i="4"/>
  <c r="AQ58" i="4"/>
  <c r="AP12" i="4" l="1"/>
  <c r="AR12" i="4" s="1"/>
  <c r="AR58" i="4"/>
  <c r="AS58" i="4"/>
  <c r="BF58" i="4"/>
  <c r="I59" i="4" l="1"/>
  <c r="AP59" i="4"/>
  <c r="BG59" i="4"/>
  <c r="AQ59" i="4"/>
  <c r="BC59" i="4"/>
  <c r="AY59" i="4"/>
  <c r="AS59" i="4" l="1"/>
  <c r="AR59" i="4"/>
  <c r="BF59" i="4"/>
  <c r="AP8" i="4"/>
  <c r="AR8" i="4" s="1"/>
  <c r="AQ60" i="4" l="1"/>
  <c r="AP60" i="4"/>
  <c r="BG60" i="4"/>
  <c r="BC60" i="4"/>
  <c r="I60" i="4"/>
  <c r="AY60" i="4"/>
  <c r="AS60" i="4" l="1"/>
  <c r="AR60" i="4"/>
  <c r="BF60" i="4"/>
  <c r="BC61" i="4" l="1"/>
  <c r="BG61" i="4"/>
  <c r="I61" i="4"/>
  <c r="AQ61" i="4"/>
  <c r="AP61" i="4"/>
  <c r="AY61" i="4"/>
  <c r="AP18" i="4" l="1"/>
  <c r="AR18" i="4" s="1"/>
  <c r="AS61" i="4"/>
  <c r="AR61" i="4"/>
  <c r="AP16" i="4"/>
  <c r="AR16" i="4" s="1"/>
  <c r="BF61" i="4"/>
  <c r="BG29" i="2" l="1"/>
  <c r="BG30" i="2"/>
  <c r="G96" i="1" l="1"/>
  <c r="G97" i="1" s="1"/>
  <c r="G98" i="1" s="1"/>
  <c r="G99" i="1" s="1"/>
  <c r="P96" i="1"/>
  <c r="P97" i="1" s="1"/>
  <c r="P98" i="1" s="1"/>
  <c r="P99" i="1" s="1"/>
  <c r="BE30" i="2" l="1"/>
  <c r="BE29" i="2"/>
  <c r="M71" i="4" l="1"/>
  <c r="BF29" i="2"/>
  <c r="BB29" i="2"/>
  <c r="BF30" i="2"/>
  <c r="BB30" i="2"/>
  <c r="BH30" i="2" l="1"/>
  <c r="BH29" i="2"/>
  <c r="AP141" i="2" l="1"/>
  <c r="AO142" i="2"/>
  <c r="AR142" i="2"/>
  <c r="AU142" i="2"/>
  <c r="J94" i="4"/>
  <c r="AV141" i="2"/>
  <c r="AS141" i="2"/>
  <c r="AP139" i="2"/>
  <c r="AO143" i="2"/>
  <c r="AP140" i="2" l="1"/>
  <c r="AP143" i="2"/>
  <c r="AP142" i="2"/>
  <c r="AO140" i="2"/>
  <c r="AO141" i="2"/>
  <c r="AU140" i="2"/>
  <c r="AO139" i="2"/>
  <c r="AQ10" i="4"/>
  <c r="K93" i="4"/>
  <c r="AV143" i="2"/>
  <c r="AS140" i="2"/>
  <c r="K65" i="4"/>
  <c r="AR140" i="2"/>
  <c r="AR141" i="2"/>
  <c r="AU141" i="2"/>
  <c r="J92" i="4"/>
  <c r="J63" i="4"/>
  <c r="AS142" i="2"/>
  <c r="AS143" i="2"/>
  <c r="AV142" i="2"/>
  <c r="AV140" i="2"/>
  <c r="AU143" i="2"/>
  <c r="AR143" i="2"/>
  <c r="AS139" i="2"/>
  <c r="AV139" i="2"/>
  <c r="K92" i="4"/>
  <c r="J64" i="4"/>
  <c r="AT139" i="2"/>
  <c r="AW139" i="2"/>
  <c r="AQ139" i="2"/>
  <c r="K64" i="4"/>
  <c r="AQ15" i="4"/>
  <c r="J93" i="4"/>
  <c r="K63" i="4"/>
  <c r="AU139" i="2"/>
  <c r="AR139" i="2"/>
  <c r="AT141" i="2" l="1"/>
  <c r="AW141" i="2"/>
  <c r="AQ141" i="2"/>
  <c r="AW140" i="2"/>
  <c r="AQ140" i="2"/>
  <c r="AT140" i="2"/>
  <c r="AQ142" i="2"/>
  <c r="AW142" i="2"/>
  <c r="AT142" i="2"/>
  <c r="AW143" i="2"/>
  <c r="AT143" i="2"/>
  <c r="AQ143" i="2"/>
  <c r="J62" i="4" l="1"/>
  <c r="K91" i="4"/>
  <c r="J91" i="4"/>
  <c r="AQ14" i="4"/>
  <c r="K62" i="4"/>
  <c r="AQ13" i="4" l="1"/>
  <c r="BA62" i="4" l="1"/>
  <c r="BE62" i="4"/>
  <c r="BG62" i="4"/>
  <c r="AY62" i="4"/>
  <c r="BC62" i="4"/>
  <c r="AP62" i="4"/>
  <c r="BF62" i="4" s="1"/>
  <c r="AL126" i="2"/>
  <c r="I62" i="4"/>
  <c r="I91" i="4"/>
  <c r="AM126" i="2"/>
  <c r="AR62" i="4"/>
  <c r="AP13" i="4"/>
  <c r="AR13" i="4" s="1"/>
  <c r="AQ62" i="4"/>
  <c r="AS62" i="4" l="1"/>
  <c r="BE63" i="4"/>
  <c r="BA63" i="4"/>
  <c r="BG63" i="4"/>
  <c r="BC63" i="4"/>
  <c r="AY63" i="4"/>
  <c r="AQ63" i="4"/>
  <c r="I63" i="4"/>
  <c r="AL127" i="2"/>
  <c r="AP63" i="4"/>
  <c r="BF63" i="4" s="1"/>
  <c r="AN17" i="2"/>
  <c r="I92" i="4"/>
  <c r="AM127" i="2"/>
  <c r="BE64" i="4" l="1"/>
  <c r="BA64" i="4"/>
  <c r="BG64" i="4"/>
  <c r="BC64" i="4"/>
  <c r="AY64" i="4"/>
  <c r="AM128" i="2"/>
  <c r="I93" i="4"/>
  <c r="AN126" i="2"/>
  <c r="AP14" i="4"/>
  <c r="AR14" i="4" s="1"/>
  <c r="AR63" i="4"/>
  <c r="AS63" i="4"/>
  <c r="AN18" i="2"/>
  <c r="BE65" i="4" l="1"/>
  <c r="BA65" i="4"/>
  <c r="BG65" i="4"/>
  <c r="BC65" i="4"/>
  <c r="AY65" i="4"/>
  <c r="AN127" i="2"/>
  <c r="AQ64" i="4"/>
  <c r="I64" i="4"/>
  <c r="AP64" i="4"/>
  <c r="BF64" i="4" s="1"/>
  <c r="AL128" i="2"/>
  <c r="AM129" i="2"/>
  <c r="I94" i="4"/>
  <c r="AN19" i="2" l="1"/>
  <c r="AR64" i="4"/>
  <c r="AP15" i="4"/>
  <c r="AR15" i="4" s="1"/>
  <c r="AS64" i="4"/>
  <c r="AL129" i="2" l="1"/>
  <c r="AP65" i="4"/>
  <c r="BF65" i="4" s="1"/>
  <c r="AQ65" i="4"/>
  <c r="I65" i="4"/>
  <c r="AN128" i="2"/>
  <c r="AR65" i="4" l="1"/>
  <c r="AP10" i="4"/>
  <c r="AR10" i="4" s="1"/>
  <c r="AS65" i="4"/>
  <c r="AN20" i="2"/>
  <c r="AN129" i="2" l="1"/>
  <c r="L94" i="4" l="1"/>
  <c r="M94" i="4"/>
  <c r="L66" i="4"/>
  <c r="M62" i="4"/>
  <c r="L93" i="4"/>
  <c r="L64" i="4"/>
  <c r="L95" i="4"/>
  <c r="L91" i="4"/>
  <c r="M65" i="4"/>
  <c r="M64" i="4"/>
  <c r="L63" i="4"/>
  <c r="L65" i="4"/>
  <c r="M92" i="4"/>
  <c r="M91" i="4"/>
  <c r="M63" i="4"/>
  <c r="M95" i="4"/>
  <c r="L92" i="4"/>
  <c r="M66" i="4"/>
  <c r="L62" i="4"/>
  <c r="M93" i="4"/>
  <c r="M97" i="4" l="1"/>
  <c r="L97" i="4"/>
  <c r="M96" i="4"/>
  <c r="M67" i="4"/>
  <c r="L67" i="4"/>
  <c r="L96" i="4"/>
  <c r="M68" i="4" l="1"/>
  <c r="AX120" i="4"/>
  <c r="AX121" i="4" s="1"/>
  <c r="L68" i="4"/>
  <c r="L98" i="4"/>
  <c r="M98" i="4"/>
  <c r="L99" i="4" l="1"/>
  <c r="M99" i="4"/>
  <c r="L69" i="4"/>
  <c r="M69" i="4"/>
  <c r="M100" i="4" l="1"/>
  <c r="M70" i="4"/>
  <c r="L70" i="4"/>
  <c r="L100" i="4"/>
  <c r="L71" i="4" l="1"/>
  <c r="J65" i="4" l="1"/>
  <c r="K94" i="4"/>
  <c r="L115" i="2"/>
  <c r="L138" i="2" s="1"/>
  <c r="L129" i="2"/>
  <c r="L152" i="2" s="1"/>
  <c r="U115" i="2"/>
  <c r="U138" i="2" s="1"/>
  <c r="U129" i="2"/>
  <c r="U152" i="2" s="1"/>
  <c r="O115" i="2"/>
  <c r="O138" i="2" s="1"/>
  <c r="O129" i="2"/>
  <c r="O152" i="2" s="1"/>
  <c r="AD115" i="2"/>
  <c r="AD138" i="2" s="1"/>
  <c r="AD129" i="2"/>
  <c r="AD152" i="2" s="1"/>
  <c r="AA115" i="2"/>
  <c r="AA138" i="2" s="1"/>
  <c r="AA129" i="2"/>
  <c r="AA152" i="2" s="1"/>
  <c r="I115" i="2"/>
  <c r="I129" i="2"/>
  <c r="I152" i="2" s="1"/>
  <c r="X115" i="2"/>
  <c r="X129" i="2"/>
  <c r="X152" i="2" s="1"/>
  <c r="R115" i="2"/>
  <c r="R138" i="2" s="1"/>
  <c r="R129" i="2"/>
  <c r="R152" i="2" s="1"/>
  <c r="F115" i="2"/>
  <c r="F138" i="2" s="1"/>
  <c r="F129" i="2"/>
  <c r="F152" i="2" s="1"/>
  <c r="AG115" i="2"/>
  <c r="AG138" i="2" s="1"/>
  <c r="AG129" i="2"/>
  <c r="AG152" i="2" s="1"/>
  <c r="O128" i="2"/>
  <c r="O151" i="2" s="1"/>
  <c r="F128" i="2"/>
  <c r="AG128" i="2"/>
  <c r="AG151" i="2" s="1"/>
  <c r="AA128" i="2"/>
  <c r="AA151" i="2" s="1"/>
  <c r="X128" i="2"/>
  <c r="X151" i="2" s="1"/>
  <c r="R128" i="2"/>
  <c r="R151" i="2" s="1"/>
  <c r="AD128" i="2"/>
  <c r="AD151" i="2" s="1"/>
  <c r="U128" i="2"/>
  <c r="U151" i="2" s="1"/>
  <c r="L128" i="2"/>
  <c r="L151" i="2" s="1"/>
  <c r="I128" i="2"/>
  <c r="I151" i="2" s="1"/>
  <c r="AJ115" i="2"/>
  <c r="AJ138" i="2" s="1"/>
  <c r="AJ129" i="2"/>
  <c r="AJ152" i="2" s="1"/>
  <c r="AG127" i="2"/>
  <c r="AG150" i="2" s="1"/>
  <c r="R127" i="2"/>
  <c r="R150" i="2" s="1"/>
  <c r="F127" i="2"/>
  <c r="F150" i="2" s="1"/>
  <c r="U127" i="2"/>
  <c r="U150" i="2" s="1"/>
  <c r="O127" i="2"/>
  <c r="O150" i="2" s="1"/>
  <c r="X127" i="2"/>
  <c r="X150" i="2" s="1"/>
  <c r="L127" i="2"/>
  <c r="AA127" i="2"/>
  <c r="AD127" i="2"/>
  <c r="AD150" i="2" s="1"/>
  <c r="I127" i="2"/>
  <c r="I150" i="2" s="1"/>
  <c r="AJ128" i="2"/>
  <c r="AJ151" i="2" s="1"/>
  <c r="R126" i="2"/>
  <c r="R149" i="2" s="1"/>
  <c r="I126" i="2"/>
  <c r="I149" i="2" s="1"/>
  <c r="U126" i="2"/>
  <c r="AD126" i="2"/>
  <c r="AD149" i="2" s="1"/>
  <c r="O126" i="2"/>
  <c r="O149" i="2" s="1"/>
  <c r="L126" i="2"/>
  <c r="X126" i="2"/>
  <c r="X149" i="2" s="1"/>
  <c r="AA126" i="2"/>
  <c r="AA149" i="2" s="1"/>
  <c r="F126" i="2"/>
  <c r="F149" i="2" s="1"/>
  <c r="AG126" i="2"/>
  <c r="AG149" i="2" s="1"/>
  <c r="AJ127" i="2"/>
  <c r="AJ150" i="2" s="1"/>
  <c r="AJ126" i="2"/>
  <c r="AJ149" i="2" s="1"/>
  <c r="Z134" i="2"/>
  <c r="AC133" i="2"/>
  <c r="AA124" i="2"/>
  <c r="AA147" i="2" s="1"/>
  <c r="U121" i="2"/>
  <c r="AD122" i="2"/>
  <c r="AD145" i="2" s="1"/>
  <c r="Z120" i="2"/>
  <c r="AI135" i="2"/>
  <c r="E120" i="2"/>
  <c r="AC130" i="2"/>
  <c r="W133" i="2"/>
  <c r="AF127" i="2"/>
  <c r="W115" i="2"/>
  <c r="W138" i="2" s="1"/>
  <c r="W129" i="2"/>
  <c r="W152" i="2"/>
  <c r="AF123" i="2"/>
  <c r="N132" i="2"/>
  <c r="AI126" i="2"/>
  <c r="T116" i="2"/>
  <c r="E127" i="2"/>
  <c r="E150" i="2"/>
  <c r="AI125" i="2"/>
  <c r="AI148" i="2" s="1"/>
  <c r="N134" i="2"/>
  <c r="N118" i="2"/>
  <c r="AF130" i="2"/>
  <c r="K120" i="2"/>
  <c r="N127" i="2"/>
  <c r="N150" i="2" s="1"/>
  <c r="AF134" i="2"/>
  <c r="N120" i="2"/>
  <c r="AC123" i="2"/>
  <c r="E118" i="2"/>
  <c r="T135" i="2"/>
  <c r="Z116" i="2"/>
  <c r="E135" i="2"/>
  <c r="X124" i="2"/>
  <c r="X147" i="2" s="1"/>
  <c r="Z132" i="2"/>
  <c r="Z130" i="2"/>
  <c r="F123" i="2"/>
  <c r="Q133" i="2"/>
  <c r="AI122" i="2"/>
  <c r="AI145" i="2"/>
  <c r="AF132" i="2"/>
  <c r="AG124" i="2"/>
  <c r="AG147" i="2" s="1"/>
  <c r="K126" i="2"/>
  <c r="K149" i="2" s="1"/>
  <c r="AC131" i="2"/>
  <c r="T128" i="2"/>
  <c r="T151" i="2" s="1"/>
  <c r="N131" i="2"/>
  <c r="T115" i="2"/>
  <c r="T138" i="2" s="1"/>
  <c r="T129" i="2"/>
  <c r="T152" i="2" s="1"/>
  <c r="I121" i="2"/>
  <c r="I144" i="2" s="1"/>
  <c r="N133" i="2"/>
  <c r="E116" i="2"/>
  <c r="AF131" i="2"/>
  <c r="AC132" i="2"/>
  <c r="T125" i="2"/>
  <c r="T148" i="2" s="1"/>
  <c r="E133" i="2"/>
  <c r="AF119" i="2"/>
  <c r="AI133" i="2"/>
  <c r="AI130" i="2"/>
  <c r="T118" i="2"/>
  <c r="K122" i="2"/>
  <c r="K145" i="2" s="1"/>
  <c r="Z128" i="2"/>
  <c r="Z151" i="2" s="1"/>
  <c r="Z135" i="2"/>
  <c r="T120" i="2"/>
  <c r="AI115" i="2"/>
  <c r="AI138" i="2" s="1"/>
  <c r="AI129" i="2"/>
  <c r="AI152" i="2" s="1"/>
  <c r="W128" i="2"/>
  <c r="AF118" i="2"/>
  <c r="E134" i="2"/>
  <c r="Z127" i="2"/>
  <c r="Z150" i="2" s="1"/>
  <c r="W119" i="2"/>
  <c r="Q118" i="2"/>
  <c r="Q135" i="2"/>
  <c r="T131" i="2"/>
  <c r="H117" i="2"/>
  <c r="T127" i="2"/>
  <c r="T150" i="2" s="1"/>
  <c r="T126" i="2"/>
  <c r="T149" i="2" s="1"/>
  <c r="T134" i="2"/>
  <c r="W126" i="2"/>
  <c r="W149" i="2" s="1"/>
  <c r="AF117" i="2"/>
  <c r="K128" i="2"/>
  <c r="K151" i="2" s="1"/>
  <c r="K132" i="2"/>
  <c r="H132" i="2"/>
  <c r="N130" i="2"/>
  <c r="W134" i="2"/>
  <c r="W127" i="2"/>
  <c r="AC128" i="2"/>
  <c r="E131" i="2"/>
  <c r="W116" i="2"/>
  <c r="H115" i="2"/>
  <c r="H138" i="2" s="1"/>
  <c r="H129" i="2"/>
  <c r="H152" i="2" s="1"/>
  <c r="Q131" i="2"/>
  <c r="K134" i="2"/>
  <c r="K135" i="2"/>
  <c r="R123" i="2"/>
  <c r="R146" i="2" s="1"/>
  <c r="K119" i="2"/>
  <c r="AI128" i="2"/>
  <c r="AI151" i="2" s="1"/>
  <c r="N119" i="2"/>
  <c r="AC134" i="2"/>
  <c r="W130" i="2"/>
  <c r="Q116" i="2"/>
  <c r="W120" i="2"/>
  <c r="T117" i="2"/>
  <c r="H128" i="2"/>
  <c r="H151" i="2" s="1"/>
  <c r="W131" i="2"/>
  <c r="H123" i="2"/>
  <c r="H146" i="2" s="1"/>
  <c r="K116" i="2"/>
  <c r="K118" i="2"/>
  <c r="Q127" i="2"/>
  <c r="Q150" i="2" s="1"/>
  <c r="AI131" i="2"/>
  <c r="N128" i="2"/>
  <c r="P128" i="2" s="1"/>
  <c r="P151" i="2" s="1"/>
  <c r="Z131" i="2"/>
  <c r="H116" i="2"/>
  <c r="H120" i="2"/>
  <c r="U123" i="2"/>
  <c r="U146" i="2" s="1"/>
  <c r="W135" i="2"/>
  <c r="AI117" i="2"/>
  <c r="AF133" i="2"/>
  <c r="K131" i="2"/>
  <c r="N122" i="2"/>
  <c r="N145" i="2" s="1"/>
  <c r="AG125" i="2"/>
  <c r="I122" i="2"/>
  <c r="I145" i="2" s="1"/>
  <c r="Z117" i="2"/>
  <c r="AC115" i="2"/>
  <c r="AC138" i="2" s="1"/>
  <c r="AC129" i="2"/>
  <c r="AC152" i="2" s="1"/>
  <c r="N116" i="2"/>
  <c r="AF116" i="2"/>
  <c r="N126" i="2"/>
  <c r="N149" i="2" s="1"/>
  <c r="Q124" i="2"/>
  <c r="AA122" i="2"/>
  <c r="AA145" i="2" s="1"/>
  <c r="W132" i="2"/>
  <c r="AI124" i="2"/>
  <c r="AI147" i="2" s="1"/>
  <c r="R122" i="2"/>
  <c r="R145" i="2" s="1"/>
  <c r="L121" i="2"/>
  <c r="L144" i="2" s="1"/>
  <c r="H118" i="2"/>
  <c r="X122" i="2"/>
  <c r="X145" i="2" s="1"/>
  <c r="Z119" i="2"/>
  <c r="AG121" i="2"/>
  <c r="AG144" i="2" s="1"/>
  <c r="AC117" i="2"/>
  <c r="O124" i="2"/>
  <c r="O147" i="2" s="1"/>
  <c r="U125" i="2"/>
  <c r="Z115" i="2"/>
  <c r="Z129" i="2"/>
  <c r="E132" i="2"/>
  <c r="K115" i="2"/>
  <c r="K138" i="2" s="1"/>
  <c r="K129" i="2"/>
  <c r="K152" i="2" s="1"/>
  <c r="T130" i="2"/>
  <c r="O123" i="2"/>
  <c r="O146" i="2" s="1"/>
  <c r="I124" i="2"/>
  <c r="I147" i="2" s="1"/>
  <c r="AG123" i="2"/>
  <c r="AG146" i="2" s="1"/>
  <c r="N124" i="2"/>
  <c r="T124" i="2"/>
  <c r="Z118" i="2"/>
  <c r="AF125" i="2"/>
  <c r="AF148" i="2" s="1"/>
  <c r="AI116" i="2"/>
  <c r="L124" i="2"/>
  <c r="AI120" i="2"/>
  <c r="AC122" i="2"/>
  <c r="H122" i="2"/>
  <c r="AC120" i="2"/>
  <c r="Q130" i="2"/>
  <c r="Q117" i="2"/>
  <c r="E128" i="2"/>
  <c r="E151" i="2" s="1"/>
  <c r="T133" i="2"/>
  <c r="H130" i="2"/>
  <c r="E115" i="2"/>
  <c r="E129" i="2"/>
  <c r="AD125" i="2"/>
  <c r="AD148" i="2" s="1"/>
  <c r="E119" i="2"/>
  <c r="N115" i="2"/>
  <c r="N138" i="2" s="1"/>
  <c r="N129" i="2"/>
  <c r="N152" i="2" s="1"/>
  <c r="F124" i="2"/>
  <c r="F147" i="2" s="1"/>
  <c r="AF126" i="2"/>
  <c r="AF149" i="2" s="1"/>
  <c r="K124" i="2"/>
  <c r="K121" i="2"/>
  <c r="M121" i="2" s="1"/>
  <c r="M144" i="2" s="1"/>
  <c r="T123" i="2"/>
  <c r="T146" i="2" s="1"/>
  <c r="Z133" i="2"/>
  <c r="K125" i="2"/>
  <c r="K148" i="2" s="1"/>
  <c r="F121" i="2"/>
  <c r="F144" i="2" s="1"/>
  <c r="Z122" i="2"/>
  <c r="AI134" i="2"/>
  <c r="R125" i="2"/>
  <c r="R148" i="2" s="1"/>
  <c r="Q125" i="2"/>
  <c r="Q148" i="2" s="1"/>
  <c r="AF120" i="2"/>
  <c r="E125" i="2"/>
  <c r="E148" i="2" s="1"/>
  <c r="AC126" i="2"/>
  <c r="AC121" i="2"/>
  <c r="H133" i="2"/>
  <c r="F125" i="2"/>
  <c r="F148" i="2" s="1"/>
  <c r="E121" i="2"/>
  <c r="E144" i="2" s="1"/>
  <c r="AC127" i="2"/>
  <c r="AC150" i="2" s="1"/>
  <c r="X123" i="2"/>
  <c r="X146" i="2" s="1"/>
  <c r="H121" i="2"/>
  <c r="H144" i="2" s="1"/>
  <c r="H135" i="2"/>
  <c r="AI132" i="2"/>
  <c r="E124" i="2"/>
  <c r="AF135" i="2"/>
  <c r="I125" i="2"/>
  <c r="K127" i="2"/>
  <c r="K133" i="2"/>
  <c r="L123" i="2"/>
  <c r="L146" i="2" s="1"/>
  <c r="T119" i="2"/>
  <c r="L125" i="2"/>
  <c r="L148" i="2" s="1"/>
  <c r="U122" i="2"/>
  <c r="U145" i="2" s="1"/>
  <c r="W118" i="2"/>
  <c r="AF115" i="2"/>
  <c r="AF129" i="2"/>
  <c r="AF152" i="2" s="1"/>
  <c r="R124" i="2"/>
  <c r="R147" i="2" s="1"/>
  <c r="AC116" i="2"/>
  <c r="Q134" i="2"/>
  <c r="AI123" i="2"/>
  <c r="AI146" i="2" s="1"/>
  <c r="Q123" i="2"/>
  <c r="O121" i="2"/>
  <c r="O144" i="2" s="1"/>
  <c r="Q121" i="2"/>
  <c r="Q144" i="2" s="1"/>
  <c r="Z126" i="2"/>
  <c r="Z149" i="2" s="1"/>
  <c r="W121" i="2"/>
  <c r="W144" i="2" s="1"/>
  <c r="Z125" i="2"/>
  <c r="N125" i="2"/>
  <c r="X125" i="2"/>
  <c r="X148" i="2" s="1"/>
  <c r="Q115" i="2"/>
  <c r="Q129" i="2"/>
  <c r="Q152" i="2" s="1"/>
  <c r="Z123" i="2"/>
  <c r="Z146" i="2" s="1"/>
  <c r="H134" i="2"/>
  <c r="W123" i="2"/>
  <c r="W146" i="2" s="1"/>
  <c r="Q119" i="2"/>
  <c r="W124" i="2"/>
  <c r="E117" i="2"/>
  <c r="K130" i="2"/>
  <c r="H126" i="2"/>
  <c r="H149" i="2" s="1"/>
  <c r="E130" i="2"/>
  <c r="AA121" i="2"/>
  <c r="AA144" i="2" s="1"/>
  <c r="K123" i="2"/>
  <c r="AD124" i="2"/>
  <c r="AD147" i="2" s="1"/>
  <c r="AI127" i="2"/>
  <c r="AI150" i="2" s="1"/>
  <c r="H125" i="2"/>
  <c r="H148" i="2" s="1"/>
  <c r="AF124" i="2"/>
  <c r="AF147" i="2" s="1"/>
  <c r="AC119" i="2"/>
  <c r="L122" i="2"/>
  <c r="L145" i="2" s="1"/>
  <c r="E122" i="2"/>
  <c r="E145" i="2" s="1"/>
  <c r="Q132" i="2"/>
  <c r="AC135" i="2"/>
  <c r="R121" i="2"/>
  <c r="R144" i="2" s="1"/>
  <c r="Q128" i="2"/>
  <c r="AC125" i="2"/>
  <c r="AC148" i="2" s="1"/>
  <c r="N121" i="2"/>
  <c r="N144" i="2" s="1"/>
  <c r="W122" i="2"/>
  <c r="W145" i="2" s="1"/>
  <c r="AC118" i="2"/>
  <c r="Z121" i="2"/>
  <c r="N135" i="2"/>
  <c r="AF122" i="2"/>
  <c r="AA125" i="2"/>
  <c r="AA148" i="2" s="1"/>
  <c r="W117" i="2"/>
  <c r="N117" i="2"/>
  <c r="E123" i="2"/>
  <c r="E146" i="2" s="1"/>
  <c r="Q122" i="2"/>
  <c r="AF128" i="2"/>
  <c r="AF151" i="2" s="1"/>
  <c r="F122" i="2"/>
  <c r="F145" i="2" s="1"/>
  <c r="I123" i="2"/>
  <c r="U124" i="2"/>
  <c r="U147" i="2" s="1"/>
  <c r="Z124" i="2"/>
  <c r="Z147" i="2" s="1"/>
  <c r="AG122" i="2"/>
  <c r="AG145" i="2" s="1"/>
  <c r="AA123" i="2"/>
  <c r="AA146" i="2" s="1"/>
  <c r="Q126" i="2"/>
  <c r="Q149" i="2" s="1"/>
  <c r="N123" i="2"/>
  <c r="N146" i="2" s="1"/>
  <c r="T132" i="2"/>
  <c r="AD121" i="2"/>
  <c r="AD144" i="2" s="1"/>
  <c r="W125" i="2"/>
  <c r="W148" i="2" s="1"/>
  <c r="AF121" i="2"/>
  <c r="Q120" i="2"/>
  <c r="AI118" i="2"/>
  <c r="O125" i="2"/>
  <c r="O148" i="2" s="1"/>
  <c r="AD123" i="2"/>
  <c r="AD146" i="2" s="1"/>
  <c r="K117" i="2"/>
  <c r="H131" i="2"/>
  <c r="T122" i="2"/>
  <c r="AC124" i="2"/>
  <c r="H119" i="2"/>
  <c r="AI119" i="2"/>
  <c r="H127" i="2"/>
  <c r="H150" i="2" s="1"/>
  <c r="H124" i="2"/>
  <c r="E126" i="2"/>
  <c r="O122" i="2"/>
  <c r="O145" i="2" s="1"/>
  <c r="T121" i="2"/>
  <c r="T144" i="2" s="1"/>
  <c r="X121" i="2"/>
  <c r="X144" i="2" s="1"/>
  <c r="C126" i="2"/>
  <c r="B115" i="2"/>
  <c r="C134" i="2"/>
  <c r="C120" i="2"/>
  <c r="B131" i="2"/>
  <c r="C118" i="2"/>
  <c r="B134" i="2"/>
  <c r="B126" i="2"/>
  <c r="B149" i="2" s="1"/>
  <c r="C133" i="2"/>
  <c r="B127" i="2"/>
  <c r="B150" i="2" s="1"/>
  <c r="C122" i="2"/>
  <c r="C145" i="2" s="1"/>
  <c r="C123" i="2"/>
  <c r="C146" i="2" s="1"/>
  <c r="B133" i="2"/>
  <c r="B129" i="2"/>
  <c r="B130" i="2"/>
  <c r="C125" i="2"/>
  <c r="B132" i="2"/>
  <c r="B128" i="2"/>
  <c r="B135" i="2"/>
  <c r="C121" i="2"/>
  <c r="C144" i="2" s="1"/>
  <c r="B121" i="2"/>
  <c r="B116" i="2"/>
  <c r="C117" i="2"/>
  <c r="C131" i="2"/>
  <c r="C127" i="2"/>
  <c r="C150" i="2" s="1"/>
  <c r="C128" i="2"/>
  <c r="C151" i="2" s="1"/>
  <c r="C124" i="2"/>
  <c r="C147" i="2" s="1"/>
  <c r="C135" i="2"/>
  <c r="B119" i="2"/>
  <c r="B117" i="2"/>
  <c r="B118" i="2"/>
  <c r="C132" i="2"/>
  <c r="C116" i="2"/>
  <c r="B120" i="2"/>
  <c r="B123" i="2"/>
  <c r="B146" i="2" s="1"/>
  <c r="C119" i="2"/>
  <c r="C115" i="2"/>
  <c r="C138" i="2" s="1"/>
  <c r="B122" i="2"/>
  <c r="C129" i="2"/>
  <c r="B125" i="2"/>
  <c r="B124" i="2"/>
  <c r="AI121" i="2"/>
  <c r="AI144" i="2" s="1"/>
  <c r="AA130" i="2"/>
  <c r="AA133" i="2"/>
  <c r="AA118" i="2"/>
  <c r="AA120" i="2"/>
  <c r="AA131" i="2"/>
  <c r="AA132" i="2"/>
  <c r="AA116" i="2"/>
  <c r="AA117" i="2"/>
  <c r="AA119" i="2"/>
  <c r="AA134" i="2"/>
  <c r="AA135" i="2"/>
  <c r="O132" i="2"/>
  <c r="O130" i="2"/>
  <c r="O117" i="2"/>
  <c r="O131" i="2"/>
  <c r="O120" i="2"/>
  <c r="O116" i="2"/>
  <c r="O135" i="2"/>
  <c r="O118" i="2"/>
  <c r="O119" i="2"/>
  <c r="O134" i="2"/>
  <c r="O133" i="2"/>
  <c r="X130" i="2"/>
  <c r="X131" i="2"/>
  <c r="X120" i="2"/>
  <c r="X132" i="2"/>
  <c r="X118" i="2"/>
  <c r="X117" i="2"/>
  <c r="X116" i="2"/>
  <c r="X119" i="2"/>
  <c r="X133" i="2"/>
  <c r="X134" i="2"/>
  <c r="X135" i="2"/>
  <c r="AD118" i="2"/>
  <c r="AD132" i="2"/>
  <c r="AD133" i="2"/>
  <c r="AD117" i="2"/>
  <c r="AD119" i="2"/>
  <c r="AD130" i="2"/>
  <c r="AD131" i="2"/>
  <c r="AE131" i="2" s="1"/>
  <c r="AD120" i="2"/>
  <c r="AD135" i="2"/>
  <c r="AD116" i="2"/>
  <c r="AD134" i="2"/>
  <c r="U120" i="2"/>
  <c r="U130" i="2"/>
  <c r="U118" i="2"/>
  <c r="U134" i="2"/>
  <c r="U131" i="2"/>
  <c r="U133" i="2"/>
  <c r="U119" i="2"/>
  <c r="U117" i="2"/>
  <c r="U116" i="2"/>
  <c r="U135" i="2"/>
  <c r="U132" i="2"/>
  <c r="I118" i="2"/>
  <c r="I117" i="2"/>
  <c r="I119" i="2"/>
  <c r="I120" i="2"/>
  <c r="I132" i="2"/>
  <c r="I130" i="2"/>
  <c r="I131" i="2"/>
  <c r="I134" i="2"/>
  <c r="I135" i="2"/>
  <c r="I133" i="2"/>
  <c r="I116" i="2"/>
  <c r="L130" i="2"/>
  <c r="L132" i="2"/>
  <c r="L133" i="2"/>
  <c r="L134" i="2"/>
  <c r="L135" i="2"/>
  <c r="L131" i="2"/>
  <c r="L119" i="2"/>
  <c r="L118" i="2"/>
  <c r="L120" i="2"/>
  <c r="L116" i="2"/>
  <c r="L117" i="2"/>
  <c r="AG116" i="2"/>
  <c r="AG135" i="2"/>
  <c r="AG117" i="2"/>
  <c r="AG118" i="2"/>
  <c r="AG119" i="2"/>
  <c r="AG120" i="2"/>
  <c r="AG133" i="2"/>
  <c r="AG130" i="2"/>
  <c r="AG131" i="2"/>
  <c r="AG132" i="2"/>
  <c r="AG134" i="2"/>
  <c r="R120" i="2"/>
  <c r="R130" i="2"/>
  <c r="R135" i="2"/>
  <c r="R132" i="2"/>
  <c r="R119" i="2"/>
  <c r="R116" i="2"/>
  <c r="R117" i="2"/>
  <c r="R131" i="2"/>
  <c r="R134" i="2"/>
  <c r="R133" i="2"/>
  <c r="R118" i="2"/>
  <c r="AP30" i="2"/>
  <c r="F116" i="2"/>
  <c r="F117" i="2"/>
  <c r="F130" i="2"/>
  <c r="F118" i="2"/>
  <c r="F119" i="2"/>
  <c r="F131" i="2"/>
  <c r="F135" i="2"/>
  <c r="F134" i="2"/>
  <c r="F133" i="2"/>
  <c r="F132" i="2"/>
  <c r="F120" i="2"/>
  <c r="D30" i="2"/>
  <c r="AO30" i="2"/>
  <c r="G30" i="2"/>
  <c r="AJ121" i="2"/>
  <c r="AJ144" i="2" s="1"/>
  <c r="AJ119" i="2"/>
  <c r="AJ135" i="2"/>
  <c r="AJ133" i="2"/>
  <c r="AJ120" i="2"/>
  <c r="AJ122" i="2"/>
  <c r="AJ145" i="2" s="1"/>
  <c r="AJ130" i="2"/>
  <c r="AJ134" i="2"/>
  <c r="AJ125" i="2"/>
  <c r="AJ148" i="2" s="1"/>
  <c r="AJ123" i="2"/>
  <c r="AJ146" i="2" s="1"/>
  <c r="AJ132" i="2"/>
  <c r="AJ116" i="2"/>
  <c r="AJ118" i="2"/>
  <c r="AJ124" i="2"/>
  <c r="AJ147" i="2" s="1"/>
  <c r="AJ117" i="2"/>
  <c r="AJ131" i="2"/>
  <c r="C130" i="2"/>
  <c r="D121" i="2" l="1"/>
  <c r="J118" i="2"/>
  <c r="V134" i="2"/>
  <c r="K144" i="2"/>
  <c r="Y115" i="2"/>
  <c r="Y138" i="2" s="1"/>
  <c r="Y132" i="2"/>
  <c r="D115" i="2"/>
  <c r="G124" i="2"/>
  <c r="G147" i="2" s="1"/>
  <c r="Y117" i="2"/>
  <c r="AK116" i="2"/>
  <c r="V122" i="2"/>
  <c r="V145" i="2" s="1"/>
  <c r="AB132" i="2"/>
  <c r="P123" i="2"/>
  <c r="P146" i="2" s="1"/>
  <c r="J126" i="2"/>
  <c r="J149" i="2" s="1"/>
  <c r="AH123" i="2"/>
  <c r="AH146" i="2" s="1"/>
  <c r="M130" i="2"/>
  <c r="P118" i="2"/>
  <c r="J128" i="2"/>
  <c r="J151" i="2" s="1"/>
  <c r="J124" i="2"/>
  <c r="J147" i="2" s="1"/>
  <c r="G134" i="2"/>
  <c r="AH122" i="2"/>
  <c r="AH145" i="2" s="1"/>
  <c r="M132" i="2"/>
  <c r="AV117" i="2"/>
  <c r="T145" i="2"/>
  <c r="AE126" i="2"/>
  <c r="AE149" i="2" s="1"/>
  <c r="M135" i="2"/>
  <c r="Y129" i="2"/>
  <c r="Y152" i="2" s="1"/>
  <c r="S134" i="2"/>
  <c r="J119" i="2"/>
  <c r="S124" i="2"/>
  <c r="S147" i="2" s="1"/>
  <c r="AK117" i="2"/>
  <c r="M117" i="2"/>
  <c r="S131" i="2"/>
  <c r="V128" i="2"/>
  <c r="V151" i="2" s="1"/>
  <c r="S122" i="2"/>
  <c r="S145" i="2" s="1"/>
  <c r="S115" i="2"/>
  <c r="S138" i="2" s="1"/>
  <c r="P126" i="2"/>
  <c r="P149" i="2" s="1"/>
  <c r="AE133" i="2"/>
  <c r="AH135" i="2"/>
  <c r="AE118" i="2"/>
  <c r="Y133" i="2"/>
  <c r="V120" i="2"/>
  <c r="Y131" i="2"/>
  <c r="AB118" i="2"/>
  <c r="AH116" i="2"/>
  <c r="S116" i="2"/>
  <c r="M128" i="2"/>
  <c r="M151" i="2" s="1"/>
  <c r="AH130" i="2"/>
  <c r="D135" i="2"/>
  <c r="G118" i="2"/>
  <c r="D134" i="2"/>
  <c r="AB133" i="2"/>
  <c r="P117" i="2"/>
  <c r="P116" i="2"/>
  <c r="AO116" i="2"/>
  <c r="AE132" i="2"/>
  <c r="G123" i="2"/>
  <c r="G146" i="2" s="1"/>
  <c r="V116" i="2"/>
  <c r="G130" i="2"/>
  <c r="AO135" i="2"/>
  <c r="S133" i="2"/>
  <c r="V135" i="2"/>
  <c r="AV119" i="2"/>
  <c r="AH124" i="2"/>
  <c r="AH147" i="2" s="1"/>
  <c r="P130" i="2"/>
  <c r="AF145" i="2"/>
  <c r="AC149" i="2"/>
  <c r="J132" i="2"/>
  <c r="AK132" i="2"/>
  <c r="D131" i="2"/>
  <c r="AH126" i="2"/>
  <c r="AH149" i="2" s="1"/>
  <c r="J133" i="2"/>
  <c r="Y128" i="2"/>
  <c r="Y151" i="2" s="1"/>
  <c r="S135" i="2"/>
  <c r="AP126" i="2"/>
  <c r="V133" i="2"/>
  <c r="V119" i="2"/>
  <c r="AH134" i="2"/>
  <c r="S117" i="2"/>
  <c r="Y116" i="2"/>
  <c r="G126" i="2"/>
  <c r="G149" i="2" s="1"/>
  <c r="P135" i="2"/>
  <c r="AK127" i="2"/>
  <c r="AK150" i="2" s="1"/>
  <c r="P125" i="2"/>
  <c r="P148" i="2" s="1"/>
  <c r="P115" i="2"/>
  <c r="P138" i="2" s="1"/>
  <c r="AH129" i="2"/>
  <c r="AH152" i="2" s="1"/>
  <c r="D127" i="2"/>
  <c r="D150" i="2" s="1"/>
  <c r="J117" i="2"/>
  <c r="AK120" i="2"/>
  <c r="D133" i="2"/>
  <c r="AB125" i="2"/>
  <c r="AB148" i="2" s="1"/>
  <c r="AK128" i="2"/>
  <c r="AK151" i="2" s="1"/>
  <c r="AB130" i="2"/>
  <c r="V125" i="2"/>
  <c r="V148" i="2" s="1"/>
  <c r="AE117" i="2"/>
  <c r="P131" i="2"/>
  <c r="AK131" i="2"/>
  <c r="AB134" i="2"/>
  <c r="S126" i="2"/>
  <c r="S149" i="2" s="1"/>
  <c r="Y121" i="2"/>
  <c r="Y144" i="2" s="1"/>
  <c r="J120" i="2"/>
  <c r="V126" i="2"/>
  <c r="V149" i="2" s="1"/>
  <c r="AR126" i="2"/>
  <c r="AU126" i="2"/>
  <c r="V127" i="2"/>
  <c r="V150" i="2" s="1"/>
  <c r="AS117" i="2"/>
  <c r="S118" i="2"/>
  <c r="AS128" i="2"/>
  <c r="AE115" i="2"/>
  <c r="AE138" i="2" s="1"/>
  <c r="P129" i="2"/>
  <c r="P152" i="2" s="1"/>
  <c r="S120" i="2"/>
  <c r="AH132" i="2"/>
  <c r="AK119" i="2"/>
  <c r="Q147" i="2"/>
  <c r="V118" i="2"/>
  <c r="X138" i="2"/>
  <c r="AU120" i="2"/>
  <c r="S119" i="2"/>
  <c r="AB126" i="2"/>
  <c r="AB149" i="2" s="1"/>
  <c r="AP124" i="2"/>
  <c r="L149" i="2"/>
  <c r="AR135" i="2"/>
  <c r="J71" i="4" s="1"/>
  <c r="U148" i="2"/>
  <c r="AH117" i="2"/>
  <c r="P127" i="2"/>
  <c r="P150" i="2" s="1"/>
  <c r="AP132" i="2"/>
  <c r="AE122" i="2"/>
  <c r="AE145" i="2" s="1"/>
  <c r="M119" i="2"/>
  <c r="AH131" i="2"/>
  <c r="S121" i="2"/>
  <c r="S144" i="2" s="1"/>
  <c r="M134" i="2"/>
  <c r="S123" i="2"/>
  <c r="S146" i="2" s="1"/>
  <c r="AB135" i="2"/>
  <c r="AO119" i="2"/>
  <c r="S129" i="2"/>
  <c r="S152" i="2" s="1"/>
  <c r="AB128" i="2"/>
  <c r="AB151" i="2" s="1"/>
  <c r="V129" i="2"/>
  <c r="V152" i="2" s="1"/>
  <c r="AE120" i="2"/>
  <c r="P134" i="2"/>
  <c r="Q138" i="2"/>
  <c r="AB119" i="2"/>
  <c r="P120" i="2"/>
  <c r="D123" i="2"/>
  <c r="D146" i="2" s="1"/>
  <c r="F151" i="2"/>
  <c r="AV151" i="2" s="1"/>
  <c r="J123" i="2"/>
  <c r="J146" i="2" s="1"/>
  <c r="V131" i="2"/>
  <c r="AO129" i="2"/>
  <c r="M126" i="2"/>
  <c r="M149" i="2" s="1"/>
  <c r="AK118" i="2"/>
  <c r="AE119" i="2"/>
  <c r="AK121" i="2"/>
  <c r="AK144" i="2" s="1"/>
  <c r="AH121" i="2"/>
  <c r="AH144" i="2" s="1"/>
  <c r="AV145" i="2"/>
  <c r="V117" i="2"/>
  <c r="AE128" i="2"/>
  <c r="AE151" i="2" s="1"/>
  <c r="AO120" i="2"/>
  <c r="G125" i="2"/>
  <c r="G148" i="2" s="1"/>
  <c r="E147" i="2"/>
  <c r="P119" i="2"/>
  <c r="D124" i="2"/>
  <c r="D147" i="2" s="1"/>
  <c r="E149" i="2"/>
  <c r="N148" i="2"/>
  <c r="Y118" i="2"/>
  <c r="M131" i="2"/>
  <c r="AK133" i="2"/>
  <c r="S130" i="2"/>
  <c r="M133" i="2"/>
  <c r="P132" i="2"/>
  <c r="AV126" i="2"/>
  <c r="AR133" i="2"/>
  <c r="J69" i="4" s="1"/>
  <c r="AH128" i="2"/>
  <c r="AH151" i="2" s="1"/>
  <c r="V130" i="2"/>
  <c r="Y134" i="2"/>
  <c r="AE130" i="2"/>
  <c r="V115" i="2"/>
  <c r="V138" i="2" s="1"/>
  <c r="AE123" i="2"/>
  <c r="AE146" i="2" s="1"/>
  <c r="U149" i="2"/>
  <c r="AE135" i="2"/>
  <c r="AP129" i="2"/>
  <c r="AO126" i="2"/>
  <c r="G121" i="2"/>
  <c r="G144" i="2" s="1"/>
  <c r="G133" i="2"/>
  <c r="AP125" i="2"/>
  <c r="AV133" i="2"/>
  <c r="K98" i="4" s="1"/>
  <c r="AB120" i="2"/>
  <c r="AB123" i="2"/>
  <c r="AB146" i="2" s="1"/>
  <c r="AO130" i="2"/>
  <c r="J129" i="2"/>
  <c r="J152" i="2" s="1"/>
  <c r="AF146" i="2"/>
  <c r="AP117" i="2"/>
  <c r="M116" i="2"/>
  <c r="D122" i="2"/>
  <c r="D145" i="2" s="1"/>
  <c r="H147" i="2"/>
  <c r="Z148" i="2"/>
  <c r="V123" i="2"/>
  <c r="V146" i="2" s="1"/>
  <c r="M129" i="2"/>
  <c r="M152" i="2" s="1"/>
  <c r="Y135" i="2"/>
  <c r="AK135" i="2"/>
  <c r="AB127" i="2"/>
  <c r="AB150" i="2" s="1"/>
  <c r="AV135" i="2"/>
  <c r="K100" i="4" s="1"/>
  <c r="AS135" i="2"/>
  <c r="J135" i="2"/>
  <c r="AE116" i="2"/>
  <c r="AS151" i="2"/>
  <c r="AP116" i="2"/>
  <c r="D119" i="2"/>
  <c r="AR119" i="2"/>
  <c r="AH118" i="2"/>
  <c r="AU118" i="2"/>
  <c r="P133" i="2"/>
  <c r="AU119" i="2"/>
  <c r="AO132" i="2"/>
  <c r="AE125" i="2"/>
  <c r="AE148" i="2" s="1"/>
  <c r="AP135" i="2"/>
  <c r="AV125" i="2"/>
  <c r="AE124" i="2"/>
  <c r="AE147" i="2" s="1"/>
  <c r="AC147" i="2"/>
  <c r="G119" i="2"/>
  <c r="AS134" i="2"/>
  <c r="AS145" i="2"/>
  <c r="AP145" i="2"/>
  <c r="M125" i="2"/>
  <c r="M148" i="2" s="1"/>
  <c r="G127" i="2"/>
  <c r="AO127" i="2"/>
  <c r="AS121" i="2"/>
  <c r="AO131" i="2"/>
  <c r="U144" i="2"/>
  <c r="AG148" i="2"/>
  <c r="AH125" i="2"/>
  <c r="AH148" i="2" s="1"/>
  <c r="AO134" i="2"/>
  <c r="AR130" i="2"/>
  <c r="J66" i="4" s="1"/>
  <c r="AU130" i="2"/>
  <c r="K66" i="4" s="1"/>
  <c r="D130" i="2"/>
  <c r="C149" i="2"/>
  <c r="D126" i="2"/>
  <c r="E152" i="2"/>
  <c r="G129" i="2"/>
  <c r="G152" i="2" s="1"/>
  <c r="AU125" i="2"/>
  <c r="AS126" i="2"/>
  <c r="AP115" i="2"/>
  <c r="G117" i="2"/>
  <c r="AR123" i="2"/>
  <c r="AU123" i="2"/>
  <c r="P122" i="2"/>
  <c r="P145" i="2" s="1"/>
  <c r="AC146" i="2"/>
  <c r="I138" i="2"/>
  <c r="J115" i="2"/>
  <c r="J138" i="2" s="1"/>
  <c r="AP120" i="2"/>
  <c r="V121" i="2"/>
  <c r="V144" i="2" s="1"/>
  <c r="M127" i="2"/>
  <c r="M150" i="2" s="1"/>
  <c r="K150" i="2"/>
  <c r="AE121" i="2"/>
  <c r="AE144" i="2" s="1"/>
  <c r="AC144" i="2"/>
  <c r="AK130" i="2"/>
  <c r="D138" i="2"/>
  <c r="AR116" i="2"/>
  <c r="Z144" i="2"/>
  <c r="AR121" i="2"/>
  <c r="AB121" i="2"/>
  <c r="AB144" i="2" s="1"/>
  <c r="AH119" i="2"/>
  <c r="AS116" i="2"/>
  <c r="AU121" i="2"/>
  <c r="I146" i="2"/>
  <c r="AK122" i="2"/>
  <c r="AK145" i="2" s="1"/>
  <c r="AP131" i="2"/>
  <c r="G131" i="2"/>
  <c r="AP119" i="2"/>
  <c r="AK123" i="2"/>
  <c r="AK146" i="2" s="1"/>
  <c r="AH120" i="2"/>
  <c r="L147" i="2"/>
  <c r="AV147" i="2" s="1"/>
  <c r="B152" i="2"/>
  <c r="AU129" i="2"/>
  <c r="AI149" i="2"/>
  <c r="AK126" i="2"/>
  <c r="AK149" i="2" s="1"/>
  <c r="V132" i="2"/>
  <c r="AS118" i="2"/>
  <c r="AP118" i="2"/>
  <c r="J130" i="2"/>
  <c r="AV118" i="2"/>
  <c r="AU135" i="2"/>
  <c r="K71" i="4" s="1"/>
  <c r="AP127" i="2"/>
  <c r="AR131" i="2"/>
  <c r="J67" i="4" s="1"/>
  <c r="J121" i="2"/>
  <c r="L150" i="2"/>
  <c r="W147" i="2"/>
  <c r="Y124" i="2"/>
  <c r="Y147" i="2" s="1"/>
  <c r="J131" i="2"/>
  <c r="P124" i="2"/>
  <c r="P147" i="2" s="1"/>
  <c r="N147" i="2"/>
  <c r="F146" i="2"/>
  <c r="D125" i="2"/>
  <c r="AO125" i="2"/>
  <c r="B148" i="2"/>
  <c r="Y123" i="2"/>
  <c r="Y146" i="2" s="1"/>
  <c r="AV116" i="2"/>
  <c r="AR134" i="2"/>
  <c r="J70" i="4" s="1"/>
  <c r="J116" i="2"/>
  <c r="AS127" i="2"/>
  <c r="AP122" i="2"/>
  <c r="AS122" i="2"/>
  <c r="AV122" i="2"/>
  <c r="S128" i="2"/>
  <c r="S151" i="2" s="1"/>
  <c r="Q151" i="2"/>
  <c r="S125" i="2"/>
  <c r="S148" i="2" s="1"/>
  <c r="AB131" i="2"/>
  <c r="W150" i="2"/>
  <c r="Y127" i="2"/>
  <c r="Y150" i="2" s="1"/>
  <c r="AH127" i="2"/>
  <c r="AH150" i="2" s="1"/>
  <c r="AF150" i="2"/>
  <c r="AH133" i="2"/>
  <c r="C152" i="2"/>
  <c r="AS129" i="2"/>
  <c r="AV129" i="2"/>
  <c r="AV132" i="2"/>
  <c r="K97" i="4" s="1"/>
  <c r="AS132" i="2"/>
  <c r="AU128" i="2"/>
  <c r="D128" i="2"/>
  <c r="B151" i="2"/>
  <c r="AB124" i="2"/>
  <c r="AB147" i="2" s="1"/>
  <c r="K146" i="2"/>
  <c r="AO123" i="2"/>
  <c r="M123" i="2"/>
  <c r="J122" i="2"/>
  <c r="J145" i="2" s="1"/>
  <c r="H145" i="2"/>
  <c r="D129" i="2"/>
  <c r="Y126" i="2"/>
  <c r="Y149" i="2" s="1"/>
  <c r="AO122" i="2"/>
  <c r="AS131" i="2"/>
  <c r="AR128" i="2"/>
  <c r="AU127" i="2"/>
  <c r="AV120" i="2"/>
  <c r="AC145" i="2"/>
  <c r="E138" i="2"/>
  <c r="G115" i="2"/>
  <c r="G138" i="2" s="1"/>
  <c r="AV131" i="2"/>
  <c r="K96" i="4" s="1"/>
  <c r="AR127" i="2"/>
  <c r="AS120" i="2"/>
  <c r="Q146" i="2"/>
  <c r="AE127" i="2"/>
  <c r="AE150" i="2" s="1"/>
  <c r="AK134" i="2"/>
  <c r="Y119" i="2"/>
  <c r="G120" i="2"/>
  <c r="B145" i="2"/>
  <c r="D144" i="2"/>
  <c r="B147" i="2"/>
  <c r="AR124" i="2"/>
  <c r="AU124" i="2"/>
  <c r="AO124" i="2"/>
  <c r="AR125" i="2"/>
  <c r="AO128" i="2"/>
  <c r="AR122" i="2"/>
  <c r="D132" i="2"/>
  <c r="AV134" i="2"/>
  <c r="K99" i="4" s="1"/>
  <c r="S132" i="2"/>
  <c r="AB122" i="2"/>
  <c r="AB145" i="2" s="1"/>
  <c r="Z145" i="2"/>
  <c r="AB117" i="2"/>
  <c r="AR129" i="2"/>
  <c r="AO133" i="2"/>
  <c r="AU133" i="2"/>
  <c r="K69" i="4" s="1"/>
  <c r="D120" i="2"/>
  <c r="AR120" i="2"/>
  <c r="AF138" i="2"/>
  <c r="AH115" i="2"/>
  <c r="AH138" i="2" s="1"/>
  <c r="Y120" i="2"/>
  <c r="AS130" i="2"/>
  <c r="AV127" i="2"/>
  <c r="AU131" i="2"/>
  <c r="K67" i="4" s="1"/>
  <c r="AP134" i="2"/>
  <c r="AU117" i="2"/>
  <c r="AO117" i="2"/>
  <c r="D117" i="2"/>
  <c r="AP133" i="2"/>
  <c r="AS133" i="2"/>
  <c r="AU122" i="2"/>
  <c r="AR117" i="2"/>
  <c r="AU132" i="2"/>
  <c r="K68" i="4" s="1"/>
  <c r="AO115" i="2"/>
  <c r="AF144" i="2"/>
  <c r="M118" i="2"/>
  <c r="AR118" i="2"/>
  <c r="AO118" i="2"/>
  <c r="AK125" i="2"/>
  <c r="AK148" i="2" s="1"/>
  <c r="Y125" i="2"/>
  <c r="Y148" i="2" s="1"/>
  <c r="J125" i="2"/>
  <c r="J148" i="2" s="1"/>
  <c r="AA150" i="2"/>
  <c r="AR132" i="2"/>
  <c r="J68" i="4" s="1"/>
  <c r="AV115" i="2"/>
  <c r="AS124" i="2"/>
  <c r="AP123" i="2"/>
  <c r="G122" i="2"/>
  <c r="G145" i="2" s="1"/>
  <c r="J134" i="2"/>
  <c r="I148" i="2"/>
  <c r="W151" i="2"/>
  <c r="M120" i="2"/>
  <c r="J127" i="2"/>
  <c r="J150" i="2" s="1"/>
  <c r="AS115" i="2"/>
  <c r="AV124" i="2"/>
  <c r="AO121" i="2"/>
  <c r="Q145" i="2"/>
  <c r="M124" i="2"/>
  <c r="M147" i="2" s="1"/>
  <c r="M115" i="2"/>
  <c r="M138" i="2" s="1"/>
  <c r="N151" i="2"/>
  <c r="G135" i="2"/>
  <c r="AV130" i="2"/>
  <c r="K95" i="4" s="1"/>
  <c r="AP128" i="2"/>
  <c r="AU134" i="2"/>
  <c r="K70" i="4" s="1"/>
  <c r="B144" i="2"/>
  <c r="G132" i="2"/>
  <c r="Y130" i="2"/>
  <c r="AB116" i="2"/>
  <c r="D116" i="2"/>
  <c r="AU116" i="2"/>
  <c r="AV123" i="2"/>
  <c r="Y122" i="2"/>
  <c r="Y145" i="2" s="1"/>
  <c r="AS119" i="2"/>
  <c r="D118" i="2"/>
  <c r="AV128" i="2"/>
  <c r="AS123" i="2"/>
  <c r="K147" i="2"/>
  <c r="Z152" i="2"/>
  <c r="AB129" i="2"/>
  <c r="AB152" i="2" s="1"/>
  <c r="AK124" i="2"/>
  <c r="AK147" i="2" s="1"/>
  <c r="AE134" i="2"/>
  <c r="AP130" i="2"/>
  <c r="AP121" i="2"/>
  <c r="B138" i="2"/>
  <c r="AR115" i="2"/>
  <c r="T147" i="2"/>
  <c r="V124" i="2"/>
  <c r="V147" i="2" s="1"/>
  <c r="AB115" i="2"/>
  <c r="AB138" i="2" s="1"/>
  <c r="Z138" i="2"/>
  <c r="AC151" i="2"/>
  <c r="AK115" i="2"/>
  <c r="AK138" i="2" s="1"/>
  <c r="G128" i="2"/>
  <c r="G151" i="2" s="1"/>
  <c r="AV121" i="2"/>
  <c r="C148" i="2"/>
  <c r="AS125" i="2"/>
  <c r="AU115" i="2"/>
  <c r="P121" i="2"/>
  <c r="P144" i="2" s="1"/>
  <c r="S127" i="2"/>
  <c r="S150" i="2" s="1"/>
  <c r="G116" i="2"/>
  <c r="AK129" i="2"/>
  <c r="AK152" i="2" s="1"/>
  <c r="AE129" i="2"/>
  <c r="AE152" i="2" s="1"/>
  <c r="M122" i="2"/>
  <c r="M145" i="2" s="1"/>
  <c r="AP151" i="2" l="1"/>
  <c r="AS146" i="2"/>
  <c r="AR149" i="2"/>
  <c r="AO149" i="2"/>
  <c r="AW133" i="2"/>
  <c r="AP147" i="2"/>
  <c r="AU150" i="2"/>
  <c r="AO146" i="2"/>
  <c r="AS147" i="2"/>
  <c r="AW135" i="2"/>
  <c r="AT133" i="2"/>
  <c r="AT134" i="2"/>
  <c r="AU149" i="2"/>
  <c r="AQ134" i="2"/>
  <c r="AW134" i="2"/>
  <c r="AS144" i="2"/>
  <c r="AQ123" i="2"/>
  <c r="AP144" i="2"/>
  <c r="AV144" i="2"/>
  <c r="AV150" i="2"/>
  <c r="AP150" i="2"/>
  <c r="AW131" i="2"/>
  <c r="AR146" i="2"/>
  <c r="AO150" i="2"/>
  <c r="AT121" i="2"/>
  <c r="AS150" i="2"/>
  <c r="AV146" i="2"/>
  <c r="AU145" i="2"/>
  <c r="AR145" i="2"/>
  <c r="AO145" i="2"/>
  <c r="AP152" i="2"/>
  <c r="AS152" i="2"/>
  <c r="AV152" i="2"/>
  <c r="AQ138" i="2"/>
  <c r="AW138" i="2"/>
  <c r="AT138" i="2"/>
  <c r="AQ116" i="2"/>
  <c r="AT116" i="2"/>
  <c r="AW116" i="2"/>
  <c r="AQ131" i="2"/>
  <c r="AW129" i="2"/>
  <c r="AT129" i="2"/>
  <c r="AQ129" i="2"/>
  <c r="D152" i="2"/>
  <c r="AV138" i="2"/>
  <c r="AT131" i="2"/>
  <c r="AQ135" i="2"/>
  <c r="AU151" i="2"/>
  <c r="AR151" i="2"/>
  <c r="AO151" i="2"/>
  <c r="AT117" i="2"/>
  <c r="AQ117" i="2"/>
  <c r="AW117" i="2"/>
  <c r="J99" i="4"/>
  <c r="AQ6" i="4"/>
  <c r="J97" i="4"/>
  <c r="AQ9" i="4"/>
  <c r="AT118" i="2"/>
  <c r="AQ118" i="2"/>
  <c r="AW118" i="2"/>
  <c r="AP138" i="2"/>
  <c r="AT122" i="2"/>
  <c r="AS138" i="2"/>
  <c r="AW123" i="2"/>
  <c r="AT135" i="2"/>
  <c r="AQ5" i="4"/>
  <c r="J100" i="4"/>
  <c r="AW124" i="2"/>
  <c r="AQ124" i="2"/>
  <c r="AQ127" i="2"/>
  <c r="AT145" i="2"/>
  <c r="AW145" i="2"/>
  <c r="AQ145" i="2"/>
  <c r="AQ122" i="2"/>
  <c r="AU148" i="2"/>
  <c r="AO148" i="2"/>
  <c r="AR148" i="2"/>
  <c r="AW115" i="2"/>
  <c r="AQ115" i="2"/>
  <c r="AW122" i="2"/>
  <c r="G150" i="2"/>
  <c r="AW150" i="2" s="1"/>
  <c r="AT127" i="2"/>
  <c r="AW127" i="2"/>
  <c r="AP148" i="2"/>
  <c r="AS148" i="2"/>
  <c r="AV148" i="2"/>
  <c r="AW147" i="2"/>
  <c r="AT147" i="2"/>
  <c r="AQ147" i="2"/>
  <c r="AT115" i="2"/>
  <c r="AU138" i="2"/>
  <c r="AO138" i="2"/>
  <c r="AR138" i="2"/>
  <c r="AQ133" i="2"/>
  <c r="AO147" i="2"/>
  <c r="AU147" i="2"/>
  <c r="AR147" i="2"/>
  <c r="AQ125" i="2"/>
  <c r="AT125" i="2"/>
  <c r="D148" i="2"/>
  <c r="AW125" i="2"/>
  <c r="AR152" i="2"/>
  <c r="AU152" i="2"/>
  <c r="AO152" i="2"/>
  <c r="AQ126" i="2"/>
  <c r="D149" i="2"/>
  <c r="AW126" i="2"/>
  <c r="AT126" i="2"/>
  <c r="D151" i="2"/>
  <c r="AW128" i="2"/>
  <c r="AQ128" i="2"/>
  <c r="AT128" i="2"/>
  <c r="AU146" i="2"/>
  <c r="J95" i="4"/>
  <c r="AQ120" i="2"/>
  <c r="AW120" i="2"/>
  <c r="AT120" i="2"/>
  <c r="AV149" i="2"/>
  <c r="AP149" i="2"/>
  <c r="AS149" i="2"/>
  <c r="AT124" i="2"/>
  <c r="AQ119" i="2"/>
  <c r="AW119" i="2"/>
  <c r="AT119" i="2"/>
  <c r="AT132" i="2"/>
  <c r="AQ132" i="2"/>
  <c r="AW132" i="2"/>
  <c r="J96" i="4"/>
  <c r="AQ17" i="4"/>
  <c r="M146" i="2"/>
  <c r="AW146" i="2" s="1"/>
  <c r="AT123" i="2"/>
  <c r="J144" i="2"/>
  <c r="AQ144" i="2" s="1"/>
  <c r="AQ121" i="2"/>
  <c r="AO144" i="2"/>
  <c r="AR144" i="2"/>
  <c r="AU144" i="2"/>
  <c r="AW121" i="2"/>
  <c r="AR150" i="2"/>
  <c r="AQ7" i="4"/>
  <c r="J98" i="4"/>
  <c r="AP146" i="2"/>
  <c r="AW130" i="2"/>
  <c r="AT130" i="2"/>
  <c r="AQ130" i="2"/>
  <c r="AW144" i="2" l="1"/>
  <c r="AT144" i="2"/>
  <c r="AQ150" i="2"/>
  <c r="AT150" i="2"/>
  <c r="AT146" i="2"/>
  <c r="AQ146" i="2"/>
  <c r="AT151" i="2"/>
  <c r="AQ151" i="2"/>
  <c r="AW151" i="2"/>
  <c r="AQ11" i="4"/>
  <c r="AT152" i="2"/>
  <c r="AW152" i="2"/>
  <c r="AQ152" i="2"/>
  <c r="AQ148" i="2"/>
  <c r="AW148" i="2"/>
  <c r="AT148" i="2"/>
  <c r="AT149" i="2"/>
  <c r="AW149" i="2"/>
  <c r="AQ149" i="2"/>
  <c r="AP66" i="4" l="1"/>
  <c r="AQ66" i="4"/>
  <c r="I66" i="4"/>
  <c r="BG66" i="4"/>
  <c r="BC66" i="4"/>
  <c r="AY66" i="4"/>
  <c r="BE66" i="4"/>
  <c r="BA66" i="4"/>
  <c r="I95" i="4"/>
  <c r="I96" i="4" l="1"/>
  <c r="BA67" i="4"/>
  <c r="BE67" i="4"/>
  <c r="AM130" i="2"/>
  <c r="AL130" i="2"/>
  <c r="AN21" i="2"/>
  <c r="AP11" i="4"/>
  <c r="AR11" i="4" s="1"/>
  <c r="BF66" i="4"/>
  <c r="AS66" i="4"/>
  <c r="AR66" i="4"/>
  <c r="I67" i="4" l="1"/>
  <c r="AP67" i="4"/>
  <c r="BG67" i="4"/>
  <c r="AQ67" i="4"/>
  <c r="AY67" i="4"/>
  <c r="BC67" i="4"/>
  <c r="K153" i="2"/>
  <c r="K161" i="2" s="1"/>
  <c r="E153" i="2"/>
  <c r="E161" i="2" s="1"/>
  <c r="AF153" i="2"/>
  <c r="AF161" i="2" s="1"/>
  <c r="W153" i="2"/>
  <c r="W161" i="2" s="1"/>
  <c r="N153" i="2"/>
  <c r="N161" i="2" s="1"/>
  <c r="Q153" i="2"/>
  <c r="Q161" i="2" s="1"/>
  <c r="AN130" i="2"/>
  <c r="B153" i="2"/>
  <c r="B161" i="2" s="1"/>
  <c r="H153" i="2"/>
  <c r="H161" i="2" s="1"/>
  <c r="Z153" i="2"/>
  <c r="Z161" i="2" s="1"/>
  <c r="AI153" i="2"/>
  <c r="AI161" i="2" s="1"/>
  <c r="AC153" i="2"/>
  <c r="AC161" i="2" s="1"/>
  <c r="T153" i="2"/>
  <c r="T161" i="2" s="1"/>
  <c r="U153" i="2"/>
  <c r="U161" i="2" s="1"/>
  <c r="L153" i="2"/>
  <c r="L161" i="2" s="1"/>
  <c r="X153" i="2"/>
  <c r="X161" i="2" s="1"/>
  <c r="AA153" i="2"/>
  <c r="AA161" i="2" s="1"/>
  <c r="C153" i="2"/>
  <c r="C161" i="2" s="1"/>
  <c r="AD153" i="2"/>
  <c r="AD161" i="2" s="1"/>
  <c r="F153" i="2"/>
  <c r="F161" i="2" s="1"/>
  <c r="I153" i="2"/>
  <c r="I161" i="2" s="1"/>
  <c r="AG153" i="2"/>
  <c r="AG161" i="2" s="1"/>
  <c r="AJ153" i="2"/>
  <c r="AJ161" i="2" s="1"/>
  <c r="O153" i="2"/>
  <c r="O161" i="2" s="1"/>
  <c r="R153" i="2"/>
  <c r="R161" i="2" s="1"/>
  <c r="AM131" i="2"/>
  <c r="AZ120" i="4"/>
  <c r="AZ121" i="4" s="1"/>
  <c r="BA68" i="4"/>
  <c r="I97" i="4"/>
  <c r="BE68" i="4"/>
  <c r="AP161" i="2" l="1"/>
  <c r="AS161" i="2"/>
  <c r="AV161" i="2"/>
  <c r="AR161" i="2"/>
  <c r="AO161" i="2"/>
  <c r="AU161" i="2"/>
  <c r="BA69" i="4"/>
  <c r="BE69" i="4"/>
  <c r="I98" i="4"/>
  <c r="M153" i="2"/>
  <c r="M161" i="2" s="1"/>
  <c r="AB153" i="2"/>
  <c r="AB161" i="2" s="1"/>
  <c r="J153" i="2"/>
  <c r="J161" i="2" s="1"/>
  <c r="S153" i="2"/>
  <c r="S161" i="2" s="1"/>
  <c r="P153" i="2"/>
  <c r="P161" i="2" s="1"/>
  <c r="D153" i="2"/>
  <c r="D161" i="2" s="1"/>
  <c r="AK153" i="2"/>
  <c r="AK161" i="2" s="1"/>
  <c r="G153" i="2"/>
  <c r="G161" i="2" s="1"/>
  <c r="Y153" i="2"/>
  <c r="Y161" i="2" s="1"/>
  <c r="AE153" i="2"/>
  <c r="AE161" i="2" s="1"/>
  <c r="V153" i="2"/>
  <c r="V161" i="2" s="1"/>
  <c r="AH153" i="2"/>
  <c r="AH161" i="2" s="1"/>
  <c r="AM132" i="2"/>
  <c r="AO153" i="2"/>
  <c r="AR153" i="2"/>
  <c r="AU153" i="2"/>
  <c r="AJ154" i="2"/>
  <c r="R154" i="2"/>
  <c r="AG154" i="2"/>
  <c r="X154" i="2"/>
  <c r="I154" i="2"/>
  <c r="AA154" i="2"/>
  <c r="U154" i="2"/>
  <c r="O154" i="2"/>
  <c r="C154" i="2"/>
  <c r="L154" i="2"/>
  <c r="F154" i="2"/>
  <c r="AD154" i="2"/>
  <c r="AS153" i="2"/>
  <c r="AV153" i="2"/>
  <c r="AP153" i="2"/>
  <c r="AL131" i="2"/>
  <c r="AN22" i="2"/>
  <c r="BF67" i="4"/>
  <c r="AP17" i="4"/>
  <c r="AR17" i="4" s="1"/>
  <c r="AR67" i="4"/>
  <c r="AS67" i="4"/>
  <c r="AW161" i="2" l="1"/>
  <c r="AQ161" i="2"/>
  <c r="AT161" i="2"/>
  <c r="U155" i="2"/>
  <c r="F155" i="2"/>
  <c r="I155" i="2"/>
  <c r="AJ155" i="2"/>
  <c r="O155" i="2"/>
  <c r="R155" i="2"/>
  <c r="X155" i="2"/>
  <c r="AD155" i="2"/>
  <c r="AA155" i="2"/>
  <c r="AG155" i="2"/>
  <c r="L155" i="2"/>
  <c r="C155" i="2"/>
  <c r="BC68" i="4"/>
  <c r="BG68" i="4"/>
  <c r="AP68" i="4"/>
  <c r="AY68" i="4"/>
  <c r="I68" i="4"/>
  <c r="AQ68" i="4"/>
  <c r="BE70" i="4"/>
  <c r="BA70" i="4"/>
  <c r="I99" i="4"/>
  <c r="AM133" i="2"/>
  <c r="AV154" i="2"/>
  <c r="AS154" i="2"/>
  <c r="AP154" i="2"/>
  <c r="W154" i="2"/>
  <c r="E154" i="2"/>
  <c r="Z154" i="2"/>
  <c r="AN131" i="2"/>
  <c r="K154" i="2"/>
  <c r="Q154" i="2"/>
  <c r="T154" i="2"/>
  <c r="B154" i="2"/>
  <c r="AC154" i="2"/>
  <c r="H154" i="2"/>
  <c r="AF154" i="2"/>
  <c r="AI154" i="2"/>
  <c r="N154" i="2"/>
  <c r="AT153" i="2"/>
  <c r="AQ153" i="2"/>
  <c r="AW153" i="2"/>
  <c r="AG156" i="2" l="1"/>
  <c r="I156" i="2"/>
  <c r="AA156" i="2"/>
  <c r="F156" i="2"/>
  <c r="AJ156" i="2"/>
  <c r="O156" i="2"/>
  <c r="AD156" i="2"/>
  <c r="R156" i="2"/>
  <c r="X156" i="2"/>
  <c r="L156" i="2"/>
  <c r="U156" i="2"/>
  <c r="C156" i="2"/>
  <c r="AR68" i="4"/>
  <c r="BF68" i="4"/>
  <c r="AP9" i="4"/>
  <c r="AR9" i="4" s="1"/>
  <c r="AS68" i="4"/>
  <c r="AM134" i="2"/>
  <c r="AM54" i="2"/>
  <c r="AV155" i="2"/>
  <c r="AP155" i="2"/>
  <c r="AS155" i="2"/>
  <c r="I100" i="4"/>
  <c r="BE71" i="4"/>
  <c r="AM26" i="2"/>
  <c r="BA71" i="4"/>
  <c r="AN23" i="2"/>
  <c r="AL132" i="2"/>
  <c r="D154" i="2"/>
  <c r="G154" i="2"/>
  <c r="Y154" i="2"/>
  <c r="AB154" i="2"/>
  <c r="AE154" i="2"/>
  <c r="S154" i="2"/>
  <c r="M154" i="2"/>
  <c r="J154" i="2"/>
  <c r="AH154" i="2"/>
  <c r="V154" i="2"/>
  <c r="P154" i="2"/>
  <c r="AK154" i="2"/>
  <c r="AR154" i="2"/>
  <c r="AO154" i="2"/>
  <c r="AU154" i="2"/>
  <c r="AG157" i="2" l="1"/>
  <c r="I157" i="2"/>
  <c r="U157" i="2"/>
  <c r="AD157" i="2"/>
  <c r="O157" i="2"/>
  <c r="C157" i="2"/>
  <c r="AA157" i="2"/>
  <c r="R157" i="2"/>
  <c r="X157" i="2"/>
  <c r="F157" i="2"/>
  <c r="L157" i="2"/>
  <c r="AJ157" i="2"/>
  <c r="AQ69" i="4"/>
  <c r="BG69" i="4"/>
  <c r="AP69" i="4"/>
  <c r="I69" i="4"/>
  <c r="BC69" i="4"/>
  <c r="AY69" i="4"/>
  <c r="AP156" i="2"/>
  <c r="AV156" i="2"/>
  <c r="AS156" i="2"/>
  <c r="Z155" i="2"/>
  <c r="AN132" i="2"/>
  <c r="E155" i="2"/>
  <c r="B155" i="2"/>
  <c r="AI155" i="2"/>
  <c r="T155" i="2"/>
  <c r="K155" i="2"/>
  <c r="H155" i="2"/>
  <c r="AC155" i="2"/>
  <c r="AF155" i="2"/>
  <c r="W155" i="2"/>
  <c r="Q155" i="2"/>
  <c r="N155" i="2"/>
  <c r="AQ154" i="2"/>
  <c r="AW154" i="2"/>
  <c r="AT154" i="2"/>
  <c r="AM41" i="2"/>
  <c r="AM44" i="2"/>
  <c r="AM48" i="2"/>
  <c r="AM49" i="2"/>
  <c r="AM45" i="2"/>
  <c r="AM46" i="2"/>
  <c r="AM55" i="2"/>
  <c r="AM79" i="2" s="1"/>
  <c r="AM35" i="2"/>
  <c r="AM59" i="2" s="1"/>
  <c r="AM42" i="2"/>
  <c r="AM43" i="2"/>
  <c r="AM47" i="2"/>
  <c r="AM135" i="2"/>
  <c r="AM50" i="2"/>
  <c r="AM51" i="2"/>
  <c r="AM52" i="2"/>
  <c r="AM53" i="2"/>
  <c r="AM76" i="2" l="1"/>
  <c r="AM77" i="2"/>
  <c r="AM75" i="2"/>
  <c r="AM67" i="2"/>
  <c r="AM70" i="2"/>
  <c r="AM73" i="2"/>
  <c r="AM66" i="2"/>
  <c r="AM72" i="2"/>
  <c r="AM69" i="2"/>
  <c r="AM169" i="2"/>
  <c r="AM199" i="2"/>
  <c r="AM174" i="2"/>
  <c r="AM189" i="2"/>
  <c r="AM179" i="2"/>
  <c r="AM184" i="2"/>
  <c r="AM194" i="2"/>
  <c r="AL133" i="2"/>
  <c r="AN24" i="2"/>
  <c r="AP7" i="4"/>
  <c r="AR7" i="4" s="1"/>
  <c r="BF69" i="4"/>
  <c r="AR69" i="4"/>
  <c r="AS69" i="4"/>
  <c r="AM68" i="2"/>
  <c r="AM78" i="2"/>
  <c r="AR155" i="2"/>
  <c r="AO155" i="2"/>
  <c r="AU155" i="2"/>
  <c r="AH155" i="2"/>
  <c r="P155" i="2"/>
  <c r="AK155" i="2"/>
  <c r="D155" i="2"/>
  <c r="J155" i="2"/>
  <c r="AB155" i="2"/>
  <c r="M155" i="2"/>
  <c r="Y155" i="2"/>
  <c r="G155" i="2"/>
  <c r="V155" i="2"/>
  <c r="AE155" i="2"/>
  <c r="S155" i="2"/>
  <c r="AM200" i="2"/>
  <c r="AS157" i="2"/>
  <c r="AV157" i="2"/>
  <c r="AP157" i="2"/>
  <c r="AM74" i="2"/>
  <c r="R158" i="2"/>
  <c r="R163" i="2" s="1"/>
  <c r="U158" i="2"/>
  <c r="L158" i="2"/>
  <c r="AG158" i="2"/>
  <c r="AA158" i="2"/>
  <c r="C158" i="2"/>
  <c r="C163" i="2" s="1"/>
  <c r="I158" i="2"/>
  <c r="I160" i="2" s="1"/>
  <c r="X158" i="2"/>
  <c r="X163" i="2" s="1"/>
  <c r="O158" i="2"/>
  <c r="O163" i="2" s="1"/>
  <c r="AJ158" i="2"/>
  <c r="F158" i="2"/>
  <c r="AD158" i="2"/>
  <c r="AM71" i="2"/>
  <c r="AM202" i="2" l="1"/>
  <c r="I163" i="2"/>
  <c r="R160" i="2"/>
  <c r="AM181" i="2"/>
  <c r="X160" i="2"/>
  <c r="AM201" i="2"/>
  <c r="AT155" i="2"/>
  <c r="AQ155" i="2"/>
  <c r="AW155" i="2"/>
  <c r="AM102" i="2"/>
  <c r="AM171" i="2"/>
  <c r="Z156" i="2"/>
  <c r="T156" i="2"/>
  <c r="H156" i="2"/>
  <c r="K156" i="2"/>
  <c r="AF156" i="2"/>
  <c r="AC156" i="2"/>
  <c r="B156" i="2"/>
  <c r="AI156" i="2"/>
  <c r="Q156" i="2"/>
  <c r="E156" i="2"/>
  <c r="N156" i="2"/>
  <c r="AN133" i="2"/>
  <c r="W156" i="2"/>
  <c r="AM95" i="2"/>
  <c r="AM191" i="2"/>
  <c r="AM99" i="2"/>
  <c r="AS158" i="2"/>
  <c r="AV158" i="2"/>
  <c r="AP158" i="2"/>
  <c r="C160" i="2"/>
  <c r="AM185" i="2"/>
  <c r="AM97" i="2"/>
  <c r="F160" i="2"/>
  <c r="F163" i="2"/>
  <c r="AA160" i="2"/>
  <c r="AA163" i="2"/>
  <c r="AM186" i="2"/>
  <c r="AM176" i="2"/>
  <c r="AM98" i="2"/>
  <c r="AM100" i="2"/>
  <c r="AM180" i="2"/>
  <c r="I70" i="4"/>
  <c r="AP70" i="4"/>
  <c r="BC70" i="4"/>
  <c r="BG70" i="4"/>
  <c r="AQ70" i="4"/>
  <c r="AY70" i="4"/>
  <c r="AM96" i="2"/>
  <c r="AJ163" i="2"/>
  <c r="AJ160" i="2"/>
  <c r="AM170" i="2"/>
  <c r="AM175" i="2"/>
  <c r="U160" i="2"/>
  <c r="U163" i="2"/>
  <c r="AM190" i="2"/>
  <c r="AM195" i="2"/>
  <c r="AM196" i="2"/>
  <c r="L160" i="2"/>
  <c r="L163" i="2"/>
  <c r="AM103" i="2"/>
  <c r="AM101" i="2"/>
  <c r="AD163" i="2"/>
  <c r="AD160" i="2"/>
  <c r="AM94" i="2"/>
  <c r="AG163" i="2"/>
  <c r="AG160" i="2"/>
  <c r="O160" i="2"/>
  <c r="AV163" i="2" l="1"/>
  <c r="AM104" i="2"/>
  <c r="AM105" i="2"/>
  <c r="AS163" i="2"/>
  <c r="AN25" i="2"/>
  <c r="AL134" i="2"/>
  <c r="AM109" i="2"/>
  <c r="S156" i="2"/>
  <c r="AB156" i="2"/>
  <c r="Y156" i="2"/>
  <c r="V156" i="2"/>
  <c r="D156" i="2"/>
  <c r="AH156" i="2"/>
  <c r="AE156" i="2"/>
  <c r="P156" i="2"/>
  <c r="G156" i="2"/>
  <c r="M156" i="2"/>
  <c r="AK156" i="2"/>
  <c r="J156" i="2"/>
  <c r="AP160" i="2"/>
  <c r="AS160" i="2"/>
  <c r="AV160" i="2"/>
  <c r="AP163" i="2"/>
  <c r="AR70" i="4"/>
  <c r="AP6" i="4"/>
  <c r="AR6" i="4" s="1"/>
  <c r="BF70" i="4"/>
  <c r="AS70" i="4"/>
  <c r="AU156" i="2"/>
  <c r="AR156" i="2"/>
  <c r="AO156" i="2"/>
  <c r="AM107" i="2"/>
  <c r="AM111" i="2" l="1"/>
  <c r="AT156" i="2"/>
  <c r="AW156" i="2"/>
  <c r="AQ156" i="2"/>
  <c r="AL26" i="2"/>
  <c r="AY71" i="4"/>
  <c r="AP71" i="4"/>
  <c r="BC71" i="4"/>
  <c r="BG71" i="4"/>
  <c r="AQ71" i="4"/>
  <c r="I71" i="4"/>
  <c r="AF157" i="2"/>
  <c r="AI157" i="2"/>
  <c r="K157" i="2"/>
  <c r="T157" i="2"/>
  <c r="AC157" i="2"/>
  <c r="Q157" i="2"/>
  <c r="AN134" i="2"/>
  <c r="B157" i="2"/>
  <c r="N157" i="2"/>
  <c r="H157" i="2"/>
  <c r="Z157" i="2"/>
  <c r="W157" i="2"/>
  <c r="E157" i="2"/>
  <c r="AN26" i="2" l="1"/>
  <c r="AL35" i="2"/>
  <c r="AL59" i="2" s="1"/>
  <c r="AL135" i="2"/>
  <c r="AL44" i="2"/>
  <c r="AL49" i="2"/>
  <c r="AL45" i="2"/>
  <c r="AL69" i="2" s="1"/>
  <c r="AL41" i="2"/>
  <c r="AL46" i="2"/>
  <c r="AL43" i="2"/>
  <c r="AL47" i="2"/>
  <c r="AL42" i="2"/>
  <c r="AL48" i="2"/>
  <c r="AL55" i="2"/>
  <c r="AL50" i="2"/>
  <c r="AL74" i="2" s="1"/>
  <c r="AL51" i="2"/>
  <c r="AL52" i="2"/>
  <c r="AL53" i="2"/>
  <c r="AL77" i="2" s="1"/>
  <c r="AL54" i="2"/>
  <c r="AL78" i="2" s="1"/>
  <c r="AU157" i="2"/>
  <c r="AR157" i="2"/>
  <c r="AO157" i="2"/>
  <c r="BF71" i="4"/>
  <c r="AP5" i="4"/>
  <c r="AR5" i="4" s="1"/>
  <c r="AR71" i="4"/>
  <c r="AS71" i="4"/>
  <c r="AH157" i="2"/>
  <c r="AB157" i="2"/>
  <c r="P157" i="2"/>
  <c r="AK157" i="2"/>
  <c r="S157" i="2"/>
  <c r="J157" i="2"/>
  <c r="D157" i="2"/>
  <c r="G157" i="2"/>
  <c r="M157" i="2"/>
  <c r="AE157" i="2"/>
  <c r="Y157" i="2"/>
  <c r="V157" i="2"/>
  <c r="AL66" i="2" l="1"/>
  <c r="AL200" i="2" s="1"/>
  <c r="AL72" i="2"/>
  <c r="AL76" i="2"/>
  <c r="AL70" i="2"/>
  <c r="AL71" i="2"/>
  <c r="AL75" i="2"/>
  <c r="AL79" i="2"/>
  <c r="AL73" i="2"/>
  <c r="AL181" i="2"/>
  <c r="AQ157" i="2"/>
  <c r="AT157" i="2"/>
  <c r="AW157" i="2"/>
  <c r="AL67" i="2"/>
  <c r="AL68" i="2"/>
  <c r="W158" i="2"/>
  <c r="AF158" i="2"/>
  <c r="E158" i="2"/>
  <c r="N158" i="2"/>
  <c r="B158" i="2"/>
  <c r="AN135" i="2"/>
  <c r="AI158" i="2"/>
  <c r="Z158" i="2"/>
  <c r="H158" i="2"/>
  <c r="AC158" i="2"/>
  <c r="Q158" i="2"/>
  <c r="K158" i="2"/>
  <c r="T158" i="2"/>
  <c r="AL169" i="2"/>
  <c r="AL184" i="2"/>
  <c r="AL194" i="2"/>
  <c r="AL199" i="2"/>
  <c r="AL174" i="2"/>
  <c r="AL179" i="2"/>
  <c r="AL189" i="2"/>
  <c r="AL176" i="2" l="1"/>
  <c r="AL186" i="2"/>
  <c r="AL195" i="2"/>
  <c r="AL191" i="2"/>
  <c r="AL171" i="2"/>
  <c r="AL196" i="2"/>
  <c r="AL97" i="2"/>
  <c r="AI160" i="2"/>
  <c r="AI163" i="2"/>
  <c r="AU158" i="2"/>
  <c r="AR158" i="2"/>
  <c r="AO158" i="2"/>
  <c r="B160" i="2"/>
  <c r="B163" i="2"/>
  <c r="AL201" i="2"/>
  <c r="AL170" i="2"/>
  <c r="K160" i="2"/>
  <c r="K163" i="2"/>
  <c r="AL99" i="2"/>
  <c r="AL190" i="2"/>
  <c r="AL185" i="2"/>
  <c r="Q163" i="2"/>
  <c r="Q160" i="2"/>
  <c r="N163" i="2"/>
  <c r="N160" i="2"/>
  <c r="AL94" i="2"/>
  <c r="AL180" i="2"/>
  <c r="AC160" i="2"/>
  <c r="AC163" i="2"/>
  <c r="Z160" i="2"/>
  <c r="Z163" i="2"/>
  <c r="AB158" i="2"/>
  <c r="AH158" i="2"/>
  <c r="J158" i="2"/>
  <c r="S158" i="2"/>
  <c r="AK158" i="2"/>
  <c r="Y158" i="2"/>
  <c r="G158" i="2"/>
  <c r="D158" i="2"/>
  <c r="AE158" i="2"/>
  <c r="M158" i="2"/>
  <c r="P158" i="2"/>
  <c r="V158" i="2"/>
  <c r="AF163" i="2"/>
  <c r="AF160" i="2"/>
  <c r="AL175" i="2"/>
  <c r="AL98" i="2"/>
  <c r="AL103" i="2"/>
  <c r="AL96" i="2"/>
  <c r="H160" i="2"/>
  <c r="H163" i="2"/>
  <c r="AL102" i="2"/>
  <c r="E163" i="2"/>
  <c r="E160" i="2"/>
  <c r="W160" i="2"/>
  <c r="W163" i="2"/>
  <c r="AL95" i="2"/>
  <c r="AL101" i="2"/>
  <c r="AL105" i="2" s="1"/>
  <c r="T163" i="2"/>
  <c r="T160" i="2"/>
  <c r="AL202" i="2"/>
  <c r="AL100" i="2"/>
  <c r="AE163" i="2" l="1"/>
  <c r="AE160" i="2"/>
  <c r="AW158" i="2"/>
  <c r="AT158" i="2"/>
  <c r="AQ158" i="2"/>
  <c r="D163" i="2"/>
  <c r="D160" i="2"/>
  <c r="AK163" i="2"/>
  <c r="AK160" i="2"/>
  <c r="S160" i="2"/>
  <c r="S163" i="2"/>
  <c r="V163" i="2"/>
  <c r="V160" i="2"/>
  <c r="P160" i="2"/>
  <c r="P163" i="2"/>
  <c r="AL107" i="2"/>
  <c r="G163" i="2"/>
  <c r="G160" i="2"/>
  <c r="Y163" i="2"/>
  <c r="Y160" i="2"/>
  <c r="J160" i="2"/>
  <c r="J163" i="2"/>
  <c r="AH163" i="2"/>
  <c r="AH160" i="2"/>
  <c r="AU160" i="2"/>
  <c r="AR160" i="2"/>
  <c r="AO160" i="2"/>
  <c r="M163" i="2"/>
  <c r="M160" i="2"/>
  <c r="AO163" i="2"/>
  <c r="AR163" i="2"/>
  <c r="AU163" i="2"/>
  <c r="AB160" i="2"/>
  <c r="AB163" i="2"/>
  <c r="AL109" i="2"/>
  <c r="AL104" i="2"/>
  <c r="AL111" i="2" l="1"/>
  <c r="AT160" i="2"/>
  <c r="AQ160" i="2"/>
  <c r="AW160" i="2"/>
  <c r="AQ163" i="2"/>
  <c r="AW163" i="2"/>
  <c r="AT1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HdA-Zentrale</author>
    <author>Gernot</author>
  </authors>
  <commentList>
    <comment ref="AM51" authorId="0" shapeId="0" xr:uid="{3C66354D-4E8B-40C9-96B3-21AA53CA86B5}">
      <text>
        <r>
          <rPr>
            <b/>
            <sz val="9"/>
            <color indexed="81"/>
            <rFont val="Segoe UI"/>
            <family val="2"/>
          </rPr>
          <t>HdA-Zentrale:</t>
        </r>
        <r>
          <rPr>
            <sz val="9"/>
            <color indexed="81"/>
            <rFont val="Segoe UI"/>
            <family val="2"/>
          </rPr>
          <t xml:space="preserve">
Stand 12:50 Uhr!</t>
        </r>
      </text>
    </comment>
    <comment ref="AS55" authorId="1" shapeId="0" xr:uid="{B550EC9F-B4FD-4F50-A3E5-2663D3E485A3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bis hier weniger als 5 Tage</t>
        </r>
      </text>
    </comment>
    <comment ref="AM57" authorId="0" shapeId="0" xr:uid="{625BB67A-4527-4ABD-8974-9CD8B994C81B}">
      <text>
        <r>
          <rPr>
            <b/>
            <sz val="9"/>
            <color indexed="81"/>
            <rFont val="Segoe UI"/>
            <family val="2"/>
          </rPr>
          <t>HdA-Zentrale:</t>
        </r>
        <r>
          <rPr>
            <sz val="9"/>
            <color indexed="81"/>
            <rFont val="Segoe UI"/>
            <family val="2"/>
          </rPr>
          <t xml:space="preserve">
Stand: 19:40 Uhr!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HdA-Zentrale</author>
  </authors>
  <commentList>
    <comment ref="AN14" authorId="0" shapeId="0" xr:uid="{901FE883-D104-4769-AB47-387B23641AB6}">
      <text>
        <r>
          <rPr>
            <b/>
            <sz val="9"/>
            <color indexed="81"/>
            <rFont val="Segoe UI"/>
            <family val="2"/>
          </rPr>
          <t>HdA-Zentrale:</t>
        </r>
        <r>
          <rPr>
            <sz val="9"/>
            <color indexed="81"/>
            <rFont val="Segoe UI"/>
            <family val="2"/>
          </rPr>
          <t xml:space="preserve">
Zusatzprodukt "Portrait"!</t>
        </r>
      </text>
    </comment>
  </commentList>
</comments>
</file>

<file path=xl/sharedStrings.xml><?xml version="1.0" encoding="utf-8"?>
<sst xmlns="http://schemas.openxmlformats.org/spreadsheetml/2006/main" count="1300" uniqueCount="445">
  <si>
    <t>Die grün markierten Produkte hast du bei dem entsprechenden Paket inklusive.</t>
  </si>
  <si>
    <t>↓</t>
  </si>
  <si>
    <t>Format</t>
  </si>
  <si>
    <t>UVP-Preis
im F-Shop</t>
  </si>
  <si>
    <t>µ</t>
  </si>
  <si>
    <t>-</t>
  </si>
  <si>
    <t>Deine Kosten</t>
  </si>
  <si>
    <t>/</t>
  </si>
  <si>
    <t>Deine Ersparnis</t>
  </si>
  <si>
    <t>Deine zusätzlichen Produkte</t>
  </si>
  <si>
    <t>x</t>
  </si>
  <si>
    <t>Preis als
Zusatz-produkt</t>
  </si>
  <si>
    <t>Kein Paket</t>
  </si>
  <si>
    <t>Donnerstag</t>
  </si>
  <si>
    <t>Datum</t>
  </si>
  <si>
    <t>Backer</t>
  </si>
  <si>
    <t>€</t>
  </si>
  <si>
    <t>erreichte Ziele</t>
  </si>
  <si>
    <t>nächste Stufe</t>
  </si>
  <si>
    <t>1.</t>
  </si>
  <si>
    <t>2.</t>
  </si>
  <si>
    <t>5.</t>
  </si>
  <si>
    <t>3.</t>
  </si>
  <si>
    <t>7.</t>
  </si>
  <si>
    <t>10.</t>
  </si>
  <si>
    <t>9.</t>
  </si>
  <si>
    <t>11.</t>
  </si>
  <si>
    <t>(alle Angaben ohne Gewähr!)</t>
  </si>
  <si>
    <t>Anzahl Unterstützer je Dankeschön</t>
  </si>
  <si>
    <t>13.</t>
  </si>
  <si>
    <t>15.</t>
  </si>
  <si>
    <t>Tag</t>
  </si>
  <si>
    <t>Wochentag</t>
  </si>
  <si>
    <t>Timecode</t>
  </si>
  <si>
    <t>Uhrzeit</t>
  </si>
  <si>
    <t>h ges.</t>
  </si>
  <si>
    <t>h Diff.</t>
  </si>
  <si>
    <t>€ ges. Ist</t>
  </si>
  <si>
    <t>Abw.</t>
  </si>
  <si>
    <t>€ Diff.</t>
  </si>
  <si>
    <t>Backer ges.</t>
  </si>
  <si>
    <t>€/Backer</t>
  </si>
  <si>
    <t>€/Tag</t>
  </si>
  <si>
    <t>€/Tag ges.</t>
  </si>
  <si>
    <t>Backer Diff.</t>
  </si>
  <si>
    <t>Schnitt l. 5 Tage</t>
  </si>
  <si>
    <t>€/Backer NEU</t>
  </si>
  <si>
    <t>Tag 1 mal X</t>
  </si>
  <si>
    <t>Werkzeuge (€)</t>
  </si>
  <si>
    <t>Werkzeuge (Backer)</t>
  </si>
  <si>
    <t>B</t>
  </si>
  <si>
    <t>Stand Ist/HR</t>
  </si>
  <si>
    <t>Anmerkungen</t>
  </si>
  <si>
    <t>Summe</t>
  </si>
  <si>
    <t>4.</t>
  </si>
  <si>
    <t>6.</t>
  </si>
  <si>
    <t>8.</t>
  </si>
  <si>
    <t>12.</t>
  </si>
  <si>
    <t>14.</t>
  </si>
  <si>
    <t>16.</t>
  </si>
  <si>
    <t>17.</t>
  </si>
  <si>
    <t>18.</t>
  </si>
  <si>
    <t>20.</t>
  </si>
  <si>
    <t>21.</t>
  </si>
  <si>
    <t>19.</t>
  </si>
  <si>
    <t>Nedime (€)</t>
  </si>
  <si>
    <t>Nedime (Backer)</t>
  </si>
  <si>
    <t>Mythen (€)</t>
  </si>
  <si>
    <t>Mythen (Backer)</t>
  </si>
  <si>
    <t>Tag 1</t>
  </si>
  <si>
    <t>Tag 2</t>
  </si>
  <si>
    <t>Kalkulation min.</t>
  </si>
  <si>
    <t>Kalkulation max.</t>
  </si>
  <si>
    <t>€ ges.</t>
  </si>
  <si>
    <t>Prognose</t>
  </si>
  <si>
    <t>Tag 3</t>
  </si>
  <si>
    <t>Schnitt</t>
  </si>
  <si>
    <t>PDF</t>
  </si>
  <si>
    <t>MP AML (€)</t>
  </si>
  <si>
    <t>MP AML (B)</t>
  </si>
  <si>
    <t>SOK (€)</t>
  </si>
  <si>
    <t>SOK (Backer)</t>
  </si>
  <si>
    <t>Tag 4</t>
  </si>
  <si>
    <t>Tag 5</t>
  </si>
  <si>
    <t>Tag 6</t>
  </si>
  <si>
    <t>Tag 7</t>
  </si>
  <si>
    <t>UVP-Preis
im ebook-Shop</t>
  </si>
  <si>
    <t>RE (€)</t>
  </si>
  <si>
    <t>RE (Backer)</t>
  </si>
  <si>
    <t>MP SOK (€)</t>
  </si>
  <si>
    <t>MP SOK (B)</t>
  </si>
  <si>
    <t>Rohals Erben</t>
  </si>
  <si>
    <t>Zusatzprodukt</t>
  </si>
  <si>
    <t>In %</t>
  </si>
  <si>
    <t>Dein Gesamtrabatt</t>
  </si>
  <si>
    <t>Kauf nach CF</t>
  </si>
  <si>
    <r>
      <rPr>
        <b/>
        <u/>
        <sz val="14"/>
        <color theme="1"/>
        <rFont val="Book Antiqua"/>
        <family val="1"/>
      </rPr>
      <t>Digitale/Sonstige</t>
    </r>
    <r>
      <rPr>
        <b/>
        <sz val="14"/>
        <color theme="1"/>
        <rFont val="Book Antiqua"/>
        <family val="1"/>
      </rPr>
      <t xml:space="preserve"> Produkte des Crowdfundings</t>
    </r>
    <r>
      <rPr>
        <b/>
        <sz val="11"/>
        <color rgb="FFFF0000"/>
        <rFont val="Book Antiqua"/>
        <family val="1"/>
      </rPr>
      <t/>
    </r>
  </si>
  <si>
    <t>Mein Wunschpaket umfasst ("x" setzen)</t>
  </si>
  <si>
    <t>Physische Produkte</t>
  </si>
  <si>
    <t>Digitale Produkte</t>
  </si>
  <si>
    <t>Alle Produkte</t>
  </si>
  <si>
    <t>Anteil Unterstützer je Dankeschön</t>
  </si>
  <si>
    <t>s.o.</t>
  </si>
  <si>
    <t>DGG (€)</t>
  </si>
  <si>
    <t>MP RE (€)</t>
  </si>
  <si>
    <t>MP RE (B)</t>
  </si>
  <si>
    <t>DGG (Backer)</t>
  </si>
  <si>
    <t>https://hinter-dem-schwarzen-auge.de/links/</t>
  </si>
  <si>
    <t>Prognose min</t>
  </si>
  <si>
    <t>Prognose max</t>
  </si>
  <si>
    <t>€ max.</t>
  </si>
  <si>
    <t>€ min.</t>
  </si>
  <si>
    <t>Backer min.</t>
  </si>
  <si>
    <t>Backer max.</t>
  </si>
  <si>
    <t>…</t>
  </si>
  <si>
    <t>Umfang</t>
  </si>
  <si>
    <t>Einsteigerbox</t>
  </si>
  <si>
    <t>F</t>
  </si>
  <si>
    <t>Unterstützen kannst Du uns hier:</t>
  </si>
  <si>
    <t>https://hinter-dem-schwarzen-auge.de/support</t>
  </si>
  <si>
    <t>Das sind die physischen Bestandteile des jeweiligen Dankeschöns(!) wert</t>
  </si>
  <si>
    <t>Das sind die digitalen Bestandteile des jeweiligen Dankeschöns(!) wert</t>
  </si>
  <si>
    <t>DSK SV (€)</t>
  </si>
  <si>
    <t>DSK SV (Backer)</t>
  </si>
  <si>
    <t>WW (€)</t>
  </si>
  <si>
    <t>WW (Backer)</t>
  </si>
  <si>
    <t>DSK Fasar (€)</t>
  </si>
  <si>
    <t>DSK Fasar (Backer)</t>
  </si>
  <si>
    <t>MP ANB (€)</t>
  </si>
  <si>
    <t>MP ANB (B)</t>
  </si>
  <si>
    <t>MP DSKF (€)</t>
  </si>
  <si>
    <t>MP DSKF (B)</t>
  </si>
  <si>
    <t>MP WdM (€)</t>
  </si>
  <si>
    <t>MP WdM (B)</t>
  </si>
  <si>
    <t>MP DGG (€)</t>
  </si>
  <si>
    <t>MP DGG (B)</t>
  </si>
  <si>
    <t>MP DSKSV (€)</t>
  </si>
  <si>
    <t>MP DSKSV (B)</t>
  </si>
  <si>
    <t>Kauf nach dem CF</t>
  </si>
  <si>
    <t>Min</t>
  </si>
  <si>
    <t>Max</t>
  </si>
  <si>
    <t>DSK Fasar</t>
  </si>
  <si>
    <t>Schleichender Verfall</t>
  </si>
  <si>
    <t>DSK R (Backer)</t>
  </si>
  <si>
    <t>DSK R (€)</t>
  </si>
  <si>
    <t>MP WW (€)</t>
  </si>
  <si>
    <t>MP WW (B)</t>
  </si>
  <si>
    <t>0 €</t>
  </si>
  <si>
    <t>DSK Refurbished</t>
  </si>
  <si>
    <t>Links</t>
  </si>
  <si>
    <t>Zum Crowdfunding kommst du hier (oder mit Klick auf das Bild):</t>
  </si>
  <si>
    <t>Anleitung</t>
  </si>
  <si>
    <r>
      <t xml:space="preserve">made with </t>
    </r>
    <r>
      <rPr>
        <b/>
        <sz val="10"/>
        <color rgb="FFC00000"/>
        <rFont val="Book Antiqua"/>
        <family val="1"/>
      </rPr>
      <t>Auge</t>
    </r>
    <r>
      <rPr>
        <b/>
        <sz val="10"/>
        <color theme="1"/>
        <rFont val="Book Antiqua"/>
        <family val="1"/>
      </rPr>
      <t xml:space="preserve"> by Hinter dem Schwarzen Auge!</t>
    </r>
  </si>
  <si>
    <t>A1:CQ150</t>
  </si>
  <si>
    <t>1. Schätzung</t>
  </si>
  <si>
    <t>Vorherige CF</t>
  </si>
  <si>
    <r>
      <rPr>
        <b/>
        <sz val="19"/>
        <color rgb="FFFF0000"/>
        <rFont val="Book Antiqua"/>
        <family val="1"/>
      </rPr>
      <t>DSA, DSK &amp; AVENTURIA</t>
    </r>
    <r>
      <rPr>
        <b/>
        <sz val="19"/>
        <color theme="1"/>
        <rFont val="Book Antiqua"/>
        <family val="1"/>
      </rPr>
      <t xml:space="preserve">
</t>
    </r>
    <r>
      <rPr>
        <b/>
        <sz val="19"/>
        <color rgb="FF00B050"/>
        <rFont val="Book Antiqua"/>
        <family val="1"/>
      </rPr>
      <t>Nachrichten, Fantalks, Community-Talks, Let's Plays u.v.m.</t>
    </r>
    <r>
      <rPr>
        <b/>
        <sz val="19"/>
        <color theme="1"/>
        <rFont val="Book Antiqua"/>
        <family val="1"/>
      </rPr>
      <t xml:space="preserve">
</t>
    </r>
    <r>
      <rPr>
        <b/>
        <sz val="19"/>
        <color rgb="FF0070C0"/>
        <rFont val="Book Antiqua"/>
        <family val="1"/>
      </rPr>
      <t>auf Twitch, YouTube, Discord, Blog, Facebook, Instagram etc.</t>
    </r>
  </si>
  <si>
    <t>Ära (€)</t>
  </si>
  <si>
    <t>Ära (Backer)</t>
  </si>
  <si>
    <t>MP DSK R (€)</t>
  </si>
  <si>
    <t>MP DSK R (B)</t>
  </si>
  <si>
    <t>Ggf. nach dem CF nur noch sehr begrenzt erhältlich</t>
  </si>
  <si>
    <t>F/C/R</t>
  </si>
  <si>
    <t>Bereits erhältliches Produkt</t>
  </si>
  <si>
    <t>Thorwal</t>
  </si>
  <si>
    <t>Werkzeuge</t>
  </si>
  <si>
    <t>Sonnenküste</t>
  </si>
  <si>
    <t>Gunst d. Göttin</t>
  </si>
  <si>
    <t>Winterwacht</t>
  </si>
  <si>
    <r>
      <rPr>
        <b/>
        <u/>
        <sz val="14"/>
        <rFont val="Book Antiqua"/>
        <family val="1"/>
      </rPr>
      <t>Physische</t>
    </r>
    <r>
      <rPr>
        <b/>
        <sz val="14"/>
        <rFont val="Book Antiqua"/>
        <family val="1"/>
      </rPr>
      <t xml:space="preserve"> Produkte des Crowdfundings</t>
    </r>
  </si>
  <si>
    <r>
      <t xml:space="preserve">Art
</t>
    </r>
    <r>
      <rPr>
        <b/>
        <sz val="8"/>
        <rFont val="Book Antiqua"/>
        <family val="1"/>
      </rPr>
      <t>(Fluff/
Crunch/
Regeln)</t>
    </r>
  </si>
  <si>
    <r>
      <rPr>
        <b/>
        <u/>
        <sz val="10"/>
        <rFont val="Book Antiqua"/>
        <family val="1"/>
      </rPr>
      <t>Kein</t>
    </r>
    <r>
      <rPr>
        <b/>
        <sz val="10"/>
        <rFont val="Book Antiqua"/>
        <family val="1"/>
      </rPr>
      <t xml:space="preserve"> Paket (Kauf im F-Shop, nach dem CF)</t>
    </r>
  </si>
  <si>
    <t>Mosaik (€)</t>
  </si>
  <si>
    <t>Mosaik (Backer)</t>
  </si>
  <si>
    <t>MP ÄRA (€)</t>
  </si>
  <si>
    <t>MP ÄRA (B)</t>
  </si>
  <si>
    <t>Tag 8</t>
  </si>
  <si>
    <t>Tag 9</t>
  </si>
  <si>
    <t>Tag 10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</si>
  <si>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</si>
  <si>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</si>
  <si>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</si>
  <si>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</si>
  <si>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</si>
  <si>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</si>
  <si>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</si>
  <si>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</si>
  <si>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</si>
  <si>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</si>
  <si>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Tag 21</t>
  </si>
  <si>
    <t>Differenz</t>
  </si>
  <si>
    <t>MP ANB</t>
  </si>
  <si>
    <t>MP WdM</t>
  </si>
  <si>
    <t>MP DSKF</t>
  </si>
  <si>
    <t>MP AML</t>
  </si>
  <si>
    <t>MP SOK</t>
  </si>
  <si>
    <t>MP RE</t>
  </si>
  <si>
    <t>MP DGG</t>
  </si>
  <si>
    <t>MP DSKSV</t>
  </si>
  <si>
    <t>MP WW</t>
  </si>
  <si>
    <t>MP DSK R</t>
  </si>
  <si>
    <t>MP ÄRA</t>
  </si>
  <si>
    <t>€ p.P.</t>
  </si>
  <si>
    <t>Hochrechnung aktuelles CF</t>
  </si>
  <si>
    <t>Backer-la.</t>
  </si>
  <si>
    <t>€-lastig</t>
  </si>
  <si>
    <t xml:space="preserve">© 2024 Bild by Ulisses Spiele GmbH               </t>
  </si>
  <si>
    <t>Finanziert</t>
  </si>
  <si>
    <t>&lt;200 Seiten</t>
  </si>
  <si>
    <t>diverse</t>
  </si>
  <si>
    <t>Teil des Crowdfunding-Pakets - Nicht als Einzelprodukt erhältlich!</t>
  </si>
  <si>
    <t>Schätzpreis, Preis im/nach CF ist unbekannt</t>
  </si>
  <si>
    <t>Erweiterung des Buchs</t>
  </si>
  <si>
    <t>Erweiterung des PDFs</t>
  </si>
  <si>
    <r>
      <t xml:space="preserve">Das kostet </t>
    </r>
    <r>
      <rPr>
        <b/>
        <i/>
        <sz val="10"/>
        <color rgb="FFC00000"/>
        <rFont val="Book Antiqua"/>
        <family val="1"/>
      </rPr>
      <t>dein Wunschpaket</t>
    </r>
    <r>
      <rPr>
        <b/>
        <i/>
        <sz val="10"/>
        <color theme="1"/>
        <rFont val="Book Antiqua"/>
        <family val="1"/>
      </rPr>
      <t>(nach dem Crowdfunding) (voraussichtlich) im F-Shop/ulisses-ebook-Shop</t>
    </r>
  </si>
  <si>
    <r>
      <t xml:space="preserve">Das kostet </t>
    </r>
    <r>
      <rPr>
        <b/>
        <i/>
        <sz val="10"/>
        <color rgb="FFC00000"/>
        <rFont val="Book Antiqua"/>
        <family val="1"/>
      </rPr>
      <t>dein Wunschpaket inkl. zusätzlicher Produkte</t>
    </r>
    <r>
      <rPr>
        <b/>
        <i/>
        <sz val="10"/>
        <color rgb="FFFF0000"/>
        <rFont val="Book Antiqua"/>
        <family val="1"/>
      </rPr>
      <t xml:space="preserve"> </t>
    </r>
    <r>
      <rPr>
        <b/>
        <i/>
        <sz val="10"/>
        <rFont val="Book Antiqua"/>
        <family val="1"/>
      </rPr>
      <t xml:space="preserve">(nach dem CF) im </t>
    </r>
    <r>
      <rPr>
        <b/>
        <i/>
        <sz val="10"/>
        <color theme="1"/>
        <rFont val="Book Antiqua"/>
        <family val="1"/>
      </rPr>
      <t>F-Shop/ulisses-ebook-Shop (voraussichtlich) insgesamt</t>
    </r>
  </si>
  <si>
    <r>
      <t xml:space="preserve">Diesen Gesamtrabatt gewährt </t>
    </r>
    <r>
      <rPr>
        <b/>
        <i/>
        <sz val="10"/>
        <color rgb="FFC00000"/>
        <rFont val="Book Antiqua"/>
        <family val="1"/>
      </rPr>
      <t xml:space="preserve">dein Wunschpaket inkl. zusätzlicher Produkte </t>
    </r>
    <r>
      <rPr>
        <b/>
        <i/>
        <sz val="10"/>
        <color theme="1"/>
        <rFont val="Book Antiqua"/>
        <family val="1"/>
      </rPr>
      <t>somit gegenüber dem Einkauf (nach dem CF) insgesamt</t>
    </r>
  </si>
  <si>
    <r>
      <t xml:space="preserve">Die zusätzlichen Produkte, die du </t>
    </r>
    <r>
      <rPr>
        <b/>
        <i/>
        <sz val="10"/>
        <color rgb="FF0070C0"/>
        <rFont val="Book Antiqua"/>
        <family val="1"/>
      </rPr>
      <t>bei deiner Kombination</t>
    </r>
    <r>
      <rPr>
        <b/>
        <i/>
        <sz val="10"/>
        <color theme="1"/>
        <rFont val="Book Antiqua"/>
        <family val="1"/>
      </rPr>
      <t xml:space="preserve"> erhältst, die </t>
    </r>
    <r>
      <rPr>
        <b/>
        <i/>
        <sz val="10"/>
        <color rgb="FFC00000"/>
        <rFont val="Book Antiqua"/>
        <family val="1"/>
      </rPr>
      <t xml:space="preserve">nicht Teil deines Wunschpakets </t>
    </r>
    <r>
      <rPr>
        <b/>
        <i/>
        <sz val="10"/>
        <rFont val="Book Antiqua"/>
        <family val="1"/>
      </rPr>
      <t>si</t>
    </r>
    <r>
      <rPr>
        <b/>
        <i/>
        <sz val="10"/>
        <color theme="1"/>
        <rFont val="Book Antiqua"/>
        <family val="1"/>
      </rPr>
      <t>nd, haben folgenden Wert</t>
    </r>
  </si>
  <si>
    <t>Das sind die physischen &amp; digitalen Bestandteile des jeweiligen Dankeschöns(!) wert</t>
  </si>
  <si>
    <t>Bitte setze hier "x" für deine Wunschprodukte</t>
  </si>
  <si>
    <t>Extrema</t>
  </si>
  <si>
    <t>Mittelwert</t>
  </si>
  <si>
    <t>Zielwerte</t>
  </si>
  <si>
    <t>Anteile kumuliert</t>
  </si>
  <si>
    <t>Anteil/Tag</t>
  </si>
  <si>
    <t>Faktor</t>
  </si>
  <si>
    <t>Starkes Finale</t>
  </si>
  <si>
    <t>Schwaches Finale</t>
  </si>
  <si>
    <t>5 Tage</t>
  </si>
  <si>
    <t>6 Tage</t>
  </si>
  <si>
    <t>+ Starkes Finale</t>
  </si>
  <si>
    <t>+ Schwaches Finale</t>
  </si>
  <si>
    <t>Ära d.Kaisers</t>
  </si>
  <si>
    <t>AVENTURIA
Mythen&amp;Leg.</t>
  </si>
  <si>
    <t>AVENTURIA
Nedime</t>
  </si>
  <si>
    <t>Anteil Blöcke</t>
  </si>
  <si>
    <t>Tag 1-7</t>
  </si>
  <si>
    <t>Tag 8-14</t>
  </si>
  <si>
    <t>Tag 15-21</t>
  </si>
  <si>
    <t>Tag 1-3</t>
  </si>
  <si>
    <t>Tag 19-21</t>
  </si>
  <si>
    <t>Tag 4-18</t>
  </si>
  <si>
    <t>Tag 1-2</t>
  </si>
  <si>
    <t>Tag 3-19</t>
  </si>
  <si>
    <t>Tag 20-21</t>
  </si>
  <si>
    <t>UNTER VORBEHALT!</t>
  </si>
  <si>
    <t>GESAMT</t>
  </si>
  <si>
    <t>Tag 1-4</t>
  </si>
  <si>
    <t>Tag 5-16</t>
  </si>
  <si>
    <t>Tag 17-21</t>
  </si>
  <si>
    <t>Tag 4-15</t>
  </si>
  <si>
    <t>Tag 16-21</t>
  </si>
  <si>
    <t>Tag 3-15</t>
  </si>
  <si>
    <t>Erste 2 Tage</t>
  </si>
  <si>
    <t>Letzte 6 Tage</t>
  </si>
  <si>
    <t>Mittlere 13 Tage</t>
  </si>
  <si>
    <t>Letzte 2 Tage</t>
  </si>
  <si>
    <t>Mittlere 17 Tage</t>
  </si>
  <si>
    <t>Erste 3 Tage</t>
  </si>
  <si>
    <t>Letzte 3 Tage</t>
  </si>
  <si>
    <t>Mittlere 15 Tage</t>
  </si>
  <si>
    <t>Mittlere 12 Tage</t>
  </si>
  <si>
    <t>Erste 4 Tage</t>
  </si>
  <si>
    <t>Letzte 4 Tage</t>
  </si>
  <si>
    <t>Erste 7 Tage</t>
  </si>
  <si>
    <t>Mittlere 7 Tage</t>
  </si>
  <si>
    <t>Letzte 7 Tage</t>
  </si>
  <si>
    <t>Tag 2-8</t>
  </si>
  <si>
    <t>Tag 9-18</t>
  </si>
  <si>
    <t>Erster Tag</t>
  </si>
  <si>
    <t>Zweite 7 Tage</t>
  </si>
  <si>
    <t>Dritte 10 Tage</t>
  </si>
  <si>
    <r>
      <t>Wähle im Register "</t>
    </r>
    <r>
      <rPr>
        <b/>
        <u/>
        <sz val="10"/>
        <color theme="1"/>
        <rFont val="Book Antiqua"/>
        <family val="1"/>
      </rPr>
      <t>CF-Guide</t>
    </r>
    <r>
      <rPr>
        <b/>
        <sz val="10"/>
        <color theme="1"/>
        <rFont val="Book Antiqua"/>
        <family val="1"/>
      </rPr>
      <t>" deine</t>
    </r>
    <r>
      <rPr>
        <b/>
        <sz val="10"/>
        <color rgb="FFC00000"/>
        <rFont val="Book Antiqua"/>
        <family val="1"/>
      </rPr>
      <t xml:space="preserve"> Wunschprodukte (setze dafür ein "x" in der ersten Spalte)</t>
    </r>
    <r>
      <rPr>
        <b/>
        <sz val="10"/>
        <color theme="1"/>
        <rFont val="Book Antiqua"/>
        <family val="1"/>
      </rPr>
      <t xml:space="preserve"> und lass dir anzeigen, welches Paket bzw. welche Kombination für dich am besten passt!</t>
    </r>
  </si>
  <si>
    <r>
      <t>Die orange markierten Produkte musst du bei dem entsprechenden Paket als Zusatzprodukt ("</t>
    </r>
    <r>
      <rPr>
        <b/>
        <u/>
        <sz val="10"/>
        <color theme="1"/>
        <rFont val="Book Antiqua"/>
        <family val="1"/>
      </rPr>
      <t>Zusatzprodukt</t>
    </r>
    <r>
      <rPr>
        <b/>
        <sz val="10"/>
        <color theme="1"/>
        <rFont val="Book Antiqua"/>
        <family val="1"/>
      </rPr>
      <t xml:space="preserve">") im CF hinzubuchen
</t>
    </r>
    <r>
      <rPr>
        <b/>
        <sz val="10"/>
        <color rgb="FF00B05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diese sind beim physischen Produkt bereits enthalten ("</t>
    </r>
    <r>
      <rPr>
        <b/>
        <u/>
        <sz val="10"/>
        <color theme="1"/>
        <rFont val="Book Antiqua"/>
        <family val="1"/>
      </rPr>
      <t>enthalten</t>
    </r>
    <r>
      <rPr>
        <b/>
        <sz val="10"/>
        <color theme="1"/>
        <rFont val="Book Antiqua"/>
        <family val="1"/>
      </rPr>
      <t xml:space="preserve">")
</t>
    </r>
    <r>
      <rPr>
        <b/>
        <sz val="10"/>
        <color rgb="FF00B05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du musst sie nach dem CF im F-Shop bzw. Ulisses-ebook-Shop erwerben ("</t>
    </r>
    <r>
      <rPr>
        <b/>
        <u/>
        <sz val="10"/>
        <color theme="1"/>
        <rFont val="Book Antiqua"/>
        <family val="1"/>
      </rPr>
      <t>Kauf nach CF</t>
    </r>
    <r>
      <rPr>
        <b/>
        <sz val="10"/>
        <color theme="1"/>
        <rFont val="Book Antiqua"/>
        <family val="1"/>
      </rPr>
      <t>")</t>
    </r>
  </si>
  <si>
    <t>Aktuelles CF mit Verlauf von…</t>
  </si>
  <si>
    <t>Aktuelle Prognose</t>
  </si>
  <si>
    <t>Alle Links zum Projekt findest du hier (Klick):</t>
  </si>
  <si>
    <t>Prognose (könnte passen, oder auch nicht ;) )</t>
  </si>
  <si>
    <t>Normierte Beträge/Zahlen</t>
  </si>
  <si>
    <t>Differenzen zu Prognose</t>
  </si>
  <si>
    <t>Standardabweichung</t>
  </si>
  <si>
    <t>Geringste Standardabw.</t>
  </si>
  <si>
    <t>Durchschn. Abw.</t>
  </si>
  <si>
    <t>Höchste Standardabw.</t>
  </si>
  <si>
    <t>Ned (€)</t>
  </si>
  <si>
    <t>Ned (Backer)</t>
  </si>
  <si>
    <t>Ned (€/B)</t>
  </si>
  <si>
    <t>Werkz (€/B)</t>
  </si>
  <si>
    <t>DSK Fasar (€/B)</t>
  </si>
  <si>
    <t>SPERREN &amp; AUSBLENDEN</t>
  </si>
  <si>
    <t>https://www.gameontabletop.com/cf2881/die-schwarze-katze-ewige-suche.html</t>
  </si>
  <si>
    <r>
      <t xml:space="preserve">Der "Ewige Suche"-Crowdfunding-Guide       von       </t>
    </r>
    <r>
      <rPr>
        <b/>
        <i/>
        <sz val="18"/>
        <color theme="1"/>
        <rFont val="Book Antiqua"/>
        <family val="1"/>
      </rPr>
      <t>Hinter dem Schwarzen Auge</t>
    </r>
  </si>
  <si>
    <t>Verflucht</t>
  </si>
  <si>
    <t>Rettung aus der Tiefe</t>
  </si>
  <si>
    <t>Loot!</t>
  </si>
  <si>
    <t>Verirrt</t>
  </si>
  <si>
    <t>Helden von Xorlosch</t>
  </si>
  <si>
    <t>Feuerläufer</t>
  </si>
  <si>
    <t>Drachenzähmer</t>
  </si>
  <si>
    <t>Sporenmystiker</t>
  </si>
  <si>
    <t>Schwammkönig</t>
  </si>
  <si>
    <t>Stand Ist</t>
  </si>
  <si>
    <t>Mosaik der Märchen</t>
  </si>
  <si>
    <t>Mythen (€/B)</t>
  </si>
  <si>
    <t>SOK (€/B)</t>
  </si>
  <si>
    <t>RE (€/B)</t>
  </si>
  <si>
    <t>DGG (€/B)</t>
  </si>
  <si>
    <t>DSK SV (€/B)</t>
  </si>
  <si>
    <t>WW (€/B)</t>
  </si>
  <si>
    <t>DSK R (€/B)</t>
  </si>
  <si>
    <t>Ära (€/B)</t>
  </si>
  <si>
    <t>Mosaik (€/B)</t>
  </si>
  <si>
    <t>DSK ES (€)</t>
  </si>
  <si>
    <t>DSK ES (€/B)</t>
  </si>
  <si>
    <t>DSK ES (Backer)</t>
  </si>
  <si>
    <r>
      <t xml:space="preserve">Xorlosch - Ewige Suche </t>
    </r>
    <r>
      <rPr>
        <sz val="8"/>
        <color theme="1"/>
        <rFont val="Book Antiqua"/>
        <family val="1"/>
      </rPr>
      <t>(Regionalband)</t>
    </r>
  </si>
  <si>
    <t>A4, Hardcover + PDF</t>
  </si>
  <si>
    <t>Bestiarium Xorlosch</t>
  </si>
  <si>
    <r>
      <t>Schlafende Hunde</t>
    </r>
    <r>
      <rPr>
        <sz val="8"/>
        <color theme="1"/>
        <rFont val="Book Antiqua"/>
        <family val="1"/>
      </rPr>
      <t xml:space="preserve"> (Abenteuer-Anthologie)</t>
    </r>
  </si>
  <si>
    <t>Jenseits der Stollen</t>
  </si>
  <si>
    <t>Klänge von Xorlosch</t>
  </si>
  <si>
    <t>Stoffkarte von Xorlosch</t>
  </si>
  <si>
    <t>Kompendium Xorlosch</t>
  </si>
  <si>
    <r>
      <t>- Karte der Verfluchten Hallen</t>
    </r>
    <r>
      <rPr>
        <b/>
        <i/>
        <sz val="10"/>
        <color theme="1"/>
        <rFont val="Book Antiqua"/>
        <family val="1"/>
      </rPr>
      <t xml:space="preserve"> (1. Ziel)</t>
    </r>
  </si>
  <si>
    <r>
      <t>- Kurzabenteuer "Rettung aus der Tiefe"</t>
    </r>
    <r>
      <rPr>
        <b/>
        <i/>
        <sz val="10"/>
        <color theme="1"/>
        <rFont val="Book Antiqua"/>
        <family val="1"/>
      </rPr>
      <t>(2. Ziel)</t>
    </r>
  </si>
  <si>
    <r>
      <t>- Karte "Morchurs Labyrinth"</t>
    </r>
    <r>
      <rPr>
        <b/>
        <i/>
        <sz val="10"/>
        <color theme="1"/>
        <rFont val="Book Antiqua"/>
        <family val="1"/>
      </rPr>
      <t>(4. Ziel)</t>
    </r>
  </si>
  <si>
    <r>
      <t>- Spielhilfe "Schätze und Dinge"</t>
    </r>
    <r>
      <rPr>
        <b/>
        <i/>
        <sz val="10"/>
        <color theme="1"/>
        <rFont val="Book Antiqua"/>
        <family val="1"/>
      </rPr>
      <t xml:space="preserve"> (3. Ziel)</t>
    </r>
  </si>
  <si>
    <t>A4, Softcover + PDF</t>
  </si>
  <si>
    <t>48 Seiten</t>
  </si>
  <si>
    <t>XX Tracks</t>
  </si>
  <si>
    <t>CD + mp3s</t>
  </si>
  <si>
    <t>1 Stoffkarte</t>
  </si>
  <si>
    <t>Stoff</t>
  </si>
  <si>
    <t>bis 48 Seiten</t>
  </si>
  <si>
    <t>F/C</t>
  </si>
  <si>
    <t>mp3s</t>
  </si>
  <si>
    <r>
      <t xml:space="preserve">Dein Haustier als Portrait </t>
    </r>
    <r>
      <rPr>
        <b/>
        <sz val="10"/>
        <color rgb="FF00B050"/>
        <rFont val="Book Antiqua"/>
        <family val="1"/>
      </rPr>
      <t>(exklusiv im Crowdfunding!)</t>
    </r>
  </si>
  <si>
    <r>
      <t xml:space="preserve">Zusatzprodukt; limitiert auf 8 Stück; </t>
    </r>
    <r>
      <rPr>
        <sz val="10"/>
        <color rgb="FFFF0000"/>
        <rFont val="Book Antiqua"/>
        <family val="1"/>
      </rPr>
      <t>ausverkauft!</t>
    </r>
  </si>
  <si>
    <t>4 Faltbögen</t>
  </si>
  <si>
    <t>Schätzpreis, Preis nach CF ist unbekannt</t>
  </si>
  <si>
    <t>Teil des Hauptbandes - Nicht als Einzelprodukt erhältlich!</t>
  </si>
  <si>
    <t>Teil des Kompendiums - Nicht als Einzelprodukt erhältlich!</t>
  </si>
  <si>
    <t>nicht erhältlich</t>
  </si>
  <si>
    <t>1 Portrait</t>
  </si>
  <si>
    <t>(rein digital)</t>
  </si>
  <si>
    <t>Xorlosch - Ewige Suche-Crowdfunding-Paket</t>
  </si>
  <si>
    <r>
      <t xml:space="preserve">Das sparst Du </t>
    </r>
    <r>
      <rPr>
        <b/>
        <sz val="20"/>
        <color rgb="FF00B050"/>
        <rFont val="Book Antiqua"/>
        <family val="1"/>
      </rPr>
      <t xml:space="preserve">(grüner Betrag)
</t>
    </r>
    <r>
      <rPr>
        <b/>
        <sz val="20"/>
        <color theme="1"/>
        <rFont val="Book Antiqua"/>
        <family val="1"/>
      </rPr>
      <t>bzw. das zahlst Du mehr (</t>
    </r>
    <r>
      <rPr>
        <b/>
        <sz val="20"/>
        <color rgb="FFC00000"/>
        <rFont val="Book Antiqua"/>
        <family val="1"/>
      </rPr>
      <t>roter Betrag</t>
    </r>
    <r>
      <rPr>
        <b/>
        <sz val="20"/>
        <color theme="1"/>
        <rFont val="Book Antiqua"/>
        <family val="1"/>
      </rPr>
      <t>),
wenn du stattdessen
folgendes Dankeschön wählst…</t>
    </r>
  </si>
  <si>
    <r>
      <t xml:space="preserve">Diesen Rabatt gewährt </t>
    </r>
    <r>
      <rPr>
        <b/>
        <i/>
        <sz val="10"/>
        <color rgb="FFC00000"/>
        <rFont val="Book Antiqua"/>
        <family val="1"/>
      </rPr>
      <t>dein Wunschpaket</t>
    </r>
    <r>
      <rPr>
        <b/>
        <i/>
        <sz val="10"/>
        <color rgb="FFFF0000"/>
        <rFont val="Book Antiqua"/>
        <family val="1"/>
      </rPr>
      <t xml:space="preserve"> </t>
    </r>
    <r>
      <rPr>
        <b/>
        <i/>
        <sz val="10"/>
        <rFont val="Book Antiqua"/>
        <family val="1"/>
      </rPr>
      <t xml:space="preserve">somit gegenüber dem Einkauf </t>
    </r>
    <r>
      <rPr>
        <b/>
        <i/>
        <sz val="10"/>
        <color theme="1"/>
        <rFont val="Book Antiqua"/>
        <family val="1"/>
      </rPr>
      <t>(nach dem Crowdfunding) im  F-Shop/ulisses-ebook-Shop</t>
    </r>
  </si>
  <si>
    <r>
      <t xml:space="preserve">Das zahlst du insgesamt für </t>
    </r>
    <r>
      <rPr>
        <b/>
        <sz val="10"/>
        <color rgb="FFC00000"/>
        <rFont val="Book Antiqua"/>
        <family val="1"/>
      </rPr>
      <t>dein Wunschpaket</t>
    </r>
    <r>
      <rPr>
        <b/>
        <sz val="10"/>
        <color theme="1"/>
        <rFont val="Book Antiqua"/>
        <family val="1"/>
      </rPr>
      <t xml:space="preserve"> inkl. der Zusatzprodukte</t>
    </r>
  </si>
  <si>
    <t>Deluxe Katzen-Dokumente</t>
  </si>
  <si>
    <t>Würfelset Der Blutmond</t>
  </si>
  <si>
    <r>
      <t xml:space="preserve">Hundstage </t>
    </r>
    <r>
      <rPr>
        <sz val="8"/>
        <color theme="1"/>
        <rFont val="Book Antiqua"/>
        <family val="1"/>
      </rPr>
      <t>(Abenteueranthologie Fasar)</t>
    </r>
  </si>
  <si>
    <r>
      <t xml:space="preserve">Flötenspiel </t>
    </r>
    <r>
      <rPr>
        <sz val="8"/>
        <color theme="1"/>
        <rFont val="Book Antiqua"/>
        <family val="1"/>
      </rPr>
      <t>(Abenteueranthologie Havena)</t>
    </r>
  </si>
  <si>
    <r>
      <t>Bestiarium Schleichender Verfall</t>
    </r>
    <r>
      <rPr>
        <sz val="8"/>
        <color theme="1"/>
        <rFont val="Book Antiqua"/>
        <family val="1"/>
      </rPr>
      <t xml:space="preserve"> (Donnerbach)</t>
    </r>
  </si>
  <si>
    <r>
      <t xml:space="preserve">Jenseits des Wasserfalls </t>
    </r>
    <r>
      <rPr>
        <sz val="8"/>
        <color theme="1"/>
        <rFont val="Book Antiqua"/>
        <family val="1"/>
      </rPr>
      <t>(Donnerbach)</t>
    </r>
  </si>
  <si>
    <r>
      <t xml:space="preserve">Kompendium Donnerbach </t>
    </r>
    <r>
      <rPr>
        <sz val="8"/>
        <color theme="1"/>
        <rFont val="Book Antiqua"/>
        <family val="1"/>
      </rPr>
      <t>(Donnerbach)</t>
    </r>
  </si>
  <si>
    <r>
      <t xml:space="preserve">Puppentanz </t>
    </r>
    <r>
      <rPr>
        <sz val="8"/>
        <color theme="1"/>
        <rFont val="Book Antiqua"/>
        <family val="1"/>
      </rPr>
      <t>(Abenteueranthologie Havena)</t>
    </r>
  </si>
  <si>
    <r>
      <t xml:space="preserve">Wüstenmärchen </t>
    </r>
    <r>
      <rPr>
        <sz val="8"/>
        <color theme="1"/>
        <rFont val="Book Antiqua"/>
        <family val="1"/>
      </rPr>
      <t>(Setting-/Abenteuerband Fasar)</t>
    </r>
  </si>
  <si>
    <r>
      <t xml:space="preserve">Klänge von Donnerbach </t>
    </r>
    <r>
      <rPr>
        <sz val="8"/>
        <color theme="1"/>
        <rFont val="Book Antiqua"/>
        <family val="1"/>
      </rPr>
      <t>(Donnerbach)</t>
    </r>
  </si>
  <si>
    <r>
      <t>Bestiarium Fasar</t>
    </r>
    <r>
      <rPr>
        <sz val="8"/>
        <color theme="1"/>
        <rFont val="Book Antiqua"/>
        <family val="1"/>
      </rPr>
      <t xml:space="preserve"> (Fasar)</t>
    </r>
  </si>
  <si>
    <r>
      <t xml:space="preserve">Jenseits der Mauern </t>
    </r>
    <r>
      <rPr>
        <sz val="8"/>
        <color theme="1"/>
        <rFont val="Book Antiqua"/>
        <family val="1"/>
      </rPr>
      <t>(Havena)</t>
    </r>
  </si>
  <si>
    <r>
      <t xml:space="preserve">Jenseits der Türme </t>
    </r>
    <r>
      <rPr>
        <sz val="8"/>
        <color theme="1"/>
        <rFont val="Book Antiqua"/>
        <family val="1"/>
      </rPr>
      <t>(Fasar)</t>
    </r>
  </si>
  <si>
    <t>Die Schwarze Katze - Ausbauregeln</t>
  </si>
  <si>
    <t>Die Schwarze Katze - Spieler-Kompendium</t>
  </si>
  <si>
    <r>
      <t xml:space="preserve">Fasar - Brüchiger Frieden </t>
    </r>
    <r>
      <rPr>
        <sz val="8"/>
        <color theme="1"/>
        <rFont val="Book Antiqua"/>
        <family val="1"/>
      </rPr>
      <t>(Settingband Fasar)</t>
    </r>
  </si>
  <si>
    <r>
      <t xml:space="preserve">Donnerbach - Schleichender Verfall </t>
    </r>
    <r>
      <rPr>
        <sz val="8"/>
        <color theme="1"/>
        <rFont val="Book Antiqua"/>
        <family val="1"/>
      </rPr>
      <t>(Settingband Donnerbach)</t>
    </r>
  </si>
  <si>
    <t>Die Schwarze Katze - Crowdfunding Pack</t>
  </si>
  <si>
    <t>Die Schwarze Katze - Schicksalspunkte</t>
  </si>
  <si>
    <t>20 SchiPs</t>
  </si>
  <si>
    <t>Kunststoffmarker</t>
  </si>
  <si>
    <t>Katzenmusik</t>
  </si>
  <si>
    <r>
      <t>Stoffkarte von Fasar</t>
    </r>
    <r>
      <rPr>
        <sz val="8"/>
        <color theme="1"/>
        <rFont val="Book Antiqua"/>
        <family val="1"/>
      </rPr>
      <t xml:space="preserve"> (Fasar)</t>
    </r>
  </si>
  <si>
    <r>
      <t>Bereits erhältliches Produkt; max. 50 Stück;</t>
    </r>
    <r>
      <rPr>
        <sz val="10"/>
        <color rgb="FFFF0000"/>
        <rFont val="Book Antiqua"/>
        <family val="1"/>
      </rPr>
      <t xml:space="preserve"> 50% Rabatt!</t>
    </r>
  </si>
  <si>
    <r>
      <t>Bereits erhältliches Produkt; max. 25 Stück;</t>
    </r>
    <r>
      <rPr>
        <sz val="10"/>
        <color rgb="FFFF0000"/>
        <rFont val="Book Antiqua"/>
        <family val="1"/>
      </rPr>
      <t xml:space="preserve"> 43% Rabatt!</t>
    </r>
  </si>
  <si>
    <r>
      <t>Bereits erhältliches Produkt; max. 50 Stück;</t>
    </r>
    <r>
      <rPr>
        <sz val="10"/>
        <color rgb="FFFF0000"/>
        <rFont val="Book Antiqua"/>
        <family val="1"/>
      </rPr>
      <t xml:space="preserve"> 67% Rabatt!</t>
    </r>
  </si>
  <si>
    <r>
      <t>Bereits erhältliches Produkt; max. 10 Stück;</t>
    </r>
    <r>
      <rPr>
        <sz val="10"/>
        <color rgb="FFFF0000"/>
        <rFont val="Book Antiqua"/>
        <family val="1"/>
      </rPr>
      <t xml:space="preserve"> 45% Rabatt!</t>
    </r>
  </si>
  <si>
    <r>
      <t>Bereits erhältliches Produkt; max. 10 Stück;</t>
    </r>
    <r>
      <rPr>
        <sz val="10"/>
        <color rgb="FFFF0000"/>
        <rFont val="Book Antiqua"/>
        <family val="1"/>
      </rPr>
      <t xml:space="preserve"> 44% Rabatt!</t>
    </r>
  </si>
  <si>
    <t>C</t>
  </si>
  <si>
    <t>C/R</t>
  </si>
  <si>
    <t>1 Plüschi</t>
  </si>
  <si>
    <t>Kunststfoff</t>
  </si>
  <si>
    <r>
      <t>Die Drachen von Wolldorf</t>
    </r>
    <r>
      <rPr>
        <sz val="8"/>
        <color theme="1"/>
        <rFont val="Book Antiqua"/>
        <family val="1"/>
      </rPr>
      <t xml:space="preserve"> (DSK-Einsteigerbox)</t>
    </r>
  </si>
  <si>
    <t>Papierbögen</t>
  </si>
  <si>
    <r>
      <t xml:space="preserve">Kara Federglanz </t>
    </r>
    <r>
      <rPr>
        <sz val="8"/>
        <color theme="1"/>
        <rFont val="Book Antiqua"/>
        <family val="1"/>
      </rPr>
      <t>(DSK-Plüschi)</t>
    </r>
  </si>
  <si>
    <t>Kampf &amp; Abenteuer-Spielkartenset</t>
  </si>
  <si>
    <r>
      <t>Nachtgeheul</t>
    </r>
    <r>
      <rPr>
        <sz val="8"/>
        <color theme="1"/>
        <rFont val="Book Antiqua"/>
        <family val="1"/>
      </rPr>
      <t xml:space="preserve"> (3. überarbeitete Auflage, Abenteueranthologie Havena)</t>
    </r>
  </si>
  <si>
    <t>Würfel</t>
  </si>
  <si>
    <t>Softcover</t>
  </si>
  <si>
    <t>CD</t>
  </si>
  <si>
    <t>Spielkartenset</t>
  </si>
  <si>
    <t>Diverse</t>
  </si>
  <si>
    <t>Hardcover</t>
  </si>
  <si>
    <t>Sammelschuber mit 3 Hardcovern</t>
  </si>
  <si>
    <r>
      <t>Wie Hund und Katze</t>
    </r>
    <r>
      <rPr>
        <sz val="8"/>
        <color theme="1"/>
        <rFont val="Book Antiqua"/>
        <family val="1"/>
      </rPr>
      <t xml:space="preserve"> (Abenteuer-/Spielhilfen-Sammelband)</t>
    </r>
  </si>
  <si>
    <r>
      <t>Die Schwarze Katze - Kernregeln- Sammelschuber</t>
    </r>
    <r>
      <rPr>
        <sz val="8"/>
        <color theme="1"/>
        <rFont val="Book Antiqua"/>
        <family val="1"/>
      </rPr>
      <t xml:space="preserve"> (gefüllt)</t>
    </r>
  </si>
  <si>
    <r>
      <t xml:space="preserve">Die Schwarze Katze - Grundregeln </t>
    </r>
    <r>
      <rPr>
        <sz val="8"/>
        <color theme="1"/>
        <rFont val="Book Antiqua"/>
        <family val="1"/>
      </rPr>
      <t>(inkl. Setting Havena)</t>
    </r>
  </si>
  <si>
    <t>Mehr Loot!</t>
  </si>
  <si>
    <t>Werkzeuge des Meisters</t>
  </si>
  <si>
    <t>DSK - Fasar</t>
  </si>
  <si>
    <t>Aventuria - Mythen &amp; Legenden</t>
  </si>
  <si>
    <t>Aventuria - Nedime &amp; Borbarad</t>
  </si>
  <si>
    <t>Die Sonnenküste</t>
  </si>
  <si>
    <t>Die Gunst der Göttin</t>
  </si>
  <si>
    <t>DSK - Schleichender Verfall</t>
  </si>
  <si>
    <t>DSK - Refurbished</t>
  </si>
  <si>
    <t>Die Winterwacht</t>
  </si>
  <si>
    <t>Die Ära des Goldenen Kaisers</t>
  </si>
  <si>
    <t>DSK - Ewige Scuhe</t>
  </si>
  <si>
    <t>MP Mosaik</t>
  </si>
  <si>
    <t>Mittelwert (Min/Max)</t>
  </si>
  <si>
    <t>Schnitt (Faktor)</t>
  </si>
  <si>
    <t>Faktor l. 5 Tage</t>
  </si>
  <si>
    <t>Faktor l. 6 Tage</t>
  </si>
  <si>
    <t>Ist-Verläufe</t>
  </si>
  <si>
    <t>&gt;2/3</t>
  </si>
  <si>
    <t>&gt;2/4</t>
  </si>
  <si>
    <t>&gt;1/3</t>
  </si>
  <si>
    <t>&gt;1/4</t>
  </si>
  <si>
    <t>&gt;3/4</t>
  </si>
  <si>
    <t>Std.abw.</t>
  </si>
  <si>
    <t>Sehr gleichmäßig</t>
  </si>
  <si>
    <t>Flacher Start</t>
  </si>
  <si>
    <t>Steiler Start</t>
  </si>
  <si>
    <t>Sehr ungleichmäßig</t>
  </si>
  <si>
    <t>Std.abw</t>
  </si>
  <si>
    <t>Konstant</t>
  </si>
  <si>
    <t>Faktor l. 3 Tage</t>
  </si>
  <si>
    <t>3 Tage</t>
  </si>
  <si>
    <r>
      <t>- Spielhilfe "Noch mehr Schätze und Dinge"</t>
    </r>
    <r>
      <rPr>
        <b/>
        <i/>
        <sz val="10"/>
        <color theme="1"/>
        <rFont val="Book Antiqua"/>
        <family val="1"/>
      </rPr>
      <t xml:space="preserve"> (6. Ziel)</t>
    </r>
  </si>
  <si>
    <t>Anteil Restlaufzeit - NUR FÜR 1. PROGNOSE!</t>
  </si>
  <si>
    <t>Individuelles Portrait im Kompendium</t>
  </si>
  <si>
    <r>
      <t xml:space="preserve">- 4 digitale Archetypen </t>
    </r>
    <r>
      <rPr>
        <b/>
        <i/>
        <sz val="10"/>
        <color theme="1"/>
        <rFont val="Book Antiqua"/>
        <family val="1"/>
      </rPr>
      <t>(5. Ziel)</t>
    </r>
  </si>
  <si>
    <r>
      <t>- Karte "Rostwelt"</t>
    </r>
    <r>
      <rPr>
        <b/>
        <i/>
        <sz val="10"/>
        <color theme="1"/>
        <rFont val="Book Antiqua"/>
        <family val="1"/>
      </rPr>
      <t>(7. Ziel)</t>
    </r>
  </si>
  <si>
    <t>Wer rastet, der rostet</t>
  </si>
  <si>
    <t>Mehr Helden!</t>
  </si>
  <si>
    <t>St.abw. 1-16</t>
  </si>
  <si>
    <r>
      <t xml:space="preserve">- 4 digitale Archetypen </t>
    </r>
    <r>
      <rPr>
        <b/>
        <i/>
        <sz val="10"/>
        <color theme="1"/>
        <rFont val="Book Antiqua"/>
        <family val="1"/>
      </rPr>
      <t>(8. Ziel)</t>
    </r>
  </si>
  <si>
    <t>18-&gt;21</t>
  </si>
  <si>
    <t>Auf Abenteuertour!</t>
  </si>
  <si>
    <r>
      <t>- Kurze Abenteuer-Skizzen zu Xorlosch</t>
    </r>
    <r>
      <rPr>
        <b/>
        <i/>
        <sz val="10"/>
        <color theme="1"/>
        <rFont val="Book Antiqua"/>
        <family val="1"/>
      </rPr>
      <t xml:space="preserve"> (9. Ziel)</t>
    </r>
  </si>
  <si>
    <t>HEUREKA!</t>
  </si>
  <si>
    <r>
      <t>- Spielhilfe "Zusätzlicher Ort"</t>
    </r>
    <r>
      <rPr>
        <b/>
        <i/>
        <sz val="10"/>
        <color theme="1"/>
        <rFont val="Book Antiqua"/>
        <family val="1"/>
      </rPr>
      <t xml:space="preserve"> (10. Ziel)</t>
    </r>
  </si>
  <si>
    <t>18:00</t>
  </si>
  <si>
    <t>Freunde und Feinde</t>
  </si>
  <si>
    <r>
      <rPr>
        <i/>
        <strike/>
        <sz val="10"/>
        <color rgb="FFFF0000"/>
        <rFont val="Book Antiqua"/>
        <family val="1"/>
      </rPr>
      <t>- Spielhilfe "NSCs &amp; dazugehörige Abenteuerideen"</t>
    </r>
    <r>
      <rPr>
        <b/>
        <i/>
        <sz val="10"/>
        <color rgb="FFFF0000"/>
        <rFont val="Book Antiqua"/>
        <family val="1"/>
      </rPr>
      <t xml:space="preserve"> (11. Ziel - nicht erreicht!)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</si>
</sst>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€&quot;"/>
    <numFmt numFmtId="165" formatCode="#,##0.00\ &quot;€&quot;"/>
    <numFmt numFmtId="166" formatCode="[$£-809]#,##0"/>
    <numFmt numFmtId="167" formatCode="0.0%"/>
    <numFmt numFmtId="168" formatCode="dddd"/>
    <numFmt numFmtId="169" formatCode="h:mm;@"/>
    <numFmt numFmtId="170" formatCode="[h]:mm"/>
    <numFmt numFmtId="171" formatCode="0&quot;. Tag&quot;"/>
    <numFmt numFmtId="172" formatCode="dd/mm/yy"/>
    <numFmt numFmtId="173" formatCode="dd/mm/yy\,\ hh:mm"/>
  </numFmts>
  <fonts count="9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Book Antiqua"/>
      <family val="1"/>
    </font>
    <font>
      <b/>
      <i/>
      <sz val="10"/>
      <color rgb="FFFF0000"/>
      <name val="Book Antiqua"/>
      <family val="1"/>
    </font>
    <font>
      <i/>
      <sz val="10"/>
      <color theme="1"/>
      <name val="Book Antiqua"/>
      <family val="1"/>
    </font>
    <font>
      <b/>
      <i/>
      <sz val="10"/>
      <name val="Book Antiqua"/>
      <family val="1"/>
    </font>
    <font>
      <b/>
      <i/>
      <sz val="10"/>
      <color theme="1"/>
      <name val="Book Antiqua"/>
      <family val="1"/>
    </font>
    <font>
      <b/>
      <i/>
      <sz val="10"/>
      <color rgb="FF0070C0"/>
      <name val="Book Antiqua"/>
      <family val="1"/>
    </font>
    <font>
      <sz val="10"/>
      <color rgb="FFFF0000"/>
      <name val="Book Antiqua"/>
      <family val="1"/>
    </font>
    <font>
      <u/>
      <sz val="11"/>
      <color theme="10"/>
      <name val="Calibri"/>
      <family val="2"/>
      <scheme val="minor"/>
    </font>
    <font>
      <sz val="10"/>
      <color theme="1"/>
      <name val="Book Antiqua"/>
      <family val="1"/>
    </font>
    <font>
      <b/>
      <sz val="10"/>
      <color rgb="FFFF0000"/>
      <name val="Book Antiqua"/>
      <family val="1"/>
    </font>
    <font>
      <b/>
      <sz val="12"/>
      <color theme="1"/>
      <name val="Book Antiqua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name val="Calibri"/>
      <family val="2"/>
      <scheme val="minor"/>
    </font>
    <font>
      <b/>
      <sz val="10"/>
      <name val="Book Antiqua"/>
      <family val="1"/>
    </font>
    <font>
      <b/>
      <sz val="12"/>
      <color rgb="FFFF0000"/>
      <name val="Book Antiqua"/>
      <family val="1"/>
    </font>
    <font>
      <b/>
      <sz val="10"/>
      <color rgb="FF00B050"/>
      <name val="Book Antiqua"/>
      <family val="1"/>
    </font>
    <font>
      <b/>
      <sz val="10"/>
      <color theme="1"/>
      <name val="Book Antiqua"/>
      <family val="1"/>
    </font>
    <font>
      <b/>
      <sz val="10"/>
      <color rgb="FFC00000"/>
      <name val="Book Antiqua"/>
      <family val="1"/>
    </font>
    <font>
      <sz val="10"/>
      <color rgb="FF00B050"/>
      <name val="Book Antiqua"/>
      <family val="1"/>
    </font>
    <font>
      <sz val="10"/>
      <name val="Book Antiqua"/>
      <family val="1"/>
    </font>
    <font>
      <strike/>
      <sz val="10"/>
      <color theme="1"/>
      <name val="Book Antiqua"/>
      <family val="1"/>
    </font>
    <font>
      <i/>
      <sz val="10"/>
      <color rgb="FF00B050"/>
      <name val="Book Antiqua"/>
      <family val="1"/>
    </font>
    <font>
      <i/>
      <sz val="10"/>
      <name val="Book Antiqua"/>
      <family val="1"/>
    </font>
    <font>
      <sz val="14"/>
      <color theme="1"/>
      <name val="Wingdings"/>
      <charset val="2"/>
    </font>
    <font>
      <sz val="13"/>
      <color rgb="FFFF0000"/>
      <name val="Book Antiqua"/>
      <family val="1"/>
    </font>
    <font>
      <i/>
      <sz val="13"/>
      <color rgb="FFFF0000"/>
      <name val="Book Antiqua"/>
      <family val="1"/>
    </font>
    <font>
      <sz val="8"/>
      <color theme="1"/>
      <name val="Book Antiqua"/>
      <family val="1"/>
    </font>
    <font>
      <b/>
      <sz val="10"/>
      <color rgb="FF7030A0"/>
      <name val="Book Antiqua"/>
      <family val="1"/>
    </font>
    <font>
      <b/>
      <sz val="9"/>
      <color rgb="FF00B050"/>
      <name val="Book Antiqua"/>
      <family val="1"/>
    </font>
    <font>
      <b/>
      <sz val="9"/>
      <name val="Book Antiqua"/>
      <family val="1"/>
    </font>
    <font>
      <b/>
      <sz val="14"/>
      <color rgb="FFFF0000"/>
      <name val="Book Antiqua"/>
      <family val="1"/>
    </font>
    <font>
      <b/>
      <sz val="10"/>
      <color theme="5"/>
      <name val="Book Antiqua"/>
      <family val="1"/>
    </font>
    <font>
      <b/>
      <sz val="14"/>
      <color theme="1"/>
      <name val="Book Antiqua"/>
      <family val="1"/>
    </font>
    <font>
      <b/>
      <u/>
      <sz val="14"/>
      <color theme="1"/>
      <name val="Book Antiqua"/>
      <family val="1"/>
    </font>
    <font>
      <b/>
      <sz val="10"/>
      <color rgb="FFFD23ED"/>
      <name val="Book Antiqua"/>
      <family val="1"/>
    </font>
    <font>
      <b/>
      <u/>
      <sz val="14"/>
      <color theme="10"/>
      <name val="Book Antiqua"/>
      <family val="1"/>
    </font>
    <font>
      <b/>
      <sz val="20"/>
      <color theme="1"/>
      <name val="Book Antiqua"/>
      <family val="1"/>
    </font>
    <font>
      <b/>
      <sz val="20"/>
      <color rgb="FF00B050"/>
      <name val="Book Antiqua"/>
      <family val="1"/>
    </font>
    <font>
      <b/>
      <sz val="10"/>
      <color rgb="FF00B0F0"/>
      <name val="Book Antiqua"/>
      <family val="1"/>
    </font>
    <font>
      <b/>
      <sz val="11"/>
      <color theme="0"/>
      <name val="Calibri"/>
      <family val="2"/>
      <scheme val="minor"/>
    </font>
    <font>
      <b/>
      <sz val="10"/>
      <color theme="5" tint="-0.499984740745262"/>
      <name val="Book Antiqua"/>
      <family val="1"/>
    </font>
    <font>
      <b/>
      <sz val="10"/>
      <color theme="9" tint="-0.249977111117893"/>
      <name val="Book Antiqua"/>
      <family val="1"/>
    </font>
    <font>
      <i/>
      <sz val="11"/>
      <color theme="0"/>
      <name val="Calibri"/>
      <family val="2"/>
      <scheme val="minor"/>
    </font>
    <font>
      <b/>
      <sz val="30"/>
      <color rgb="FFFF0000"/>
      <name val="Book Antiqua"/>
      <family val="1"/>
    </font>
    <font>
      <b/>
      <sz val="18"/>
      <color theme="1"/>
      <name val="Book Antiqua"/>
      <family val="1"/>
    </font>
    <font>
      <b/>
      <sz val="14"/>
      <name val="Book Antiqua"/>
      <family val="1"/>
    </font>
    <font>
      <b/>
      <sz val="16"/>
      <name val="Book Antiqua"/>
      <family val="1"/>
    </font>
    <font>
      <sz val="14"/>
      <color theme="1"/>
      <name val="Book Antiqua"/>
      <family val="1"/>
    </font>
    <font>
      <b/>
      <i/>
      <sz val="10"/>
      <color rgb="FF00B050"/>
      <name val="Book Antiqua"/>
      <family val="1"/>
    </font>
    <font>
      <b/>
      <sz val="19"/>
      <color theme="1"/>
      <name val="Book Antiqua"/>
      <family val="1"/>
    </font>
    <font>
      <b/>
      <sz val="19"/>
      <color rgb="FFFF0000"/>
      <name val="Book Antiqua"/>
      <family val="1"/>
    </font>
    <font>
      <b/>
      <sz val="19"/>
      <color rgb="FF00B050"/>
      <name val="Book Antiqua"/>
      <family val="1"/>
    </font>
    <font>
      <b/>
      <sz val="19"/>
      <color rgb="FF0070C0"/>
      <name val="Book Antiqua"/>
      <family val="1"/>
    </font>
    <font>
      <b/>
      <sz val="25"/>
      <color rgb="FFFF0000"/>
      <name val="Book Antiqua"/>
      <family val="1"/>
    </font>
    <font>
      <b/>
      <sz val="12"/>
      <name val="Book Antiqua"/>
      <family val="1"/>
    </font>
    <font>
      <b/>
      <sz val="10"/>
      <color theme="7" tint="-0.249977111117893"/>
      <name val="Book Antiqua"/>
      <family val="1"/>
    </font>
    <font>
      <b/>
      <sz val="10"/>
      <color rgb="FF0070C0"/>
      <name val="Book Antiqua"/>
      <family val="1"/>
    </font>
    <font>
      <b/>
      <i/>
      <sz val="18"/>
      <color theme="1"/>
      <name val="Book Antiqua"/>
      <family val="1"/>
    </font>
    <font>
      <b/>
      <u/>
      <sz val="13"/>
      <color theme="10"/>
      <name val="Book Antiqua"/>
      <family val="1"/>
    </font>
    <font>
      <b/>
      <u/>
      <sz val="14"/>
      <name val="Book Antiqua"/>
      <family val="1"/>
    </font>
    <font>
      <b/>
      <sz val="8"/>
      <name val="Book Antiqua"/>
      <family val="1"/>
    </font>
    <font>
      <b/>
      <u/>
      <sz val="10"/>
      <name val="Book Antiqua"/>
      <family val="1"/>
    </font>
    <font>
      <b/>
      <sz val="12"/>
      <color rgb="FFC00000"/>
      <name val="Book Antiqua"/>
      <family val="1"/>
    </font>
    <font>
      <b/>
      <sz val="10"/>
      <color rgb="FFC4BF00"/>
      <name val="Book Antiqua"/>
      <family val="1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10"/>
      <name val="Book Antiqua"/>
      <family val="1"/>
    </font>
    <font>
      <sz val="10"/>
      <color rgb="FFC00000"/>
      <name val="Book Antiqua"/>
      <family val="1"/>
    </font>
    <font>
      <i/>
      <sz val="10"/>
      <color rgb="FFC00000"/>
      <name val="Book Antiqua"/>
      <family val="1"/>
    </font>
    <font>
      <b/>
      <i/>
      <sz val="10"/>
      <color rgb="FFC00000"/>
      <name val="Book Antiqua"/>
      <family val="1"/>
    </font>
    <font>
      <b/>
      <sz val="20"/>
      <color rgb="FFC00000"/>
      <name val="Book Antiqua"/>
      <family val="1"/>
    </font>
    <font>
      <b/>
      <sz val="8"/>
      <color theme="0"/>
      <name val="Book Antiqua"/>
      <family val="1"/>
    </font>
    <font>
      <b/>
      <sz val="14"/>
      <color theme="1"/>
      <name val="Wingdings"/>
      <charset val="2"/>
    </font>
    <font>
      <b/>
      <sz val="8"/>
      <color rgb="FF00B050"/>
      <name val="Book Antiqua"/>
      <family val="1"/>
    </font>
    <font>
      <b/>
      <sz val="14"/>
      <color rgb="FF00B050"/>
      <name val="Wingdings"/>
      <charset val="2"/>
    </font>
    <font>
      <b/>
      <sz val="10"/>
      <color rgb="FF89E3B8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0"/>
      <color rgb="FFCC3399"/>
      <name val="Book Antiqua"/>
      <family val="1"/>
    </font>
    <font>
      <b/>
      <sz val="10"/>
      <color theme="2" tint="-0.499984740745262"/>
      <name val="Book Antiqua"/>
      <family val="1"/>
    </font>
    <font>
      <b/>
      <u/>
      <sz val="10"/>
      <color theme="1"/>
      <name val="Book Antiqua"/>
      <family val="1"/>
    </font>
    <font>
      <b/>
      <i/>
      <sz val="11"/>
      <color rgb="FFFF0000"/>
      <name val="Calibri"/>
      <family val="2"/>
      <scheme val="minor"/>
    </font>
    <font>
      <strike/>
      <sz val="10"/>
      <color rgb="FF00B050"/>
      <name val="Book Antiqua"/>
      <family val="1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color rgb="FFFF0000"/>
      <name val="Book Antiqua"/>
      <family val="1"/>
    </font>
    <font>
      <i/>
      <strike/>
      <sz val="10"/>
      <color rgb="FFFF0000"/>
      <name val="Book Antiqua"/>
      <family val="1"/>
    </font>
    <font>
      <b/>
      <sz val="8"/>
      <color rgb="FFFF0000"/>
      <name val="Book Antiqua"/>
      <family val="1"/>
    </font>
    <font>
      <b/>
      <sz val="14"/>
      <color rgb="FFFF0000"/>
      <name val="Wingdings"/>
      <charset val="2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 style="medium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80">
    <xf numFmtId="0" fontId="0" fillId="0" borderId="0" xfId="0"/>
    <xf numFmtId="0" fontId="10" fillId="3" borderId="0" xfId="0" applyFont="1" applyFill="1"/>
    <xf numFmtId="0" fontId="15" fillId="3" borderId="0" xfId="0" applyFont="1" applyFill="1"/>
    <xf numFmtId="3" fontId="1" fillId="0" borderId="0" xfId="0" applyNumberFormat="1" applyFont="1"/>
    <xf numFmtId="2" fontId="1" fillId="0" borderId="0" xfId="0" applyNumberFormat="1" applyFont="1"/>
    <xf numFmtId="0" fontId="6" fillId="0" borderId="0" xfId="0" applyFont="1"/>
    <xf numFmtId="3" fontId="0" fillId="0" borderId="0" xfId="0" applyNumberFormat="1"/>
    <xf numFmtId="2" fontId="6" fillId="0" borderId="0" xfId="0" applyNumberFormat="1" applyFont="1"/>
    <xf numFmtId="3" fontId="1" fillId="6" borderId="0" xfId="0" applyNumberFormat="1" applyFont="1" applyFill="1"/>
    <xf numFmtId="3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2" fontId="20" fillId="0" borderId="0" xfId="0" applyNumberFormat="1" applyFont="1"/>
    <xf numFmtId="0" fontId="1" fillId="0" borderId="0" xfId="0" applyFont="1"/>
    <xf numFmtId="0" fontId="20" fillId="0" borderId="0" xfId="0" applyFont="1"/>
    <xf numFmtId="2" fontId="4" fillId="0" borderId="0" xfId="0" applyNumberFormat="1" applyFont="1"/>
    <xf numFmtId="2" fontId="1" fillId="0" borderId="34" xfId="0" applyNumberFormat="1" applyFont="1" applyBorder="1"/>
    <xf numFmtId="2" fontId="1" fillId="0" borderId="36" xfId="0" applyNumberFormat="1" applyFont="1" applyBorder="1"/>
    <xf numFmtId="2" fontId="6" fillId="0" borderId="37" xfId="0" applyNumberFormat="1" applyFont="1" applyBorder="1"/>
    <xf numFmtId="2" fontId="6" fillId="0" borderId="39" xfId="0" applyNumberFormat="1" applyFont="1" applyBorder="1"/>
    <xf numFmtId="2" fontId="1" fillId="0" borderId="39" xfId="0" applyNumberFormat="1" applyFont="1" applyBorder="1"/>
    <xf numFmtId="4" fontId="1" fillId="0" borderId="0" xfId="0" applyNumberFormat="1" applyFont="1"/>
    <xf numFmtId="4" fontId="0" fillId="0" borderId="0" xfId="0" applyNumberFormat="1"/>
    <xf numFmtId="1" fontId="1" fillId="0" borderId="0" xfId="0" applyNumberFormat="1" applyFont="1"/>
    <xf numFmtId="0" fontId="15" fillId="7" borderId="0" xfId="0" applyFont="1" applyFill="1"/>
    <xf numFmtId="0" fontId="9" fillId="7" borderId="0" xfId="0" applyFont="1" applyFill="1"/>
    <xf numFmtId="2" fontId="20" fillId="0" borderId="35" xfId="0" applyNumberFormat="1" applyFont="1" applyBorder="1"/>
    <xf numFmtId="2" fontId="3" fillId="0" borderId="39" xfId="0" applyNumberFormat="1" applyFont="1" applyBorder="1"/>
    <xf numFmtId="2" fontId="20" fillId="0" borderId="39" xfId="0" applyNumberFormat="1" applyFont="1" applyBorder="1"/>
    <xf numFmtId="0" fontId="13" fillId="7" borderId="0" xfId="0" applyFont="1" applyFill="1"/>
    <xf numFmtId="0" fontId="24" fillId="7" borderId="0" xfId="0" applyFont="1" applyFill="1" applyAlignment="1">
      <alignment horizontal="center" vertical="center"/>
    </xf>
    <xf numFmtId="3" fontId="23" fillId="7" borderId="28" xfId="0" applyNumberFormat="1" applyFont="1" applyFill="1" applyBorder="1" applyAlignment="1">
      <alignment horizontal="center" vertical="center"/>
    </xf>
    <xf numFmtId="3" fontId="26" fillId="7" borderId="5" xfId="0" applyNumberFormat="1" applyFont="1" applyFill="1" applyBorder="1" applyAlignment="1">
      <alignment vertical="center"/>
    </xf>
    <xf numFmtId="3" fontId="23" fillId="7" borderId="1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2" fontId="23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/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3" fontId="24" fillId="7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7" borderId="0" xfId="0" applyFont="1" applyFill="1" applyAlignment="1">
      <alignment horizontal="right" vertical="center"/>
    </xf>
    <xf numFmtId="3" fontId="13" fillId="7" borderId="0" xfId="0" applyNumberFormat="1" applyFont="1" applyFill="1" applyAlignment="1">
      <alignment horizontal="center" vertical="center"/>
    </xf>
    <xf numFmtId="0" fontId="26" fillId="7" borderId="0" xfId="0" applyFont="1" applyFill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165" fontId="15" fillId="0" borderId="7" xfId="0" quotePrefix="1" applyNumberFormat="1" applyFont="1" applyBorder="1" applyAlignment="1">
      <alignment horizontal="right" vertical="center"/>
    </xf>
    <xf numFmtId="165" fontId="15" fillId="0" borderId="7" xfId="0" quotePrefix="1" applyNumberFormat="1" applyFont="1" applyBorder="1" applyAlignment="1">
      <alignment horizontal="left" vertical="center"/>
    </xf>
    <xf numFmtId="0" fontId="15" fillId="0" borderId="0" xfId="0" applyFont="1"/>
    <xf numFmtId="0" fontId="13" fillId="7" borderId="0" xfId="0" applyFont="1" applyFill="1" applyAlignment="1">
      <alignment vertical="center"/>
    </xf>
    <xf numFmtId="0" fontId="9" fillId="0" borderId="0" xfId="0" applyFont="1"/>
    <xf numFmtId="0" fontId="21" fillId="7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168" fontId="26" fillId="7" borderId="0" xfId="0" applyNumberFormat="1" applyFont="1" applyFill="1" applyAlignment="1">
      <alignment horizontal="right" vertical="center"/>
    </xf>
    <xf numFmtId="172" fontId="26" fillId="7" borderId="0" xfId="0" applyNumberFormat="1" applyFont="1" applyFill="1" applyAlignment="1">
      <alignment horizontal="center" vertical="center"/>
    </xf>
    <xf numFmtId="20" fontId="26" fillId="7" borderId="0" xfId="0" applyNumberFormat="1" applyFont="1" applyFill="1" applyAlignment="1">
      <alignment horizontal="center" vertical="center"/>
    </xf>
    <xf numFmtId="169" fontId="26" fillId="7" borderId="0" xfId="0" applyNumberFormat="1" applyFont="1" applyFill="1" applyAlignment="1">
      <alignment vertical="center"/>
    </xf>
    <xf numFmtId="170" fontId="26" fillId="7" borderId="0" xfId="0" applyNumberFormat="1" applyFont="1" applyFill="1" applyAlignment="1">
      <alignment vertical="center"/>
    </xf>
    <xf numFmtId="164" fontId="26" fillId="7" borderId="5" xfId="0" applyNumberFormat="1" applyFont="1" applyFill="1" applyBorder="1" applyAlignment="1">
      <alignment vertical="center"/>
    </xf>
    <xf numFmtId="1" fontId="26" fillId="7" borderId="5" xfId="0" applyNumberFormat="1" applyFont="1" applyFill="1" applyBorder="1" applyAlignment="1">
      <alignment vertical="center"/>
    </xf>
    <xf numFmtId="164" fontId="26" fillId="7" borderId="0" xfId="0" applyNumberFormat="1" applyFont="1" applyFill="1" applyAlignment="1">
      <alignment vertical="center"/>
    </xf>
    <xf numFmtId="165" fontId="29" fillId="7" borderId="0" xfId="0" applyNumberFormat="1" applyFont="1" applyFill="1" applyAlignment="1">
      <alignment vertical="center"/>
    </xf>
    <xf numFmtId="165" fontId="26" fillId="7" borderId="0" xfId="0" applyNumberFormat="1" applyFont="1" applyFill="1" applyAlignment="1">
      <alignment vertical="center"/>
    </xf>
    <xf numFmtId="164" fontId="13" fillId="7" borderId="0" xfId="0" applyNumberFormat="1" applyFont="1" applyFill="1" applyAlignment="1">
      <alignment vertical="center"/>
    </xf>
    <xf numFmtId="0" fontId="26" fillId="3" borderId="0" xfId="0" applyFont="1" applyFill="1"/>
    <xf numFmtId="164" fontId="23" fillId="7" borderId="5" xfId="0" applyNumberFormat="1" applyFont="1" applyFill="1" applyBorder="1" applyAlignment="1">
      <alignment vertical="center"/>
    </xf>
    <xf numFmtId="3" fontId="23" fillId="7" borderId="5" xfId="0" applyNumberFormat="1" applyFont="1" applyFill="1" applyBorder="1" applyAlignment="1">
      <alignment vertical="center"/>
    </xf>
    <xf numFmtId="1" fontId="23" fillId="7" borderId="5" xfId="0" applyNumberFormat="1" applyFont="1" applyFill="1" applyBorder="1" applyAlignment="1">
      <alignment vertical="center"/>
    </xf>
    <xf numFmtId="3" fontId="26" fillId="7" borderId="0" xfId="0" applyNumberFormat="1" applyFont="1" applyFill="1" applyAlignment="1">
      <alignment vertical="center"/>
    </xf>
    <xf numFmtId="0" fontId="26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right" vertical="center"/>
    </xf>
    <xf numFmtId="0" fontId="27" fillId="7" borderId="0" xfId="0" applyFont="1" applyFill="1" applyAlignment="1">
      <alignment horizontal="center" vertical="center"/>
    </xf>
    <xf numFmtId="168" fontId="27" fillId="7" borderId="0" xfId="0" applyNumberFormat="1" applyFont="1" applyFill="1" applyAlignment="1">
      <alignment vertical="center"/>
    </xf>
    <xf numFmtId="172" fontId="27" fillId="7" borderId="0" xfId="0" applyNumberFormat="1" applyFont="1" applyFill="1" applyAlignment="1">
      <alignment horizontal="center" vertical="center"/>
    </xf>
    <xf numFmtId="20" fontId="27" fillId="7" borderId="0" xfId="0" applyNumberFormat="1" applyFont="1" applyFill="1" applyAlignment="1">
      <alignment horizontal="center" vertical="center"/>
    </xf>
    <xf numFmtId="169" fontId="27" fillId="7" borderId="0" xfId="0" applyNumberFormat="1" applyFont="1" applyFill="1" applyAlignment="1">
      <alignment vertical="center"/>
    </xf>
    <xf numFmtId="170" fontId="27" fillId="7" borderId="0" xfId="0" applyNumberFormat="1" applyFont="1" applyFill="1" applyAlignment="1">
      <alignment vertical="center"/>
    </xf>
    <xf numFmtId="165" fontId="30" fillId="7" borderId="0" xfId="0" applyNumberFormat="1" applyFont="1" applyFill="1" applyAlignment="1">
      <alignment vertical="center"/>
    </xf>
    <xf numFmtId="165" fontId="27" fillId="7" borderId="0" xfId="0" applyNumberFormat="1" applyFont="1" applyFill="1" applyAlignment="1">
      <alignment vertical="center"/>
    </xf>
    <xf numFmtId="164" fontId="27" fillId="7" borderId="0" xfId="0" applyNumberFormat="1" applyFont="1" applyFill="1" applyAlignment="1">
      <alignment vertical="center"/>
    </xf>
    <xf numFmtId="3" fontId="27" fillId="7" borderId="0" xfId="0" applyNumberFormat="1" applyFont="1" applyFill="1" applyAlignment="1">
      <alignment vertical="center"/>
    </xf>
    <xf numFmtId="0" fontId="27" fillId="3" borderId="0" xfId="0" applyFont="1" applyFill="1"/>
    <xf numFmtId="0" fontId="27" fillId="7" borderId="0" xfId="0" applyFont="1" applyFill="1"/>
    <xf numFmtId="0" fontId="21" fillId="7" borderId="0" xfId="0" applyFont="1" applyFill="1" applyAlignment="1">
      <alignment horizontal="center" vertical="center"/>
    </xf>
    <xf numFmtId="164" fontId="21" fillId="7" borderId="0" xfId="0" applyNumberFormat="1" applyFont="1" applyFill="1" applyAlignment="1">
      <alignment vertical="center"/>
    </xf>
    <xf numFmtId="3" fontId="21" fillId="7" borderId="0" xfId="0" applyNumberFormat="1" applyFont="1" applyFill="1" applyAlignment="1">
      <alignment horizontal="center" vertical="center"/>
    </xf>
    <xf numFmtId="0" fontId="27" fillId="7" borderId="0" xfId="0" applyFont="1" applyFill="1" applyAlignment="1">
      <alignment horizontal="center"/>
    </xf>
    <xf numFmtId="3" fontId="21" fillId="7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4" borderId="0" xfId="0" applyFont="1" applyFill="1"/>
    <xf numFmtId="165" fontId="15" fillId="7" borderId="0" xfId="0" applyNumberFormat="1" applyFont="1" applyFill="1"/>
    <xf numFmtId="165" fontId="13" fillId="7" borderId="0" xfId="0" applyNumberFormat="1" applyFont="1" applyFill="1"/>
    <xf numFmtId="0" fontId="31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15" fillId="10" borderId="0" xfId="0" applyFont="1" applyFill="1"/>
    <xf numFmtId="0" fontId="15" fillId="10" borderId="0" xfId="0" applyFont="1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28" fillId="10" borderId="0" xfId="0" applyFont="1" applyFill="1" applyAlignment="1">
      <alignment vertical="center"/>
    </xf>
    <xf numFmtId="0" fontId="9" fillId="10" borderId="0" xfId="0" applyFont="1" applyFill="1"/>
    <xf numFmtId="0" fontId="10" fillId="10" borderId="0" xfId="0" applyFont="1" applyFill="1"/>
    <xf numFmtId="3" fontId="13" fillId="10" borderId="0" xfId="0" applyNumberFormat="1" applyFont="1" applyFill="1" applyAlignment="1">
      <alignment horizontal="center"/>
    </xf>
    <xf numFmtId="3" fontId="21" fillId="10" borderId="0" xfId="0" applyNumberFormat="1" applyFont="1" applyFill="1" applyAlignment="1">
      <alignment horizontal="center"/>
    </xf>
    <xf numFmtId="14" fontId="26" fillId="10" borderId="0" xfId="0" applyNumberFormat="1" applyFont="1" applyFill="1" applyAlignment="1">
      <alignment horizontal="center"/>
    </xf>
    <xf numFmtId="14" fontId="27" fillId="10" borderId="0" xfId="0" applyNumberFormat="1" applyFont="1" applyFill="1" applyAlignment="1">
      <alignment horizontal="center"/>
    </xf>
    <xf numFmtId="0" fontId="27" fillId="10" borderId="0" xfId="0" applyFont="1" applyFill="1"/>
    <xf numFmtId="4" fontId="16" fillId="10" borderId="0" xfId="0" applyNumberFormat="1" applyFont="1" applyFill="1" applyAlignment="1">
      <alignment horizontal="center" vertical="center"/>
    </xf>
    <xf numFmtId="0" fontId="23" fillId="10" borderId="0" xfId="0" applyFont="1" applyFill="1" applyAlignment="1">
      <alignment horizontal="center"/>
    </xf>
    <xf numFmtId="165" fontId="16" fillId="10" borderId="0" xfId="0" applyNumberFormat="1" applyFont="1" applyFill="1" applyAlignment="1">
      <alignment horizontal="right"/>
    </xf>
    <xf numFmtId="165" fontId="15" fillId="10" borderId="0" xfId="0" applyNumberFormat="1" applyFont="1" applyFill="1" applyAlignment="1">
      <alignment horizontal="right"/>
    </xf>
    <xf numFmtId="0" fontId="21" fillId="10" borderId="0" xfId="0" applyFont="1" applyFill="1" applyAlignment="1">
      <alignment horizontal="center"/>
    </xf>
    <xf numFmtId="0" fontId="26" fillId="10" borderId="0" xfId="0" applyFont="1" applyFill="1"/>
    <xf numFmtId="0" fontId="15" fillId="10" borderId="0" xfId="0" applyFont="1" applyFill="1" applyAlignment="1">
      <alignment horizontal="center"/>
    </xf>
    <xf numFmtId="164" fontId="15" fillId="10" borderId="0" xfId="0" applyNumberFormat="1" applyFont="1" applyFill="1" applyAlignment="1">
      <alignment horizontal="center"/>
    </xf>
    <xf numFmtId="165" fontId="15" fillId="10" borderId="0" xfId="0" applyNumberFormat="1" applyFont="1" applyFill="1" applyAlignment="1">
      <alignment horizontal="left"/>
    </xf>
    <xf numFmtId="3" fontId="16" fillId="10" borderId="0" xfId="0" applyNumberFormat="1" applyFont="1" applyFill="1" applyAlignment="1">
      <alignment horizontal="center" vertical="center"/>
    </xf>
    <xf numFmtId="164" fontId="24" fillId="10" borderId="0" xfId="0" applyNumberFormat="1" applyFont="1" applyFill="1" applyAlignment="1">
      <alignment vertical="center"/>
    </xf>
    <xf numFmtId="164" fontId="15" fillId="10" borderId="0" xfId="0" applyNumberFormat="1" applyFont="1" applyFill="1" applyAlignment="1">
      <alignment horizontal="center" vertical="center"/>
    </xf>
    <xf numFmtId="165" fontId="16" fillId="10" borderId="0" xfId="0" applyNumberFormat="1" applyFont="1" applyFill="1" applyAlignment="1">
      <alignment horizontal="right" vertical="center"/>
    </xf>
    <xf numFmtId="165" fontId="24" fillId="10" borderId="0" xfId="0" applyNumberFormat="1" applyFont="1" applyFill="1" applyAlignment="1">
      <alignment horizontal="right" vertical="center"/>
    </xf>
    <xf numFmtId="165" fontId="8" fillId="10" borderId="0" xfId="0" applyNumberFormat="1" applyFont="1" applyFill="1" applyAlignment="1">
      <alignment horizontal="right"/>
    </xf>
    <xf numFmtId="165" fontId="9" fillId="10" borderId="0" xfId="0" applyNumberFormat="1" applyFont="1" applyFill="1" applyAlignment="1">
      <alignment horizontal="right"/>
    </xf>
    <xf numFmtId="165" fontId="15" fillId="10" borderId="0" xfId="0" applyNumberFormat="1" applyFont="1" applyFill="1"/>
    <xf numFmtId="166" fontId="15" fillId="10" borderId="0" xfId="0" applyNumberFormat="1" applyFont="1" applyFill="1"/>
    <xf numFmtId="3" fontId="13" fillId="10" borderId="0" xfId="0" applyNumberFormat="1" applyFont="1" applyFill="1" applyAlignment="1">
      <alignment horizontal="left"/>
    </xf>
    <xf numFmtId="164" fontId="16" fillId="10" borderId="0" xfId="0" applyNumberFormat="1" applyFont="1" applyFill="1" applyAlignment="1">
      <alignment horizontal="right"/>
    </xf>
    <xf numFmtId="3" fontId="27" fillId="10" borderId="0" xfId="0" applyNumberFormat="1" applyFont="1" applyFill="1" applyAlignment="1">
      <alignment horizontal="center"/>
    </xf>
    <xf numFmtId="3" fontId="13" fillId="10" borderId="1" xfId="0" applyNumberFormat="1" applyFont="1" applyFill="1" applyBorder="1" applyAlignment="1">
      <alignment horizontal="center"/>
    </xf>
    <xf numFmtId="0" fontId="21" fillId="11" borderId="5" xfId="0" applyFont="1" applyFill="1" applyBorder="1" applyAlignment="1">
      <alignment horizontal="right" vertical="center"/>
    </xf>
    <xf numFmtId="165" fontId="24" fillId="11" borderId="7" xfId="0" applyNumberFormat="1" applyFont="1" applyFill="1" applyBorder="1" applyAlignment="1">
      <alignment horizontal="center" vertical="center" wrapText="1"/>
    </xf>
    <xf numFmtId="164" fontId="24" fillId="11" borderId="27" xfId="0" applyNumberFormat="1" applyFont="1" applyFill="1" applyBorder="1" applyAlignment="1">
      <alignment horizontal="center" vertical="center"/>
    </xf>
    <xf numFmtId="164" fontId="24" fillId="11" borderId="41" xfId="0" applyNumberFormat="1" applyFont="1" applyFill="1" applyBorder="1" applyAlignment="1">
      <alignment horizontal="center" vertical="center"/>
    </xf>
    <xf numFmtId="173" fontId="36" fillId="10" borderId="0" xfId="0" applyNumberFormat="1" applyFont="1" applyFill="1" applyAlignment="1">
      <alignment horizontal="left"/>
    </xf>
    <xf numFmtId="173" fontId="37" fillId="10" borderId="0" xfId="0" applyNumberFormat="1" applyFont="1" applyFill="1" applyAlignment="1">
      <alignment horizontal="left"/>
    </xf>
    <xf numFmtId="164" fontId="21" fillId="7" borderId="0" xfId="0" applyNumberFormat="1" applyFont="1" applyFill="1" applyAlignment="1">
      <alignment horizontal="left" vertical="center"/>
    </xf>
    <xf numFmtId="3" fontId="38" fillId="7" borderId="0" xfId="0" applyNumberFormat="1" applyFont="1" applyFill="1" applyAlignment="1">
      <alignment horizontal="center" vertical="center"/>
    </xf>
    <xf numFmtId="164" fontId="24" fillId="11" borderId="4" xfId="0" applyNumberFormat="1" applyFont="1" applyFill="1" applyBorder="1" applyAlignment="1">
      <alignment horizontal="center" vertical="center" wrapText="1"/>
    </xf>
    <xf numFmtId="164" fontId="24" fillId="11" borderId="5" xfId="0" applyNumberFormat="1" applyFont="1" applyFill="1" applyBorder="1" applyAlignment="1">
      <alignment horizontal="center" vertical="center" wrapText="1"/>
    </xf>
    <xf numFmtId="164" fontId="24" fillId="11" borderId="6" xfId="0" applyNumberFormat="1" applyFont="1" applyFill="1" applyBorder="1" applyAlignment="1">
      <alignment horizontal="center" vertical="center" wrapText="1"/>
    </xf>
    <xf numFmtId="0" fontId="26" fillId="7" borderId="0" xfId="0" applyFont="1" applyFill="1"/>
    <xf numFmtId="164" fontId="15" fillId="7" borderId="0" xfId="0" applyNumberFormat="1" applyFont="1" applyFill="1"/>
    <xf numFmtId="3" fontId="23" fillId="10" borderId="0" xfId="0" applyNumberFormat="1" applyFont="1" applyFill="1" applyAlignment="1">
      <alignment horizontal="right"/>
    </xf>
    <xf numFmtId="9" fontId="9" fillId="11" borderId="10" xfId="0" applyNumberFormat="1" applyFont="1" applyFill="1" applyBorder="1" applyAlignment="1">
      <alignment horizontal="center" vertical="center"/>
    </xf>
    <xf numFmtId="9" fontId="9" fillId="11" borderId="16" xfId="0" applyNumberFormat="1" applyFont="1" applyFill="1" applyBorder="1" applyAlignment="1">
      <alignment horizontal="center" vertical="center"/>
    </xf>
    <xf numFmtId="164" fontId="9" fillId="11" borderId="5" xfId="0" applyNumberFormat="1" applyFont="1" applyFill="1" applyBorder="1" applyAlignment="1">
      <alignment horizontal="center" vertical="center"/>
    </xf>
    <xf numFmtId="164" fontId="9" fillId="11" borderId="29" xfId="0" applyNumberFormat="1" applyFont="1" applyFill="1" applyBorder="1" applyAlignment="1">
      <alignment horizontal="center" vertical="center"/>
    </xf>
    <xf numFmtId="0" fontId="40" fillId="11" borderId="4" xfId="0" applyFont="1" applyFill="1" applyBorder="1" applyAlignment="1">
      <alignment horizontal="center" vertical="center"/>
    </xf>
    <xf numFmtId="0" fontId="40" fillId="11" borderId="5" xfId="0" applyFont="1" applyFill="1" applyBorder="1" applyAlignment="1">
      <alignment horizontal="center" vertical="center"/>
    </xf>
    <xf numFmtId="165" fontId="40" fillId="11" borderId="7" xfId="0" applyNumberFormat="1" applyFont="1" applyFill="1" applyBorder="1" applyAlignment="1">
      <alignment horizontal="center" vertical="center" wrapText="1"/>
    </xf>
    <xf numFmtId="3" fontId="10" fillId="12" borderId="20" xfId="0" applyNumberFormat="1" applyFont="1" applyFill="1" applyBorder="1" applyAlignment="1">
      <alignment horizontal="center" vertical="center"/>
    </xf>
    <xf numFmtId="164" fontId="11" fillId="12" borderId="27" xfId="0" applyNumberFormat="1" applyFont="1" applyFill="1" applyBorder="1" applyAlignment="1">
      <alignment horizontal="center" vertical="center"/>
    </xf>
    <xf numFmtId="164" fontId="11" fillId="12" borderId="41" xfId="0" applyNumberFormat="1" applyFont="1" applyFill="1" applyBorder="1" applyAlignment="1">
      <alignment horizontal="center" vertical="center"/>
    </xf>
    <xf numFmtId="165" fontId="11" fillId="12" borderId="1" xfId="0" applyNumberFormat="1" applyFont="1" applyFill="1" applyBorder="1" applyAlignment="1">
      <alignment horizontal="right" vertical="center"/>
    </xf>
    <xf numFmtId="3" fontId="21" fillId="11" borderId="48" xfId="0" applyNumberFormat="1" applyFont="1" applyFill="1" applyBorder="1" applyAlignment="1">
      <alignment horizontal="center" vertical="center"/>
    </xf>
    <xf numFmtId="9" fontId="11" fillId="11" borderId="5" xfId="0" applyNumberFormat="1" applyFont="1" applyFill="1" applyBorder="1" applyAlignment="1">
      <alignment horizontal="center" vertical="center"/>
    </xf>
    <xf numFmtId="9" fontId="11" fillId="11" borderId="29" xfId="0" applyNumberFormat="1" applyFont="1" applyFill="1" applyBorder="1" applyAlignment="1">
      <alignment horizontal="center" vertical="center"/>
    </xf>
    <xf numFmtId="0" fontId="27" fillId="10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10" borderId="0" xfId="0" applyFont="1" applyFill="1" applyAlignment="1">
      <alignment vertical="center"/>
    </xf>
    <xf numFmtId="3" fontId="26" fillId="7" borderId="0" xfId="0" applyNumberFormat="1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32" fillId="8" borderId="8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vertical="center"/>
    </xf>
    <xf numFmtId="0" fontId="15" fillId="8" borderId="5" xfId="0" applyFont="1" applyFill="1" applyBorder="1" applyAlignment="1">
      <alignment horizontal="left" vertical="center"/>
    </xf>
    <xf numFmtId="165" fontId="15" fillId="8" borderId="7" xfId="0" quotePrefix="1" applyNumberFormat="1" applyFont="1" applyFill="1" applyBorder="1" applyAlignment="1">
      <alignment horizontal="right" vertical="center"/>
    </xf>
    <xf numFmtId="165" fontId="15" fillId="8" borderId="7" xfId="0" quotePrefix="1" applyNumberFormat="1" applyFont="1" applyFill="1" applyBorder="1" applyAlignment="1">
      <alignment horizontal="left" vertical="center"/>
    </xf>
    <xf numFmtId="3" fontId="1" fillId="2" borderId="0" xfId="0" applyNumberFormat="1" applyFont="1" applyFill="1"/>
    <xf numFmtId="3" fontId="21" fillId="7" borderId="0" xfId="0" applyNumberFormat="1" applyFont="1" applyFill="1"/>
    <xf numFmtId="3" fontId="16" fillId="10" borderId="0" xfId="0" applyNumberFormat="1" applyFont="1" applyFill="1" applyAlignment="1">
      <alignment horizontal="right"/>
    </xf>
    <xf numFmtId="164" fontId="24" fillId="10" borderId="5" xfId="0" applyNumberFormat="1" applyFont="1" applyFill="1" applyBorder="1" applyAlignment="1">
      <alignment horizontal="left" vertical="center"/>
    </xf>
    <xf numFmtId="164" fontId="27" fillId="10" borderId="5" xfId="0" applyNumberFormat="1" applyFont="1" applyFill="1" applyBorder="1" applyAlignment="1">
      <alignment horizontal="center" vertical="center"/>
    </xf>
    <xf numFmtId="164" fontId="24" fillId="10" borderId="10" xfId="0" applyNumberFormat="1" applyFont="1" applyFill="1" applyBorder="1" applyAlignment="1">
      <alignment horizontal="left" vertical="center"/>
    </xf>
    <xf numFmtId="164" fontId="27" fillId="10" borderId="16" xfId="0" applyNumberFormat="1" applyFont="1" applyFill="1" applyBorder="1" applyAlignment="1">
      <alignment horizontal="center" vertical="center"/>
    </xf>
    <xf numFmtId="164" fontId="13" fillId="7" borderId="0" xfId="0" applyNumberFormat="1" applyFont="1" applyFill="1" applyAlignment="1">
      <alignment horizontal="center" vertical="center"/>
    </xf>
    <xf numFmtId="164" fontId="16" fillId="7" borderId="5" xfId="0" applyNumberFormat="1" applyFont="1" applyFill="1" applyBorder="1" applyAlignment="1">
      <alignment horizontal="center"/>
    </xf>
    <xf numFmtId="164" fontId="23" fillId="7" borderId="5" xfId="0" applyNumberFormat="1" applyFont="1" applyFill="1" applyBorder="1" applyAlignment="1">
      <alignment horizontal="center"/>
    </xf>
    <xf numFmtId="0" fontId="15" fillId="0" borderId="4" xfId="0" applyFont="1" applyBorder="1" applyAlignment="1">
      <alignment vertical="center" wrapText="1"/>
    </xf>
    <xf numFmtId="164" fontId="21" fillId="7" borderId="0" xfId="0" applyNumberFormat="1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164" fontId="24" fillId="10" borderId="0" xfId="0" applyNumberFormat="1" applyFont="1" applyFill="1" applyAlignment="1">
      <alignment horizontal="center" vertical="center"/>
    </xf>
    <xf numFmtId="0" fontId="26" fillId="10" borderId="0" xfId="0" applyFont="1" applyFill="1" applyAlignment="1">
      <alignment horizontal="center"/>
    </xf>
    <xf numFmtId="0" fontId="27" fillId="10" borderId="0" xfId="0" applyFont="1" applyFill="1" applyAlignment="1">
      <alignment horizontal="center"/>
    </xf>
    <xf numFmtId="0" fontId="15" fillId="0" borderId="4" xfId="0" quotePrefix="1" applyFont="1" applyBorder="1" applyAlignment="1">
      <alignment horizontal="center" vertical="center"/>
    </xf>
    <xf numFmtId="0" fontId="15" fillId="8" borderId="4" xfId="0" quotePrefix="1" applyFont="1" applyFill="1" applyBorder="1" applyAlignment="1">
      <alignment horizontal="center" vertical="center"/>
    </xf>
    <xf numFmtId="0" fontId="9" fillId="0" borderId="4" xfId="0" quotePrefix="1" applyFont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164" fontId="9" fillId="12" borderId="10" xfId="0" applyNumberFormat="1" applyFont="1" applyFill="1" applyBorder="1" applyAlignment="1">
      <alignment horizontal="center" vertical="center"/>
    </xf>
    <xf numFmtId="164" fontId="9" fillId="12" borderId="16" xfId="0" applyNumberFormat="1" applyFont="1" applyFill="1" applyBorder="1" applyAlignment="1">
      <alignment horizontal="center" vertical="center"/>
    </xf>
    <xf numFmtId="164" fontId="9" fillId="12" borderId="5" xfId="0" applyNumberFormat="1" applyFont="1" applyFill="1" applyBorder="1" applyAlignment="1">
      <alignment horizontal="center" vertical="center"/>
    </xf>
    <xf numFmtId="164" fontId="9" fillId="12" borderId="29" xfId="0" applyNumberFormat="1" applyFont="1" applyFill="1" applyBorder="1" applyAlignment="1">
      <alignment horizontal="center" vertical="center"/>
    </xf>
    <xf numFmtId="9" fontId="9" fillId="12" borderId="10" xfId="0" applyNumberFormat="1" applyFont="1" applyFill="1" applyBorder="1" applyAlignment="1">
      <alignment horizontal="center" vertical="center"/>
    </xf>
    <xf numFmtId="9" fontId="9" fillId="12" borderId="16" xfId="0" applyNumberFormat="1" applyFont="1" applyFill="1" applyBorder="1" applyAlignment="1">
      <alignment horizontal="center" vertical="center"/>
    </xf>
    <xf numFmtId="3" fontId="46" fillId="1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6" fillId="7" borderId="5" xfId="0" applyNumberFormat="1" applyFont="1" applyFill="1" applyBorder="1" applyAlignment="1">
      <alignment horizontal="center"/>
    </xf>
    <xf numFmtId="3" fontId="23" fillId="7" borderId="5" xfId="0" applyNumberFormat="1" applyFont="1" applyFill="1" applyBorder="1" applyAlignment="1">
      <alignment horizontal="center"/>
    </xf>
    <xf numFmtId="3" fontId="48" fillId="10" borderId="0" xfId="0" applyNumberFormat="1" applyFont="1" applyFill="1" applyAlignment="1">
      <alignment horizontal="right"/>
    </xf>
    <xf numFmtId="2" fontId="47" fillId="14" borderId="34" xfId="0" applyNumberFormat="1" applyFont="1" applyFill="1" applyBorder="1"/>
    <xf numFmtId="2" fontId="50" fillId="14" borderId="0" xfId="0" applyNumberFormat="1" applyFont="1" applyFill="1"/>
    <xf numFmtId="2" fontId="47" fillId="15" borderId="0" xfId="0" applyNumberFormat="1" applyFont="1" applyFill="1"/>
    <xf numFmtId="2" fontId="50" fillId="15" borderId="0" xfId="0" applyNumberFormat="1" applyFont="1" applyFill="1"/>
    <xf numFmtId="2" fontId="47" fillId="16" borderId="0" xfId="0" applyNumberFormat="1" applyFont="1" applyFill="1"/>
    <xf numFmtId="2" fontId="50" fillId="16" borderId="0" xfId="0" applyNumberFormat="1" applyFont="1" applyFill="1"/>
    <xf numFmtId="2" fontId="1" fillId="17" borderId="0" xfId="0" applyNumberFormat="1" applyFont="1" applyFill="1"/>
    <xf numFmtId="2" fontId="6" fillId="17" borderId="35" xfId="0" applyNumberFormat="1" applyFont="1" applyFill="1" applyBorder="1"/>
    <xf numFmtId="165" fontId="15" fillId="8" borderId="11" xfId="0" quotePrefix="1" applyNumberFormat="1" applyFont="1" applyFill="1" applyBorder="1" applyAlignment="1">
      <alignment horizontal="left" vertical="center"/>
    </xf>
    <xf numFmtId="0" fontId="32" fillId="8" borderId="53" xfId="0" applyFont="1" applyFill="1" applyBorder="1" applyAlignment="1">
      <alignment horizontal="center" vertical="center"/>
    </xf>
    <xf numFmtId="3" fontId="10" fillId="12" borderId="54" xfId="0" applyNumberFormat="1" applyFont="1" applyFill="1" applyBorder="1" applyAlignment="1">
      <alignment horizontal="center" vertical="center"/>
    </xf>
    <xf numFmtId="3" fontId="49" fillId="10" borderId="0" xfId="0" applyNumberFormat="1" applyFont="1" applyFill="1" applyAlignment="1">
      <alignment horizontal="right"/>
    </xf>
    <xf numFmtId="0" fontId="23" fillId="7" borderId="0" xfId="0" applyFont="1" applyFill="1" applyAlignment="1">
      <alignment horizontal="center" vertical="center"/>
    </xf>
    <xf numFmtId="0" fontId="43" fillId="10" borderId="0" xfId="1" applyFont="1" applyFill="1" applyAlignment="1">
      <alignment horizontal="center"/>
    </xf>
    <xf numFmtId="0" fontId="21" fillId="2" borderId="46" xfId="0" applyFont="1" applyFill="1" applyBorder="1" applyAlignment="1">
      <alignment horizontal="center" vertical="center"/>
    </xf>
    <xf numFmtId="0" fontId="15" fillId="10" borderId="55" xfId="0" applyFont="1" applyFill="1" applyBorder="1"/>
    <xf numFmtId="0" fontId="10" fillId="10" borderId="32" xfId="0" applyFont="1" applyFill="1" applyBorder="1"/>
    <xf numFmtId="0" fontId="22" fillId="10" borderId="0" xfId="0" applyFont="1" applyFill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24" fillId="10" borderId="0" xfId="0" applyFont="1" applyFill="1" applyAlignment="1">
      <alignment wrapText="1"/>
    </xf>
    <xf numFmtId="0" fontId="24" fillId="10" borderId="0" xfId="0" applyFont="1" applyFill="1" applyAlignment="1">
      <alignment horizontal="center" wrapText="1"/>
    </xf>
    <xf numFmtId="0" fontId="43" fillId="10" borderId="0" xfId="1" applyFont="1" applyFill="1" applyAlignment="1"/>
    <xf numFmtId="0" fontId="40" fillId="10" borderId="0" xfId="0" applyFont="1" applyFill="1" applyAlignment="1">
      <alignment horizontal="center"/>
    </xf>
    <xf numFmtId="0" fontId="24" fillId="10" borderId="0" xfId="0" applyFont="1" applyFill="1" applyAlignment="1">
      <alignment horizontal="center"/>
    </xf>
    <xf numFmtId="0" fontId="24" fillId="10" borderId="0" xfId="0" applyFont="1" applyFill="1"/>
    <xf numFmtId="4" fontId="54" fillId="10" borderId="38" xfId="0" applyNumberFormat="1" applyFont="1" applyFill="1" applyBorder="1" applyAlignment="1">
      <alignment vertical="center" wrapText="1"/>
    </xf>
    <xf numFmtId="0" fontId="55" fillId="10" borderId="0" xfId="0" applyFont="1" applyFill="1" applyAlignment="1">
      <alignment horizontal="center"/>
    </xf>
    <xf numFmtId="0" fontId="40" fillId="10" borderId="0" xfId="0" applyFont="1" applyFill="1" applyAlignment="1">
      <alignment horizontal="center" vertical="center" wrapText="1"/>
    </xf>
    <xf numFmtId="0" fontId="40" fillId="10" borderId="0" xfId="0" applyFont="1" applyFill="1" applyAlignment="1">
      <alignment vertical="center" wrapText="1"/>
    </xf>
    <xf numFmtId="4" fontId="53" fillId="10" borderId="0" xfId="0" applyNumberFormat="1" applyFont="1" applyFill="1" applyAlignment="1">
      <alignment horizontal="center" vertical="center" wrapText="1"/>
    </xf>
    <xf numFmtId="4" fontId="53" fillId="10" borderId="34" xfId="0" applyNumberFormat="1" applyFont="1" applyFill="1" applyBorder="1" applyAlignment="1">
      <alignment horizontal="center" vertical="center" wrapText="1"/>
    </xf>
    <xf numFmtId="171" fontId="23" fillId="7" borderId="28" xfId="0" applyNumberFormat="1" applyFont="1" applyFill="1" applyBorder="1" applyAlignment="1">
      <alignment horizontal="center" vertical="center"/>
    </xf>
    <xf numFmtId="14" fontId="23" fillId="7" borderId="7" xfId="0" applyNumberFormat="1" applyFont="1" applyFill="1" applyBorder="1" applyAlignment="1">
      <alignment horizontal="center" vertical="center"/>
    </xf>
    <xf numFmtId="3" fontId="23" fillId="7" borderId="11" xfId="0" quotePrefix="1" applyNumberFormat="1" applyFont="1" applyFill="1" applyBorder="1" applyAlignment="1">
      <alignment horizontal="center" vertical="center"/>
    </xf>
    <xf numFmtId="3" fontId="23" fillId="7" borderId="7" xfId="0" applyNumberFormat="1" applyFont="1" applyFill="1" applyBorder="1" applyAlignment="1">
      <alignment horizontal="center" vertical="center"/>
    </xf>
    <xf numFmtId="3" fontId="11" fillId="11" borderId="5" xfId="0" applyNumberFormat="1" applyFont="1" applyFill="1" applyBorder="1" applyAlignment="1">
      <alignment horizontal="center" vertical="center"/>
    </xf>
    <xf numFmtId="3" fontId="11" fillId="11" borderId="29" xfId="0" applyNumberFormat="1" applyFont="1" applyFill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/>
    </xf>
    <xf numFmtId="0" fontId="24" fillId="7" borderId="0" xfId="0" applyFont="1" applyFill="1" applyAlignment="1">
      <alignment horizontal="left"/>
    </xf>
    <xf numFmtId="0" fontId="24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15" fillId="7" borderId="0" xfId="0" applyFont="1" applyFill="1" applyAlignment="1">
      <alignment horizontal="left"/>
    </xf>
    <xf numFmtId="3" fontId="26" fillId="10" borderId="0" xfId="0" applyNumberFormat="1" applyFont="1" applyFill="1" applyAlignment="1">
      <alignment horizontal="center"/>
    </xf>
    <xf numFmtId="164" fontId="56" fillId="7" borderId="5" xfId="0" applyNumberFormat="1" applyFont="1" applyFill="1" applyBorder="1" applyAlignment="1">
      <alignment vertical="center"/>
    </xf>
    <xf numFmtId="3" fontId="56" fillId="7" borderId="5" xfId="0" applyNumberFormat="1" applyFont="1" applyFill="1" applyBorder="1" applyAlignment="1">
      <alignment vertical="center"/>
    </xf>
    <xf numFmtId="0" fontId="21" fillId="10" borderId="0" xfId="0" applyFont="1" applyFill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6" fillId="13" borderId="4" xfId="0" applyFont="1" applyFill="1" applyBorder="1" applyAlignment="1">
      <alignment horizontal="center" vertical="center"/>
    </xf>
    <xf numFmtId="4" fontId="26" fillId="7" borderId="6" xfId="0" applyNumberFormat="1" applyFont="1" applyFill="1" applyBorder="1" applyAlignment="1">
      <alignment vertical="center"/>
    </xf>
    <xf numFmtId="0" fontId="24" fillId="10" borderId="49" xfId="0" applyFont="1" applyFill="1" applyBorder="1" applyAlignment="1">
      <alignment wrapText="1"/>
    </xf>
    <xf numFmtId="0" fontId="21" fillId="11" borderId="46" xfId="0" applyFont="1" applyFill="1" applyBorder="1" applyAlignment="1">
      <alignment horizontal="center" vertical="top" wrapText="1"/>
    </xf>
    <xf numFmtId="0" fontId="21" fillId="11" borderId="45" xfId="0" applyFont="1" applyFill="1" applyBorder="1" applyAlignment="1">
      <alignment horizontal="center" vertical="top" wrapText="1"/>
    </xf>
    <xf numFmtId="0" fontId="26" fillId="7" borderId="0" xfId="0" applyFont="1" applyFill="1" applyAlignment="1">
      <alignment horizontal="center"/>
    </xf>
    <xf numFmtId="3" fontId="16" fillId="7" borderId="0" xfId="0" applyNumberFormat="1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65" fontId="9" fillId="0" borderId="7" xfId="0" quotePrefix="1" applyNumberFormat="1" applyFont="1" applyBorder="1" applyAlignment="1">
      <alignment horizontal="right" vertical="center"/>
    </xf>
    <xf numFmtId="165" fontId="9" fillId="0" borderId="7" xfId="0" quotePrefix="1" applyNumberFormat="1" applyFont="1" applyBorder="1" applyAlignment="1">
      <alignment horizontal="left" vertical="center"/>
    </xf>
    <xf numFmtId="0" fontId="16" fillId="10" borderId="0" xfId="0" applyFont="1" applyFill="1" applyAlignment="1">
      <alignment horizontal="center"/>
    </xf>
    <xf numFmtId="0" fontId="23" fillId="10" borderId="43" xfId="0" applyFont="1" applyFill="1" applyBorder="1" applyAlignment="1">
      <alignment horizontal="center"/>
    </xf>
    <xf numFmtId="0" fontId="16" fillId="10" borderId="0" xfId="0" applyFont="1" applyFill="1" applyAlignment="1">
      <alignment horizontal="center" vertical="center" wrapText="1"/>
    </xf>
    <xf numFmtId="0" fontId="23" fillId="10" borderId="43" xfId="0" applyFont="1" applyFill="1" applyBorder="1" applyAlignment="1">
      <alignment horizontal="center" vertical="center" wrapText="1"/>
    </xf>
    <xf numFmtId="164" fontId="23" fillId="10" borderId="57" xfId="0" applyNumberFormat="1" applyFont="1" applyFill="1" applyBorder="1" applyAlignment="1">
      <alignment horizontal="right"/>
    </xf>
    <xf numFmtId="164" fontId="26" fillId="10" borderId="0" xfId="0" applyNumberFormat="1" applyFont="1" applyFill="1"/>
    <xf numFmtId="164" fontId="26" fillId="10" borderId="43" xfId="0" applyNumberFormat="1" applyFont="1" applyFill="1" applyBorder="1"/>
    <xf numFmtId="164" fontId="23" fillId="10" borderId="43" xfId="0" applyNumberFormat="1" applyFont="1" applyFill="1" applyBorder="1" applyAlignment="1">
      <alignment horizontal="right"/>
    </xf>
    <xf numFmtId="164" fontId="42" fillId="10" borderId="57" xfId="0" applyNumberFormat="1" applyFont="1" applyFill="1" applyBorder="1" applyAlignment="1">
      <alignment horizontal="right"/>
    </xf>
    <xf numFmtId="3" fontId="23" fillId="10" borderId="57" xfId="0" applyNumberFormat="1" applyFont="1" applyFill="1" applyBorder="1" applyAlignment="1">
      <alignment horizontal="right"/>
    </xf>
    <xf numFmtId="0" fontId="26" fillId="10" borderId="43" xfId="0" applyFont="1" applyFill="1" applyBorder="1"/>
    <xf numFmtId="3" fontId="23" fillId="10" borderId="0" xfId="0" applyNumberFormat="1" applyFont="1" applyFill="1"/>
    <xf numFmtId="3" fontId="23" fillId="10" borderId="43" xfId="0" applyNumberFormat="1" applyFont="1" applyFill="1" applyBorder="1"/>
    <xf numFmtId="3" fontId="16" fillId="10" borderId="49" xfId="0" applyNumberFormat="1" applyFont="1" applyFill="1" applyBorder="1" applyAlignment="1">
      <alignment horizontal="right"/>
    </xf>
    <xf numFmtId="3" fontId="23" fillId="10" borderId="50" xfId="0" applyNumberFormat="1" applyFont="1" applyFill="1" applyBorder="1" applyAlignment="1">
      <alignment horizontal="right"/>
    </xf>
    <xf numFmtId="0" fontId="16" fillId="10" borderId="57" xfId="0" applyFont="1" applyFill="1" applyBorder="1" applyAlignment="1">
      <alignment horizontal="center"/>
    </xf>
    <xf numFmtId="0" fontId="16" fillId="10" borderId="57" xfId="0" applyFont="1" applyFill="1" applyBorder="1" applyAlignment="1">
      <alignment horizontal="center" vertical="center" wrapText="1"/>
    </xf>
    <xf numFmtId="164" fontId="26" fillId="10" borderId="57" xfId="0" applyNumberFormat="1" applyFont="1" applyFill="1" applyBorder="1" applyAlignment="1">
      <alignment horizontal="right"/>
    </xf>
    <xf numFmtId="164" fontId="26" fillId="10" borderId="43" xfId="0" applyNumberFormat="1" applyFont="1" applyFill="1" applyBorder="1" applyAlignment="1">
      <alignment horizontal="right"/>
    </xf>
    <xf numFmtId="164" fontId="16" fillId="10" borderId="57" xfId="0" applyNumberFormat="1" applyFont="1" applyFill="1" applyBorder="1" applyAlignment="1">
      <alignment horizontal="right"/>
    </xf>
    <xf numFmtId="164" fontId="35" fillId="10" borderId="57" xfId="0" applyNumberFormat="1" applyFont="1" applyFill="1" applyBorder="1"/>
    <xf numFmtId="164" fontId="39" fillId="10" borderId="43" xfId="0" applyNumberFormat="1" applyFont="1" applyFill="1" applyBorder="1"/>
    <xf numFmtId="3" fontId="23" fillId="10" borderId="43" xfId="0" applyNumberFormat="1" applyFont="1" applyFill="1" applyBorder="1" applyAlignment="1">
      <alignment horizontal="right"/>
    </xf>
    <xf numFmtId="3" fontId="16" fillId="10" borderId="64" xfId="0" applyNumberFormat="1" applyFont="1" applyFill="1" applyBorder="1" applyAlignment="1">
      <alignment horizontal="right"/>
    </xf>
    <xf numFmtId="164" fontId="26" fillId="10" borderId="57" xfId="0" applyNumberFormat="1" applyFont="1" applyFill="1" applyBorder="1"/>
    <xf numFmtId="164" fontId="48" fillId="10" borderId="57" xfId="0" applyNumberFormat="1" applyFont="1" applyFill="1" applyBorder="1"/>
    <xf numFmtId="164" fontId="49" fillId="10" borderId="43" xfId="0" applyNumberFormat="1" applyFont="1" applyFill="1" applyBorder="1"/>
    <xf numFmtId="165" fontId="15" fillId="0" borderId="7" xfId="0" applyNumberFormat="1" applyFont="1" applyBorder="1" applyAlignment="1">
      <alignment horizontal="left" vertical="center"/>
    </xf>
    <xf numFmtId="0" fontId="23" fillId="7" borderId="0" xfId="0" applyFont="1" applyFill="1" applyAlignment="1">
      <alignment vertical="center"/>
    </xf>
    <xf numFmtId="164" fontId="23" fillId="7" borderId="0" xfId="0" applyNumberFormat="1" applyFont="1" applyFill="1" applyAlignment="1">
      <alignment horizontal="left" vertical="center"/>
    </xf>
    <xf numFmtId="164" fontId="23" fillId="7" borderId="0" xfId="0" applyNumberFormat="1" applyFont="1" applyFill="1" applyAlignment="1">
      <alignment horizontal="center" vertical="center"/>
    </xf>
    <xf numFmtId="0" fontId="23" fillId="7" borderId="0" xfId="0" applyFont="1" applyFill="1" applyAlignment="1">
      <alignment horizontal="center"/>
    </xf>
    <xf numFmtId="168" fontId="26" fillId="7" borderId="0" xfId="0" applyNumberFormat="1" applyFont="1" applyFill="1" applyAlignment="1">
      <alignment vertical="center"/>
    </xf>
    <xf numFmtId="164" fontId="26" fillId="7" borderId="57" xfId="0" applyNumberFormat="1" applyFont="1" applyFill="1" applyBorder="1" applyAlignment="1">
      <alignment horizontal="right"/>
    </xf>
    <xf numFmtId="164" fontId="26" fillId="7" borderId="57" xfId="0" applyNumberFormat="1" applyFont="1" applyFill="1" applyBorder="1"/>
    <xf numFmtId="164" fontId="48" fillId="7" borderId="57" xfId="0" applyNumberFormat="1" applyFont="1" applyFill="1" applyBorder="1"/>
    <xf numFmtId="3" fontId="23" fillId="7" borderId="57" xfId="0" applyNumberFormat="1" applyFont="1" applyFill="1" applyBorder="1" applyAlignment="1">
      <alignment horizontal="right"/>
    </xf>
    <xf numFmtId="3" fontId="21" fillId="7" borderId="57" xfId="0" applyNumberFormat="1" applyFont="1" applyFill="1" applyBorder="1" applyAlignment="1">
      <alignment horizontal="right"/>
    </xf>
    <xf numFmtId="3" fontId="48" fillId="7" borderId="0" xfId="0" applyNumberFormat="1" applyFont="1" applyFill="1" applyAlignment="1">
      <alignment horizontal="right"/>
    </xf>
    <xf numFmtId="165" fontId="16" fillId="7" borderId="0" xfId="0" applyNumberFormat="1" applyFont="1" applyFill="1" applyAlignment="1">
      <alignment horizontal="right"/>
    </xf>
    <xf numFmtId="0" fontId="15" fillId="10" borderId="4" xfId="0" applyFont="1" applyFill="1" applyBorder="1" applyAlignment="1">
      <alignment vertical="center"/>
    </xf>
    <xf numFmtId="164" fontId="26" fillId="10" borderId="0" xfId="0" applyNumberFormat="1" applyFont="1" applyFill="1" applyAlignment="1">
      <alignment horizontal="right"/>
    </xf>
    <xf numFmtId="164" fontId="49" fillId="10" borderId="0" xfId="0" applyNumberFormat="1" applyFont="1" applyFill="1"/>
    <xf numFmtId="0" fontId="35" fillId="10" borderId="57" xfId="0" applyFont="1" applyFill="1" applyBorder="1" applyAlignment="1">
      <alignment horizontal="center" vertical="center"/>
    </xf>
    <xf numFmtId="164" fontId="35" fillId="10" borderId="57" xfId="0" applyNumberFormat="1" applyFont="1" applyFill="1" applyBorder="1" applyAlignment="1">
      <alignment horizontal="right" vertical="center"/>
    </xf>
    <xf numFmtId="3" fontId="35" fillId="10" borderId="64" xfId="0" applyNumberFormat="1" applyFont="1" applyFill="1" applyBorder="1" applyAlignment="1">
      <alignment horizontal="right" vertical="center"/>
    </xf>
    <xf numFmtId="3" fontId="64" fillId="10" borderId="49" xfId="0" applyNumberFormat="1" applyFont="1" applyFill="1" applyBorder="1" applyAlignment="1">
      <alignment horizontal="right" vertical="center"/>
    </xf>
    <xf numFmtId="3" fontId="42" fillId="10" borderId="49" xfId="0" applyNumberFormat="1" applyFont="1" applyFill="1" applyBorder="1" applyAlignment="1">
      <alignment horizontal="right" vertical="center"/>
    </xf>
    <xf numFmtId="0" fontId="66" fillId="10" borderId="0" xfId="1" applyFont="1" applyFill="1" applyBorder="1" applyAlignment="1">
      <alignment vertical="center" wrapText="1"/>
    </xf>
    <xf numFmtId="0" fontId="21" fillId="7" borderId="57" xfId="0" applyFont="1" applyFill="1" applyBorder="1" applyAlignment="1">
      <alignment horizontal="center"/>
    </xf>
    <xf numFmtId="0" fontId="21" fillId="7" borderId="57" xfId="0" applyFont="1" applyFill="1" applyBorder="1" applyAlignment="1">
      <alignment horizontal="center" vertical="center" wrapText="1"/>
    </xf>
    <xf numFmtId="164" fontId="21" fillId="7" borderId="57" xfId="0" applyNumberFormat="1" applyFont="1" applyFill="1" applyBorder="1"/>
    <xf numFmtId="0" fontId="62" fillId="7" borderId="57" xfId="0" applyFont="1" applyFill="1" applyBorder="1"/>
    <xf numFmtId="3" fontId="23" fillId="7" borderId="0" xfId="0" applyNumberFormat="1" applyFont="1" applyFill="1"/>
    <xf numFmtId="164" fontId="23" fillId="7" borderId="0" xfId="0" applyNumberFormat="1" applyFont="1" applyFill="1" applyAlignment="1">
      <alignment vertical="center"/>
    </xf>
    <xf numFmtId="0" fontId="21" fillId="11" borderId="3" xfId="0" applyFont="1" applyFill="1" applyBorder="1" applyAlignment="1">
      <alignment horizontal="center" vertical="center" wrapText="1"/>
    </xf>
    <xf numFmtId="0" fontId="53" fillId="11" borderId="4" xfId="0" applyFont="1" applyFill="1" applyBorder="1" applyAlignment="1">
      <alignment horizontal="center" vertical="center"/>
    </xf>
    <xf numFmtId="0" fontId="53" fillId="11" borderId="4" xfId="0" applyFont="1" applyFill="1" applyBorder="1" applyAlignment="1">
      <alignment horizontal="center" vertical="center" wrapText="1"/>
    </xf>
    <xf numFmtId="0" fontId="53" fillId="11" borderId="5" xfId="0" applyFont="1" applyFill="1" applyBorder="1" applyAlignment="1">
      <alignment horizontal="center" vertical="center"/>
    </xf>
    <xf numFmtId="164" fontId="53" fillId="11" borderId="4" xfId="0" quotePrefix="1" applyNumberFormat="1" applyFont="1" applyFill="1" applyBorder="1" applyAlignment="1">
      <alignment horizontal="center" vertical="center"/>
    </xf>
    <xf numFmtId="164" fontId="53" fillId="11" borderId="4" xfId="0" applyNumberFormat="1" applyFont="1" applyFill="1" applyBorder="1" applyAlignment="1">
      <alignment horizontal="center" vertical="center"/>
    </xf>
    <xf numFmtId="164" fontId="53" fillId="11" borderId="5" xfId="0" applyNumberFormat="1" applyFont="1" applyFill="1" applyBorder="1" applyAlignment="1">
      <alignment horizontal="center" vertical="center"/>
    </xf>
    <xf numFmtId="164" fontId="53" fillId="11" borderId="6" xfId="0" applyNumberFormat="1" applyFont="1" applyFill="1" applyBorder="1" applyAlignment="1">
      <alignment horizontal="center" vertical="center"/>
    </xf>
    <xf numFmtId="165" fontId="21" fillId="11" borderId="7" xfId="0" applyNumberFormat="1" applyFont="1" applyFill="1" applyBorder="1" applyAlignment="1">
      <alignment horizontal="center" vertical="center" wrapText="1"/>
    </xf>
    <xf numFmtId="3" fontId="71" fillId="10" borderId="49" xfId="0" applyNumberFormat="1" applyFont="1" applyFill="1" applyBorder="1" applyAlignment="1">
      <alignment horizontal="right" vertical="center"/>
    </xf>
    <xf numFmtId="0" fontId="47" fillId="20" borderId="65" xfId="0" applyFont="1" applyFill="1" applyBorder="1"/>
    <xf numFmtId="0" fontId="0" fillId="0" borderId="0" xfId="0" applyAlignment="1">
      <alignment horizontal="center"/>
    </xf>
    <xf numFmtId="2" fontId="50" fillId="14" borderId="0" xfId="0" applyNumberFormat="1" applyFont="1" applyFill="1" applyAlignment="1">
      <alignment horizontal="center"/>
    </xf>
    <xf numFmtId="2" fontId="47" fillId="14" borderId="0" xfId="0" applyNumberFormat="1" applyFont="1" applyFill="1" applyAlignment="1">
      <alignment horizontal="center"/>
    </xf>
    <xf numFmtId="2" fontId="47" fillId="15" borderId="0" xfId="0" applyNumberFormat="1" applyFont="1" applyFill="1" applyAlignment="1">
      <alignment horizontal="center"/>
    </xf>
    <xf numFmtId="2" fontId="47" fillId="16" borderId="0" xfId="0" applyNumberFormat="1" applyFont="1" applyFill="1" applyAlignment="1">
      <alignment horizontal="center"/>
    </xf>
    <xf numFmtId="2" fontId="50" fillId="16" borderId="0" xfId="0" applyNumberFormat="1" applyFont="1" applyFill="1" applyAlignment="1">
      <alignment horizontal="center"/>
    </xf>
    <xf numFmtId="2" fontId="1" fillId="17" borderId="0" xfId="0" applyNumberFormat="1" applyFont="1" applyFill="1" applyAlignment="1">
      <alignment horizontal="center"/>
    </xf>
    <xf numFmtId="2" fontId="6" fillId="17" borderId="35" xfId="0" applyNumberFormat="1" applyFont="1" applyFill="1" applyBorder="1" applyAlignment="1">
      <alignment horizontal="center"/>
    </xf>
    <xf numFmtId="2" fontId="50" fillId="14" borderId="35" xfId="0" applyNumberFormat="1" applyFont="1" applyFill="1" applyBorder="1" applyAlignment="1">
      <alignment horizontal="center"/>
    </xf>
    <xf numFmtId="2" fontId="50" fillId="15" borderId="35" xfId="0" applyNumberFormat="1" applyFont="1" applyFill="1" applyBorder="1" applyAlignment="1">
      <alignment horizontal="center"/>
    </xf>
    <xf numFmtId="2" fontId="47" fillId="18" borderId="0" xfId="0" applyNumberFormat="1" applyFont="1" applyFill="1" applyAlignment="1">
      <alignment horizontal="center"/>
    </xf>
    <xf numFmtId="2" fontId="50" fillId="18" borderId="35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47" fillId="15" borderId="5" xfId="0" applyNumberFormat="1" applyFont="1" applyFill="1" applyBorder="1" applyAlignment="1">
      <alignment horizontal="center"/>
    </xf>
    <xf numFmtId="2" fontId="72" fillId="15" borderId="5" xfId="0" applyNumberFormat="1" applyFont="1" applyFill="1" applyBorder="1" applyAlignment="1">
      <alignment horizontal="center"/>
    </xf>
    <xf numFmtId="2" fontId="0" fillId="0" borderId="0" xfId="0" applyNumberFormat="1"/>
    <xf numFmtId="2" fontId="47" fillId="15" borderId="2" xfId="0" applyNumberFormat="1" applyFont="1" applyFill="1" applyBorder="1" applyAlignment="1">
      <alignment horizontal="center"/>
    </xf>
    <xf numFmtId="2" fontId="72" fillId="15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4" fillId="10" borderId="0" xfId="1" applyFont="1" applyFill="1" applyBorder="1" applyAlignment="1">
      <alignment horizontal="center" vertical="center" wrapText="1"/>
    </xf>
    <xf numFmtId="0" fontId="21" fillId="10" borderId="0" xfId="0" applyFont="1" applyFill="1"/>
    <xf numFmtId="0" fontId="15" fillId="0" borderId="68" xfId="0" quotePrefix="1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8" xfId="0" applyFont="1" applyBorder="1" applyAlignment="1">
      <alignment horizontal="left" vertical="center"/>
    </xf>
    <xf numFmtId="165" fontId="15" fillId="0" borderId="70" xfId="0" applyNumberFormat="1" applyFont="1" applyBorder="1" applyAlignment="1">
      <alignment horizontal="right" vertical="center"/>
    </xf>
    <xf numFmtId="165" fontId="15" fillId="0" borderId="70" xfId="0" quotePrefix="1" applyNumberFormat="1" applyFont="1" applyBorder="1" applyAlignment="1">
      <alignment horizontal="left" vertical="center"/>
    </xf>
    <xf numFmtId="164" fontId="24" fillId="10" borderId="25" xfId="0" applyNumberFormat="1" applyFont="1" applyFill="1" applyBorder="1" applyAlignment="1">
      <alignment vertical="center"/>
    </xf>
    <xf numFmtId="164" fontId="24" fillId="10" borderId="25" xfId="0" applyNumberFormat="1" applyFont="1" applyFill="1" applyBorder="1" applyAlignment="1">
      <alignment horizontal="center" vertical="center"/>
    </xf>
    <xf numFmtId="164" fontId="15" fillId="10" borderId="25" xfId="0" applyNumberFormat="1" applyFont="1" applyFill="1" applyBorder="1" applyAlignment="1">
      <alignment horizontal="center" vertical="center"/>
    </xf>
    <xf numFmtId="165" fontId="75" fillId="0" borderId="7" xfId="0" quotePrefix="1" applyNumberFormat="1" applyFont="1" applyBorder="1" applyAlignment="1">
      <alignment horizontal="right" vertical="center"/>
    </xf>
    <xf numFmtId="165" fontId="76" fillId="0" borderId="7" xfId="0" quotePrefix="1" applyNumberFormat="1" applyFont="1" applyBorder="1" applyAlignment="1">
      <alignment horizontal="right" vertical="center"/>
    </xf>
    <xf numFmtId="165" fontId="75" fillId="8" borderId="7" xfId="0" quotePrefix="1" applyNumberFormat="1" applyFont="1" applyFill="1" applyBorder="1" applyAlignment="1">
      <alignment horizontal="right" vertical="center"/>
    </xf>
    <xf numFmtId="165" fontId="77" fillId="12" borderId="26" xfId="0" applyNumberFormat="1" applyFont="1" applyFill="1" applyBorder="1" applyAlignment="1">
      <alignment horizontal="right" vertical="center"/>
    </xf>
    <xf numFmtId="165" fontId="25" fillId="11" borderId="7" xfId="0" applyNumberFormat="1" applyFont="1" applyFill="1" applyBorder="1" applyAlignment="1">
      <alignment horizontal="center" vertical="center" wrapText="1"/>
    </xf>
    <xf numFmtId="165" fontId="75" fillId="0" borderId="70" xfId="0" quotePrefix="1" applyNumberFormat="1" applyFont="1" applyBorder="1" applyAlignment="1">
      <alignment horizontal="right" vertical="center"/>
    </xf>
    <xf numFmtId="164" fontId="75" fillId="10" borderId="5" xfId="0" applyNumberFormat="1" applyFont="1" applyFill="1" applyBorder="1" applyAlignment="1">
      <alignment horizontal="center" vertical="center"/>
    </xf>
    <xf numFmtId="164" fontId="75" fillId="10" borderId="29" xfId="0" applyNumberFormat="1" applyFont="1" applyFill="1" applyBorder="1" applyAlignment="1">
      <alignment horizontal="center" vertical="center"/>
    </xf>
    <xf numFmtId="164" fontId="75" fillId="10" borderId="10" xfId="0" applyNumberFormat="1" applyFont="1" applyFill="1" applyBorder="1" applyAlignment="1">
      <alignment horizontal="center" vertical="center"/>
    </xf>
    <xf numFmtId="0" fontId="79" fillId="0" borderId="5" xfId="0" applyFont="1" applyBorder="1" applyAlignment="1">
      <alignment horizontal="center" vertical="center"/>
    </xf>
    <xf numFmtId="0" fontId="80" fillId="0" borderId="4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79" fillId="8" borderId="5" xfId="0" applyFont="1" applyFill="1" applyBorder="1" applyAlignment="1">
      <alignment horizontal="center" vertical="center"/>
    </xf>
    <xf numFmtId="0" fontId="79" fillId="0" borderId="68" xfId="0" applyFont="1" applyBorder="1" applyAlignment="1">
      <alignment horizontal="center" vertical="center"/>
    </xf>
    <xf numFmtId="0" fontId="80" fillId="0" borderId="69" xfId="0" applyFont="1" applyBorder="1" applyAlignment="1">
      <alignment horizontal="center" vertical="center"/>
    </xf>
    <xf numFmtId="0" fontId="62" fillId="11" borderId="2" xfId="0" applyFont="1" applyFill="1" applyBorder="1" applyAlignment="1">
      <alignment horizontal="center" vertical="center" wrapText="1"/>
    </xf>
    <xf numFmtId="0" fontId="62" fillId="11" borderId="40" xfId="0" applyFont="1" applyFill="1" applyBorder="1" applyAlignment="1">
      <alignment horizontal="center" vertical="center" wrapText="1"/>
    </xf>
    <xf numFmtId="3" fontId="21" fillId="7" borderId="24" xfId="0" applyNumberFormat="1" applyFont="1" applyFill="1" applyBorder="1" applyAlignment="1">
      <alignment vertical="center"/>
    </xf>
    <xf numFmtId="167" fontId="1" fillId="21" borderId="44" xfId="0" applyNumberFormat="1" applyFont="1" applyFill="1" applyBorder="1"/>
    <xf numFmtId="167" fontId="1" fillId="0" borderId="44" xfId="0" applyNumberFormat="1" applyFont="1" applyBorder="1"/>
    <xf numFmtId="167" fontId="3" fillId="0" borderId="44" xfId="0" applyNumberFormat="1" applyFont="1" applyBorder="1"/>
    <xf numFmtId="167" fontId="3" fillId="21" borderId="44" xfId="0" applyNumberFormat="1" applyFont="1" applyFill="1" applyBorder="1"/>
    <xf numFmtId="2" fontId="47" fillId="14" borderId="66" xfId="0" applyNumberFormat="1" applyFont="1" applyFill="1" applyBorder="1"/>
    <xf numFmtId="2" fontId="73" fillId="14" borderId="44" xfId="0" applyNumberFormat="1" applyFont="1" applyFill="1" applyBorder="1"/>
    <xf numFmtId="3" fontId="47" fillId="20" borderId="44" xfId="0" applyNumberFormat="1" applyFont="1" applyFill="1" applyBorder="1"/>
    <xf numFmtId="2" fontId="47" fillId="16" borderId="44" xfId="0" applyNumberFormat="1" applyFont="1" applyFill="1" applyBorder="1"/>
    <xf numFmtId="2" fontId="73" fillId="16" borderId="44" xfId="0" applyNumberFormat="1" applyFont="1" applyFill="1" applyBorder="1"/>
    <xf numFmtId="2" fontId="47" fillId="15" borderId="44" xfId="0" applyNumberFormat="1" applyFont="1" applyFill="1" applyBorder="1"/>
    <xf numFmtId="2" fontId="73" fillId="15" borderId="44" xfId="0" applyNumberFormat="1" applyFont="1" applyFill="1" applyBorder="1"/>
    <xf numFmtId="2" fontId="47" fillId="17" borderId="44" xfId="0" applyNumberFormat="1" applyFont="1" applyFill="1" applyBorder="1"/>
    <xf numFmtId="2" fontId="73" fillId="17" borderId="67" xfId="0" applyNumberFormat="1" applyFont="1" applyFill="1" applyBorder="1"/>
    <xf numFmtId="2" fontId="47" fillId="14" borderId="44" xfId="0" applyNumberFormat="1" applyFont="1" applyFill="1" applyBorder="1"/>
    <xf numFmtId="2" fontId="73" fillId="17" borderId="44" xfId="0" applyNumberFormat="1" applyFont="1" applyFill="1" applyBorder="1"/>
    <xf numFmtId="0" fontId="47" fillId="20" borderId="44" xfId="0" applyFont="1" applyFill="1" applyBorder="1"/>
    <xf numFmtId="0" fontId="1" fillId="0" borderId="65" xfId="0" applyFont="1" applyBorder="1"/>
    <xf numFmtId="0" fontId="1" fillId="21" borderId="65" xfId="0" applyFont="1" applyFill="1" applyBorder="1"/>
    <xf numFmtId="0" fontId="21" fillId="7" borderId="2" xfId="0" applyFont="1" applyFill="1" applyBorder="1" applyAlignment="1">
      <alignment horizontal="center"/>
    </xf>
    <xf numFmtId="168" fontId="26" fillId="7" borderId="24" xfId="0" applyNumberFormat="1" applyFont="1" applyFill="1" applyBorder="1" applyAlignment="1">
      <alignment horizontal="right" vertical="center"/>
    </xf>
    <xf numFmtId="172" fontId="26" fillId="7" borderId="26" xfId="0" applyNumberFormat="1" applyFont="1" applyFill="1" applyBorder="1" applyAlignment="1">
      <alignment horizontal="center" vertical="center"/>
    </xf>
    <xf numFmtId="168" fontId="26" fillId="7" borderId="24" xfId="0" applyNumberFormat="1" applyFont="1" applyFill="1" applyBorder="1" applyAlignment="1">
      <alignment vertical="center"/>
    </xf>
    <xf numFmtId="168" fontId="27" fillId="7" borderId="24" xfId="0" applyNumberFormat="1" applyFont="1" applyFill="1" applyBorder="1" applyAlignment="1">
      <alignment vertical="center"/>
    </xf>
    <xf numFmtId="172" fontId="27" fillId="7" borderId="26" xfId="0" applyNumberFormat="1" applyFont="1" applyFill="1" applyBorder="1" applyAlignment="1">
      <alignment horizontal="center" vertical="center"/>
    </xf>
    <xf numFmtId="1" fontId="23" fillId="7" borderId="6" xfId="0" applyNumberFormat="1" applyFont="1" applyFill="1" applyBorder="1" applyAlignment="1">
      <alignment vertical="center"/>
    </xf>
    <xf numFmtId="164" fontId="26" fillId="7" borderId="1" xfId="0" applyNumberFormat="1" applyFont="1" applyFill="1" applyBorder="1" applyAlignment="1">
      <alignment vertical="center"/>
    </xf>
    <xf numFmtId="164" fontId="27" fillId="7" borderId="1" xfId="0" applyNumberFormat="1" applyFont="1" applyFill="1" applyBorder="1" applyAlignment="1">
      <alignment vertical="center"/>
    </xf>
    <xf numFmtId="164" fontId="16" fillId="7" borderId="25" xfId="0" applyNumberFormat="1" applyFont="1" applyFill="1" applyBorder="1" applyAlignment="1">
      <alignment vertical="center"/>
    </xf>
    <xf numFmtId="0" fontId="16" fillId="7" borderId="25" xfId="0" applyFont="1" applyFill="1" applyBorder="1" applyAlignment="1">
      <alignment vertical="center"/>
    </xf>
    <xf numFmtId="3" fontId="16" fillId="7" borderId="25" xfId="0" applyNumberFormat="1" applyFont="1" applyFill="1" applyBorder="1" applyAlignment="1">
      <alignment vertical="center"/>
    </xf>
    <xf numFmtId="164" fontId="23" fillId="7" borderId="25" xfId="0" applyNumberFormat="1" applyFont="1" applyFill="1" applyBorder="1" applyAlignment="1">
      <alignment vertical="center"/>
    </xf>
    <xf numFmtId="0" fontId="71" fillId="10" borderId="0" xfId="0" applyFont="1" applyFill="1" applyAlignment="1">
      <alignment horizontal="center" vertical="center"/>
    </xf>
    <xf numFmtId="0" fontId="64" fillId="10" borderId="0" xfId="0" applyFont="1" applyFill="1" applyAlignment="1">
      <alignment horizontal="center" vertical="center"/>
    </xf>
    <xf numFmtId="0" fontId="46" fillId="10" borderId="0" xfId="0" applyFont="1" applyFill="1" applyAlignment="1">
      <alignment horizontal="center" vertical="center"/>
    </xf>
    <xf numFmtId="164" fontId="71" fillId="10" borderId="0" xfId="0" applyNumberFormat="1" applyFont="1" applyFill="1" applyAlignment="1">
      <alignment horizontal="right" vertical="center"/>
    </xf>
    <xf numFmtId="164" fontId="64" fillId="10" borderId="0" xfId="0" applyNumberFormat="1" applyFont="1" applyFill="1" applyAlignment="1">
      <alignment horizontal="right" vertical="center"/>
    </xf>
    <xf numFmtId="164" fontId="46" fillId="10" borderId="0" xfId="0" applyNumberFormat="1" applyFont="1" applyFill="1" applyAlignment="1">
      <alignment horizontal="right" vertical="center"/>
    </xf>
    <xf numFmtId="164" fontId="48" fillId="10" borderId="0" xfId="0" applyNumberFormat="1" applyFont="1" applyFill="1"/>
    <xf numFmtId="3" fontId="46" fillId="10" borderId="49" xfId="0" applyNumberFormat="1" applyFont="1" applyFill="1" applyBorder="1" applyAlignment="1">
      <alignment horizontal="right" vertical="center"/>
    </xf>
    <xf numFmtId="0" fontId="21" fillId="10" borderId="43" xfId="0" applyFont="1" applyFill="1" applyBorder="1" applyAlignment="1">
      <alignment horizontal="center"/>
    </xf>
    <xf numFmtId="164" fontId="48" fillId="10" borderId="43" xfId="0" applyNumberFormat="1" applyFont="1" applyFill="1" applyBorder="1"/>
    <xf numFmtId="0" fontId="63" fillId="10" borderId="43" xfId="0" applyFont="1" applyFill="1" applyBorder="1" applyAlignment="1">
      <alignment horizontal="center" vertical="center"/>
    </xf>
    <xf numFmtId="164" fontId="63" fillId="10" borderId="43" xfId="0" applyNumberFormat="1" applyFont="1" applyFill="1" applyBorder="1" applyAlignment="1">
      <alignment horizontal="right" vertical="center"/>
    </xf>
    <xf numFmtId="3" fontId="63" fillId="10" borderId="50" xfId="0" applyNumberFormat="1" applyFont="1" applyFill="1" applyBorder="1" applyAlignment="1">
      <alignment horizontal="right" vertical="center"/>
    </xf>
    <xf numFmtId="164" fontId="83" fillId="10" borderId="57" xfId="0" applyNumberFormat="1" applyFont="1" applyFill="1" applyBorder="1" applyAlignment="1">
      <alignment horizontal="right"/>
    </xf>
    <xf numFmtId="0" fontId="83" fillId="10" borderId="57" xfId="0" applyFont="1" applyFill="1" applyBorder="1" applyAlignment="1">
      <alignment horizontal="center"/>
    </xf>
    <xf numFmtId="0" fontId="83" fillId="10" borderId="57" xfId="0" applyFont="1" applyFill="1" applyBorder="1" applyAlignment="1">
      <alignment horizontal="center" vertical="center" wrapText="1"/>
    </xf>
    <xf numFmtId="3" fontId="83" fillId="10" borderId="64" xfId="0" applyNumberFormat="1" applyFont="1" applyFill="1" applyBorder="1" applyAlignment="1">
      <alignment horizontal="right"/>
    </xf>
    <xf numFmtId="0" fontId="48" fillId="10" borderId="57" xfId="0" applyFont="1" applyFill="1" applyBorder="1" applyAlignment="1">
      <alignment horizontal="center"/>
    </xf>
    <xf numFmtId="0" fontId="48" fillId="10" borderId="57" xfId="0" applyFont="1" applyFill="1" applyBorder="1" applyAlignment="1">
      <alignment horizontal="center" vertical="center" wrapText="1"/>
    </xf>
    <xf numFmtId="0" fontId="21" fillId="10" borderId="43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164" fontId="21" fillId="10" borderId="43" xfId="0" applyNumberFormat="1" applyFont="1" applyFill="1" applyBorder="1"/>
    <xf numFmtId="164" fontId="21" fillId="10" borderId="0" xfId="0" applyNumberFormat="1" applyFont="1" applyFill="1"/>
    <xf numFmtId="3" fontId="48" fillId="10" borderId="64" xfId="0" applyNumberFormat="1" applyFont="1" applyFill="1" applyBorder="1" applyAlignment="1">
      <alignment horizontal="right"/>
    </xf>
    <xf numFmtId="3" fontId="49" fillId="10" borderId="49" xfId="0" applyNumberFormat="1" applyFont="1" applyFill="1" applyBorder="1" applyAlignment="1">
      <alignment horizontal="right"/>
    </xf>
    <xf numFmtId="3" fontId="21" fillId="10" borderId="50" xfId="0" applyNumberFormat="1" applyFont="1" applyFill="1" applyBorder="1" applyAlignment="1">
      <alignment horizontal="right"/>
    </xf>
    <xf numFmtId="3" fontId="21" fillId="10" borderId="49" xfId="0" applyNumberFormat="1" applyFont="1" applyFill="1" applyBorder="1" applyAlignment="1">
      <alignment horizontal="right"/>
    </xf>
    <xf numFmtId="0" fontId="85" fillId="10" borderId="57" xfId="0" applyFont="1" applyFill="1" applyBorder="1" applyAlignment="1">
      <alignment horizontal="center"/>
    </xf>
    <xf numFmtId="0" fontId="85" fillId="10" borderId="57" xfId="0" applyFont="1" applyFill="1" applyBorder="1" applyAlignment="1">
      <alignment horizontal="center" vertical="center" wrapText="1"/>
    </xf>
    <xf numFmtId="164" fontId="85" fillId="10" borderId="57" xfId="0" applyNumberFormat="1" applyFont="1" applyFill="1" applyBorder="1"/>
    <xf numFmtId="3" fontId="85" fillId="10" borderId="64" xfId="0" applyNumberFormat="1" applyFont="1" applyFill="1" applyBorder="1" applyAlignment="1">
      <alignment horizontal="right"/>
    </xf>
    <xf numFmtId="167" fontId="1" fillId="21" borderId="71" xfId="0" applyNumberFormat="1" applyFont="1" applyFill="1" applyBorder="1"/>
    <xf numFmtId="167" fontId="1" fillId="21" borderId="72" xfId="0" applyNumberFormat="1" applyFont="1" applyFill="1" applyBorder="1"/>
    <xf numFmtId="167" fontId="1" fillId="0" borderId="1" xfId="0" applyNumberFormat="1" applyFont="1" applyBorder="1"/>
    <xf numFmtId="167" fontId="1" fillId="0" borderId="71" xfId="0" applyNumberFormat="1" applyFont="1" applyBorder="1"/>
    <xf numFmtId="167" fontId="1" fillId="0" borderId="72" xfId="0" applyNumberFormat="1" applyFont="1" applyBorder="1"/>
    <xf numFmtId="167" fontId="1" fillId="21" borderId="1" xfId="0" applyNumberFormat="1" applyFont="1" applyFill="1" applyBorder="1"/>
    <xf numFmtId="167" fontId="3" fillId="0" borderId="72" xfId="0" applyNumberFormat="1" applyFont="1" applyBorder="1"/>
    <xf numFmtId="167" fontId="3" fillId="21" borderId="72" xfId="0" applyNumberFormat="1" applyFont="1" applyFill="1" applyBorder="1"/>
    <xf numFmtId="167" fontId="3" fillId="0" borderId="1" xfId="0" applyNumberFormat="1" applyFont="1" applyBorder="1"/>
    <xf numFmtId="167" fontId="3" fillId="0" borderId="71" xfId="0" applyNumberFormat="1" applyFont="1" applyBorder="1"/>
    <xf numFmtId="167" fontId="3" fillId="21" borderId="1" xfId="0" applyNumberFormat="1" applyFont="1" applyFill="1" applyBorder="1"/>
    <xf numFmtId="167" fontId="3" fillId="21" borderId="71" xfId="0" applyNumberFormat="1" applyFont="1" applyFill="1" applyBorder="1"/>
    <xf numFmtId="167" fontId="84" fillId="0" borderId="0" xfId="0" applyNumberFormat="1" applyFont="1"/>
    <xf numFmtId="167" fontId="84" fillId="0" borderId="1" xfId="0" applyNumberFormat="1" applyFont="1" applyBorder="1"/>
    <xf numFmtId="167" fontId="84" fillId="0" borderId="44" xfId="0" applyNumberFormat="1" applyFont="1" applyBorder="1"/>
    <xf numFmtId="167" fontId="84" fillId="0" borderId="71" xfId="0" applyNumberFormat="1" applyFont="1" applyBorder="1"/>
    <xf numFmtId="167" fontId="84" fillId="21" borderId="44" xfId="0" applyNumberFormat="1" applyFont="1" applyFill="1" applyBorder="1"/>
    <xf numFmtId="3" fontId="3" fillId="2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9" fillId="10" borderId="57" xfId="0" applyFont="1" applyFill="1" applyBorder="1" applyAlignment="1">
      <alignment horizontal="center" vertical="center"/>
    </xf>
    <xf numFmtId="0" fontId="42" fillId="10" borderId="0" xfId="0" applyFont="1" applyFill="1" applyAlignment="1">
      <alignment horizontal="center" vertical="center"/>
    </xf>
    <xf numFmtId="0" fontId="49" fillId="10" borderId="0" xfId="0" applyFont="1" applyFill="1" applyAlignment="1">
      <alignment horizontal="center"/>
    </xf>
    <xf numFmtId="0" fontId="86" fillId="10" borderId="43" xfId="0" applyFont="1" applyFill="1" applyBorder="1" applyAlignment="1">
      <alignment horizontal="center"/>
    </xf>
    <xf numFmtId="0" fontId="49" fillId="10" borderId="0" xfId="0" applyFont="1" applyFill="1" applyAlignment="1">
      <alignment horizontal="center" vertical="center" wrapText="1"/>
    </xf>
    <xf numFmtId="0" fontId="86" fillId="10" borderId="43" xfId="0" applyFont="1" applyFill="1" applyBorder="1" applyAlignment="1">
      <alignment horizontal="center" vertical="center" wrapText="1"/>
    </xf>
    <xf numFmtId="164" fontId="39" fillId="10" borderId="57" xfId="0" applyNumberFormat="1" applyFont="1" applyFill="1" applyBorder="1" applyAlignment="1">
      <alignment horizontal="right" vertical="center"/>
    </xf>
    <xf numFmtId="164" fontId="42" fillId="10" borderId="0" xfId="0" applyNumberFormat="1" applyFont="1" applyFill="1" applyAlignment="1">
      <alignment horizontal="right" vertical="center"/>
    </xf>
    <xf numFmtId="164" fontId="86" fillId="10" borderId="43" xfId="0" applyNumberFormat="1" applyFont="1" applyFill="1" applyBorder="1"/>
    <xf numFmtId="164" fontId="49" fillId="10" borderId="57" xfId="0" applyNumberFormat="1" applyFont="1" applyFill="1" applyBorder="1"/>
    <xf numFmtId="3" fontId="39" fillId="10" borderId="64" xfId="0" applyNumberFormat="1" applyFont="1" applyFill="1" applyBorder="1" applyAlignment="1">
      <alignment horizontal="right" vertical="center"/>
    </xf>
    <xf numFmtId="3" fontId="86" fillId="10" borderId="50" xfId="0" applyNumberFormat="1" applyFont="1" applyFill="1" applyBorder="1" applyAlignment="1">
      <alignment horizontal="right"/>
    </xf>
    <xf numFmtId="3" fontId="23" fillId="7" borderId="25" xfId="0" applyNumberFormat="1" applyFont="1" applyFill="1" applyBorder="1" applyAlignment="1">
      <alignment vertical="center"/>
    </xf>
    <xf numFmtId="0" fontId="13" fillId="7" borderId="26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1" fillId="0" borderId="65" xfId="0" applyNumberFormat="1" applyFont="1" applyBorder="1"/>
    <xf numFmtId="164" fontId="1" fillId="21" borderId="65" xfId="0" applyNumberFormat="1" applyFont="1" applyFill="1" applyBorder="1"/>
    <xf numFmtId="164" fontId="3" fillId="21" borderId="65" xfId="0" applyNumberFormat="1" applyFont="1" applyFill="1" applyBorder="1"/>
    <xf numFmtId="3" fontId="1" fillId="0" borderId="65" xfId="0" applyNumberFormat="1" applyFont="1" applyBorder="1"/>
    <xf numFmtId="3" fontId="1" fillId="21" borderId="65" xfId="0" applyNumberFormat="1" applyFont="1" applyFill="1" applyBorder="1"/>
    <xf numFmtId="3" fontId="3" fillId="21" borderId="65" xfId="0" applyNumberFormat="1" applyFont="1" applyFill="1" applyBorder="1"/>
    <xf numFmtId="0" fontId="88" fillId="0" borderId="0" xfId="0" applyFont="1"/>
    <xf numFmtId="0" fontId="1" fillId="23" borderId="65" xfId="0" applyFont="1" applyFill="1" applyBorder="1"/>
    <xf numFmtId="0" fontId="1" fillId="23" borderId="65" xfId="0" applyFont="1" applyFill="1" applyBorder="1" applyAlignment="1">
      <alignment horizontal="right"/>
    </xf>
    <xf numFmtId="0" fontId="0" fillId="23" borderId="0" xfId="0" applyFill="1"/>
    <xf numFmtId="167" fontId="1" fillId="0" borderId="0" xfId="0" applyNumberFormat="1" applyFont="1"/>
    <xf numFmtId="4" fontId="50" fillId="14" borderId="0" xfId="0" applyNumberFormat="1" applyFont="1" applyFill="1"/>
    <xf numFmtId="4" fontId="73" fillId="14" borderId="44" xfId="0" applyNumberFormat="1" applyFont="1" applyFill="1" applyBorder="1"/>
    <xf numFmtId="4" fontId="1" fillId="0" borderId="44" xfId="0" applyNumberFormat="1" applyFont="1" applyBorder="1"/>
    <xf numFmtId="4" fontId="1" fillId="21" borderId="44" xfId="0" applyNumberFormat="1" applyFont="1" applyFill="1" applyBorder="1"/>
    <xf numFmtId="4" fontId="1" fillId="21" borderId="71" xfId="0" applyNumberFormat="1" applyFont="1" applyFill="1" applyBorder="1"/>
    <xf numFmtId="4" fontId="1" fillId="21" borderId="72" xfId="0" applyNumberFormat="1" applyFont="1" applyFill="1" applyBorder="1"/>
    <xf numFmtId="4" fontId="3" fillId="0" borderId="0" xfId="0" applyNumberFormat="1" applyFont="1"/>
    <xf numFmtId="4" fontId="3" fillId="21" borderId="72" xfId="0" applyNumberFormat="1" applyFont="1" applyFill="1" applyBorder="1"/>
    <xf numFmtId="4" fontId="3" fillId="0" borderId="44" xfId="0" applyNumberFormat="1" applyFont="1" applyBorder="1"/>
    <xf numFmtId="4" fontId="3" fillId="21" borderId="44" xfId="0" applyNumberFormat="1" applyFont="1" applyFill="1" applyBorder="1"/>
    <xf numFmtId="4" fontId="1" fillId="0" borderId="65" xfId="0" applyNumberFormat="1" applyFont="1" applyBorder="1"/>
    <xf numFmtId="4" fontId="1" fillId="21" borderId="65" xfId="0" applyNumberFormat="1" applyFont="1" applyFill="1" applyBorder="1"/>
    <xf numFmtId="4" fontId="3" fillId="21" borderId="65" xfId="0" applyNumberFormat="1" applyFont="1" applyFill="1" applyBorder="1"/>
    <xf numFmtId="4" fontId="1" fillId="16" borderId="0" xfId="0" applyNumberFormat="1" applyFont="1" applyFill="1" applyAlignment="1">
      <alignment horizontal="center"/>
    </xf>
    <xf numFmtId="167" fontId="1" fillId="21" borderId="0" xfId="0" applyNumberFormat="1" applyFont="1" applyFill="1"/>
    <xf numFmtId="2" fontId="6" fillId="17" borderId="0" xfId="0" applyNumberFormat="1" applyFont="1" applyFill="1"/>
    <xf numFmtId="0" fontId="1" fillId="2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7" fontId="84" fillId="21" borderId="0" xfId="0" applyNumberFormat="1" applyFont="1" applyFill="1"/>
    <xf numFmtId="165" fontId="1" fillId="0" borderId="65" xfId="0" applyNumberFormat="1" applyFont="1" applyBorder="1"/>
    <xf numFmtId="165" fontId="1" fillId="21" borderId="65" xfId="0" applyNumberFormat="1" applyFont="1" applyFill="1" applyBorder="1"/>
    <xf numFmtId="165" fontId="3" fillId="21" borderId="65" xfId="0" applyNumberFormat="1" applyFont="1" applyFill="1" applyBorder="1"/>
    <xf numFmtId="4" fontId="1" fillId="0" borderId="1" xfId="0" applyNumberFormat="1" applyFont="1" applyBorder="1"/>
    <xf numFmtId="0" fontId="1" fillId="23" borderId="0" xfId="0" applyFont="1" applyFill="1"/>
    <xf numFmtId="3" fontId="83" fillId="10" borderId="49" xfId="0" applyNumberFormat="1" applyFont="1" applyFill="1" applyBorder="1" applyAlignment="1">
      <alignment horizontal="right" vertical="center"/>
    </xf>
    <xf numFmtId="164" fontId="56" fillId="10" borderId="57" xfId="0" applyNumberFormat="1" applyFont="1" applyFill="1" applyBorder="1" applyAlignment="1">
      <alignment horizontal="right"/>
    </xf>
    <xf numFmtId="164" fontId="29" fillId="10" borderId="0" xfId="0" applyNumberFormat="1" applyFont="1" applyFill="1"/>
    <xf numFmtId="164" fontId="29" fillId="10" borderId="43" xfId="0" applyNumberFormat="1" applyFont="1" applyFill="1" applyBorder="1"/>
    <xf numFmtId="164" fontId="29" fillId="10" borderId="57" xfId="0" applyNumberFormat="1" applyFont="1" applyFill="1" applyBorder="1" applyAlignment="1">
      <alignment horizontal="right"/>
    </xf>
    <xf numFmtId="164" fontId="29" fillId="10" borderId="43" xfId="0" applyNumberFormat="1" applyFont="1" applyFill="1" applyBorder="1" applyAlignment="1">
      <alignment horizontal="right"/>
    </xf>
    <xf numFmtId="164" fontId="56" fillId="24" borderId="57" xfId="0" applyNumberFormat="1" applyFont="1" applyFill="1" applyBorder="1" applyAlignment="1">
      <alignment horizontal="right"/>
    </xf>
    <xf numFmtId="164" fontId="29" fillId="24" borderId="0" xfId="0" applyNumberFormat="1" applyFont="1" applyFill="1"/>
    <xf numFmtId="164" fontId="29" fillId="24" borderId="43" xfId="0" applyNumberFormat="1" applyFont="1" applyFill="1" applyBorder="1"/>
    <xf numFmtId="164" fontId="29" fillId="24" borderId="57" xfId="0" applyNumberFormat="1" applyFont="1" applyFill="1" applyBorder="1" applyAlignment="1">
      <alignment horizontal="right"/>
    </xf>
    <xf numFmtId="164" fontId="29" fillId="24" borderId="43" xfId="0" applyNumberFormat="1" applyFont="1" applyFill="1" applyBorder="1" applyAlignment="1">
      <alignment horizontal="right"/>
    </xf>
    <xf numFmtId="3" fontId="56" fillId="10" borderId="57" xfId="0" applyNumberFormat="1" applyFont="1" applyFill="1" applyBorder="1" applyAlignment="1">
      <alignment horizontal="right"/>
    </xf>
    <xf numFmtId="3" fontId="56" fillId="10" borderId="0" xfId="0" applyNumberFormat="1" applyFont="1" applyFill="1"/>
    <xf numFmtId="3" fontId="56" fillId="10" borderId="43" xfId="0" applyNumberFormat="1" applyFont="1" applyFill="1" applyBorder="1"/>
    <xf numFmtId="3" fontId="56" fillId="10" borderId="43" xfId="0" applyNumberFormat="1" applyFont="1" applyFill="1" applyBorder="1" applyAlignment="1">
      <alignment horizontal="right"/>
    </xf>
    <xf numFmtId="3" fontId="56" fillId="24" borderId="57" xfId="0" applyNumberFormat="1" applyFont="1" applyFill="1" applyBorder="1" applyAlignment="1">
      <alignment horizontal="right"/>
    </xf>
    <xf numFmtId="3" fontId="56" fillId="24" borderId="0" xfId="0" applyNumberFormat="1" applyFont="1" applyFill="1"/>
    <xf numFmtId="3" fontId="56" fillId="24" borderId="43" xfId="0" applyNumberFormat="1" applyFont="1" applyFill="1" applyBorder="1"/>
    <xf numFmtId="3" fontId="56" fillId="24" borderId="43" xfId="0" applyNumberFormat="1" applyFont="1" applyFill="1" applyBorder="1" applyAlignment="1">
      <alignment horizontal="right"/>
    </xf>
    <xf numFmtId="0" fontId="62" fillId="10" borderId="63" xfId="0" applyFont="1" applyFill="1" applyBorder="1" applyAlignment="1">
      <alignment horizontal="center"/>
    </xf>
    <xf numFmtId="0" fontId="62" fillId="10" borderId="61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6" fillId="10" borderId="4" xfId="0" quotePrefix="1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left" vertical="center"/>
    </xf>
    <xf numFmtId="0" fontId="79" fillId="10" borderId="5" xfId="0" applyFont="1" applyFill="1" applyBorder="1" applyAlignment="1">
      <alignment horizontal="center" vertical="center"/>
    </xf>
    <xf numFmtId="0" fontId="81" fillId="10" borderId="5" xfId="0" applyFont="1" applyFill="1" applyBorder="1" applyAlignment="1">
      <alignment horizontal="center" vertical="center"/>
    </xf>
    <xf numFmtId="0" fontId="82" fillId="10" borderId="4" xfId="0" applyFont="1" applyFill="1" applyBorder="1" applyAlignment="1">
      <alignment horizontal="center" vertical="center"/>
    </xf>
    <xf numFmtId="165" fontId="75" fillId="10" borderId="7" xfId="0" quotePrefix="1" applyNumberFormat="1" applyFont="1" applyFill="1" applyBorder="1" applyAlignment="1">
      <alignment horizontal="right" vertical="center"/>
    </xf>
    <xf numFmtId="165" fontId="26" fillId="10" borderId="7" xfId="0" applyNumberFormat="1" applyFont="1" applyFill="1" applyBorder="1" applyAlignment="1">
      <alignment horizontal="left" vertical="center"/>
    </xf>
    <xf numFmtId="0" fontId="26" fillId="10" borderId="5" xfId="0" quotePrefix="1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68" fillId="10" borderId="5" xfId="0" applyFont="1" applyFill="1" applyBorder="1" applyAlignment="1">
      <alignment horizontal="center" vertical="center"/>
    </xf>
    <xf numFmtId="165" fontId="89" fillId="10" borderId="7" xfId="0" quotePrefix="1" applyNumberFormat="1" applyFont="1" applyFill="1" applyBorder="1" applyAlignment="1">
      <alignment horizontal="right" vertical="center"/>
    </xf>
    <xf numFmtId="0" fontId="10" fillId="11" borderId="46" xfId="0" applyFont="1" applyFill="1" applyBorder="1" applyAlignment="1">
      <alignment horizontal="center" vertical="top" wrapText="1"/>
    </xf>
    <xf numFmtId="164" fontId="11" fillId="12" borderId="13" xfId="0" applyNumberFormat="1" applyFont="1" applyFill="1" applyBorder="1" applyAlignment="1">
      <alignment horizontal="center" vertical="center"/>
    </xf>
    <xf numFmtId="164" fontId="11" fillId="12" borderId="14" xfId="0" applyNumberFormat="1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vertical="center" wrapText="1"/>
    </xf>
    <xf numFmtId="165" fontId="15" fillId="3" borderId="0" xfId="0" applyNumberFormat="1" applyFont="1" applyFill="1"/>
    <xf numFmtId="0" fontId="9" fillId="3" borderId="0" xfId="0" applyFont="1" applyFill="1"/>
    <xf numFmtId="9" fontId="9" fillId="3" borderId="0" xfId="0" applyNumberFormat="1" applyFont="1" applyFill="1"/>
    <xf numFmtId="0" fontId="28" fillId="3" borderId="0" xfId="0" applyFont="1" applyFill="1" applyAlignment="1">
      <alignment vertical="center"/>
    </xf>
    <xf numFmtId="0" fontId="62" fillId="10" borderId="62" xfId="0" applyFont="1" applyFill="1" applyBorder="1"/>
    <xf numFmtId="0" fontId="62" fillId="10" borderId="63" xfId="0" applyFont="1" applyFill="1" applyBorder="1"/>
    <xf numFmtId="0" fontId="57" fillId="4" borderId="38" xfId="0" applyFont="1" applyFill="1" applyBorder="1" applyAlignment="1">
      <alignment vertical="center" wrapText="1"/>
    </xf>
    <xf numFmtId="0" fontId="57" fillId="4" borderId="33" xfId="0" applyFont="1" applyFill="1" applyBorder="1" applyAlignment="1">
      <alignment vertical="center" wrapText="1"/>
    </xf>
    <xf numFmtId="0" fontId="57" fillId="4" borderId="0" xfId="0" applyFont="1" applyFill="1" applyAlignment="1">
      <alignment vertical="center" wrapText="1"/>
    </xf>
    <xf numFmtId="0" fontId="57" fillId="4" borderId="35" xfId="0" applyFont="1" applyFill="1" applyBorder="1" applyAlignment="1">
      <alignment vertical="center" wrapText="1"/>
    </xf>
    <xf numFmtId="0" fontId="57" fillId="4" borderId="39" xfId="0" applyFont="1" applyFill="1" applyBorder="1" applyAlignment="1">
      <alignment vertical="center" wrapText="1"/>
    </xf>
    <xf numFmtId="0" fontId="57" fillId="4" borderId="37" xfId="0" applyFont="1" applyFill="1" applyBorder="1" applyAlignment="1">
      <alignment vertical="center" wrapText="1"/>
    </xf>
    <xf numFmtId="0" fontId="40" fillId="4" borderId="38" xfId="0" applyFont="1" applyFill="1" applyBorder="1"/>
    <xf numFmtId="0" fontId="40" fillId="4" borderId="33" xfId="0" applyFont="1" applyFill="1" applyBorder="1"/>
    <xf numFmtId="0" fontId="43" fillId="4" borderId="39" xfId="1" applyFont="1" applyFill="1" applyBorder="1" applyAlignment="1"/>
    <xf numFmtId="0" fontId="43" fillId="4" borderId="37" xfId="1" applyFont="1" applyFill="1" applyBorder="1" applyAlignment="1"/>
    <xf numFmtId="164" fontId="23" fillId="10" borderId="0" xfId="0" applyNumberFormat="1" applyFont="1" applyFill="1" applyAlignment="1">
      <alignment horizontal="right"/>
    </xf>
    <xf numFmtId="164" fontId="23" fillId="10" borderId="57" xfId="0" applyNumberFormat="1" applyFont="1" applyFill="1" applyBorder="1"/>
    <xf numFmtId="164" fontId="23" fillId="10" borderId="0" xfId="0" applyNumberFormat="1" applyFont="1" applyFill="1"/>
    <xf numFmtId="164" fontId="23" fillId="10" borderId="43" xfId="0" applyNumberFormat="1" applyFont="1" applyFill="1" applyBorder="1"/>
    <xf numFmtId="4" fontId="73" fillId="16" borderId="44" xfId="0" applyNumberFormat="1" applyFont="1" applyFill="1" applyBorder="1"/>
    <xf numFmtId="3" fontId="1" fillId="9" borderId="0" xfId="0" applyNumberFormat="1" applyFont="1" applyFill="1"/>
    <xf numFmtId="3" fontId="47" fillId="9" borderId="44" xfId="0" applyNumberFormat="1" applyFont="1" applyFill="1" applyBorder="1"/>
    <xf numFmtId="0" fontId="1" fillId="23" borderId="0" xfId="0" applyFont="1" applyFill="1" applyAlignment="1">
      <alignment horizontal="right"/>
    </xf>
    <xf numFmtId="0" fontId="1" fillId="25" borderId="65" xfId="0" applyFont="1" applyFill="1" applyBorder="1"/>
    <xf numFmtId="3" fontId="0" fillId="24" borderId="0" xfId="0" applyNumberFormat="1" applyFill="1"/>
    <xf numFmtId="4" fontId="0" fillId="24" borderId="0" xfId="0" applyNumberFormat="1" applyFill="1"/>
    <xf numFmtId="3" fontId="1" fillId="24" borderId="0" xfId="0" applyNumberFormat="1" applyFont="1" applyFill="1"/>
    <xf numFmtId="167" fontId="6" fillId="0" borderId="0" xfId="0" applyNumberFormat="1" applyFont="1"/>
    <xf numFmtId="167" fontId="20" fillId="0" borderId="0" xfId="0" applyNumberFormat="1" applyFont="1"/>
    <xf numFmtId="167" fontId="6" fillId="0" borderId="0" xfId="0" applyNumberFormat="1" applyFont="1" applyAlignment="1">
      <alignment horizontal="right"/>
    </xf>
    <xf numFmtId="164" fontId="1" fillId="26" borderId="65" xfId="0" applyNumberFormat="1" applyFont="1" applyFill="1" applyBorder="1"/>
    <xf numFmtId="3" fontId="1" fillId="26" borderId="65" xfId="0" applyNumberFormat="1" applyFont="1" applyFill="1" applyBorder="1"/>
    <xf numFmtId="4" fontId="1" fillId="26" borderId="65" xfId="0" applyNumberFormat="1" applyFont="1" applyFill="1" applyBorder="1"/>
    <xf numFmtId="164" fontId="1" fillId="27" borderId="65" xfId="0" applyNumberFormat="1" applyFont="1" applyFill="1" applyBorder="1"/>
    <xf numFmtId="3" fontId="1" fillId="27" borderId="65" xfId="0" applyNumberFormat="1" applyFont="1" applyFill="1" applyBorder="1"/>
    <xf numFmtId="4" fontId="1" fillId="27" borderId="65" xfId="0" applyNumberFormat="1" applyFont="1" applyFill="1" applyBorder="1"/>
    <xf numFmtId="165" fontId="26" fillId="27" borderId="0" xfId="0" applyNumberFormat="1" applyFont="1" applyFill="1" applyAlignment="1">
      <alignment vertical="center"/>
    </xf>
    <xf numFmtId="164" fontId="23" fillId="27" borderId="5" xfId="0" applyNumberFormat="1" applyFont="1" applyFill="1" applyBorder="1" applyAlignment="1">
      <alignment vertical="center"/>
    </xf>
    <xf numFmtId="3" fontId="23" fillId="27" borderId="5" xfId="0" applyNumberFormat="1" applyFont="1" applyFill="1" applyBorder="1" applyAlignment="1">
      <alignment vertical="center"/>
    </xf>
    <xf numFmtId="3" fontId="26" fillId="27" borderId="5" xfId="0" applyNumberFormat="1" applyFont="1" applyFill="1" applyBorder="1" applyAlignment="1">
      <alignment vertical="center"/>
    </xf>
    <xf numFmtId="4" fontId="26" fillId="27" borderId="6" xfId="0" applyNumberFormat="1" applyFont="1" applyFill="1" applyBorder="1" applyAlignment="1">
      <alignment vertical="center"/>
    </xf>
    <xf numFmtId="164" fontId="1" fillId="28" borderId="65" xfId="0" applyNumberFormat="1" applyFont="1" applyFill="1" applyBorder="1"/>
    <xf numFmtId="3" fontId="1" fillId="28" borderId="65" xfId="0" applyNumberFormat="1" applyFont="1" applyFill="1" applyBorder="1"/>
    <xf numFmtId="165" fontId="1" fillId="28" borderId="65" xfId="0" applyNumberFormat="1" applyFont="1" applyFill="1" applyBorder="1"/>
    <xf numFmtId="164" fontId="1" fillId="24" borderId="65" xfId="0" applyNumberFormat="1" applyFont="1" applyFill="1" applyBorder="1"/>
    <xf numFmtId="3" fontId="1" fillId="24" borderId="65" xfId="0" applyNumberFormat="1" applyFont="1" applyFill="1" applyBorder="1"/>
    <xf numFmtId="165" fontId="1" fillId="24" borderId="65" xfId="0" applyNumberFormat="1" applyFont="1" applyFill="1" applyBorder="1"/>
    <xf numFmtId="167" fontId="84" fillId="0" borderId="0" xfId="0" quotePrefix="1" applyNumberFormat="1" applyFont="1" applyAlignment="1">
      <alignment horizontal="center"/>
    </xf>
    <xf numFmtId="167" fontId="84" fillId="0" borderId="78" xfId="0" applyNumberFormat="1" applyFont="1" applyBorder="1"/>
    <xf numFmtId="167" fontId="90" fillId="0" borderId="0" xfId="0" applyNumberFormat="1" applyFont="1" applyAlignment="1">
      <alignment horizontal="center"/>
    </xf>
    <xf numFmtId="0" fontId="91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" fontId="6" fillId="0" borderId="0" xfId="0" applyNumberFormat="1" applyFont="1"/>
    <xf numFmtId="0" fontId="6" fillId="0" borderId="0" xfId="0" applyFont="1" applyAlignment="1">
      <alignment horizontal="right"/>
    </xf>
    <xf numFmtId="3" fontId="26" fillId="10" borderId="0" xfId="0" applyNumberFormat="1" applyFont="1" applyFill="1"/>
    <xf numFmtId="3" fontId="26" fillId="10" borderId="43" xfId="0" applyNumberFormat="1" applyFont="1" applyFill="1" applyBorder="1"/>
    <xf numFmtId="3" fontId="26" fillId="10" borderId="57" xfId="0" applyNumberFormat="1" applyFont="1" applyFill="1" applyBorder="1" applyAlignment="1">
      <alignment horizontal="right"/>
    </xf>
    <xf numFmtId="3" fontId="26" fillId="10" borderId="43" xfId="0" applyNumberFormat="1" applyFont="1" applyFill="1" applyBorder="1" applyAlignment="1">
      <alignment horizontal="right"/>
    </xf>
    <xf numFmtId="3" fontId="23" fillId="7" borderId="0" xfId="0" applyNumberFormat="1" applyFont="1" applyFill="1" applyAlignment="1">
      <alignment vertical="center"/>
    </xf>
    <xf numFmtId="0" fontId="13" fillId="10" borderId="0" xfId="0" applyFont="1" applyFill="1" applyAlignment="1">
      <alignment vertical="center"/>
    </xf>
    <xf numFmtId="0" fontId="16" fillId="7" borderId="0" xfId="0" applyFont="1" applyFill="1" applyAlignment="1">
      <alignment horizontal="right" vertical="center"/>
    </xf>
    <xf numFmtId="0" fontId="16" fillId="7" borderId="0" xfId="0" applyFont="1" applyFill="1" applyAlignment="1">
      <alignment vertical="center"/>
    </xf>
    <xf numFmtId="164" fontId="16" fillId="7" borderId="0" xfId="0" applyNumberFormat="1" applyFont="1" applyFill="1" applyAlignment="1">
      <alignment horizontal="left" vertical="center"/>
    </xf>
    <xf numFmtId="164" fontId="16" fillId="7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92" fillId="0" borderId="4" xfId="0" quotePrefix="1" applyFont="1" applyBorder="1" applyAlignment="1">
      <alignment vertical="center"/>
    </xf>
    <xf numFmtId="0" fontId="92" fillId="0" borderId="79" xfId="0" applyFont="1" applyBorder="1" applyAlignment="1">
      <alignment horizontal="center" vertical="center"/>
    </xf>
    <xf numFmtId="0" fontId="92" fillId="0" borderId="80" xfId="0" applyFont="1" applyBorder="1" applyAlignment="1">
      <alignment horizontal="center" vertical="center"/>
    </xf>
    <xf numFmtId="0" fontId="92" fillId="0" borderId="79" xfId="0" applyFont="1" applyBorder="1" applyAlignment="1">
      <alignment horizontal="left" vertical="center"/>
    </xf>
    <xf numFmtId="0" fontId="94" fillId="0" borderId="79" xfId="0" applyFont="1" applyBorder="1" applyAlignment="1">
      <alignment horizontal="center" vertical="center"/>
    </xf>
    <xf numFmtId="0" fontId="95" fillId="0" borderId="80" xfId="0" applyFont="1" applyBorder="1" applyAlignment="1">
      <alignment horizontal="center" vertical="center"/>
    </xf>
    <xf numFmtId="165" fontId="92" fillId="0" borderId="81" xfId="0" quotePrefix="1" applyNumberFormat="1" applyFont="1" applyBorder="1" applyAlignment="1">
      <alignment horizontal="right" vertical="center"/>
    </xf>
    <xf numFmtId="165" fontId="92" fillId="0" borderId="81" xfId="0" quotePrefix="1" applyNumberFormat="1" applyFont="1" applyBorder="1" applyAlignment="1">
      <alignment horizontal="left" vertical="center"/>
    </xf>
    <xf numFmtId="164" fontId="21" fillId="7" borderId="38" xfId="0" quotePrefix="1" applyNumberFormat="1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62" fillId="10" borderId="62" xfId="0" applyFont="1" applyFill="1" applyBorder="1" applyAlignment="1">
      <alignment horizontal="center"/>
    </xf>
    <xf numFmtId="0" fontId="62" fillId="10" borderId="63" xfId="0" applyFont="1" applyFill="1" applyBorder="1" applyAlignment="1">
      <alignment horizontal="center"/>
    </xf>
    <xf numFmtId="0" fontId="62" fillId="10" borderId="61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4" fillId="10" borderId="24" xfId="0" applyFont="1" applyFill="1" applyBorder="1" applyAlignment="1">
      <alignment horizontal="left" vertical="center" wrapText="1"/>
    </xf>
    <xf numFmtId="0" fontId="24" fillId="10" borderId="25" xfId="0" applyFont="1" applyFill="1" applyBorder="1" applyAlignment="1">
      <alignment horizontal="left" vertical="center" wrapText="1"/>
    </xf>
    <xf numFmtId="0" fontId="24" fillId="10" borderId="26" xfId="0" applyFont="1" applyFill="1" applyBorder="1" applyAlignment="1">
      <alignment horizontal="left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52" fillId="19" borderId="24" xfId="0" applyFont="1" applyFill="1" applyBorder="1" applyAlignment="1">
      <alignment horizontal="center" vertical="center"/>
    </xf>
    <xf numFmtId="0" fontId="52" fillId="19" borderId="25" xfId="0" applyFont="1" applyFill="1" applyBorder="1" applyAlignment="1">
      <alignment horizontal="center" vertical="center"/>
    </xf>
    <xf numFmtId="0" fontId="52" fillId="19" borderId="26" xfId="0" applyFont="1" applyFill="1" applyBorder="1" applyAlignment="1">
      <alignment horizontal="center" vertical="center"/>
    </xf>
    <xf numFmtId="3" fontId="53" fillId="4" borderId="24" xfId="0" applyNumberFormat="1" applyFont="1" applyFill="1" applyBorder="1" applyAlignment="1">
      <alignment horizontal="center"/>
    </xf>
    <xf numFmtId="3" fontId="53" fillId="4" borderId="25" xfId="0" applyNumberFormat="1" applyFont="1" applyFill="1" applyBorder="1" applyAlignment="1">
      <alignment horizontal="center"/>
    </xf>
    <xf numFmtId="3" fontId="53" fillId="4" borderId="26" xfId="0" applyNumberFormat="1" applyFont="1" applyFill="1" applyBorder="1" applyAlignment="1">
      <alignment horizontal="center"/>
    </xf>
    <xf numFmtId="0" fontId="40" fillId="10" borderId="0" xfId="0" applyFont="1" applyFill="1" applyAlignment="1">
      <alignment horizontal="left" vertical="center" wrapText="1"/>
    </xf>
    <xf numFmtId="0" fontId="17" fillId="10" borderId="0" xfId="0" applyFont="1" applyFill="1" applyAlignment="1">
      <alignment horizontal="left" vertical="center" wrapText="1"/>
    </xf>
    <xf numFmtId="0" fontId="70" fillId="10" borderId="0" xfId="0" applyFont="1" applyFill="1" applyAlignment="1">
      <alignment horizontal="left" vertical="center" wrapText="1"/>
    </xf>
    <xf numFmtId="0" fontId="24" fillId="5" borderId="24" xfId="0" applyFont="1" applyFill="1" applyBorder="1" applyAlignment="1">
      <alignment horizontal="left" vertical="center" wrapText="1"/>
    </xf>
    <xf numFmtId="0" fontId="24" fillId="5" borderId="25" xfId="0" applyFont="1" applyFill="1" applyBorder="1" applyAlignment="1">
      <alignment horizontal="left" vertical="center" wrapText="1"/>
    </xf>
    <xf numFmtId="0" fontId="24" fillId="5" borderId="26" xfId="0" applyFont="1" applyFill="1" applyBorder="1" applyAlignment="1">
      <alignment horizontal="left" vertical="center" wrapText="1"/>
    </xf>
    <xf numFmtId="4" fontId="53" fillId="4" borderId="58" xfId="0" applyNumberFormat="1" applyFont="1" applyFill="1" applyBorder="1" applyAlignment="1">
      <alignment horizontal="center" vertical="center" wrapText="1"/>
    </xf>
    <xf numFmtId="4" fontId="53" fillId="4" borderId="59" xfId="0" applyNumberFormat="1" applyFont="1" applyFill="1" applyBorder="1" applyAlignment="1">
      <alignment horizontal="center" vertical="center" wrapText="1"/>
    </xf>
    <xf numFmtId="4" fontId="53" fillId="4" borderId="60" xfId="0" applyNumberFormat="1" applyFont="1" applyFill="1" applyBorder="1" applyAlignment="1">
      <alignment horizontal="center" vertical="center" wrapText="1"/>
    </xf>
    <xf numFmtId="4" fontId="53" fillId="4" borderId="58" xfId="0" applyNumberFormat="1" applyFont="1" applyFill="1" applyBorder="1" applyAlignment="1">
      <alignment horizontal="center" vertical="top" wrapText="1"/>
    </xf>
    <xf numFmtId="4" fontId="53" fillId="4" borderId="59" xfId="0" applyNumberFormat="1" applyFont="1" applyFill="1" applyBorder="1" applyAlignment="1">
      <alignment horizontal="center" vertical="top" wrapText="1"/>
    </xf>
    <xf numFmtId="4" fontId="53" fillId="4" borderId="60" xfId="0" applyNumberFormat="1" applyFont="1" applyFill="1" applyBorder="1" applyAlignment="1">
      <alignment horizontal="center" vertical="top" wrapText="1"/>
    </xf>
    <xf numFmtId="0" fontId="40" fillId="10" borderId="0" xfId="0" applyFont="1" applyFill="1" applyAlignment="1">
      <alignment horizontal="center" vertical="center" wrapText="1"/>
    </xf>
    <xf numFmtId="0" fontId="17" fillId="10" borderId="62" xfId="0" applyFont="1" applyFill="1" applyBorder="1" applyAlignment="1">
      <alignment horizontal="center"/>
    </xf>
    <xf numFmtId="0" fontId="17" fillId="10" borderId="63" xfId="0" applyFont="1" applyFill="1" applyBorder="1" applyAlignment="1">
      <alignment horizontal="center"/>
    </xf>
    <xf numFmtId="0" fontId="17" fillId="10" borderId="61" xfId="0" applyFont="1" applyFill="1" applyBorder="1" applyAlignment="1">
      <alignment horizontal="center"/>
    </xf>
    <xf numFmtId="0" fontId="57" fillId="4" borderId="32" xfId="0" applyFont="1" applyFill="1" applyBorder="1" applyAlignment="1">
      <alignment horizontal="center" vertical="center" wrapText="1"/>
    </xf>
    <xf numFmtId="0" fontId="57" fillId="4" borderId="38" xfId="0" applyFont="1" applyFill="1" applyBorder="1" applyAlignment="1">
      <alignment horizontal="center" vertical="center" wrapText="1"/>
    </xf>
    <xf numFmtId="0" fontId="57" fillId="4" borderId="33" xfId="0" applyFont="1" applyFill="1" applyBorder="1" applyAlignment="1">
      <alignment horizontal="center" vertical="center" wrapText="1"/>
    </xf>
    <xf numFmtId="0" fontId="57" fillId="4" borderId="34" xfId="0" applyFont="1" applyFill="1" applyBorder="1" applyAlignment="1">
      <alignment horizontal="center" vertical="center" wrapText="1"/>
    </xf>
    <xf numFmtId="0" fontId="57" fillId="4" borderId="0" xfId="0" applyFont="1" applyFill="1" applyAlignment="1">
      <alignment horizontal="center" vertical="center" wrapText="1"/>
    </xf>
    <xf numFmtId="0" fontId="57" fillId="4" borderId="35" xfId="0" applyFont="1" applyFill="1" applyBorder="1" applyAlignment="1">
      <alignment horizontal="center" vertical="center" wrapText="1"/>
    </xf>
    <xf numFmtId="0" fontId="57" fillId="4" borderId="36" xfId="0" applyFont="1" applyFill="1" applyBorder="1" applyAlignment="1">
      <alignment horizontal="center" vertical="center" wrapText="1"/>
    </xf>
    <xf numFmtId="0" fontId="57" fillId="4" borderId="39" xfId="0" applyFont="1" applyFill="1" applyBorder="1" applyAlignment="1">
      <alignment horizontal="center" vertical="center" wrapText="1"/>
    </xf>
    <xf numFmtId="0" fontId="57" fillId="4" borderId="37" xfId="0" applyFont="1" applyFill="1" applyBorder="1" applyAlignment="1">
      <alignment horizontal="center" vertical="center" wrapText="1"/>
    </xf>
    <xf numFmtId="0" fontId="40" fillId="4" borderId="32" xfId="0" applyFont="1" applyFill="1" applyBorder="1" applyAlignment="1">
      <alignment horizontal="center"/>
    </xf>
    <xf numFmtId="0" fontId="40" fillId="4" borderId="38" xfId="0" applyFont="1" applyFill="1" applyBorder="1" applyAlignment="1">
      <alignment horizontal="center"/>
    </xf>
    <xf numFmtId="0" fontId="40" fillId="4" borderId="33" xfId="0" applyFont="1" applyFill="1" applyBorder="1" applyAlignment="1">
      <alignment horizontal="center"/>
    </xf>
    <xf numFmtId="0" fontId="43" fillId="4" borderId="36" xfId="1" applyFont="1" applyFill="1" applyBorder="1" applyAlignment="1">
      <alignment horizontal="center"/>
    </xf>
    <xf numFmtId="0" fontId="43" fillId="4" borderId="39" xfId="1" applyFont="1" applyFill="1" applyBorder="1" applyAlignment="1">
      <alignment horizontal="center"/>
    </xf>
    <xf numFmtId="0" fontId="43" fillId="4" borderId="37" xfId="1" applyFont="1" applyFill="1" applyBorder="1" applyAlignment="1">
      <alignment horizontal="center"/>
    </xf>
    <xf numFmtId="165" fontId="58" fillId="0" borderId="55" xfId="0" applyNumberFormat="1" applyFont="1" applyBorder="1" applyAlignment="1">
      <alignment horizontal="left" vertical="center" wrapText="1"/>
    </xf>
    <xf numFmtId="165" fontId="58" fillId="0" borderId="56" xfId="0" applyNumberFormat="1" applyFont="1" applyBorder="1" applyAlignment="1">
      <alignment horizontal="left" vertical="center" wrapText="1"/>
    </xf>
    <xf numFmtId="4" fontId="51" fillId="0" borderId="31" xfId="0" applyNumberFormat="1" applyFont="1" applyBorder="1" applyAlignment="1">
      <alignment horizontal="center" vertical="center"/>
    </xf>
    <xf numFmtId="4" fontId="51" fillId="0" borderId="30" xfId="0" applyNumberFormat="1" applyFont="1" applyBorder="1" applyAlignment="1">
      <alignment horizontal="center" vertical="center"/>
    </xf>
    <xf numFmtId="4" fontId="61" fillId="0" borderId="74" xfId="0" quotePrefix="1" applyNumberFormat="1" applyFont="1" applyBorder="1" applyAlignment="1">
      <alignment horizontal="center" vertical="center" wrapText="1"/>
    </xf>
    <xf numFmtId="4" fontId="61" fillId="0" borderId="56" xfId="0" quotePrefix="1" applyNumberFormat="1" applyFont="1" applyBorder="1" applyAlignment="1">
      <alignment horizontal="center" vertical="center" wrapText="1"/>
    </xf>
    <xf numFmtId="4" fontId="61" fillId="0" borderId="0" xfId="0" quotePrefix="1" applyNumberFormat="1" applyFont="1" applyAlignment="1">
      <alignment horizontal="center" vertical="center" wrapText="1"/>
    </xf>
    <xf numFmtId="4" fontId="61" fillId="0" borderId="75" xfId="0" quotePrefix="1" applyNumberFormat="1" applyFont="1" applyBorder="1" applyAlignment="1">
      <alignment horizontal="center" vertical="center" wrapText="1"/>
    </xf>
    <xf numFmtId="4" fontId="61" fillId="0" borderId="76" xfId="0" quotePrefix="1" applyNumberFormat="1" applyFont="1" applyBorder="1" applyAlignment="1">
      <alignment horizontal="center" vertical="center" wrapText="1"/>
    </xf>
    <xf numFmtId="4" fontId="61" fillId="0" borderId="77" xfId="0" quotePrefix="1" applyNumberFormat="1" applyFont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2" fillId="10" borderId="43" xfId="0" applyFont="1" applyFill="1" applyBorder="1" applyAlignment="1">
      <alignment horizontal="center" vertical="center" wrapText="1"/>
    </xf>
    <xf numFmtId="164" fontId="44" fillId="10" borderId="32" xfId="0" applyNumberFormat="1" applyFont="1" applyFill="1" applyBorder="1" applyAlignment="1">
      <alignment horizontal="left" vertical="center" wrapText="1"/>
    </xf>
    <xf numFmtId="164" fontId="44" fillId="10" borderId="38" xfId="0" applyNumberFormat="1" applyFont="1" applyFill="1" applyBorder="1" applyAlignment="1">
      <alignment horizontal="left" vertical="center" wrapText="1"/>
    </xf>
    <xf numFmtId="164" fontId="44" fillId="10" borderId="34" xfId="0" applyNumberFormat="1" applyFont="1" applyFill="1" applyBorder="1" applyAlignment="1">
      <alignment horizontal="left" vertical="center" wrapText="1"/>
    </xf>
    <xf numFmtId="164" fontId="44" fillId="10" borderId="0" xfId="0" applyNumberFormat="1" applyFont="1" applyFill="1" applyAlignment="1">
      <alignment horizontal="left" vertical="center" wrapText="1"/>
    </xf>
    <xf numFmtId="164" fontId="44" fillId="10" borderId="36" xfId="0" applyNumberFormat="1" applyFont="1" applyFill="1" applyBorder="1" applyAlignment="1">
      <alignment horizontal="left" vertical="center" wrapText="1"/>
    </xf>
    <xf numFmtId="164" fontId="44" fillId="10" borderId="39" xfId="0" applyNumberFormat="1" applyFont="1" applyFill="1" applyBorder="1" applyAlignment="1">
      <alignment horizontal="left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46" xfId="0" applyFont="1" applyFill="1" applyBorder="1" applyAlignment="1">
      <alignment horizontal="center" vertical="center" wrapText="1"/>
    </xf>
    <xf numFmtId="164" fontId="24" fillId="11" borderId="51" xfId="0" applyNumberFormat="1" applyFont="1" applyFill="1" applyBorder="1" applyAlignment="1">
      <alignment horizontal="left" vertical="center"/>
    </xf>
    <xf numFmtId="164" fontId="24" fillId="11" borderId="25" xfId="0" applyNumberFormat="1" applyFont="1" applyFill="1" applyBorder="1" applyAlignment="1">
      <alignment horizontal="left" vertical="center"/>
    </xf>
    <xf numFmtId="164" fontId="24" fillId="11" borderId="52" xfId="0" applyNumberFormat="1" applyFont="1" applyFill="1" applyBorder="1" applyAlignment="1">
      <alignment horizontal="left" vertical="center"/>
    </xf>
    <xf numFmtId="164" fontId="11" fillId="12" borderId="51" xfId="0" applyNumberFormat="1" applyFont="1" applyFill="1" applyBorder="1" applyAlignment="1">
      <alignment horizontal="left" vertical="center"/>
    </xf>
    <xf numFmtId="164" fontId="11" fillId="12" borderId="25" xfId="0" applyNumberFormat="1" applyFont="1" applyFill="1" applyBorder="1" applyAlignment="1">
      <alignment horizontal="left" vertical="center"/>
    </xf>
    <xf numFmtId="164" fontId="11" fillId="12" borderId="52" xfId="0" applyNumberFormat="1" applyFont="1" applyFill="1" applyBorder="1" applyAlignment="1">
      <alignment horizontal="left" vertical="center"/>
    </xf>
    <xf numFmtId="3" fontId="10" fillId="11" borderId="17" xfId="0" applyNumberFormat="1" applyFont="1" applyFill="1" applyBorder="1" applyAlignment="1">
      <alignment horizontal="center" vertical="center"/>
    </xf>
    <xf numFmtId="3" fontId="10" fillId="11" borderId="23" xfId="0" applyNumberFormat="1" applyFont="1" applyFill="1" applyBorder="1" applyAlignment="1">
      <alignment horizontal="center" vertical="center"/>
    </xf>
    <xf numFmtId="3" fontId="10" fillId="11" borderId="20" xfId="0" applyNumberFormat="1" applyFont="1" applyFill="1" applyBorder="1" applyAlignment="1">
      <alignment horizontal="center" vertical="center"/>
    </xf>
    <xf numFmtId="3" fontId="10" fillId="12" borderId="17" xfId="0" applyNumberFormat="1" applyFont="1" applyFill="1" applyBorder="1" applyAlignment="1">
      <alignment horizontal="center" vertical="center" wrapText="1"/>
    </xf>
    <xf numFmtId="3" fontId="10" fillId="12" borderId="20" xfId="0" applyNumberFormat="1" applyFont="1" applyFill="1" applyBorder="1" applyAlignment="1">
      <alignment horizontal="center" vertical="center" wrapText="1"/>
    </xf>
    <xf numFmtId="164" fontId="11" fillId="11" borderId="18" xfId="0" applyNumberFormat="1" applyFont="1" applyFill="1" applyBorder="1" applyAlignment="1">
      <alignment horizontal="center" vertical="center"/>
    </xf>
    <xf numFmtId="164" fontId="11" fillId="11" borderId="12" xfId="0" applyNumberFormat="1" applyFont="1" applyFill="1" applyBorder="1" applyAlignment="1">
      <alignment horizontal="center" vertical="center"/>
    </xf>
    <xf numFmtId="164" fontId="11" fillId="11" borderId="42" xfId="0" applyNumberFormat="1" applyFont="1" applyFill="1" applyBorder="1" applyAlignment="1">
      <alignment horizontal="center" vertical="center"/>
    </xf>
    <xf numFmtId="164" fontId="11" fillId="11" borderId="18" xfId="0" applyNumberFormat="1" applyFont="1" applyFill="1" applyBorder="1" applyAlignment="1">
      <alignment horizontal="left" vertical="center"/>
    </xf>
    <xf numFmtId="164" fontId="11" fillId="11" borderId="12" xfId="0" applyNumberFormat="1" applyFont="1" applyFill="1" applyBorder="1" applyAlignment="1">
      <alignment horizontal="left" vertical="center"/>
    </xf>
    <xf numFmtId="164" fontId="11" fillId="11" borderId="19" xfId="0" applyNumberFormat="1" applyFont="1" applyFill="1" applyBorder="1" applyAlignment="1">
      <alignment horizontal="left" vertical="center"/>
    </xf>
    <xf numFmtId="164" fontId="11" fillId="12" borderId="21" xfId="0" applyNumberFormat="1" applyFont="1" applyFill="1" applyBorder="1" applyAlignment="1">
      <alignment horizontal="left" vertical="center"/>
    </xf>
    <xf numFmtId="164" fontId="11" fillId="12" borderId="47" xfId="0" applyNumberFormat="1" applyFont="1" applyFill="1" applyBorder="1" applyAlignment="1">
      <alignment horizontal="left" vertical="center"/>
    </xf>
    <xf numFmtId="164" fontId="11" fillId="12" borderId="22" xfId="0" applyNumberFormat="1" applyFont="1" applyFill="1" applyBorder="1" applyAlignment="1">
      <alignment horizontal="left" vertical="center"/>
    </xf>
    <xf numFmtId="164" fontId="11" fillId="12" borderId="18" xfId="0" applyNumberFormat="1" applyFont="1" applyFill="1" applyBorder="1" applyAlignment="1">
      <alignment horizontal="left" vertical="center"/>
    </xf>
    <xf numFmtId="164" fontId="11" fillId="12" borderId="12" xfId="0" applyNumberFormat="1" applyFont="1" applyFill="1" applyBorder="1" applyAlignment="1">
      <alignment horizontal="left" vertical="center"/>
    </xf>
    <xf numFmtId="164" fontId="11" fillId="12" borderId="19" xfId="0" applyNumberFormat="1" applyFont="1" applyFill="1" applyBorder="1" applyAlignment="1">
      <alignment horizontal="left" vertical="center"/>
    </xf>
    <xf numFmtId="164" fontId="11" fillId="11" borderId="6" xfId="0" applyNumberFormat="1" applyFont="1" applyFill="1" applyBorder="1" applyAlignment="1">
      <alignment horizontal="left" vertical="center"/>
    </xf>
    <xf numFmtId="164" fontId="11" fillId="11" borderId="15" xfId="0" applyNumberFormat="1" applyFont="1" applyFill="1" applyBorder="1" applyAlignment="1">
      <alignment horizontal="left" vertical="center"/>
    </xf>
    <xf numFmtId="164" fontId="11" fillId="11" borderId="4" xfId="0" applyNumberFormat="1" applyFont="1" applyFill="1" applyBorder="1" applyAlignment="1">
      <alignment horizontal="left" vertical="center"/>
    </xf>
    <xf numFmtId="164" fontId="11" fillId="11" borderId="21" xfId="0" applyNumberFormat="1" applyFont="1" applyFill="1" applyBorder="1" applyAlignment="1">
      <alignment horizontal="left" vertical="center"/>
    </xf>
    <xf numFmtId="164" fontId="11" fillId="11" borderId="47" xfId="0" applyNumberFormat="1" applyFont="1" applyFill="1" applyBorder="1" applyAlignment="1">
      <alignment horizontal="left" vertical="center"/>
    </xf>
    <xf numFmtId="164" fontId="11" fillId="11" borderId="22" xfId="0" applyNumberFormat="1" applyFont="1" applyFill="1" applyBorder="1" applyAlignment="1">
      <alignment horizontal="left" vertical="center"/>
    </xf>
    <xf numFmtId="2" fontId="47" fillId="14" borderId="66" xfId="0" applyNumberFormat="1" applyFont="1" applyFill="1" applyBorder="1" applyAlignment="1">
      <alignment horizontal="center"/>
    </xf>
    <xf numFmtId="2" fontId="47" fillId="14" borderId="44" xfId="0" applyNumberFormat="1" applyFont="1" applyFill="1" applyBorder="1" applyAlignment="1">
      <alignment horizontal="center"/>
    </xf>
    <xf numFmtId="0" fontId="1" fillId="23" borderId="44" xfId="0" applyFont="1" applyFill="1" applyBorder="1" applyAlignment="1">
      <alignment horizontal="center"/>
    </xf>
    <xf numFmtId="0" fontId="1" fillId="23" borderId="73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73" xfId="0" applyFont="1" applyFill="1" applyBorder="1" applyAlignment="1">
      <alignment horizontal="center"/>
    </xf>
    <xf numFmtId="3" fontId="3" fillId="22" borderId="0" xfId="0" applyNumberFormat="1" applyFont="1" applyFill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47" fillId="16" borderId="66" xfId="0" applyNumberFormat="1" applyFont="1" applyFill="1" applyBorder="1" applyAlignment="1">
      <alignment horizontal="center"/>
    </xf>
    <xf numFmtId="2" fontId="47" fillId="16" borderId="44" xfId="0" applyNumberFormat="1" applyFont="1" applyFill="1" applyBorder="1" applyAlignment="1">
      <alignment horizontal="center"/>
    </xf>
    <xf numFmtId="2" fontId="47" fillId="9" borderId="66" xfId="0" applyNumberFormat="1" applyFont="1" applyFill="1" applyBorder="1" applyAlignment="1">
      <alignment horizontal="center"/>
    </xf>
    <xf numFmtId="2" fontId="47" fillId="9" borderId="4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47" fillId="15" borderId="66" xfId="0" applyNumberFormat="1" applyFont="1" applyFill="1" applyBorder="1" applyAlignment="1">
      <alignment horizontal="center"/>
    </xf>
    <xf numFmtId="2" fontId="47" fillId="15" borderId="44" xfId="0" applyNumberFormat="1" applyFont="1" applyFill="1" applyBorder="1" applyAlignment="1">
      <alignment horizontal="center"/>
    </xf>
    <xf numFmtId="2" fontId="47" fillId="18" borderId="66" xfId="0" applyNumberFormat="1" applyFont="1" applyFill="1" applyBorder="1" applyAlignment="1">
      <alignment horizontal="center"/>
    </xf>
    <xf numFmtId="2" fontId="47" fillId="18" borderId="4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47" fillId="18" borderId="32" xfId="0" applyNumberFormat="1" applyFont="1" applyFill="1" applyBorder="1" applyAlignment="1">
      <alignment horizontal="center"/>
    </xf>
    <xf numFmtId="2" fontId="47" fillId="18" borderId="33" xfId="0" applyNumberFormat="1" applyFont="1" applyFill="1" applyBorder="1" applyAlignment="1">
      <alignment horizontal="center"/>
    </xf>
    <xf numFmtId="2" fontId="1" fillId="17" borderId="32" xfId="0" applyNumberFormat="1" applyFont="1" applyFill="1" applyBorder="1" applyAlignment="1">
      <alignment horizontal="center"/>
    </xf>
    <xf numFmtId="2" fontId="1" fillId="17" borderId="33" xfId="0" applyNumberFormat="1" applyFont="1" applyFill="1" applyBorder="1" applyAlignment="1">
      <alignment horizontal="center"/>
    </xf>
    <xf numFmtId="2" fontId="47" fillId="15" borderId="32" xfId="0" applyNumberFormat="1" applyFont="1" applyFill="1" applyBorder="1" applyAlignment="1">
      <alignment horizontal="center"/>
    </xf>
    <xf numFmtId="2" fontId="47" fillId="15" borderId="33" xfId="0" applyNumberFormat="1" applyFont="1" applyFill="1" applyBorder="1" applyAlignment="1">
      <alignment horizontal="center"/>
    </xf>
    <xf numFmtId="2" fontId="47" fillId="14" borderId="32" xfId="0" applyNumberFormat="1" applyFont="1" applyFill="1" applyBorder="1" applyAlignment="1">
      <alignment horizontal="center"/>
    </xf>
    <xf numFmtId="2" fontId="47" fillId="14" borderId="38" xfId="0" applyNumberFormat="1" applyFont="1" applyFill="1" applyBorder="1" applyAlignment="1">
      <alignment horizontal="center"/>
    </xf>
    <xf numFmtId="2" fontId="47" fillId="16" borderId="38" xfId="0" applyNumberFormat="1" applyFont="1" applyFill="1" applyBorder="1" applyAlignment="1">
      <alignment horizontal="center"/>
    </xf>
    <xf numFmtId="2" fontId="1" fillId="17" borderId="38" xfId="0" applyNumberFormat="1" applyFont="1" applyFill="1" applyBorder="1" applyAlignment="1">
      <alignment horizontal="center"/>
    </xf>
    <xf numFmtId="2" fontId="47" fillId="15" borderId="34" xfId="0" applyNumberFormat="1" applyFont="1" applyFill="1" applyBorder="1" applyAlignment="1">
      <alignment horizontal="center"/>
    </xf>
    <xf numFmtId="2" fontId="47" fillId="15" borderId="35" xfId="0" applyNumberFormat="1" applyFont="1" applyFill="1" applyBorder="1" applyAlignment="1">
      <alignment horizontal="center"/>
    </xf>
    <xf numFmtId="2" fontId="1" fillId="17" borderId="34" xfId="0" applyNumberFormat="1" applyFont="1" applyFill="1" applyBorder="1" applyAlignment="1">
      <alignment horizontal="center"/>
    </xf>
    <xf numFmtId="2" fontId="1" fillId="17" borderId="35" xfId="0" applyNumberFormat="1" applyFont="1" applyFill="1" applyBorder="1" applyAlignment="1">
      <alignment horizontal="center"/>
    </xf>
    <xf numFmtId="2" fontId="47" fillId="18" borderId="34" xfId="0" applyNumberFormat="1" applyFont="1" applyFill="1" applyBorder="1" applyAlignment="1">
      <alignment horizontal="center"/>
    </xf>
    <xf numFmtId="2" fontId="47" fillId="18" borderId="35" xfId="0" applyNumberFormat="1" applyFont="1" applyFill="1" applyBorder="1" applyAlignment="1">
      <alignment horizontal="center"/>
    </xf>
    <xf numFmtId="2" fontId="47" fillId="16" borderId="0" xfId="0" applyNumberFormat="1" applyFont="1" applyFill="1" applyAlignment="1">
      <alignment horizontal="center"/>
    </xf>
    <xf numFmtId="2" fontId="1" fillId="17" borderId="0" xfId="0" applyNumberFormat="1" applyFont="1" applyFill="1" applyAlignment="1">
      <alignment horizontal="center"/>
    </xf>
    <xf numFmtId="2" fontId="47" fillId="14" borderId="34" xfId="0" applyNumberFormat="1" applyFont="1" applyFill="1" applyBorder="1" applyAlignment="1">
      <alignment horizontal="center"/>
    </xf>
    <xf numFmtId="2" fontId="47" fillId="14" borderId="35" xfId="0" applyNumberFormat="1" applyFont="1" applyFill="1" applyBorder="1" applyAlignment="1">
      <alignment horizontal="center"/>
    </xf>
    <xf numFmtId="2" fontId="47" fillId="14" borderId="33" xfId="0" applyNumberFormat="1" applyFont="1" applyFill="1" applyBorder="1" applyAlignment="1">
      <alignment horizontal="center"/>
    </xf>
    <xf numFmtId="2" fontId="47" fillId="14" borderId="0" xfId="0" applyNumberFormat="1" applyFont="1" applyFill="1" applyAlignment="1">
      <alignment horizontal="center"/>
    </xf>
    <xf numFmtId="2" fontId="47" fillId="15" borderId="5" xfId="0" applyNumberFormat="1" applyFont="1" applyFill="1" applyBorder="1" applyAlignment="1">
      <alignment horizontal="center"/>
    </xf>
    <xf numFmtId="2" fontId="47" fillId="15" borderId="6" xfId="0" applyNumberFormat="1" applyFont="1" applyFill="1" applyBorder="1" applyAlignment="1">
      <alignment horizontal="center"/>
    </xf>
    <xf numFmtId="2" fontId="47" fillId="15" borderId="15" xfId="0" applyNumberFormat="1" applyFont="1" applyFill="1" applyBorder="1" applyAlignment="1">
      <alignment horizontal="center"/>
    </xf>
    <xf numFmtId="2" fontId="47" fillId="15" borderId="4" xfId="0" applyNumberFormat="1" applyFont="1" applyFill="1" applyBorder="1" applyAlignment="1">
      <alignment horizontal="center"/>
    </xf>
    <xf numFmtId="0" fontId="1" fillId="23" borderId="71" xfId="0" applyFont="1" applyFill="1" applyBorder="1" applyAlignment="1">
      <alignment horizontal="center"/>
    </xf>
    <xf numFmtId="0" fontId="1" fillId="16" borderId="71" xfId="0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</cellXfs>
  <cellStyles count="2">
    <cellStyle name="Link" xfId="1" builtinId="8"/>
    <cellStyle name="Standard" xfId="0" builtinId="0"/>
  </cellStyles>
  <dxfs count="53">
    <dxf>
      <font>
        <color rgb="FF00B050"/>
      </font>
    </dxf>
    <dxf>
      <font>
        <b/>
        <i/>
        <strike val="0"/>
      </font>
      <fill>
        <patternFill patternType="solid"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</dxf>
    <dxf>
      <font>
        <b/>
      </font>
      <numFmt numFmtId="3" formatCode="#,##0"/>
    </dxf>
    <dxf>
      <font>
        <b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rgb="FF000000"/>
          <bgColor rgb="FFDBDBDB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89E3B8"/>
      <color rgb="FFCC3399"/>
      <color rgb="FFFFD071"/>
      <color rgb="FFFF9900"/>
      <color rgb="FFC4BF00"/>
      <color rgb="FFFD23ED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Aktueller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und Prognose €</a:t>
            </a:r>
          </a:p>
        </c:rich>
      </c:tx>
      <c:layout>
        <c:manualLayout>
          <c:xMode val="edge"/>
          <c:yMode val="edge"/>
          <c:x val="4.0281046571650728E-2"/>
          <c:y val="1.3258717699097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0467574213818567"/>
          <c:w val="0.8597564327361924"/>
          <c:h val="0.84057786599713435"/>
        </c:manualLayout>
      </c:layout>
      <c:lineChart>
        <c:grouping val="standard"/>
        <c:varyColors val="0"/>
        <c:ser>
          <c:idx val="4"/>
          <c:order val="0"/>
          <c:tx>
            <c:v>€ Thorwal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'Übersicht &amp; Anleitung'!$U$50:$U$71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80A0-4E24-84D9-F27E1528FAC6}"/>
            </c:ext>
          </c:extLst>
        </c:ser>
        <c:ser>
          <c:idx val="5"/>
          <c:order val="1"/>
          <c:tx>
            <c:v>€ Werkzeuge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'Übersicht &amp; Anleitung'!$AA$50:$AA$71</c:f>
            </c:numRef>
          </c:val>
          <c:smooth val="0"/>
          <c:extLst>
            <c:ext xmlns:c16="http://schemas.microsoft.com/office/drawing/2014/chart" uri="{C3380CC4-5D6E-409C-BE32-E72D297353CC}">
              <c16:uniqueId val="{00000001-80A0-4E24-84D9-F27E1528FAC6}"/>
            </c:ext>
          </c:extLst>
        </c:ser>
        <c:ser>
          <c:idx val="1"/>
          <c:order val="2"/>
          <c:tx>
            <c:v>€ Sonnenküste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4BF00"/>
              </a:solidFill>
              <a:ln w="9525">
                <a:solidFill>
                  <a:srgbClr val="C4BF00"/>
                </a:solidFill>
              </a:ln>
              <a:effectLst/>
            </c:spPr>
          </c:marker>
          <c:val>
            <c:numRef>
              <c:f>'Übersicht &amp; Anleitung'!$V$50:$V$71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2-8772-4CB5-9B41-96C9281176D7}"/>
            </c:ext>
          </c:extLst>
        </c:ser>
        <c:ser>
          <c:idx val="6"/>
          <c:order val="3"/>
          <c:tx>
            <c:v>€ Rohals Erben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'Übersicht &amp; Anleitung'!$X$50:$X$71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3-8772-4CB5-9B41-96C9281176D7}"/>
            </c:ext>
          </c:extLst>
        </c:ser>
        <c:ser>
          <c:idx val="9"/>
          <c:order val="4"/>
          <c:tx>
            <c:v>€ Gunst der Göttin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D23ED"/>
              </a:solidFill>
              <a:ln w="9525">
                <a:solidFill>
                  <a:srgbClr val="FD23ED"/>
                </a:solidFill>
              </a:ln>
              <a:effectLst/>
            </c:spPr>
          </c:marker>
          <c:val>
            <c:numRef>
              <c:f>'Übersicht &amp; Anleitung'!$AB$50:$AB$71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4-8772-4CB5-9B41-96C9281176D7}"/>
            </c:ext>
          </c:extLst>
        </c:ser>
        <c:ser>
          <c:idx val="10"/>
          <c:order val="5"/>
          <c:tx>
            <c:v>€ Winterwacht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val>
            <c:numRef>
              <c:f>'Übersicht &amp; Anleitung'!$W$50:$W$71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5-8772-4CB5-9B41-96C9281176D7}"/>
            </c:ext>
          </c:extLst>
        </c:ser>
        <c:ser>
          <c:idx val="11"/>
          <c:order val="6"/>
          <c:tx>
            <c:v>€ DSK Fasar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Anleitung'!$N$50:$N$71</c:f>
              <c:numCache>
                <c:formatCode>#,##0\ "€"</c:formatCode>
                <c:ptCount val="22"/>
                <c:pt idx="0">
                  <c:v>0</c:v>
                </c:pt>
                <c:pt idx="1">
                  <c:v>36402</c:v>
                </c:pt>
                <c:pt idx="2">
                  <c:v>42659</c:v>
                </c:pt>
                <c:pt idx="3">
                  <c:v>45273</c:v>
                </c:pt>
                <c:pt idx="4">
                  <c:v>47957</c:v>
                </c:pt>
                <c:pt idx="5">
                  <c:v>50763</c:v>
                </c:pt>
                <c:pt idx="6">
                  <c:v>53829</c:v>
                </c:pt>
                <c:pt idx="7">
                  <c:v>55981</c:v>
                </c:pt>
                <c:pt idx="8">
                  <c:v>58795</c:v>
                </c:pt>
                <c:pt idx="9">
                  <c:v>63300</c:v>
                </c:pt>
                <c:pt idx="10">
                  <c:v>66650</c:v>
                </c:pt>
                <c:pt idx="11">
                  <c:v>69668</c:v>
                </c:pt>
                <c:pt idx="12">
                  <c:v>71286</c:v>
                </c:pt>
                <c:pt idx="13">
                  <c:v>74079</c:v>
                </c:pt>
                <c:pt idx="14">
                  <c:v>75411</c:v>
                </c:pt>
                <c:pt idx="15">
                  <c:v>77016</c:v>
                </c:pt>
                <c:pt idx="16">
                  <c:v>80049</c:v>
                </c:pt>
                <c:pt idx="17">
                  <c:v>86833</c:v>
                </c:pt>
                <c:pt idx="18">
                  <c:v>91974</c:v>
                </c:pt>
                <c:pt idx="19">
                  <c:v>101170</c:v>
                </c:pt>
                <c:pt idx="20">
                  <c:v>108862</c:v>
                </c:pt>
                <c:pt idx="21">
                  <c:v>123694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5345-4F43-98B1-37A1277838B4}"/>
            </c:ext>
          </c:extLst>
        </c:ser>
        <c:ser>
          <c:idx val="12"/>
          <c:order val="7"/>
          <c:tx>
            <c:v>€ DSK Schleichender Verfall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val>
            <c:numRef>
              <c:f>'Übersicht &amp; Anleitung'!$O$50:$O$71</c:f>
              <c:numCache>
                <c:formatCode>#,##0\ "€"</c:formatCode>
                <c:ptCount val="22"/>
                <c:pt idx="0">
                  <c:v>0</c:v>
                </c:pt>
                <c:pt idx="1">
                  <c:v>26725</c:v>
                </c:pt>
                <c:pt idx="2">
                  <c:v>32416</c:v>
                </c:pt>
                <c:pt idx="3">
                  <c:v>38191</c:v>
                </c:pt>
                <c:pt idx="4">
                  <c:v>41597</c:v>
                </c:pt>
                <c:pt idx="5">
                  <c:v>44358</c:v>
                </c:pt>
                <c:pt idx="6">
                  <c:v>45558</c:v>
                </c:pt>
                <c:pt idx="7">
                  <c:v>50019</c:v>
                </c:pt>
                <c:pt idx="8">
                  <c:v>54482</c:v>
                </c:pt>
                <c:pt idx="9">
                  <c:v>60464</c:v>
                </c:pt>
                <c:pt idx="10">
                  <c:v>62608</c:v>
                </c:pt>
                <c:pt idx="11">
                  <c:v>63707</c:v>
                </c:pt>
                <c:pt idx="12">
                  <c:v>66094</c:v>
                </c:pt>
                <c:pt idx="13">
                  <c:v>68288</c:v>
                </c:pt>
                <c:pt idx="14">
                  <c:v>71648</c:v>
                </c:pt>
                <c:pt idx="15">
                  <c:v>75191</c:v>
                </c:pt>
                <c:pt idx="16">
                  <c:v>78668</c:v>
                </c:pt>
                <c:pt idx="17">
                  <c:v>83940</c:v>
                </c:pt>
                <c:pt idx="18">
                  <c:v>87091</c:v>
                </c:pt>
                <c:pt idx="19">
                  <c:v>91598</c:v>
                </c:pt>
                <c:pt idx="20">
                  <c:v>99702</c:v>
                </c:pt>
                <c:pt idx="21">
                  <c:v>115113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5345-4F43-98B1-37A1277838B4}"/>
            </c:ext>
          </c:extLst>
        </c:ser>
        <c:ser>
          <c:idx val="13"/>
          <c:order val="8"/>
          <c:tx>
            <c:v>€ DSK Refurbished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'Übersicht &amp; Anleitung'!$P$50:$P$71</c:f>
              <c:numCache>
                <c:formatCode>#,##0\ "€"</c:formatCode>
                <c:ptCount val="22"/>
                <c:pt idx="0">
                  <c:v>0</c:v>
                </c:pt>
                <c:pt idx="1">
                  <c:v>8357</c:v>
                </c:pt>
                <c:pt idx="2">
                  <c:v>11433</c:v>
                </c:pt>
                <c:pt idx="3">
                  <c:v>13158</c:v>
                </c:pt>
                <c:pt idx="4">
                  <c:v>14235</c:v>
                </c:pt>
                <c:pt idx="5">
                  <c:v>15015</c:v>
                </c:pt>
                <c:pt idx="6">
                  <c:v>16237</c:v>
                </c:pt>
                <c:pt idx="7">
                  <c:v>16727</c:v>
                </c:pt>
                <c:pt idx="8">
                  <c:v>17672</c:v>
                </c:pt>
                <c:pt idx="9">
                  <c:v>17982</c:v>
                </c:pt>
                <c:pt idx="10">
                  <c:v>18530</c:v>
                </c:pt>
                <c:pt idx="11">
                  <c:v>19542</c:v>
                </c:pt>
                <c:pt idx="12">
                  <c:v>20594</c:v>
                </c:pt>
                <c:pt idx="13">
                  <c:v>20809</c:v>
                </c:pt>
                <c:pt idx="14">
                  <c:v>21426</c:v>
                </c:pt>
                <c:pt idx="15">
                  <c:v>22523</c:v>
                </c:pt>
                <c:pt idx="16">
                  <c:v>23503</c:v>
                </c:pt>
                <c:pt idx="17">
                  <c:v>23945</c:v>
                </c:pt>
                <c:pt idx="18">
                  <c:v>25263</c:v>
                </c:pt>
                <c:pt idx="19">
                  <c:v>26708</c:v>
                </c:pt>
                <c:pt idx="20">
                  <c:v>30138</c:v>
                </c:pt>
                <c:pt idx="21">
                  <c:v>36248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5345-4F43-98B1-37A1277838B4}"/>
            </c:ext>
          </c:extLst>
        </c:ser>
        <c:ser>
          <c:idx val="14"/>
          <c:order val="9"/>
          <c:tx>
            <c:v>€ Av. Nedime</c:v>
          </c:tx>
          <c:spPr>
            <a:ln w="28575" cap="rnd">
              <a:solidFill>
                <a:srgbClr val="CC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3399"/>
              </a:solidFill>
              <a:ln w="9525">
                <a:solidFill>
                  <a:srgbClr val="CC3399"/>
                </a:solidFill>
              </a:ln>
              <a:effectLst/>
            </c:spPr>
          </c:marker>
          <c:val>
            <c:numRef>
              <c:f>'Übersicht &amp; Anleitung'!$Q$50:$Q$71</c:f>
              <c:numCache>
                <c:formatCode>#,##0\ "€"</c:formatCode>
                <c:ptCount val="22"/>
                <c:pt idx="0">
                  <c:v>0</c:v>
                </c:pt>
                <c:pt idx="1">
                  <c:v>14771</c:v>
                </c:pt>
                <c:pt idx="2">
                  <c:v>16764</c:v>
                </c:pt>
                <c:pt idx="3">
                  <c:v>17674</c:v>
                </c:pt>
                <c:pt idx="4">
                  <c:v>18881</c:v>
                </c:pt>
                <c:pt idx="5">
                  <c:v>21886</c:v>
                </c:pt>
                <c:pt idx="6">
                  <c:v>22571</c:v>
                </c:pt>
                <c:pt idx="7">
                  <c:v>24180</c:v>
                </c:pt>
                <c:pt idx="8">
                  <c:v>26679</c:v>
                </c:pt>
                <c:pt idx="9">
                  <c:v>27868</c:v>
                </c:pt>
                <c:pt idx="10">
                  <c:v>31587</c:v>
                </c:pt>
                <c:pt idx="11">
                  <c:v>34703</c:v>
                </c:pt>
                <c:pt idx="12">
                  <c:v>36986</c:v>
                </c:pt>
                <c:pt idx="13">
                  <c:v>37704</c:v>
                </c:pt>
                <c:pt idx="14">
                  <c:v>38541</c:v>
                </c:pt>
                <c:pt idx="15">
                  <c:v>40401</c:v>
                </c:pt>
                <c:pt idx="16">
                  <c:v>42277</c:v>
                </c:pt>
                <c:pt idx="17">
                  <c:v>44039</c:v>
                </c:pt>
                <c:pt idx="18">
                  <c:v>46661</c:v>
                </c:pt>
                <c:pt idx="19">
                  <c:v>49576</c:v>
                </c:pt>
                <c:pt idx="20">
                  <c:v>54612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5345-4F43-98B1-37A1277838B4}"/>
            </c:ext>
          </c:extLst>
        </c:ser>
        <c:ser>
          <c:idx val="15"/>
          <c:order val="10"/>
          <c:tx>
            <c:v>€ Av. Mythen &amp; Legenden</c:v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Anleitung'!$R$50:$R$71</c:f>
              <c:numCache>
                <c:formatCode>#,##0\ "€"</c:formatCode>
                <c:ptCount val="22"/>
                <c:pt idx="0">
                  <c:v>0</c:v>
                </c:pt>
                <c:pt idx="1">
                  <c:v>19612</c:v>
                </c:pt>
                <c:pt idx="2">
                  <c:v>24532</c:v>
                </c:pt>
                <c:pt idx="3">
                  <c:v>27671</c:v>
                </c:pt>
                <c:pt idx="4">
                  <c:v>30324</c:v>
                </c:pt>
                <c:pt idx="5">
                  <c:v>32621</c:v>
                </c:pt>
                <c:pt idx="6">
                  <c:v>37481</c:v>
                </c:pt>
                <c:pt idx="7">
                  <c:v>40223</c:v>
                </c:pt>
                <c:pt idx="8">
                  <c:v>43766</c:v>
                </c:pt>
                <c:pt idx="9">
                  <c:v>45971</c:v>
                </c:pt>
                <c:pt idx="10">
                  <c:v>48853</c:v>
                </c:pt>
                <c:pt idx="11">
                  <c:v>50284</c:v>
                </c:pt>
                <c:pt idx="12">
                  <c:v>54218</c:v>
                </c:pt>
                <c:pt idx="13">
                  <c:v>55585</c:v>
                </c:pt>
                <c:pt idx="14">
                  <c:v>57658</c:v>
                </c:pt>
                <c:pt idx="15">
                  <c:v>59154</c:v>
                </c:pt>
                <c:pt idx="16">
                  <c:v>61842</c:v>
                </c:pt>
                <c:pt idx="17">
                  <c:v>64258</c:v>
                </c:pt>
                <c:pt idx="18">
                  <c:v>66749</c:v>
                </c:pt>
                <c:pt idx="19">
                  <c:v>71433</c:v>
                </c:pt>
                <c:pt idx="20">
                  <c:v>78993</c:v>
                </c:pt>
                <c:pt idx="21">
                  <c:v>89991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5345-4F43-98B1-37A1277838B4}"/>
            </c:ext>
          </c:extLst>
        </c:ser>
        <c:ser>
          <c:idx val="2"/>
          <c:order val="11"/>
          <c:tx>
            <c:v>€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Anleitung'!$M$50:$M$71</c:f>
              <c:numCache>
                <c:formatCode>#,##0\ "€"</c:formatCode>
                <c:ptCount val="22"/>
                <c:pt idx="0">
                  <c:v>0</c:v>
                </c:pt>
                <c:pt idx="1">
                  <c:v>17251</c:v>
                </c:pt>
                <c:pt idx="7">
                  <c:v>31356</c:v>
                </c:pt>
                <c:pt idx="8">
                  <c:v>33362</c:v>
                </c:pt>
                <c:pt idx="9">
                  <c:v>35984</c:v>
                </c:pt>
                <c:pt idx="10">
                  <c:v>37454</c:v>
                </c:pt>
                <c:pt idx="11">
                  <c:v>38542</c:v>
                </c:pt>
                <c:pt idx="12">
                  <c:v>40430.582413034004</c:v>
                </c:pt>
                <c:pt idx="13">
                  <c:v>41916.826824594988</c:v>
                </c:pt>
                <c:pt idx="14">
                  <c:v>44263.145656551002</c:v>
                </c:pt>
                <c:pt idx="15">
                  <c:v>50778.894876511855</c:v>
                </c:pt>
                <c:pt idx="16">
                  <c:v>53571.758527905244</c:v>
                </c:pt>
                <c:pt idx="17">
                  <c:v>56367.979659144032</c:v>
                </c:pt>
                <c:pt idx="18">
                  <c:v>59086.419173964525</c:v>
                </c:pt>
                <c:pt idx="19">
                  <c:v>64160.130800328763</c:v>
                </c:pt>
                <c:pt idx="20">
                  <c:v>69034.63195586628</c:v>
                </c:pt>
                <c:pt idx="21">
                  <c:v>79207.795887409418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0-4E24-84D9-F27E1528FAC6}"/>
            </c:ext>
          </c:extLst>
        </c:ser>
        <c:ser>
          <c:idx val="3"/>
          <c:order val="12"/>
          <c:tx>
            <c:v>€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Anleitung'!$L$50:$L$71</c:f>
              <c:numCache>
                <c:formatCode>#,##0\ "€"</c:formatCode>
                <c:ptCount val="22"/>
                <c:pt idx="0">
                  <c:v>0</c:v>
                </c:pt>
                <c:pt idx="1">
                  <c:v>17251</c:v>
                </c:pt>
                <c:pt idx="7">
                  <c:v>31356</c:v>
                </c:pt>
                <c:pt idx="8">
                  <c:v>33362</c:v>
                </c:pt>
                <c:pt idx="9">
                  <c:v>35984</c:v>
                </c:pt>
                <c:pt idx="10">
                  <c:v>37454</c:v>
                </c:pt>
                <c:pt idx="11">
                  <c:v>38542</c:v>
                </c:pt>
                <c:pt idx="12">
                  <c:v>39601.93260261949</c:v>
                </c:pt>
                <c:pt idx="13">
                  <c:v>39818.553809428602</c:v>
                </c:pt>
                <c:pt idx="14">
                  <c:v>40440.206295945929</c:v>
                </c:pt>
                <c:pt idx="15">
                  <c:v>41545.478220920813</c:v>
                </c:pt>
                <c:pt idx="16">
                  <c:v>42532.867907771666</c:v>
                </c:pt>
                <c:pt idx="17">
                  <c:v>42978.200807351335</c:v>
                </c:pt>
                <c:pt idx="18">
                  <c:v>44306.139182116058</c:v>
                </c:pt>
                <c:pt idx="19">
                  <c:v>45762.035199972677</c:v>
                </c:pt>
                <c:pt idx="20">
                  <c:v>49217.899103950673</c:v>
                </c:pt>
                <c:pt idx="21">
                  <c:v>55373.971539316721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A0-4E24-84D9-F27E1528FAC6}"/>
            </c:ext>
          </c:extLst>
        </c:ser>
        <c:ser>
          <c:idx val="0"/>
          <c:order val="15"/>
          <c:tx>
            <c:v>€ Aktuelle Prognose</c:v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A0-4E24-84D9-F27E1528FAC6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A0-4E24-84D9-F27E1528FAC6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A0-4E24-84D9-F27E1528FAC6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A0-4E24-84D9-F27E1528FAC6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A0-4E24-84D9-F27E1528FAC6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0A0-4E24-84D9-F27E1528FAC6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0A0-4E24-84D9-F27E1528FAC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0A0-4E24-84D9-F27E1528FAC6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0A0-4E24-84D9-F27E1528FAC6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0A0-4E24-84D9-F27E1528FAC6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0A0-4E24-84D9-F27E1528FAC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80A0-4E24-84D9-F27E1528FAC6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80A0-4E24-84D9-F27E1528FAC6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80A0-4E24-84D9-F27E1528FAC6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0A0-4E24-84D9-F27E1528FAC6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0A0-4E24-84D9-F27E1528FA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0A0-4E24-84D9-F27E1528FAC6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80A0-4E24-84D9-F27E1528FAC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80A0-4E24-84D9-F27E1528FAC6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80A0-4E24-84D9-F27E1528FAC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80A0-4E24-84D9-F27E1528FAC6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80A0-4E24-84D9-F27E1528FAC6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80A0-4E24-84D9-F27E1528FAC6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80A0-4E24-84D9-F27E1528FAC6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80A0-4E24-84D9-F27E1528FAC6}"/>
              </c:ext>
            </c:extLst>
          </c:dPt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Anleitung'!$I$50:$I$71</c:f>
              <c:numCache>
                <c:formatCode>#,##0\ "€"</c:formatCode>
                <c:ptCount val="22"/>
                <c:pt idx="0">
                  <c:v>0</c:v>
                </c:pt>
                <c:pt idx="1">
                  <c:v>17251</c:v>
                </c:pt>
                <c:pt idx="7">
                  <c:v>31356</c:v>
                </c:pt>
                <c:pt idx="8">
                  <c:v>33362</c:v>
                </c:pt>
                <c:pt idx="9">
                  <c:v>35984</c:v>
                </c:pt>
                <c:pt idx="10">
                  <c:v>37454</c:v>
                </c:pt>
                <c:pt idx="11">
                  <c:v>38542</c:v>
                </c:pt>
                <c:pt idx="12">
                  <c:v>40462</c:v>
                </c:pt>
                <c:pt idx="13">
                  <c:v>42073</c:v>
                </c:pt>
                <c:pt idx="14">
                  <c:v>43611</c:v>
                </c:pt>
                <c:pt idx="15">
                  <c:v>45951</c:v>
                </c:pt>
                <c:pt idx="16">
                  <c:v>47979</c:v>
                </c:pt>
                <c:pt idx="17">
                  <c:v>49387</c:v>
                </c:pt>
                <c:pt idx="18">
                  <c:v>51996</c:v>
                </c:pt>
                <c:pt idx="19">
                  <c:v>55221</c:v>
                </c:pt>
                <c:pt idx="20">
                  <c:v>58568</c:v>
                </c:pt>
                <c:pt idx="21">
                  <c:v>62627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0A0-4E24-84D9-F27E1528F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  <c:extLst>
          <c:ext xmlns:c15="http://schemas.microsoft.com/office/drawing/2012/chart" uri="{02D57815-91ED-43cb-92C2-25804820EDAC}">
            <c15:filteredLineSeries>
              <c15:ser>
                <c:idx val="7"/>
                <c:order val="13"/>
                <c:tx>
                  <c:v>€ Prognose max.</c:v>
                </c:tx>
                <c:spPr>
                  <a:ln w="28575" cap="rnd">
                    <a:solidFill>
                      <a:srgbClr val="00B05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'Übersicht &amp; Anleitung'!$K$50:$K$71</c15:sqref>
                        </c15:formulaRef>
                      </c:ext>
                    </c:extLst>
                    <c:numCache>
                      <c:formatCode>#,##0\ "€"</c:formatCode>
                      <c:ptCount val="22"/>
                      <c:pt idx="0">
                        <c:v>0</c:v>
                      </c:pt>
                      <c:pt idx="1">
                        <c:v>17251</c:v>
                      </c:pt>
                      <c:pt idx="7">
                        <c:v>31356</c:v>
                      </c:pt>
                      <c:pt idx="8">
                        <c:v>33362</c:v>
                      </c:pt>
                      <c:pt idx="9">
                        <c:v>35984</c:v>
                      </c:pt>
                      <c:pt idx="10">
                        <c:v>37454</c:v>
                      </c:pt>
                      <c:pt idx="11">
                        <c:v>38542</c:v>
                      </c:pt>
                      <c:pt idx="12">
                        <c:v>40462</c:v>
                      </c:pt>
                      <c:pt idx="13">
                        <c:v>42073</c:v>
                      </c:pt>
                      <c:pt idx="14">
                        <c:v>43611</c:v>
                      </c:pt>
                      <c:pt idx="15">
                        <c:v>45951</c:v>
                      </c:pt>
                      <c:pt idx="16">
                        <c:v>47979</c:v>
                      </c:pt>
                      <c:pt idx="17">
                        <c:v>49387</c:v>
                      </c:pt>
                      <c:pt idx="18">
                        <c:v>51996</c:v>
                      </c:pt>
                      <c:pt idx="19">
                        <c:v>55221</c:v>
                      </c:pt>
                      <c:pt idx="20">
                        <c:v>58568</c:v>
                      </c:pt>
                      <c:pt idx="21">
                        <c:v>62627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38-80A0-4E24-84D9-F27E1528FAC6}"/>
                  </c:ext>
                </c:extLst>
              </c15:ser>
            </c15:filteredLineSeries>
            <c15:filteredLineSeries>
              <c15:ser>
                <c:idx val="8"/>
                <c:order val="14"/>
                <c:tx>
                  <c:v>€ Prognose min.</c:v>
                </c:tx>
                <c:spPr>
                  <a:ln w="28575" cap="rnd">
                    <a:solidFill>
                      <a:srgbClr val="FF000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'Übersicht &amp; Anleitung'!$J$50:$J$71</c15:sqref>
                        </c15:formulaRef>
                      </c:ext>
                    </c:extLst>
                    <c:numCache>
                      <c:formatCode>#,##0\ "€"</c:formatCode>
                      <c:ptCount val="22"/>
                      <c:pt idx="0">
                        <c:v>0</c:v>
                      </c:pt>
                      <c:pt idx="1">
                        <c:v>17251</c:v>
                      </c:pt>
                      <c:pt idx="7">
                        <c:v>31356</c:v>
                      </c:pt>
                      <c:pt idx="8">
                        <c:v>33362</c:v>
                      </c:pt>
                      <c:pt idx="9">
                        <c:v>35984</c:v>
                      </c:pt>
                      <c:pt idx="10">
                        <c:v>37454</c:v>
                      </c:pt>
                      <c:pt idx="11">
                        <c:v>38542</c:v>
                      </c:pt>
                      <c:pt idx="12">
                        <c:v>40462</c:v>
                      </c:pt>
                      <c:pt idx="13">
                        <c:v>42073</c:v>
                      </c:pt>
                      <c:pt idx="14">
                        <c:v>43611</c:v>
                      </c:pt>
                      <c:pt idx="15">
                        <c:v>45951</c:v>
                      </c:pt>
                      <c:pt idx="16">
                        <c:v>47979</c:v>
                      </c:pt>
                      <c:pt idx="17">
                        <c:v>49387</c:v>
                      </c:pt>
                      <c:pt idx="18">
                        <c:v>51996</c:v>
                      </c:pt>
                      <c:pt idx="19">
                        <c:v>55221</c:v>
                      </c:pt>
                      <c:pt idx="20">
                        <c:v>58568</c:v>
                      </c:pt>
                      <c:pt idx="21">
                        <c:v>62627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80A0-4E24-84D9-F27E1528FAC6}"/>
                  </c:ext>
                </c:extLst>
              </c15:ser>
            </c15:filteredLineSeries>
          </c:ext>
        </c:extLst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1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\ &quot;T€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5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960715970822713"/>
          <c:y val="1.5639151688508966E-2"/>
          <c:w val="0.79356809178399323"/>
          <c:h val="7.1124834885835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Aktueller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und Prognose Backer</a:t>
            </a:r>
          </a:p>
        </c:rich>
      </c:tx>
      <c:layout>
        <c:manualLayout>
          <c:xMode val="edge"/>
          <c:yMode val="edge"/>
          <c:x val="3.0453674649409502E-2"/>
          <c:y val="8.913713428676604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0467574213818567"/>
          <c:w val="0.8597564327361924"/>
          <c:h val="0.84492288813297134"/>
        </c:manualLayout>
      </c:layout>
      <c:lineChart>
        <c:grouping val="standard"/>
        <c:varyColors val="0"/>
        <c:ser>
          <c:idx val="4"/>
          <c:order val="0"/>
          <c:tx>
            <c:v>Backer Thorwal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'Übersicht &amp; Anleitung'!$U$79:$U$100</c:f>
            </c:numRef>
          </c:val>
          <c:smooth val="0"/>
          <c:extLst>
            <c:ext xmlns:c16="http://schemas.microsoft.com/office/drawing/2014/chart" uri="{C3380CC4-5D6E-409C-BE32-E72D297353CC}">
              <c16:uniqueId val="{00000000-F090-4B47-B039-C2E9452AA03A}"/>
            </c:ext>
          </c:extLst>
        </c:ser>
        <c:ser>
          <c:idx val="5"/>
          <c:order val="1"/>
          <c:tx>
            <c:v>Backer Werkzeuge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'Übersicht &amp; Anleitung'!$AA$79:$AA$100</c:f>
            </c:numRef>
          </c:val>
          <c:smooth val="0"/>
          <c:extLst>
            <c:ext xmlns:c16="http://schemas.microsoft.com/office/drawing/2014/chart" uri="{C3380CC4-5D6E-409C-BE32-E72D297353CC}">
              <c16:uniqueId val="{00000001-F090-4B47-B039-C2E9452AA03A}"/>
            </c:ext>
          </c:extLst>
        </c:ser>
        <c:ser>
          <c:idx val="1"/>
          <c:order val="2"/>
          <c:tx>
            <c:v>Backer Sonnenküste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4BF00"/>
              </a:solidFill>
              <a:ln w="9525">
                <a:solidFill>
                  <a:srgbClr val="C4BF00"/>
                </a:solidFill>
              </a:ln>
              <a:effectLst/>
            </c:spPr>
          </c:marker>
          <c:val>
            <c:numRef>
              <c:f>'Übersicht &amp; Anleitung'!$V$79:$V$100</c:f>
            </c:numRef>
          </c:val>
          <c:smooth val="0"/>
          <c:extLst>
            <c:ext xmlns:c16="http://schemas.microsoft.com/office/drawing/2014/chart" uri="{C3380CC4-5D6E-409C-BE32-E72D297353CC}">
              <c16:uniqueId val="{00000032-D13C-4DCF-A6E7-5437B880B125}"/>
            </c:ext>
          </c:extLst>
        </c:ser>
        <c:ser>
          <c:idx val="6"/>
          <c:order val="3"/>
          <c:tx>
            <c:v>Backer Rohals Erben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'Übersicht &amp; Anleitung'!$X$79:$X$100</c:f>
            </c:numRef>
          </c:val>
          <c:smooth val="0"/>
          <c:extLst>
            <c:ext xmlns:c16="http://schemas.microsoft.com/office/drawing/2014/chart" uri="{C3380CC4-5D6E-409C-BE32-E72D297353CC}">
              <c16:uniqueId val="{00000033-D13C-4DCF-A6E7-5437B880B125}"/>
            </c:ext>
          </c:extLst>
        </c:ser>
        <c:ser>
          <c:idx val="9"/>
          <c:order val="4"/>
          <c:tx>
            <c:v>Backer Gunst der Göttin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D23ED"/>
              </a:solidFill>
              <a:ln w="9525">
                <a:solidFill>
                  <a:srgbClr val="FD23ED"/>
                </a:solidFill>
              </a:ln>
              <a:effectLst/>
            </c:spPr>
          </c:marker>
          <c:val>
            <c:numRef>
              <c:f>'Übersicht &amp; Anleitung'!$AB$79:$AB$100</c:f>
            </c:numRef>
          </c:val>
          <c:smooth val="0"/>
          <c:extLst>
            <c:ext xmlns:c16="http://schemas.microsoft.com/office/drawing/2014/chart" uri="{C3380CC4-5D6E-409C-BE32-E72D297353CC}">
              <c16:uniqueId val="{00000034-D13C-4DCF-A6E7-5437B880B125}"/>
            </c:ext>
          </c:extLst>
        </c:ser>
        <c:ser>
          <c:idx val="10"/>
          <c:order val="5"/>
          <c:tx>
            <c:v>Backer Winterwacht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val>
            <c:numRef>
              <c:f>'Übersicht &amp; Anleitung'!$W$79:$W$100</c:f>
            </c:numRef>
          </c:val>
          <c:smooth val="0"/>
          <c:extLst>
            <c:ext xmlns:c16="http://schemas.microsoft.com/office/drawing/2014/chart" uri="{C3380CC4-5D6E-409C-BE32-E72D297353CC}">
              <c16:uniqueId val="{00000035-D13C-4DCF-A6E7-5437B880B125}"/>
            </c:ext>
          </c:extLst>
        </c:ser>
        <c:ser>
          <c:idx val="11"/>
          <c:order val="6"/>
          <c:tx>
            <c:v>Backer DSK Fasar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Anleitung'!$N$79:$N$100</c:f>
              <c:numCache>
                <c:formatCode>#,##0</c:formatCode>
                <c:ptCount val="22"/>
                <c:pt idx="0">
                  <c:v>0</c:v>
                </c:pt>
                <c:pt idx="1">
                  <c:v>195</c:v>
                </c:pt>
                <c:pt idx="2">
                  <c:v>233</c:v>
                </c:pt>
                <c:pt idx="3">
                  <c:v>248</c:v>
                </c:pt>
                <c:pt idx="4">
                  <c:v>264</c:v>
                </c:pt>
                <c:pt idx="5">
                  <c:v>280</c:v>
                </c:pt>
                <c:pt idx="6">
                  <c:v>294</c:v>
                </c:pt>
                <c:pt idx="7">
                  <c:v>308</c:v>
                </c:pt>
                <c:pt idx="8">
                  <c:v>325</c:v>
                </c:pt>
                <c:pt idx="9">
                  <c:v>350</c:v>
                </c:pt>
                <c:pt idx="10">
                  <c:v>369</c:v>
                </c:pt>
                <c:pt idx="11">
                  <c:v>386</c:v>
                </c:pt>
                <c:pt idx="12">
                  <c:v>395</c:v>
                </c:pt>
                <c:pt idx="13">
                  <c:v>410</c:v>
                </c:pt>
                <c:pt idx="14">
                  <c:v>417</c:v>
                </c:pt>
                <c:pt idx="15">
                  <c:v>427</c:v>
                </c:pt>
                <c:pt idx="16">
                  <c:v>444</c:v>
                </c:pt>
                <c:pt idx="17">
                  <c:v>487</c:v>
                </c:pt>
                <c:pt idx="18">
                  <c:v>514</c:v>
                </c:pt>
                <c:pt idx="19">
                  <c:v>549</c:v>
                </c:pt>
                <c:pt idx="20">
                  <c:v>584</c:v>
                </c:pt>
                <c:pt idx="21">
                  <c:v>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935-4DDB-A198-DE245B7BD8A0}"/>
            </c:ext>
          </c:extLst>
        </c:ser>
        <c:ser>
          <c:idx val="12"/>
          <c:order val="7"/>
          <c:tx>
            <c:v>Backer DSK Schleichender Verfall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val>
            <c:numRef>
              <c:f>'Übersicht &amp; Anleitung'!$O$79:$O$100</c:f>
              <c:numCache>
                <c:formatCode>#,##0</c:formatCode>
                <c:ptCount val="22"/>
                <c:pt idx="0">
                  <c:v>0</c:v>
                </c:pt>
                <c:pt idx="1">
                  <c:v>136</c:v>
                </c:pt>
                <c:pt idx="2">
                  <c:v>172</c:v>
                </c:pt>
                <c:pt idx="3">
                  <c:v>199</c:v>
                </c:pt>
                <c:pt idx="4">
                  <c:v>218</c:v>
                </c:pt>
                <c:pt idx="5">
                  <c:v>235</c:v>
                </c:pt>
                <c:pt idx="6">
                  <c:v>241</c:v>
                </c:pt>
                <c:pt idx="7">
                  <c:v>262</c:v>
                </c:pt>
                <c:pt idx="8">
                  <c:v>287</c:v>
                </c:pt>
                <c:pt idx="9">
                  <c:v>324</c:v>
                </c:pt>
                <c:pt idx="10">
                  <c:v>336</c:v>
                </c:pt>
                <c:pt idx="11">
                  <c:v>345</c:v>
                </c:pt>
                <c:pt idx="12">
                  <c:v>361</c:v>
                </c:pt>
                <c:pt idx="13">
                  <c:v>375</c:v>
                </c:pt>
                <c:pt idx="14">
                  <c:v>395</c:v>
                </c:pt>
                <c:pt idx="15">
                  <c:v>415</c:v>
                </c:pt>
                <c:pt idx="16">
                  <c:v>438</c:v>
                </c:pt>
                <c:pt idx="17">
                  <c:v>471</c:v>
                </c:pt>
                <c:pt idx="18">
                  <c:v>491</c:v>
                </c:pt>
                <c:pt idx="19">
                  <c:v>519</c:v>
                </c:pt>
                <c:pt idx="20">
                  <c:v>558</c:v>
                </c:pt>
                <c:pt idx="21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8935-4DDB-A198-DE245B7BD8A0}"/>
            </c:ext>
          </c:extLst>
        </c:ser>
        <c:ser>
          <c:idx val="13"/>
          <c:order val="8"/>
          <c:tx>
            <c:v>Backer DSK Refurbished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'Übersicht &amp; Anleitung'!$P$79:$P$100</c:f>
              <c:numCache>
                <c:formatCode>#,##0</c:formatCode>
                <c:ptCount val="22"/>
                <c:pt idx="0">
                  <c:v>0</c:v>
                </c:pt>
                <c:pt idx="1">
                  <c:v>67</c:v>
                </c:pt>
                <c:pt idx="2">
                  <c:v>89</c:v>
                </c:pt>
                <c:pt idx="3">
                  <c:v>101</c:v>
                </c:pt>
                <c:pt idx="4">
                  <c:v>110</c:v>
                </c:pt>
                <c:pt idx="5">
                  <c:v>116</c:v>
                </c:pt>
                <c:pt idx="6">
                  <c:v>123</c:v>
                </c:pt>
                <c:pt idx="7">
                  <c:v>127</c:v>
                </c:pt>
                <c:pt idx="8">
                  <c:v>134</c:v>
                </c:pt>
                <c:pt idx="9">
                  <c:v>138</c:v>
                </c:pt>
                <c:pt idx="10">
                  <c:v>143</c:v>
                </c:pt>
                <c:pt idx="11">
                  <c:v>150</c:v>
                </c:pt>
                <c:pt idx="12">
                  <c:v>154</c:v>
                </c:pt>
                <c:pt idx="13">
                  <c:v>155</c:v>
                </c:pt>
                <c:pt idx="14">
                  <c:v>159</c:v>
                </c:pt>
                <c:pt idx="15">
                  <c:v>164</c:v>
                </c:pt>
                <c:pt idx="16">
                  <c:v>172</c:v>
                </c:pt>
                <c:pt idx="17">
                  <c:v>175</c:v>
                </c:pt>
                <c:pt idx="18">
                  <c:v>186</c:v>
                </c:pt>
                <c:pt idx="19">
                  <c:v>198</c:v>
                </c:pt>
                <c:pt idx="20">
                  <c:v>227</c:v>
                </c:pt>
                <c:pt idx="21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935-4DDB-A198-DE245B7BD8A0}"/>
            </c:ext>
          </c:extLst>
        </c:ser>
        <c:ser>
          <c:idx val="14"/>
          <c:order val="9"/>
          <c:tx>
            <c:v>Backer Av. Nedime</c:v>
          </c:tx>
          <c:spPr>
            <a:ln w="28575" cap="rnd">
              <a:solidFill>
                <a:srgbClr val="CC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3399"/>
              </a:solidFill>
              <a:ln w="9525">
                <a:solidFill>
                  <a:srgbClr val="CC3399"/>
                </a:solidFill>
              </a:ln>
              <a:effectLst/>
            </c:spPr>
          </c:marker>
          <c:val>
            <c:numRef>
              <c:f>'Übersicht &amp; Anleitung'!$Q$79:$Q$100</c:f>
              <c:numCache>
                <c:formatCode>#,##0</c:formatCode>
                <c:ptCount val="22"/>
                <c:pt idx="0">
                  <c:v>0</c:v>
                </c:pt>
                <c:pt idx="1">
                  <c:v>73</c:v>
                </c:pt>
                <c:pt idx="2">
                  <c:v>82</c:v>
                </c:pt>
                <c:pt idx="3">
                  <c:v>90</c:v>
                </c:pt>
                <c:pt idx="4">
                  <c:v>95</c:v>
                </c:pt>
                <c:pt idx="5">
                  <c:v>111</c:v>
                </c:pt>
                <c:pt idx="6">
                  <c:v>114.99999999999999</c:v>
                </c:pt>
                <c:pt idx="7">
                  <c:v>124</c:v>
                </c:pt>
                <c:pt idx="8">
                  <c:v>136</c:v>
                </c:pt>
                <c:pt idx="9">
                  <c:v>142</c:v>
                </c:pt>
                <c:pt idx="10">
                  <c:v>161</c:v>
                </c:pt>
                <c:pt idx="11">
                  <c:v>178</c:v>
                </c:pt>
                <c:pt idx="12">
                  <c:v>193</c:v>
                </c:pt>
                <c:pt idx="13">
                  <c:v>197</c:v>
                </c:pt>
                <c:pt idx="14">
                  <c:v>205</c:v>
                </c:pt>
                <c:pt idx="15">
                  <c:v>214</c:v>
                </c:pt>
                <c:pt idx="16">
                  <c:v>224</c:v>
                </c:pt>
                <c:pt idx="17">
                  <c:v>233</c:v>
                </c:pt>
                <c:pt idx="18">
                  <c:v>250</c:v>
                </c:pt>
                <c:pt idx="19">
                  <c:v>267</c:v>
                </c:pt>
                <c:pt idx="20">
                  <c:v>300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8935-4DDB-A198-DE245B7BD8A0}"/>
            </c:ext>
          </c:extLst>
        </c:ser>
        <c:ser>
          <c:idx val="15"/>
          <c:order val="10"/>
          <c:tx>
            <c:v>Backer Av. Mythen &amp; Legenden</c:v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Anleitung'!$R$79:$R$100</c:f>
              <c:numCache>
                <c:formatCode>#,##0</c:formatCode>
                <c:ptCount val="22"/>
                <c:pt idx="0">
                  <c:v>0</c:v>
                </c:pt>
                <c:pt idx="1">
                  <c:v>115</c:v>
                </c:pt>
                <c:pt idx="2">
                  <c:v>145</c:v>
                </c:pt>
                <c:pt idx="3">
                  <c:v>162</c:v>
                </c:pt>
                <c:pt idx="4">
                  <c:v>178</c:v>
                </c:pt>
                <c:pt idx="5">
                  <c:v>191</c:v>
                </c:pt>
                <c:pt idx="6">
                  <c:v>220</c:v>
                </c:pt>
                <c:pt idx="7">
                  <c:v>236</c:v>
                </c:pt>
                <c:pt idx="8">
                  <c:v>253</c:v>
                </c:pt>
                <c:pt idx="9">
                  <c:v>267</c:v>
                </c:pt>
                <c:pt idx="10">
                  <c:v>282</c:v>
                </c:pt>
                <c:pt idx="11">
                  <c:v>291</c:v>
                </c:pt>
                <c:pt idx="12">
                  <c:v>311</c:v>
                </c:pt>
                <c:pt idx="13">
                  <c:v>319</c:v>
                </c:pt>
                <c:pt idx="14">
                  <c:v>330</c:v>
                </c:pt>
                <c:pt idx="15">
                  <c:v>337</c:v>
                </c:pt>
                <c:pt idx="16">
                  <c:v>349</c:v>
                </c:pt>
                <c:pt idx="17">
                  <c:v>363</c:v>
                </c:pt>
                <c:pt idx="18">
                  <c:v>377</c:v>
                </c:pt>
                <c:pt idx="19">
                  <c:v>401</c:v>
                </c:pt>
                <c:pt idx="20">
                  <c:v>440</c:v>
                </c:pt>
                <c:pt idx="21">
                  <c:v>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935-4DDB-A198-DE245B7BD8A0}"/>
            </c:ext>
          </c:extLst>
        </c:ser>
        <c:ser>
          <c:idx val="2"/>
          <c:order val="11"/>
          <c:tx>
            <c:v>Backer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Anleitung'!$M$79:$M$100</c:f>
              <c:numCache>
                <c:formatCode>#,##0</c:formatCode>
                <c:ptCount val="22"/>
                <c:pt idx="0">
                  <c:v>0</c:v>
                </c:pt>
                <c:pt idx="1">
                  <c:v>121</c:v>
                </c:pt>
                <c:pt idx="7">
                  <c:v>220</c:v>
                </c:pt>
                <c:pt idx="8">
                  <c:v>234</c:v>
                </c:pt>
                <c:pt idx="9">
                  <c:v>240</c:v>
                </c:pt>
                <c:pt idx="10">
                  <c:v>250</c:v>
                </c:pt>
                <c:pt idx="11">
                  <c:v>256</c:v>
                </c:pt>
                <c:pt idx="12">
                  <c:v>271</c:v>
                </c:pt>
                <c:pt idx="13">
                  <c:v>280</c:v>
                </c:pt>
                <c:pt idx="14">
                  <c:v>296</c:v>
                </c:pt>
                <c:pt idx="15">
                  <c:v>343</c:v>
                </c:pt>
                <c:pt idx="16">
                  <c:v>364</c:v>
                </c:pt>
                <c:pt idx="17">
                  <c:v>384</c:v>
                </c:pt>
                <c:pt idx="18">
                  <c:v>404</c:v>
                </c:pt>
                <c:pt idx="19">
                  <c:v>441</c:v>
                </c:pt>
                <c:pt idx="20">
                  <c:v>477</c:v>
                </c:pt>
                <c:pt idx="21">
                  <c:v>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90-4B47-B039-C2E9452AA03A}"/>
            </c:ext>
          </c:extLst>
        </c:ser>
        <c:ser>
          <c:idx val="3"/>
          <c:order val="12"/>
          <c:tx>
            <c:v>Backer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Anleitung'!$L$79:$L$100</c:f>
              <c:numCache>
                <c:formatCode>#,##0</c:formatCode>
                <c:ptCount val="22"/>
                <c:pt idx="0">
                  <c:v>0</c:v>
                </c:pt>
                <c:pt idx="1">
                  <c:v>121</c:v>
                </c:pt>
                <c:pt idx="7">
                  <c:v>220</c:v>
                </c:pt>
                <c:pt idx="8">
                  <c:v>234</c:v>
                </c:pt>
                <c:pt idx="9">
                  <c:v>240</c:v>
                </c:pt>
                <c:pt idx="10">
                  <c:v>250</c:v>
                </c:pt>
                <c:pt idx="11">
                  <c:v>256</c:v>
                </c:pt>
                <c:pt idx="12">
                  <c:v>260</c:v>
                </c:pt>
                <c:pt idx="13">
                  <c:v>261</c:v>
                </c:pt>
                <c:pt idx="14">
                  <c:v>265</c:v>
                </c:pt>
                <c:pt idx="15">
                  <c:v>270</c:v>
                </c:pt>
                <c:pt idx="16">
                  <c:v>277</c:v>
                </c:pt>
                <c:pt idx="17">
                  <c:v>280</c:v>
                </c:pt>
                <c:pt idx="18">
                  <c:v>290</c:v>
                </c:pt>
                <c:pt idx="19">
                  <c:v>301</c:v>
                </c:pt>
                <c:pt idx="20">
                  <c:v>328</c:v>
                </c:pt>
                <c:pt idx="21">
                  <c:v>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90-4B47-B039-C2E9452AA03A}"/>
            </c:ext>
          </c:extLst>
        </c:ser>
        <c:ser>
          <c:idx val="0"/>
          <c:order val="15"/>
          <c:tx>
            <c:v>Backer Aktuelle Prognose</c:v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90-4B47-B039-C2E9452AA03A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90-4B47-B039-C2E9452AA03A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90-4B47-B039-C2E9452AA03A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90-4B47-B039-C2E9452AA03A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90-4B47-B039-C2E9452AA03A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90-4B47-B039-C2E9452AA03A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90-4B47-B039-C2E9452AA03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090-4B47-B039-C2E9452AA03A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F090-4B47-B039-C2E9452AA03A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F090-4B47-B039-C2E9452AA03A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090-4B47-B039-C2E9452AA03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090-4B47-B039-C2E9452AA03A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090-4B47-B039-C2E9452AA03A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F090-4B47-B039-C2E9452AA03A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F090-4B47-B039-C2E9452AA03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F090-4B47-B039-C2E9452AA03A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F090-4B47-B039-C2E9452AA03A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F090-4B47-B039-C2E9452AA03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F090-4B47-B039-C2E9452AA03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F090-4B47-B039-C2E9452AA03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F090-4B47-B039-C2E9452AA03A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F090-4B47-B039-C2E9452AA03A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F090-4B47-B039-C2E9452AA03A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F090-4B47-B039-C2E9452AA03A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chemeClr val="accent6">
                    <a:lumMod val="50000"/>
                  </a:schemeClr>
                </a:solidFill>
                <a:ln w="952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F090-4B47-B039-C2E9452AA03A}"/>
              </c:ext>
            </c:extLst>
          </c:dPt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Anleitung'!$I$79:$I$100</c:f>
              <c:numCache>
                <c:formatCode>#,##0</c:formatCode>
                <c:ptCount val="22"/>
                <c:pt idx="0">
                  <c:v>0</c:v>
                </c:pt>
                <c:pt idx="1">
                  <c:v>121</c:v>
                </c:pt>
                <c:pt idx="7">
                  <c:v>220</c:v>
                </c:pt>
                <c:pt idx="8">
                  <c:v>234</c:v>
                </c:pt>
                <c:pt idx="9">
                  <c:v>240</c:v>
                </c:pt>
                <c:pt idx="10">
                  <c:v>250</c:v>
                </c:pt>
                <c:pt idx="11">
                  <c:v>256</c:v>
                </c:pt>
                <c:pt idx="12">
                  <c:v>270</c:v>
                </c:pt>
                <c:pt idx="13">
                  <c:v>282</c:v>
                </c:pt>
                <c:pt idx="14">
                  <c:v>294</c:v>
                </c:pt>
                <c:pt idx="15">
                  <c:v>308</c:v>
                </c:pt>
                <c:pt idx="16">
                  <c:v>319</c:v>
                </c:pt>
                <c:pt idx="17">
                  <c:v>329</c:v>
                </c:pt>
                <c:pt idx="18">
                  <c:v>347</c:v>
                </c:pt>
                <c:pt idx="19">
                  <c:v>368</c:v>
                </c:pt>
                <c:pt idx="20">
                  <c:v>392</c:v>
                </c:pt>
                <c:pt idx="21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F090-4B47-B039-C2E9452AA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  <c:extLst>
          <c:ext xmlns:c15="http://schemas.microsoft.com/office/drawing/2012/chart" uri="{02D57815-91ED-43cb-92C2-25804820EDAC}">
            <c15:filteredLineSeries>
              <c15:ser>
                <c:idx val="8"/>
                <c:order val="13"/>
                <c:tx>
                  <c:v>Backer Prognose max.</c:v>
                </c:tx>
                <c:spPr>
                  <a:ln w="28575" cap="rnd">
                    <a:solidFill>
                      <a:srgbClr val="00B05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'Übersicht &amp; Anleitung'!$K$79:$K$100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 formatCode="General">
                        <c:v>0</c:v>
                      </c:pt>
                      <c:pt idx="1">
                        <c:v>121</c:v>
                      </c:pt>
                      <c:pt idx="7">
                        <c:v>220</c:v>
                      </c:pt>
                      <c:pt idx="8">
                        <c:v>234</c:v>
                      </c:pt>
                      <c:pt idx="9">
                        <c:v>240</c:v>
                      </c:pt>
                      <c:pt idx="10">
                        <c:v>250</c:v>
                      </c:pt>
                      <c:pt idx="11">
                        <c:v>256</c:v>
                      </c:pt>
                      <c:pt idx="12">
                        <c:v>270</c:v>
                      </c:pt>
                      <c:pt idx="13">
                        <c:v>282</c:v>
                      </c:pt>
                      <c:pt idx="14">
                        <c:v>294</c:v>
                      </c:pt>
                      <c:pt idx="15">
                        <c:v>308</c:v>
                      </c:pt>
                      <c:pt idx="16">
                        <c:v>319</c:v>
                      </c:pt>
                      <c:pt idx="17">
                        <c:v>329</c:v>
                      </c:pt>
                      <c:pt idx="18">
                        <c:v>347</c:v>
                      </c:pt>
                      <c:pt idx="19">
                        <c:v>368</c:v>
                      </c:pt>
                      <c:pt idx="20">
                        <c:v>392</c:v>
                      </c:pt>
                      <c:pt idx="21">
                        <c:v>425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3A-F090-4B47-B039-C2E9452AA03A}"/>
                  </c:ext>
                </c:extLst>
              </c15:ser>
            </c15:filteredLineSeries>
            <c15:filteredLineSeries>
              <c15:ser>
                <c:idx val="7"/>
                <c:order val="14"/>
                <c:tx>
                  <c:v>Backer Prognose min.</c:v>
                </c:tx>
                <c:spPr>
                  <a:ln w="28575" cap="rnd">
                    <a:solidFill>
                      <a:srgbClr val="FF000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'Übersicht &amp; Anleitung'!$J$79:$J$100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 formatCode="General">
                        <c:v>0</c:v>
                      </c:pt>
                      <c:pt idx="1">
                        <c:v>121</c:v>
                      </c:pt>
                      <c:pt idx="7">
                        <c:v>220</c:v>
                      </c:pt>
                      <c:pt idx="8">
                        <c:v>234</c:v>
                      </c:pt>
                      <c:pt idx="9">
                        <c:v>240</c:v>
                      </c:pt>
                      <c:pt idx="10">
                        <c:v>250</c:v>
                      </c:pt>
                      <c:pt idx="11">
                        <c:v>256</c:v>
                      </c:pt>
                      <c:pt idx="12">
                        <c:v>270</c:v>
                      </c:pt>
                      <c:pt idx="13">
                        <c:v>282</c:v>
                      </c:pt>
                      <c:pt idx="14">
                        <c:v>294</c:v>
                      </c:pt>
                      <c:pt idx="15">
                        <c:v>308</c:v>
                      </c:pt>
                      <c:pt idx="16">
                        <c:v>319</c:v>
                      </c:pt>
                      <c:pt idx="17">
                        <c:v>329</c:v>
                      </c:pt>
                      <c:pt idx="18">
                        <c:v>347</c:v>
                      </c:pt>
                      <c:pt idx="19">
                        <c:v>368</c:v>
                      </c:pt>
                      <c:pt idx="20">
                        <c:v>392</c:v>
                      </c:pt>
                      <c:pt idx="21">
                        <c:v>425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B-F090-4B47-B039-C2E9452AA03A}"/>
                  </c:ext>
                </c:extLst>
              </c15:ser>
            </c15:filteredLineSeries>
          </c:ext>
        </c:extLst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6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25"/>
        <c:minorUnit val="1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81968135006653"/>
          <c:y val="7.5604929793808831E-3"/>
          <c:w val="0.80022302100389897"/>
          <c:h val="9.7677011982216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hinter-dem-schwarzen-auge.de/links/" TargetMode="External"/><Relationship Id="rId1" Type="http://schemas.openxmlformats.org/officeDocument/2006/relationships/chart" Target="../charts/chart1.xml"/><Relationship Id="rId6" Type="http://schemas.openxmlformats.org/officeDocument/2006/relationships/image" Target="../media/image2.jpg"/><Relationship Id="rId5" Type="http://schemas.openxmlformats.org/officeDocument/2006/relationships/hyperlink" Target="https://www.gameontabletop.com/cf2881/die-schwarze-katze-ewige-suche.html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79904</xdr:colOff>
      <xdr:row>105</xdr:row>
      <xdr:rowOff>152133</xdr:rowOff>
    </xdr:from>
    <xdr:to>
      <xdr:col>6</xdr:col>
      <xdr:colOff>0</xdr:colOff>
      <xdr:row>115</xdr:row>
      <xdr:rowOff>114299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07A7500-30D6-4373-9CF2-4BED0A125177}"/>
            </a:ext>
          </a:extLst>
        </xdr:cNvPr>
        <xdr:cNvSpPr txBox="1"/>
      </xdr:nvSpPr>
      <xdr:spPr>
        <a:xfrm>
          <a:off x="79904" y="19078308"/>
          <a:ext cx="11578696" cy="197194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baseline="0"/>
            <a:t>Dieser Guide ist eine rein private Geschichte und </a:t>
          </a:r>
          <a:r>
            <a:rPr lang="de-DE" sz="1400" b="1" u="sng" baseline="0"/>
            <a:t>ohne Gewähr</a:t>
          </a:r>
          <a:r>
            <a:rPr lang="de-DE" sz="1400" b="1" baseline="0"/>
            <a:t> auf Vollständigkeit und 100%ige Korrektheit!</a:t>
          </a:r>
        </a:p>
        <a:p>
          <a:endParaRPr lang="de-DE" sz="1400" b="1" baseline="0"/>
        </a:p>
        <a:p>
          <a:r>
            <a:rPr lang="de-DE" sz="1400" b="1" baseline="0"/>
            <a:t>Danke an Kai (4 Helden und 1 Schelm) für seinen großartigen Crawler :)</a:t>
          </a:r>
        </a:p>
        <a:p>
          <a:endParaRPr lang="de-DE" sz="800" b="1" baseline="0"/>
        </a:p>
        <a:p>
          <a:r>
            <a:rPr lang="de-DE" sz="1400" b="1" baseline="0"/>
            <a:t>Bei Fehlern meinerseits ist NICHT Ulisses dafür verantwortlich zu machen! Und ich bitte auch nicht ;)</a:t>
          </a:r>
        </a:p>
        <a:p>
          <a:r>
            <a:rPr lang="de-DE" sz="1400" b="1" baseline="0"/>
            <a:t>Ihr dürft mir Fehler aber sehr gerne in den CF-Kommentaren, in meinem Blog oder Discord, bei Facebook oder im Orkenspalter-Forum melden!</a:t>
          </a:r>
        </a:p>
        <a:p>
          <a:endParaRPr lang="de-DE" sz="800" b="1" baseline="0"/>
        </a:p>
        <a:p>
          <a:r>
            <a:rPr lang="de-DE" sz="1400" b="1" baseline="0"/>
            <a:t>Und nun gemeinsam auf ins Abenteuer!</a:t>
          </a:r>
        </a:p>
        <a:p>
          <a:r>
            <a:rPr lang="de-DE" sz="1400" b="1"/>
            <a:t>Euer Gernot</a:t>
          </a:r>
          <a:r>
            <a:rPr lang="de-DE" sz="1400" b="1" baseline="0"/>
            <a:t> </a:t>
          </a:r>
          <a:r>
            <a:rPr lang="de-DE" sz="1400" b="1"/>
            <a:t>von Hinter dem Schwarzen Auge</a:t>
          </a:r>
          <a:r>
            <a:rPr lang="de-DE" sz="1400" b="1" baseline="0"/>
            <a:t> ...der DSACast / DSA-Fantalk / DSA-Nachrichten in 3W20 Minuten / etc.    </a:t>
          </a:r>
          <a:r>
            <a:rPr lang="de-DE" sz="1400" b="1"/>
            <a:t>	</a:t>
          </a:r>
          <a:r>
            <a:rPr lang="de-DE" sz="300" b="1"/>
            <a:t>Wer das liest ist neugierig ;)</a:t>
          </a:r>
        </a:p>
      </xdr:txBody>
    </xdr:sp>
    <xdr:clientData/>
  </xdr:twoCellAnchor>
  <xdr:twoCellAnchor>
    <xdr:from>
      <xdr:col>1</xdr:col>
      <xdr:colOff>71436</xdr:colOff>
      <xdr:row>47</xdr:row>
      <xdr:rowOff>57150</xdr:rowOff>
    </xdr:from>
    <xdr:to>
      <xdr:col>6</xdr:col>
      <xdr:colOff>0</xdr:colOff>
      <xdr:row>76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B2D0A86-C198-4204-9484-076D79831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321467</xdr:colOff>
      <xdr:row>3</xdr:row>
      <xdr:rowOff>57149</xdr:rowOff>
    </xdr:from>
    <xdr:to>
      <xdr:col>5</xdr:col>
      <xdr:colOff>3400424</xdr:colOff>
      <xdr:row>16</xdr:row>
      <xdr:rowOff>9822</xdr:rowOff>
    </xdr:to>
    <xdr:pic>
      <xdr:nvPicPr>
        <xdr:cNvPr id="11" name="Grafik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8A0318-7B66-4012-91D1-6B3CBC0C9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6742" y="666749"/>
          <a:ext cx="3078957" cy="284827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77</xdr:row>
      <xdr:rowOff>0</xdr:rowOff>
    </xdr:from>
    <xdr:to>
      <xdr:col>6</xdr:col>
      <xdr:colOff>0</xdr:colOff>
      <xdr:row>105</xdr:row>
      <xdr:rowOff>1323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880EF14B-9001-47D9-8E66-7A2FE928A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788849</xdr:colOff>
      <xdr:row>3</xdr:row>
      <xdr:rowOff>77155</xdr:rowOff>
    </xdr:from>
    <xdr:to>
      <xdr:col>3</xdr:col>
      <xdr:colOff>5011877</xdr:colOff>
      <xdr:row>15</xdr:row>
      <xdr:rowOff>244557</xdr:rowOff>
    </xdr:to>
    <xdr:pic>
      <xdr:nvPicPr>
        <xdr:cNvPr id="13" name="Grafik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64C3DA-CD53-43EB-8099-0CC07DD2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3324" y="696280"/>
          <a:ext cx="4223028" cy="28153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B8C96C-0DD2-4C9B-A41A-27CE2A14BCAE}" name="Tabelle24" displayName="Tabelle24" ref="AO3:AR24" totalsRowShown="0" headerRowDxfId="52" dataDxfId="51" tableBorderDxfId="50">
  <autoFilter ref="AO3:AR24" xr:uid="{7E5D117A-5BCD-41C7-9378-1146F36C69B4}"/>
  <sortState xmlns:xlrd2="http://schemas.microsoft.com/office/spreadsheetml/2017/richdata2" ref="AO4:AR24">
    <sortCondition descending="1" ref="AP3:AP24"/>
  </sortState>
  <tableColumns count="4">
    <tableColumn id="1" xr3:uid="{4EFEC5B8-0ADA-41C3-A6A5-BE5BF3794F91}" name="Tag" dataDxfId="49"/>
    <tableColumn id="2" xr3:uid="{B346A844-85E3-4729-8E45-6E86A502164F}" name="€" dataDxfId="48">
      <calculatedColumnFormula>VLOOKUP(AO4,$AF$51:$AP$71,11,FALSE)</calculatedColumnFormula>
    </tableColumn>
    <tableColumn id="5" xr3:uid="{BFCBC06F-0657-4D18-A8CA-BD9389A4934E}" name="Backer" dataDxfId="47">
      <calculatedColumnFormula>VLOOKUP(AO4,$AF$51:$AO$71,10,FALSE)</calculatedColumnFormula>
    </tableColumn>
    <tableColumn id="3" xr3:uid="{6BAC2503-C3A5-4652-A49E-1500DE882AED}" name="€/Backer" dataDxfId="46">
      <calculatedColumnFormula>IFERROR(Tabelle24[[#This Row],[€]]/Tabelle24[[#This Row],[Backer]],"")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A9654-149B-455B-B037-D0C330FFD6EF}" name="Tabelle3" displayName="Tabelle3" ref="A4:AN26" totalsRowShown="0" headerRowDxfId="45">
  <autoFilter ref="A4:AN26" xr:uid="{27422959-90AD-4338-8C23-E3B9F7316881}"/>
  <tableColumns count="40">
    <tableColumn id="1" xr3:uid="{F20F49F8-6EB7-43C1-9922-F620A023E7F0}" name="Tag" dataDxfId="44"/>
    <tableColumn id="2" xr3:uid="{6971CB83-29C8-475B-A31E-D387F03E1C07}" name="Ned (€)" dataDxfId="43"/>
    <tableColumn id="3" xr3:uid="{F664882F-3BD9-41DE-A643-1C890FC1B073}" name="Ned (Backer)" dataDxfId="42"/>
    <tableColumn id="4" xr3:uid="{E579BA6A-6386-4040-8B87-1F53A08CA8B6}" name="Ned (€/B)" dataDxfId="41">
      <calculatedColumnFormula>IFERROR(Tabelle3[[#This Row],[Ned (€)]]/Tabelle3[[#This Row],[Ned (Backer)]],"")</calculatedColumnFormula>
    </tableColumn>
    <tableColumn id="10" xr3:uid="{DF5363C3-935A-49F1-B72D-9DF733CE4302}" name="Werkzeuge (€)" dataDxfId="40"/>
    <tableColumn id="11" xr3:uid="{4CFD1B7C-52BE-49FD-B7F5-1D7A36D73889}" name="Werkzeuge (Backer)" dataDxfId="39"/>
    <tableColumn id="5" xr3:uid="{61100E78-BB32-4A90-9325-A41F57693C15}" name="Werkz (€/B)" dataDxfId="38">
      <calculatedColumnFormula>Tabelle3[[#This Row],[Werkzeuge (€)]]/Tabelle3[[#This Row],[Werkzeuge (Backer)]]</calculatedColumnFormula>
    </tableColumn>
    <tableColumn id="26" xr3:uid="{F4AEE733-FE50-4D43-B8B6-2CFA99AA7EE6}" name="DSK Fasar (€)" dataDxfId="37"/>
    <tableColumn id="29" xr3:uid="{519C5630-D167-4EFA-B84F-F9BC19E907B3}" name="DSK Fasar (Backer)" dataDxfId="36"/>
    <tableColumn id="6" xr3:uid="{854DE083-8DB9-471F-9D2E-9CCE4771207A}" name="DSK Fasar (€/B)" dataDxfId="35">
      <calculatedColumnFormula>Tabelle3[[#This Row],[DSK Fasar (€)]]/Tabelle3[[#This Row],[DSK Fasar (Backer)]]</calculatedColumnFormula>
    </tableColumn>
    <tableColumn id="20" xr3:uid="{C33B8766-778A-4CBA-B6CD-11F696D9BF3F}" name="Mythen (€)" dataDxfId="34"/>
    <tableColumn id="21" xr3:uid="{7FE9A82A-5A08-46A8-A0C2-586311B74BB6}" name="Mythen (Backer)" dataDxfId="33"/>
    <tableColumn id="7" xr3:uid="{1FB905C7-E806-4D0D-8C42-EEC0E36B3E50}" name="Mythen (€/B)" dataDxfId="32">
      <calculatedColumnFormula>Tabelle3[[#This Row],[Mythen (€)]]/Tabelle3[[#This Row],[Mythen (Backer)]]</calculatedColumnFormula>
    </tableColumn>
    <tableColumn id="34" xr3:uid="{ECB31B1D-5FD5-4EF9-871C-99A9FFBB4E6B}" name="SOK (€)" dataDxfId="31"/>
    <tableColumn id="35" xr3:uid="{1E34A881-32F6-48DB-8A12-F2F7F315C3B2}" name="SOK (Backer)" dataDxfId="30"/>
    <tableColumn id="27" xr3:uid="{4E1D286A-D371-44AF-9493-13F1B3BBA1E1}" name="SOK (€/B)" dataDxfId="29">
      <calculatedColumnFormula>Tabelle3[[#This Row],[SOK (€)]]/Tabelle3[[#This Row],[SOK (Backer)]]</calculatedColumnFormula>
    </tableColumn>
    <tableColumn id="32" xr3:uid="{E4B16DC1-4EE4-4038-B4B5-B981FD62F8EA}" name="RE (€)" dataDxfId="28"/>
    <tableColumn id="33" xr3:uid="{8EB42BB1-C038-48A6-A211-78A44E799A6C}" name="RE (Backer)" dataDxfId="27"/>
    <tableColumn id="28" xr3:uid="{675D589F-A6F0-453C-BD2A-15ED374E6B93}" name="RE (€/B)" dataDxfId="26">
      <calculatedColumnFormula>Tabelle3[[#This Row],[RE (€)]]/Tabelle3[[#This Row],[RE (Backer)]]</calculatedColumnFormula>
    </tableColumn>
    <tableColumn id="40" xr3:uid="{B2000EDA-3E67-45D5-8ABE-A7E4CD713D4F}" name="DGG (€)" dataDxfId="25"/>
    <tableColumn id="41" xr3:uid="{545AC5E2-E4BD-4C28-A762-E9269E553E97}" name="DGG (Backer)" dataDxfId="24"/>
    <tableColumn id="30" xr3:uid="{0A7D82D9-FAFD-4AF2-98BD-4B5E82D93B24}" name="DGG (€/B)" dataDxfId="23">
      <calculatedColumnFormula>Tabelle3[[#This Row],[DGG (€)]]/Tabelle3[[#This Row],[DGG (Backer)]]</calculatedColumnFormula>
    </tableColumn>
    <tableColumn id="42" xr3:uid="{D96E1501-FE3A-4B42-9A72-261BAD1904BA}" name="DSK SV (€)" dataDxfId="22"/>
    <tableColumn id="43" xr3:uid="{1BAF0051-85B5-4740-AFB6-EC165E373FD8}" name="DSK SV (Backer)" dataDxfId="21"/>
    <tableColumn id="31" xr3:uid="{138CB00F-2D25-4FC9-8AD0-2920AC181536}" name="DSK SV (€/B)" dataDxfId="20">
      <calculatedColumnFormula>Tabelle3[[#This Row],[DSK SV (€)]]/Tabelle3[[#This Row],[DSK SV (Backer)]]</calculatedColumnFormula>
    </tableColumn>
    <tableColumn id="18" xr3:uid="{B115F17F-0C3A-4787-8FAF-58A699789E37}" name="WW (€)" dataDxfId="19"/>
    <tableColumn id="19" xr3:uid="{11D07988-6567-452C-B145-7D8ECCC114D6}" name="WW (Backer)" dataDxfId="18"/>
    <tableColumn id="36" xr3:uid="{8DC65953-3709-48DB-9A06-A512B0C5BBDC}" name="WW (€/B)" dataDxfId="17">
      <calculatedColumnFormula>Tabelle3[[#This Row],[WW (€)]]/Tabelle3[[#This Row],[WW (Backer)]]</calculatedColumnFormula>
    </tableColumn>
    <tableColumn id="22" xr3:uid="{A4423EDA-72CD-40A4-8CEB-84584B2848A9}" name="DSK R (€)" dataDxfId="16"/>
    <tableColumn id="23" xr3:uid="{9FA4C8B1-E398-4CB3-AC74-77828F3D4343}" name="DSK R (Backer)" dataDxfId="15"/>
    <tableColumn id="37" xr3:uid="{AE14262B-F3B7-47DF-BAFA-618A863548C2}" name="DSK R (€/B)" dataDxfId="14">
      <calculatedColumnFormula>Tabelle3[[#This Row],[DSK R (€)]]/Tabelle3[[#This Row],[DSK R (Backer)]]</calculatedColumnFormula>
    </tableColumn>
    <tableColumn id="24" xr3:uid="{EAE957AD-26EB-468A-9755-60EC7D72A845}" name="Ära (€)" dataDxfId="13"/>
    <tableColumn id="25" xr3:uid="{C1FC00A5-77F0-4DAB-9F9C-96D4AA018743}" name="Ära (Backer)" dataDxfId="12"/>
    <tableColumn id="46" xr3:uid="{629A9284-AB65-4209-9E8F-7A6AFE825122}" name="Ära (€/B)" dataDxfId="11">
      <calculatedColumnFormula>Tabelle3[[#This Row],[Ära (€)]]/Tabelle3[[#This Row],[Ära (Backer)]]</calculatedColumnFormula>
    </tableColumn>
    <tableColumn id="12" xr3:uid="{EAB919AA-10EC-4095-8D60-91ACA4CD78EA}" name="Mosaik (€)" dataDxfId="10"/>
    <tableColumn id="13" xr3:uid="{B83772FE-8724-4340-A7CF-F84CABFD14EA}" name="Mosaik (Backer)" dataDxfId="9"/>
    <tableColumn id="14" xr3:uid="{DC6325E1-30F4-4455-B2BC-420F17C27294}" name="Mosaik (€/B)" dataDxfId="8">
      <calculatedColumnFormula>Tabelle3[[#This Row],[Mosaik (€)]]/Tabelle3[[#This Row],[Mosaik (Backer)]]</calculatedColumnFormula>
    </tableColumn>
    <tableColumn id="38" xr3:uid="{1AF87199-875A-4AB9-9AC0-88E8D7A82669}" name="DSK ES (€)" dataDxfId="7"/>
    <tableColumn id="39" xr3:uid="{1B706C0D-84D1-42A8-B0AB-701DEC761DD3}" name="DSK ES (Backer)" dataDxfId="6"/>
    <tableColumn id="47" xr3:uid="{77302F65-6E91-4233-8F2D-21412E5DD1A9}" name="DSK ES (€/B)" dataDxfId="5">
      <calculatedColumnFormula>Tabelle3[[#This Row],[DSK ES (€)]]/Tabelle3[[#This Row],[DSK ES (Backer)]]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hinter-dem-schwarzen-auge.de/links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hinter-dem-schwarzen-auge.de/support" TargetMode="External"/><Relationship Id="rId1" Type="http://schemas.openxmlformats.org/officeDocument/2006/relationships/hyperlink" Target="https://www.gameontabletop.com/cf2881/die-schwarze-katze-ewige-suche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3AF5-52E3-4D7D-8AFC-995B3E896D26}">
  <sheetPr codeName="Tabelle2">
    <tabColor rgb="FF00B0F0"/>
    <pageSetUpPr fitToPage="1"/>
  </sheetPr>
  <dimension ref="A1:CD165"/>
  <sheetViews>
    <sheetView showGridLines="0" tabSelected="1" zoomScaleNormal="100" workbookViewId="0">
      <pane ySplit="1" topLeftCell="A2" activePane="bottomLeft" state="frozen"/>
      <selection pane="bottomLeft" activeCell="AH27" sqref="AH27"/>
    </sheetView>
  </sheetViews>
  <sheetFormatPr baseColWidth="10" defaultRowHeight="15" outlineLevelRow="1" outlineLevelCol="2" x14ac:dyDescent="0.3"/>
  <cols>
    <col min="1" max="1" width="1.28515625" style="102" customWidth="1"/>
    <col min="2" max="2" width="18.5703125" style="92" customWidth="1"/>
    <col min="3" max="3" width="2.85546875" style="93" customWidth="1"/>
    <col min="4" max="4" width="87.140625" style="49" customWidth="1"/>
    <col min="5" max="5" width="8.85546875" style="93" bestFit="1" customWidth="1"/>
    <col min="6" max="6" width="56.140625" style="93" customWidth="1"/>
    <col min="7" max="7" width="8.140625" style="93" customWidth="1"/>
    <col min="8" max="13" width="13" style="93" customWidth="1"/>
    <col min="14" max="18" width="13" style="94" customWidth="1"/>
    <col min="19" max="19" width="16.7109375" style="24" hidden="1" customWidth="1" outlineLevel="1"/>
    <col min="20" max="20" width="9.85546875" style="24" hidden="1" customWidth="1" outlineLevel="1"/>
    <col min="21" max="26" width="16.7109375" style="24" hidden="1" customWidth="1" outlineLevel="2"/>
    <col min="27" max="28" width="13" style="94" hidden="1" customWidth="1" outlineLevel="2"/>
    <col min="29" max="30" width="13" style="307" hidden="1" customWidth="1" outlineLevel="2"/>
    <col min="31" max="31" width="3.140625" style="307" hidden="1" customWidth="1" outlineLevel="2"/>
    <col min="32" max="32" width="11.42578125" style="24" hidden="1" customWidth="1" outlineLevel="1" collapsed="1"/>
    <col min="33" max="35" width="11.42578125" style="24" hidden="1" customWidth="1" outlineLevel="1"/>
    <col min="36" max="36" width="13.140625" style="24" hidden="1" customWidth="1" outlineLevel="1"/>
    <col min="37" max="37" width="7.28515625" style="24" hidden="1" customWidth="1" outlineLevel="1"/>
    <col min="38" max="38" width="9.28515625" style="24" hidden="1" customWidth="1" outlineLevel="2"/>
    <col min="39" max="39" width="12.5703125" style="24" hidden="1" customWidth="1" outlineLevel="1" collapsed="1"/>
    <col min="40" max="42" width="11.42578125" style="24" hidden="1" customWidth="1" outlineLevel="1"/>
    <col min="43" max="43" width="11.42578125" style="25" hidden="1" customWidth="1" outlineLevel="1"/>
    <col min="44" max="45" width="11.42578125" style="24" hidden="1" customWidth="1" outlineLevel="1"/>
    <col min="46" max="46" width="11.42578125" style="147" hidden="1" customWidth="1" outlineLevel="1"/>
    <col min="47" max="47" width="11.42578125" style="36" hidden="1" customWidth="1" outlineLevel="1"/>
    <col min="48" max="48" width="11.42578125" style="147" hidden="1" customWidth="1" outlineLevel="1"/>
    <col min="49" max="49" width="11.42578125" style="36" hidden="1" customWidth="1" outlineLevel="1"/>
    <col min="50" max="50" width="14" style="24" hidden="1" customWidth="1" outlineLevel="1"/>
    <col min="51" max="53" width="11.42578125" style="29" hidden="1" customWidth="1" outlineLevel="1"/>
    <col min="54" max="54" width="11.42578125" style="24" hidden="1" customWidth="1" outlineLevel="1"/>
    <col min="55" max="57" width="11.42578125" style="29" hidden="1" customWidth="1" outlineLevel="1"/>
    <col min="58" max="59" width="11.42578125" style="24" hidden="1" customWidth="1" outlineLevel="1"/>
    <col min="60" max="60" width="11.42578125" style="102" collapsed="1"/>
    <col min="61" max="78" width="11.42578125" style="102"/>
    <col min="79" max="16384" width="11.42578125" style="49"/>
  </cols>
  <sheetData>
    <row r="1" spans="1:78" s="102" customFormat="1" ht="24.75" thickBot="1" x14ac:dyDescent="0.35">
      <c r="B1" s="646" t="s">
        <v>291</v>
      </c>
      <c r="C1" s="647"/>
      <c r="D1" s="647"/>
      <c r="E1" s="647"/>
      <c r="F1" s="648"/>
      <c r="G1" s="119"/>
      <c r="H1" s="119"/>
      <c r="I1" s="119"/>
      <c r="J1" s="119"/>
      <c r="K1" s="119"/>
      <c r="L1" s="117"/>
      <c r="M1" s="119"/>
      <c r="N1" s="119"/>
      <c r="O1" s="119"/>
      <c r="P1" s="119"/>
      <c r="Q1" s="119"/>
      <c r="R1" s="119"/>
      <c r="S1" s="262" t="s">
        <v>153</v>
      </c>
      <c r="T1" s="262"/>
      <c r="U1" s="262"/>
      <c r="V1" s="262"/>
      <c r="W1" s="262"/>
      <c r="X1" s="262"/>
      <c r="Y1" s="262"/>
      <c r="Z1" s="262"/>
      <c r="AA1" s="119"/>
      <c r="AB1" s="119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181"/>
      <c r="AU1" s="42"/>
      <c r="AV1" s="181"/>
      <c r="AW1" s="42"/>
      <c r="AX1" s="42"/>
      <c r="AY1" s="42"/>
      <c r="AZ1" s="42"/>
      <c r="BA1" s="29"/>
      <c r="BB1" s="24"/>
      <c r="BC1" s="29"/>
      <c r="BD1" s="29"/>
      <c r="BE1" s="29"/>
      <c r="BF1" s="24"/>
      <c r="BG1" s="24"/>
    </row>
    <row r="2" spans="1:78" s="2" customFormat="1" ht="4.5" customHeight="1" x14ac:dyDescent="0.3">
      <c r="A2" s="108"/>
      <c r="B2" s="102"/>
      <c r="C2" s="119"/>
      <c r="D2" s="102"/>
      <c r="E2" s="119"/>
      <c r="F2" s="119"/>
      <c r="G2" s="119"/>
      <c r="H2" s="119"/>
      <c r="I2" s="119"/>
      <c r="J2" s="119"/>
      <c r="K2" s="119"/>
      <c r="L2" s="117"/>
      <c r="M2" s="119"/>
      <c r="N2" s="119"/>
      <c r="O2" s="119"/>
      <c r="P2" s="119"/>
      <c r="Q2" s="119"/>
      <c r="R2" s="119"/>
      <c r="S2" s="24"/>
      <c r="T2" s="24"/>
      <c r="U2" s="24"/>
      <c r="V2" s="24"/>
      <c r="W2" s="24"/>
      <c r="X2" s="24"/>
      <c r="Y2" s="24"/>
      <c r="Z2" s="24"/>
      <c r="AA2" s="119"/>
      <c r="AB2" s="119"/>
      <c r="AC2" s="24"/>
      <c r="AD2" s="24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</row>
    <row r="3" spans="1:78" s="2" customFormat="1" ht="19.5" thickBot="1" x14ac:dyDescent="0.35">
      <c r="A3" s="108"/>
      <c r="B3" s="102"/>
      <c r="C3" s="119"/>
      <c r="D3" s="229" t="s">
        <v>150</v>
      </c>
      <c r="E3" s="664" t="s">
        <v>276</v>
      </c>
      <c r="F3" s="664"/>
      <c r="G3" s="664"/>
      <c r="H3" s="234"/>
      <c r="I3" s="234"/>
      <c r="J3" s="234"/>
      <c r="K3" s="234"/>
      <c r="L3" s="234"/>
      <c r="M3" s="234"/>
      <c r="N3" s="119"/>
      <c r="O3" s="119"/>
      <c r="P3" s="119"/>
      <c r="Q3" s="119"/>
      <c r="R3" s="119"/>
      <c r="S3" s="24"/>
      <c r="T3" s="24"/>
      <c r="U3" s="24"/>
      <c r="V3" s="24"/>
      <c r="W3" s="24"/>
      <c r="X3" s="24"/>
      <c r="Y3" s="24"/>
      <c r="Z3" s="24"/>
      <c r="AA3" s="119"/>
      <c r="AB3" s="119"/>
      <c r="AC3" s="24"/>
      <c r="AD3" s="24"/>
      <c r="AE3" s="56"/>
      <c r="AF3" s="56"/>
      <c r="AG3" s="56"/>
      <c r="AH3" s="56"/>
      <c r="AI3" s="56"/>
      <c r="AJ3" s="56"/>
      <c r="AK3" s="56"/>
      <c r="AL3" s="56"/>
      <c r="AM3" s="56"/>
      <c r="AN3" s="24"/>
      <c r="AO3" s="254" t="s">
        <v>31</v>
      </c>
      <c r="AP3" s="221" t="s">
        <v>16</v>
      </c>
      <c r="AQ3" s="221" t="s">
        <v>15</v>
      </c>
      <c r="AR3" s="255" t="s">
        <v>41</v>
      </c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</row>
    <row r="4" spans="1:78" s="2" customFormat="1" ht="15" customHeight="1" thickBot="1" x14ac:dyDescent="0.35">
      <c r="A4" s="108"/>
      <c r="B4" s="102"/>
      <c r="C4" s="119"/>
      <c r="D4" s="102"/>
      <c r="E4" s="119"/>
      <c r="F4" s="119"/>
      <c r="G4" s="119"/>
      <c r="H4" s="119"/>
      <c r="I4" s="119"/>
      <c r="J4" s="119"/>
      <c r="K4" s="119"/>
      <c r="L4" s="119"/>
      <c r="M4" s="119"/>
      <c r="N4" s="102"/>
      <c r="O4" s="102"/>
      <c r="P4" s="102"/>
      <c r="Q4" s="102"/>
      <c r="R4" s="102"/>
      <c r="S4" s="245" t="s">
        <v>31</v>
      </c>
      <c r="T4" s="238">
        <v>21</v>
      </c>
      <c r="U4" s="245"/>
      <c r="V4" s="245"/>
      <c r="W4" s="245"/>
      <c r="X4" s="245"/>
      <c r="Y4" s="245"/>
      <c r="Z4" s="245"/>
      <c r="AA4" s="102"/>
      <c r="AB4" s="102"/>
      <c r="AC4" s="24"/>
      <c r="AD4" s="24"/>
      <c r="AE4" s="56"/>
      <c r="AF4" s="56"/>
      <c r="AG4" s="56"/>
      <c r="AH4" s="56"/>
      <c r="AI4" s="56"/>
      <c r="AJ4" s="56"/>
      <c r="AK4" s="56"/>
      <c r="AL4" s="56"/>
      <c r="AM4" s="56"/>
      <c r="AN4" s="75" t="s">
        <v>19</v>
      </c>
      <c r="AO4" s="256">
        <v>1</v>
      </c>
      <c r="AP4" s="32">
        <f t="shared" ref="AP4:AP18" si="0">VLOOKUP(AO4,$AF$51:$AP$71,11,FALSE)</f>
        <v>17251</v>
      </c>
      <c r="AQ4" s="32">
        <f t="shared" ref="AQ4:AQ18" si="1">VLOOKUP(AO4,$AF$51:$AO$71,10,FALSE)</f>
        <v>121</v>
      </c>
      <c r="AR4" s="257">
        <f>IFERROR(Tabelle24[[#This Row],[€]]/Tabelle24[[#This Row],[Backer]],"")</f>
        <v>142.5702479338843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</row>
    <row r="5" spans="1:78" s="2" customFormat="1" ht="15" customHeight="1" x14ac:dyDescent="0.3">
      <c r="A5" s="108"/>
      <c r="B5" s="658" t="s">
        <v>149</v>
      </c>
      <c r="C5" s="231"/>
      <c r="D5" s="226"/>
      <c r="E5" s="231"/>
      <c r="F5" s="226"/>
      <c r="G5" s="119"/>
      <c r="H5" s="668" t="s">
        <v>156</v>
      </c>
      <c r="I5" s="669"/>
      <c r="J5" s="669"/>
      <c r="K5" s="669"/>
      <c r="L5" s="669"/>
      <c r="M5" s="669"/>
      <c r="N5" s="669"/>
      <c r="O5" s="669"/>
      <c r="P5" s="669"/>
      <c r="Q5" s="670"/>
      <c r="R5" s="102"/>
      <c r="S5" s="246" t="s">
        <v>14</v>
      </c>
      <c r="T5" s="239">
        <v>45420</v>
      </c>
      <c r="U5" s="246"/>
      <c r="V5" s="246"/>
      <c r="W5" s="246"/>
      <c r="X5" s="246"/>
      <c r="Y5" s="246"/>
      <c r="Z5" s="246"/>
      <c r="AA5" s="559"/>
      <c r="AB5" s="560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90" t="s">
        <v>20</v>
      </c>
      <c r="AO5" s="256">
        <v>21</v>
      </c>
      <c r="AP5" s="32">
        <f t="shared" si="0"/>
        <v>4059</v>
      </c>
      <c r="AQ5" s="32">
        <f t="shared" si="1"/>
        <v>33</v>
      </c>
      <c r="AR5" s="257">
        <f>IFERROR(Tabelle24[[#This Row],[€]]/Tabelle24[[#This Row],[Backer]],"")</f>
        <v>123</v>
      </c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</row>
    <row r="6" spans="1:78" s="2" customFormat="1" ht="15" customHeight="1" thickBot="1" x14ac:dyDescent="0.3">
      <c r="A6" s="108"/>
      <c r="B6" s="659"/>
      <c r="C6" s="119"/>
      <c r="D6" s="102"/>
      <c r="E6" s="119"/>
      <c r="F6" s="119"/>
      <c r="G6" s="119"/>
      <c r="H6" s="671"/>
      <c r="I6" s="672"/>
      <c r="J6" s="672"/>
      <c r="K6" s="672"/>
      <c r="L6" s="672"/>
      <c r="M6" s="672"/>
      <c r="N6" s="672"/>
      <c r="O6" s="672"/>
      <c r="P6" s="672"/>
      <c r="Q6" s="673"/>
      <c r="R6" s="102"/>
      <c r="S6" s="246" t="s">
        <v>34</v>
      </c>
      <c r="T6" s="240" t="s">
        <v>442</v>
      </c>
      <c r="U6" s="246"/>
      <c r="V6" s="246"/>
      <c r="W6" s="246"/>
      <c r="X6" s="246"/>
      <c r="Y6" s="246"/>
      <c r="Z6" s="246"/>
      <c r="AA6" s="561"/>
      <c r="AB6" s="56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75" t="s">
        <v>22</v>
      </c>
      <c r="AO6" s="256">
        <v>20</v>
      </c>
      <c r="AP6" s="32">
        <f t="shared" si="0"/>
        <v>3347</v>
      </c>
      <c r="AQ6" s="32">
        <f t="shared" si="1"/>
        <v>24</v>
      </c>
      <c r="AR6" s="257">
        <f>IFERROR(Tabelle24[[#This Row],[€]]/Tabelle24[[#This Row],[Backer]],"")</f>
        <v>139.45833333333334</v>
      </c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</row>
    <row r="7" spans="1:78" s="2" customFormat="1" ht="18.75" customHeight="1" thickBot="1" x14ac:dyDescent="0.3">
      <c r="A7" s="108"/>
      <c r="B7" s="659"/>
      <c r="C7" s="119"/>
      <c r="D7" s="102"/>
      <c r="E7" s="119"/>
      <c r="F7" s="119"/>
      <c r="G7" s="119"/>
      <c r="H7" s="671"/>
      <c r="I7" s="672"/>
      <c r="J7" s="672"/>
      <c r="K7" s="672"/>
      <c r="L7" s="672"/>
      <c r="M7" s="672"/>
      <c r="N7" s="672"/>
      <c r="O7" s="672"/>
      <c r="P7" s="672"/>
      <c r="Q7" s="673"/>
      <c r="R7" s="102"/>
      <c r="S7" s="246" t="s">
        <v>17</v>
      </c>
      <c r="T7" s="244">
        <v>10</v>
      </c>
      <c r="U7" s="246"/>
      <c r="V7" s="246"/>
      <c r="W7" s="246"/>
      <c r="X7" s="246"/>
      <c r="Y7" s="246"/>
      <c r="Z7" s="246"/>
      <c r="AA7" s="561"/>
      <c r="AB7" s="56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90" t="s">
        <v>54</v>
      </c>
      <c r="AO7" s="256">
        <v>19</v>
      </c>
      <c r="AP7" s="32">
        <f t="shared" si="0"/>
        <v>3225</v>
      </c>
      <c r="AQ7" s="32">
        <f t="shared" si="1"/>
        <v>21</v>
      </c>
      <c r="AR7" s="257">
        <f>IFERROR(Tabelle24[[#This Row],[€]]/Tabelle24[[#This Row],[Backer]],"")</f>
        <v>153.57142857142858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</row>
    <row r="8" spans="1:78" s="2" customFormat="1" ht="18.75" customHeight="1" x14ac:dyDescent="0.25">
      <c r="A8" s="108"/>
      <c r="B8" s="659"/>
      <c r="C8" s="119"/>
      <c r="D8" s="102"/>
      <c r="E8" s="119"/>
      <c r="F8" s="119"/>
      <c r="G8" s="119"/>
      <c r="H8" s="671"/>
      <c r="I8" s="672"/>
      <c r="J8" s="672"/>
      <c r="K8" s="672"/>
      <c r="L8" s="672"/>
      <c r="M8" s="672"/>
      <c r="N8" s="672"/>
      <c r="O8" s="672"/>
      <c r="P8" s="672"/>
      <c r="Q8" s="673"/>
      <c r="R8" s="102"/>
      <c r="S8" s="246" t="s">
        <v>16</v>
      </c>
      <c r="T8" s="31">
        <v>62627</v>
      </c>
      <c r="U8" s="246"/>
      <c r="V8" s="246"/>
      <c r="W8" s="246"/>
      <c r="X8" s="246"/>
      <c r="Y8" s="246"/>
      <c r="Z8" s="246"/>
      <c r="AA8" s="561"/>
      <c r="AB8" s="56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75" t="s">
        <v>21</v>
      </c>
      <c r="AO8" s="256">
        <v>9</v>
      </c>
      <c r="AP8" s="32">
        <f t="shared" si="0"/>
        <v>2622</v>
      </c>
      <c r="AQ8" s="32">
        <f t="shared" si="1"/>
        <v>6</v>
      </c>
      <c r="AR8" s="257">
        <f>IFERROR(Tabelle24[[#This Row],[€]]/Tabelle24[[#This Row],[Backer]],"")</f>
        <v>437</v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</row>
    <row r="9" spans="1:78" s="2" customFormat="1" ht="15" customHeight="1" thickBot="1" x14ac:dyDescent="0.3">
      <c r="A9" s="108"/>
      <c r="B9" s="659"/>
      <c r="C9" s="119"/>
      <c r="D9" s="102"/>
      <c r="E9" s="119"/>
      <c r="F9" s="119"/>
      <c r="G9" s="119"/>
      <c r="H9" s="671"/>
      <c r="I9" s="672"/>
      <c r="J9" s="672"/>
      <c r="K9" s="672"/>
      <c r="L9" s="672"/>
      <c r="M9" s="672"/>
      <c r="N9" s="672"/>
      <c r="O9" s="672"/>
      <c r="P9" s="672"/>
      <c r="Q9" s="673"/>
      <c r="R9" s="102"/>
      <c r="S9" s="247" t="s">
        <v>18</v>
      </c>
      <c r="T9" s="240">
        <v>65000</v>
      </c>
      <c r="U9" s="247"/>
      <c r="V9" s="247"/>
      <c r="W9" s="247"/>
      <c r="X9" s="247"/>
      <c r="Y9" s="247"/>
      <c r="Z9" s="247"/>
      <c r="AA9" s="561"/>
      <c r="AB9" s="56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90" t="s">
        <v>55</v>
      </c>
      <c r="AO9" s="256">
        <v>18</v>
      </c>
      <c r="AP9" s="32">
        <f t="shared" si="0"/>
        <v>2609</v>
      </c>
      <c r="AQ9" s="32">
        <f t="shared" si="1"/>
        <v>18</v>
      </c>
      <c r="AR9" s="257">
        <f>IFERROR(Tabelle24[[#This Row],[€]]/Tabelle24[[#This Row],[Backer]],"")</f>
        <v>144.94444444444446</v>
      </c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</row>
    <row r="10" spans="1:78" s="2" customFormat="1" ht="18.75" customHeight="1" thickBot="1" x14ac:dyDescent="0.3">
      <c r="A10" s="108"/>
      <c r="B10" s="659"/>
      <c r="C10" s="119"/>
      <c r="D10" s="102"/>
      <c r="E10" s="119"/>
      <c r="F10" s="119"/>
      <c r="G10" s="119"/>
      <c r="H10" s="674"/>
      <c r="I10" s="675"/>
      <c r="J10" s="675"/>
      <c r="K10" s="675"/>
      <c r="L10" s="675"/>
      <c r="M10" s="675"/>
      <c r="N10" s="675"/>
      <c r="O10" s="675"/>
      <c r="P10" s="675"/>
      <c r="Q10" s="676"/>
      <c r="R10" s="102"/>
      <c r="S10" s="246" t="s">
        <v>15</v>
      </c>
      <c r="T10" s="33">
        <v>425</v>
      </c>
      <c r="U10" s="246"/>
      <c r="V10" s="246"/>
      <c r="W10" s="246"/>
      <c r="X10" s="246"/>
      <c r="Y10" s="246"/>
      <c r="Z10" s="246"/>
      <c r="AA10" s="563"/>
      <c r="AB10" s="56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75" t="s">
        <v>23</v>
      </c>
      <c r="AO10" s="256">
        <v>15</v>
      </c>
      <c r="AP10" s="32">
        <f t="shared" si="0"/>
        <v>2340</v>
      </c>
      <c r="AQ10" s="32">
        <f t="shared" si="1"/>
        <v>14</v>
      </c>
      <c r="AR10" s="257">
        <f>IFERROR(Tabelle24[[#This Row],[€]]/Tabelle24[[#This Row],[Backer]],"")</f>
        <v>167.14285714285714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</row>
    <row r="11" spans="1:78" s="2" customFormat="1" ht="15.75" customHeight="1" thickBot="1" x14ac:dyDescent="0.3">
      <c r="A11" s="108"/>
      <c r="B11" s="659"/>
      <c r="C11" s="119"/>
      <c r="D11" s="102"/>
      <c r="E11" s="119"/>
      <c r="F11" s="119"/>
      <c r="G11" s="119"/>
      <c r="H11" s="119"/>
      <c r="I11" s="119"/>
      <c r="J11" s="119"/>
      <c r="K11" s="119"/>
      <c r="L11" s="119"/>
      <c r="M11" s="119"/>
      <c r="N11" s="102"/>
      <c r="O11" s="102"/>
      <c r="P11" s="102"/>
      <c r="Q11" s="102"/>
      <c r="R11" s="102"/>
      <c r="S11" s="246" t="s">
        <v>76</v>
      </c>
      <c r="T11" s="35">
        <f>T8/T10</f>
        <v>147.35764705882352</v>
      </c>
      <c r="U11" s="246"/>
      <c r="V11" s="246"/>
      <c r="W11" s="246"/>
      <c r="X11" s="246"/>
      <c r="Y11" s="246"/>
      <c r="Z11" s="246"/>
      <c r="AA11" s="102"/>
      <c r="AB11" s="10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90" t="s">
        <v>56</v>
      </c>
      <c r="AO11" s="256">
        <v>16</v>
      </c>
      <c r="AP11" s="32">
        <f t="shared" si="0"/>
        <v>2028</v>
      </c>
      <c r="AQ11" s="32">
        <f t="shared" si="1"/>
        <v>11</v>
      </c>
      <c r="AR11" s="257">
        <f>IFERROR(Tabelle24[[#This Row],[€]]/Tabelle24[[#This Row],[Backer]],"")</f>
        <v>184.36363636363637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</row>
    <row r="12" spans="1:78" s="2" customFormat="1" ht="18.75" customHeight="1" x14ac:dyDescent="0.3">
      <c r="A12" s="108"/>
      <c r="B12" s="659"/>
      <c r="C12" s="119"/>
      <c r="D12" s="102"/>
      <c r="E12" s="119"/>
      <c r="F12" s="119"/>
      <c r="G12" s="119"/>
      <c r="H12" s="677" t="s">
        <v>118</v>
      </c>
      <c r="I12" s="678"/>
      <c r="J12" s="678"/>
      <c r="K12" s="678"/>
      <c r="L12" s="678"/>
      <c r="M12" s="678"/>
      <c r="N12" s="678"/>
      <c r="O12" s="678"/>
      <c r="P12" s="678"/>
      <c r="Q12" s="679"/>
      <c r="R12" s="102"/>
      <c r="S12" s="245" t="s">
        <v>53</v>
      </c>
      <c r="T12" s="39">
        <f>SUM('CF-Guide'!$H$5:$P$5)</f>
        <v>426</v>
      </c>
      <c r="U12" s="245"/>
      <c r="V12" s="245"/>
      <c r="W12" s="245"/>
      <c r="X12" s="245"/>
      <c r="Y12" s="245"/>
      <c r="Z12" s="245"/>
      <c r="AA12" s="565"/>
      <c r="AB12" s="56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75" t="s">
        <v>25</v>
      </c>
      <c r="AO12" s="256">
        <v>8</v>
      </c>
      <c r="AP12" s="32">
        <f t="shared" si="0"/>
        <v>2006</v>
      </c>
      <c r="AQ12" s="32">
        <f t="shared" si="1"/>
        <v>14</v>
      </c>
      <c r="AR12" s="257">
        <f>IFERROR(Tabelle24[[#This Row],[€]]/Tabelle24[[#This Row],[Backer]],"")</f>
        <v>143.28571428571428</v>
      </c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</row>
    <row r="13" spans="1:78" s="2" customFormat="1" ht="19.5" thickBot="1" x14ac:dyDescent="0.35">
      <c r="A13" s="108"/>
      <c r="B13" s="659"/>
      <c r="C13" s="119"/>
      <c r="D13" s="102"/>
      <c r="E13" s="119"/>
      <c r="F13" s="119"/>
      <c r="G13" s="119"/>
      <c r="H13" s="680" t="s">
        <v>119</v>
      </c>
      <c r="I13" s="681"/>
      <c r="J13" s="681"/>
      <c r="K13" s="681"/>
      <c r="L13" s="681"/>
      <c r="M13" s="681"/>
      <c r="N13" s="681"/>
      <c r="O13" s="681"/>
      <c r="P13" s="681"/>
      <c r="Q13" s="682"/>
      <c r="R13" s="102"/>
      <c r="S13" s="248" t="s">
        <v>38</v>
      </c>
      <c r="T13" s="142">
        <f>T12-T10</f>
        <v>1</v>
      </c>
      <c r="U13" s="248"/>
      <c r="V13" s="248"/>
      <c r="W13" s="248"/>
      <c r="X13" s="248"/>
      <c r="Y13" s="248"/>
      <c r="Z13" s="248"/>
      <c r="AA13" s="567"/>
      <c r="AB13" s="568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75" t="s">
        <v>24</v>
      </c>
      <c r="AO13" s="256">
        <v>12</v>
      </c>
      <c r="AP13" s="32">
        <f t="shared" si="0"/>
        <v>1920</v>
      </c>
      <c r="AQ13" s="32">
        <f t="shared" si="1"/>
        <v>14</v>
      </c>
      <c r="AR13" s="257">
        <f>IFERROR(Tabelle24[[#This Row],[€]]/Tabelle24[[#This Row],[Backer]],"")</f>
        <v>137.14285714285714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</row>
    <row r="14" spans="1:78" s="2" customFormat="1" ht="19.5" thickBot="1" x14ac:dyDescent="0.35">
      <c r="A14" s="108"/>
      <c r="B14" s="659"/>
      <c r="C14" s="119"/>
      <c r="D14" s="102"/>
      <c r="E14" s="119"/>
      <c r="F14" s="119"/>
      <c r="G14" s="119"/>
      <c r="H14" s="220"/>
      <c r="I14" s="220"/>
      <c r="J14" s="220"/>
      <c r="K14" s="119"/>
      <c r="L14" s="117"/>
      <c r="M14" s="119"/>
      <c r="N14" s="102"/>
      <c r="O14" s="102"/>
      <c r="P14" s="102"/>
      <c r="Q14" s="102"/>
      <c r="R14" s="102"/>
      <c r="S14" s="24"/>
      <c r="T14" s="24"/>
      <c r="U14" s="24"/>
      <c r="V14" s="24"/>
      <c r="W14" s="24"/>
      <c r="X14" s="24"/>
      <c r="Y14" s="24"/>
      <c r="Z14" s="24"/>
      <c r="AA14" s="102"/>
      <c r="AB14" s="10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75" t="s">
        <v>26</v>
      </c>
      <c r="AO14" s="256">
        <v>13</v>
      </c>
      <c r="AP14" s="32">
        <f t="shared" si="0"/>
        <v>1611</v>
      </c>
      <c r="AQ14" s="32">
        <f t="shared" si="1"/>
        <v>12</v>
      </c>
      <c r="AR14" s="257">
        <f>IFERROR(Tabelle24[[#This Row],[€]]/Tabelle24[[#This Row],[Backer]],"")</f>
        <v>134.25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</row>
    <row r="15" spans="1:78" s="2" customFormat="1" ht="18.75" x14ac:dyDescent="0.3">
      <c r="A15" s="108"/>
      <c r="B15" s="659"/>
      <c r="C15" s="119"/>
      <c r="D15" s="102"/>
      <c r="E15" s="119"/>
      <c r="F15" s="119"/>
      <c r="G15" s="119"/>
      <c r="H15" s="220"/>
      <c r="I15" s="220"/>
      <c r="J15" s="220"/>
      <c r="K15" s="119"/>
      <c r="L15" s="117"/>
      <c r="M15" s="119"/>
      <c r="N15" s="102"/>
      <c r="O15" s="102"/>
      <c r="P15" s="102"/>
      <c r="Q15" s="102"/>
      <c r="R15" s="102"/>
      <c r="S15" s="249" t="str">
        <f>'CF-Guide'!$H$3</f>
        <v>Feuerläufer</v>
      </c>
      <c r="T15" s="31">
        <v>19</v>
      </c>
      <c r="U15" s="249"/>
      <c r="V15" s="249"/>
      <c r="W15" s="249"/>
      <c r="X15" s="249"/>
      <c r="Y15" s="249"/>
      <c r="Z15" s="249"/>
      <c r="AA15" s="102"/>
      <c r="AB15" s="10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75" t="s">
        <v>57</v>
      </c>
      <c r="AO15" s="256">
        <v>14</v>
      </c>
      <c r="AP15" s="32">
        <f t="shared" si="0"/>
        <v>1538</v>
      </c>
      <c r="AQ15" s="32">
        <f t="shared" si="1"/>
        <v>12</v>
      </c>
      <c r="AR15" s="257">
        <f>IFERROR(Tabelle24[[#This Row],[€]]/Tabelle24[[#This Row],[Backer]],"")</f>
        <v>128.16666666666666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</row>
    <row r="16" spans="1:78" s="2" customFormat="1" ht="19.5" thickBot="1" x14ac:dyDescent="0.35">
      <c r="A16" s="108"/>
      <c r="B16" s="660"/>
      <c r="C16" s="119"/>
      <c r="D16" s="102"/>
      <c r="E16" s="119"/>
      <c r="F16" s="119"/>
      <c r="G16" s="119"/>
      <c r="H16" s="220"/>
      <c r="I16" s="220"/>
      <c r="J16" s="220"/>
      <c r="K16" s="119"/>
      <c r="L16" s="117"/>
      <c r="M16" s="119"/>
      <c r="N16" s="102"/>
      <c r="O16" s="102"/>
      <c r="P16" s="102"/>
      <c r="Q16" s="102"/>
      <c r="R16" s="102"/>
      <c r="S16" s="249" t="str">
        <f>'CF-Guide'!$I$3</f>
        <v>Drachenzähmer</v>
      </c>
      <c r="T16" s="241">
        <v>61</v>
      </c>
      <c r="U16" s="249"/>
      <c r="V16" s="249"/>
      <c r="W16" s="249"/>
      <c r="X16" s="249"/>
      <c r="Y16" s="249"/>
      <c r="Z16" s="249"/>
      <c r="AA16" s="102"/>
      <c r="AB16" s="10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75" t="s">
        <v>29</v>
      </c>
      <c r="AO16" s="256">
        <v>10</v>
      </c>
      <c r="AP16" s="32">
        <f t="shared" si="0"/>
        <v>1470</v>
      </c>
      <c r="AQ16" s="32">
        <f t="shared" si="1"/>
        <v>10</v>
      </c>
      <c r="AR16" s="257">
        <f>IFERROR(Tabelle24[[#This Row],[€]]/Tabelle24[[#This Row],[Backer]],"")</f>
        <v>147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</row>
    <row r="17" spans="1:82" s="2" customFormat="1" ht="18.75" customHeight="1" x14ac:dyDescent="0.3">
      <c r="A17" s="108"/>
      <c r="B17" s="102"/>
      <c r="C17" s="102"/>
      <c r="D17" s="227" t="s">
        <v>206</v>
      </c>
      <c r="E17" s="227"/>
      <c r="F17" s="230" t="s">
        <v>152</v>
      </c>
      <c r="G17" s="119"/>
      <c r="H17" s="220"/>
      <c r="I17" s="220"/>
      <c r="J17" s="220"/>
      <c r="K17" s="119"/>
      <c r="L17" s="117"/>
      <c r="M17" s="119"/>
      <c r="N17" s="102"/>
      <c r="O17" s="102"/>
      <c r="P17" s="102"/>
      <c r="Q17" s="102"/>
      <c r="R17" s="102"/>
      <c r="S17" s="249" t="str">
        <f>'CF-Guide'!$J$3</f>
        <v>Sporenmystiker</v>
      </c>
      <c r="T17" s="241">
        <v>117</v>
      </c>
      <c r="U17" s="249"/>
      <c r="V17" s="249"/>
      <c r="W17" s="249"/>
      <c r="X17" s="249"/>
      <c r="Y17" s="249"/>
      <c r="Z17" s="249"/>
      <c r="AA17" s="102"/>
      <c r="AB17" s="10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75" t="s">
        <v>58</v>
      </c>
      <c r="AO17" s="256">
        <v>17</v>
      </c>
      <c r="AP17" s="32">
        <f t="shared" si="0"/>
        <v>1408</v>
      </c>
      <c r="AQ17" s="32">
        <f t="shared" si="1"/>
        <v>10</v>
      </c>
      <c r="AR17" s="257">
        <f>IFERROR(Tabelle24[[#This Row],[€]]/Tabelle24[[#This Row],[Backer]],"")</f>
        <v>140.80000000000001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</row>
    <row r="18" spans="1:82" s="2" customFormat="1" ht="18.75" customHeight="1" x14ac:dyDescent="0.3">
      <c r="A18" s="108"/>
      <c r="B18" s="102"/>
      <c r="C18" s="102"/>
      <c r="D18" s="356" t="s">
        <v>290</v>
      </c>
      <c r="E18" s="316"/>
      <c r="F18" s="228" t="s">
        <v>107</v>
      </c>
      <c r="G18" s="119"/>
      <c r="H18" s="220"/>
      <c r="I18" s="220"/>
      <c r="J18" s="220"/>
      <c r="K18" s="119"/>
      <c r="L18" s="117"/>
      <c r="M18" s="119"/>
      <c r="N18" s="102"/>
      <c r="O18" s="102"/>
      <c r="P18" s="102"/>
      <c r="Q18" s="102"/>
      <c r="R18" s="102"/>
      <c r="S18" s="249">
        <f>'CF-Guide'!$K$3</f>
        <v>0</v>
      </c>
      <c r="T18" s="241"/>
      <c r="U18" s="249"/>
      <c r="V18" s="249"/>
      <c r="W18" s="249"/>
      <c r="X18" s="249"/>
      <c r="Y18" s="249"/>
      <c r="Z18" s="249"/>
      <c r="AA18" s="102"/>
      <c r="AB18" s="10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75" t="s">
        <v>30</v>
      </c>
      <c r="AO18" s="256">
        <v>11</v>
      </c>
      <c r="AP18" s="32">
        <f t="shared" si="0"/>
        <v>1088</v>
      </c>
      <c r="AQ18" s="32">
        <f t="shared" si="1"/>
        <v>6</v>
      </c>
      <c r="AR18" s="257">
        <f>IFERROR(Tabelle24[[#This Row],[€]]/Tabelle24[[#This Row],[Backer]],"")</f>
        <v>181.33333333333334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</row>
    <row r="19" spans="1:82" s="2" customFormat="1" ht="19.5" collapsed="1" thickBot="1" x14ac:dyDescent="0.35">
      <c r="A19" s="108"/>
      <c r="B19" s="102"/>
      <c r="C19" s="119"/>
      <c r="D19" s="102"/>
      <c r="E19" s="102"/>
      <c r="F19" s="119"/>
      <c r="G19" s="119"/>
      <c r="H19" s="233"/>
      <c r="I19" s="233"/>
      <c r="J19" s="233"/>
      <c r="K19" s="119"/>
      <c r="L19" s="117"/>
      <c r="M19" s="119"/>
      <c r="N19" s="119"/>
      <c r="O19" s="102"/>
      <c r="P19" s="102"/>
      <c r="Q19" s="102"/>
      <c r="R19" s="102"/>
      <c r="S19" s="249">
        <f>'CF-Guide'!$L$3</f>
        <v>0</v>
      </c>
      <c r="T19" s="241"/>
      <c r="U19" s="249"/>
      <c r="V19" s="249"/>
      <c r="W19" s="249"/>
      <c r="X19" s="249"/>
      <c r="Y19" s="249"/>
      <c r="Z19" s="249"/>
      <c r="AA19" s="119"/>
      <c r="AB19" s="119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75" t="s">
        <v>59</v>
      </c>
      <c r="AO19" s="256">
        <v>2</v>
      </c>
      <c r="AP19" s="593"/>
      <c r="AQ19" s="593"/>
      <c r="AR19" s="59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</row>
    <row r="20" spans="1:82" s="2" customFormat="1" ht="19.5" customHeight="1" x14ac:dyDescent="0.3">
      <c r="A20" s="108"/>
      <c r="B20" s="661" t="str">
        <f>"Aktueller
Stand: 
"&amp;TEXT(T5,"TT.MM.JJJJ")&amp;"
"&amp;T6&amp;" Uhr"</f>
        <v>Aktueller
Stand: 
08.05.2024
18:00 Uhr</v>
      </c>
      <c r="C20" s="237"/>
      <c r="D20" s="652" t="str">
        <f>TEXT(T4&amp;". Tag",)&amp;"; FINALER Stand: "&amp;TEXT(T8,"#.##0")&amp;" € von "&amp;TEXT(T10,"#.##0")&amp;" Unterstützern (Ø "&amp;TEXT(T11,"#.##0,00")&amp;" €)"</f>
        <v>21. Tag; FINALER Stand: 62.627 € von 425 Unterstützern (Ø 147,36 €)</v>
      </c>
      <c r="E20" s="652"/>
      <c r="F20" s="652"/>
      <c r="G20" s="119"/>
      <c r="H20" s="235"/>
      <c r="I20" s="233"/>
      <c r="J20" s="233"/>
      <c r="K20" s="119"/>
      <c r="L20" s="117"/>
      <c r="M20" s="119"/>
      <c r="N20" s="119"/>
      <c r="O20" s="102"/>
      <c r="P20" s="102"/>
      <c r="Q20" s="102"/>
      <c r="R20" s="102"/>
      <c r="S20" s="249">
        <f>'CF-Guide'!$M$3</f>
        <v>0</v>
      </c>
      <c r="T20" s="241"/>
      <c r="U20" s="249"/>
      <c r="V20" s="249"/>
      <c r="W20" s="249"/>
      <c r="X20" s="249"/>
      <c r="Y20" s="249"/>
      <c r="Z20" s="249"/>
      <c r="AA20" s="119"/>
      <c r="AB20" s="119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75" t="s">
        <v>60</v>
      </c>
      <c r="AO20" s="256">
        <v>3</v>
      </c>
      <c r="AP20" s="593"/>
      <c r="AQ20" s="593"/>
      <c r="AR20" s="59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</row>
    <row r="21" spans="1:82" s="2" customFormat="1" ht="19.5" customHeight="1" x14ac:dyDescent="0.3">
      <c r="A21" s="102"/>
      <c r="B21" s="662"/>
      <c r="C21" s="237"/>
      <c r="D21" s="652"/>
      <c r="E21" s="652"/>
      <c r="F21" s="652"/>
      <c r="G21" s="119"/>
      <c r="H21" s="235"/>
      <c r="I21" s="233"/>
      <c r="J21" s="233"/>
      <c r="K21" s="119"/>
      <c r="L21" s="117"/>
      <c r="M21" s="119"/>
      <c r="N21" s="119"/>
      <c r="O21" s="102"/>
      <c r="P21" s="102"/>
      <c r="Q21" s="102"/>
      <c r="R21" s="102"/>
      <c r="S21" s="249">
        <f>'CF-Guide'!$N$3</f>
        <v>0</v>
      </c>
      <c r="T21" s="241"/>
      <c r="U21" s="249"/>
      <c r="V21" s="249"/>
      <c r="W21" s="249"/>
      <c r="X21" s="249"/>
      <c r="Y21" s="249"/>
      <c r="Z21" s="249"/>
      <c r="AA21" s="119"/>
      <c r="AB21" s="119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75" t="s">
        <v>61</v>
      </c>
      <c r="AO21" s="256">
        <v>4</v>
      </c>
      <c r="AP21" s="593"/>
      <c r="AQ21" s="593"/>
      <c r="AR21" s="59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</row>
    <row r="22" spans="1:82" s="2" customFormat="1" ht="19.5" customHeight="1" x14ac:dyDescent="0.3">
      <c r="A22" s="102"/>
      <c r="B22" s="662"/>
      <c r="C22" s="236"/>
      <c r="D22" s="653" t="str">
        <f>"Erreichte Bonusziele: "&amp;T7&amp;", bis: '"&amp;VLOOKUP(T7,$C$32:$D$45,2,FALSE)&amp;"'"</f>
        <v>Erreichte Bonusziele: 10, bis: 'HEUREKA!'</v>
      </c>
      <c r="E22" s="653"/>
      <c r="F22" s="653"/>
      <c r="G22" s="119"/>
      <c r="H22" s="225"/>
      <c r="I22" s="233"/>
      <c r="J22" s="233"/>
      <c r="K22" s="119"/>
      <c r="L22" s="117"/>
      <c r="M22" s="119"/>
      <c r="N22" s="119"/>
      <c r="O22" s="102"/>
      <c r="P22" s="102"/>
      <c r="Q22" s="102"/>
      <c r="R22" s="102"/>
      <c r="S22" s="249">
        <f>'CF-Guide'!$O$3</f>
        <v>0</v>
      </c>
      <c r="T22" s="241"/>
      <c r="U22" s="249"/>
      <c r="V22" s="249"/>
      <c r="W22" s="249"/>
      <c r="X22" s="249"/>
      <c r="Y22" s="249"/>
      <c r="Z22" s="249"/>
      <c r="AA22" s="119"/>
      <c r="AB22" s="119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30"/>
      <c r="AN22" s="75" t="s">
        <v>64</v>
      </c>
      <c r="AO22" s="256">
        <v>5</v>
      </c>
      <c r="AP22" s="593"/>
      <c r="AQ22" s="593"/>
      <c r="AR22" s="594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</row>
    <row r="23" spans="1:82" s="37" customFormat="1" ht="19.5" thickBot="1" x14ac:dyDescent="0.35">
      <c r="A23" s="103"/>
      <c r="B23" s="663"/>
      <c r="C23" s="236"/>
      <c r="D23" s="654" t="str">
        <f>"Noch "&amp;TEXT(T9-T8,"#.##0")&amp;" € bis zum "&amp;T7+1&amp;". Ziel: '"&amp;VLOOKUP(T7+1,$C$32:$D$45,2,FALSE)&amp;"' bei "&amp;TEXT(T9,"#.##0 €")</f>
        <v>Noch 2.373 € bis zum 11. Ziel: 'Freunde und Feinde' bei 65.000 €</v>
      </c>
      <c r="E23" s="654"/>
      <c r="F23" s="654"/>
      <c r="G23" s="119"/>
      <c r="H23" s="224"/>
      <c r="I23" s="233"/>
      <c r="J23" s="233"/>
      <c r="K23" s="119"/>
      <c r="L23" s="117"/>
      <c r="M23" s="119"/>
      <c r="N23" s="119"/>
      <c r="O23" s="119"/>
      <c r="P23" s="119"/>
      <c r="Q23" s="119"/>
      <c r="R23" s="119"/>
      <c r="S23" s="249" t="str">
        <f>'CF-Guide'!$P$3</f>
        <v>Schwammkönig</v>
      </c>
      <c r="T23" s="33">
        <v>229</v>
      </c>
      <c r="U23" s="249"/>
      <c r="V23" s="249"/>
      <c r="W23" s="249"/>
      <c r="X23" s="249"/>
      <c r="Y23" s="249"/>
      <c r="Z23" s="249"/>
      <c r="AA23" s="119"/>
      <c r="AB23" s="119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30"/>
      <c r="AN23" s="75" t="s">
        <v>62</v>
      </c>
      <c r="AO23" s="256">
        <v>6</v>
      </c>
      <c r="AP23" s="593"/>
      <c r="AQ23" s="593"/>
      <c r="AR23" s="594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</row>
    <row r="24" spans="1:82" s="2" customFormat="1" ht="20.25" x14ac:dyDescent="0.3">
      <c r="A24" s="108"/>
      <c r="B24" s="232"/>
      <c r="C24" s="119"/>
      <c r="D24" s="102"/>
      <c r="E24" s="119"/>
      <c r="F24" s="119"/>
      <c r="G24" s="119"/>
      <c r="H24" s="233"/>
      <c r="I24" s="233"/>
      <c r="J24" s="233"/>
      <c r="K24" s="119"/>
      <c r="L24" s="117"/>
      <c r="M24" s="119"/>
      <c r="N24" s="119"/>
      <c r="O24" s="119"/>
      <c r="P24" s="119"/>
      <c r="Q24" s="119"/>
      <c r="R24" s="119"/>
      <c r="S24" s="24"/>
      <c r="T24" s="24"/>
      <c r="U24" s="24"/>
      <c r="V24" s="24"/>
      <c r="W24" s="24"/>
      <c r="X24" s="24"/>
      <c r="Y24" s="24"/>
      <c r="Z24" s="24"/>
      <c r="AA24" s="119"/>
      <c r="AB24" s="119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75" t="s">
        <v>63</v>
      </c>
      <c r="AO24" s="256">
        <v>7</v>
      </c>
      <c r="AP24" s="593"/>
      <c r="AQ24" s="593"/>
      <c r="AR24" s="59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</row>
    <row r="25" spans="1:82" s="2" customFormat="1" ht="4.5" customHeight="1" thickBot="1" x14ac:dyDescent="0.35">
      <c r="A25" s="108"/>
      <c r="B25" s="102"/>
      <c r="C25" s="119"/>
      <c r="D25" s="102"/>
      <c r="E25" s="119"/>
      <c r="F25" s="119"/>
      <c r="G25" s="119"/>
      <c r="H25" s="233"/>
      <c r="I25" s="233"/>
      <c r="J25" s="233"/>
      <c r="K25" s="119"/>
      <c r="L25" s="117"/>
      <c r="M25" s="119"/>
      <c r="N25" s="119"/>
      <c r="O25" s="119"/>
      <c r="P25" s="119"/>
      <c r="Q25" s="119"/>
      <c r="R25" s="119"/>
      <c r="S25" s="24"/>
      <c r="T25" s="24"/>
      <c r="U25" s="24"/>
      <c r="V25" s="24"/>
      <c r="W25" s="24"/>
      <c r="X25" s="24"/>
      <c r="Y25" s="24"/>
      <c r="Z25" s="24"/>
      <c r="AA25" s="119"/>
      <c r="AB25" s="119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</row>
    <row r="26" spans="1:82" s="2" customFormat="1" ht="30" customHeight="1" thickBot="1" x14ac:dyDescent="0.35">
      <c r="A26" s="108"/>
      <c r="B26" s="658" t="s">
        <v>151</v>
      </c>
      <c r="C26" s="119"/>
      <c r="D26" s="640" t="s">
        <v>272</v>
      </c>
      <c r="E26" s="641"/>
      <c r="F26" s="642"/>
      <c r="G26" s="119"/>
      <c r="H26" s="233"/>
      <c r="I26" s="233"/>
      <c r="J26" s="233"/>
      <c r="K26" s="119"/>
      <c r="L26" s="117"/>
      <c r="M26" s="119"/>
      <c r="N26" s="119"/>
      <c r="O26" s="119"/>
      <c r="P26" s="119"/>
      <c r="Q26" s="119"/>
      <c r="R26" s="119"/>
      <c r="S26" s="24"/>
      <c r="T26" s="24"/>
      <c r="U26" s="34"/>
      <c r="V26" s="24"/>
      <c r="W26" s="24"/>
      <c r="X26" s="24"/>
      <c r="Y26" s="24"/>
      <c r="Z26" s="24"/>
      <c r="AA26" s="119"/>
      <c r="AB26" s="119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</row>
    <row r="27" spans="1:82" s="2" customFormat="1" ht="30" customHeight="1" thickBot="1" x14ac:dyDescent="0.35">
      <c r="A27" s="108"/>
      <c r="B27" s="659"/>
      <c r="C27" s="119"/>
      <c r="D27" s="643" t="s">
        <v>0</v>
      </c>
      <c r="E27" s="644"/>
      <c r="F27" s="645"/>
      <c r="G27" s="119"/>
      <c r="H27" s="233"/>
      <c r="I27" s="233"/>
      <c r="J27" s="233"/>
      <c r="K27" s="119"/>
      <c r="L27" s="117"/>
      <c r="M27" s="119"/>
      <c r="N27" s="119"/>
      <c r="O27" s="119"/>
      <c r="P27" s="119"/>
      <c r="Q27" s="119"/>
      <c r="R27" s="119"/>
      <c r="S27" s="24"/>
      <c r="T27" s="24"/>
      <c r="U27" s="34"/>
      <c r="V27" s="24"/>
      <c r="W27" s="24"/>
      <c r="X27" s="24"/>
      <c r="Y27" s="24"/>
      <c r="Z27" s="24"/>
      <c r="AA27" s="119"/>
      <c r="AB27" s="119"/>
      <c r="AC27" s="34"/>
      <c r="AD27" s="34"/>
      <c r="AE27" s="3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</row>
    <row r="28" spans="1:82" s="2" customFormat="1" ht="15.75" customHeight="1" thickBot="1" x14ac:dyDescent="0.35">
      <c r="A28" s="108"/>
      <c r="B28" s="659"/>
      <c r="C28" s="119"/>
      <c r="D28" s="655" t="s">
        <v>273</v>
      </c>
      <c r="E28" s="656"/>
      <c r="F28" s="657"/>
      <c r="G28" s="119"/>
      <c r="H28" s="233"/>
      <c r="I28" s="233"/>
      <c r="J28" s="233"/>
      <c r="K28" s="119"/>
      <c r="L28" s="117"/>
      <c r="M28" s="119"/>
      <c r="N28" s="119"/>
      <c r="O28" s="119"/>
      <c r="P28" s="119"/>
      <c r="Q28" s="119"/>
      <c r="R28" s="119"/>
      <c r="S28" s="24"/>
      <c r="T28" s="24"/>
      <c r="U28" s="24"/>
      <c r="V28" s="24"/>
      <c r="W28" s="24"/>
      <c r="X28" s="24"/>
      <c r="Y28" s="24"/>
      <c r="Z28" s="24"/>
      <c r="AA28" s="119"/>
      <c r="AB28" s="119"/>
      <c r="AC28" s="34"/>
      <c r="AD28" s="34"/>
      <c r="AE28" s="3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</row>
    <row r="29" spans="1:82" s="2" customFormat="1" ht="15" customHeight="1" thickBot="1" x14ac:dyDescent="0.35">
      <c r="A29" s="108"/>
      <c r="B29" s="659"/>
      <c r="C29" s="119"/>
      <c r="D29" s="655"/>
      <c r="E29" s="656"/>
      <c r="F29" s="657"/>
      <c r="G29" s="119"/>
      <c r="H29" s="233"/>
      <c r="I29" s="233"/>
      <c r="J29" s="233"/>
      <c r="K29" s="119"/>
      <c r="L29" s="117"/>
      <c r="M29" s="119"/>
      <c r="N29" s="119"/>
      <c r="O29" s="119"/>
      <c r="P29" s="119"/>
      <c r="Q29" s="119"/>
      <c r="R29" s="119"/>
      <c r="S29" s="24"/>
      <c r="T29" s="24"/>
      <c r="U29" s="24"/>
      <c r="V29" s="24"/>
      <c r="W29" s="24"/>
      <c r="X29" s="24"/>
      <c r="Y29" s="24"/>
      <c r="Z29" s="24"/>
      <c r="AA29" s="119"/>
      <c r="AB29" s="119"/>
      <c r="AC29" s="34"/>
      <c r="AD29" s="34"/>
      <c r="AE29" s="3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</row>
    <row r="30" spans="1:82" s="2" customFormat="1" ht="18" customHeight="1" thickBot="1" x14ac:dyDescent="0.35">
      <c r="A30" s="108"/>
      <c r="B30" s="660"/>
      <c r="C30" s="119"/>
      <c r="D30" s="655"/>
      <c r="E30" s="656"/>
      <c r="F30" s="657"/>
      <c r="G30" s="119"/>
      <c r="H30" s="233"/>
      <c r="I30" s="233"/>
      <c r="J30" s="233"/>
      <c r="K30" s="119"/>
      <c r="L30" s="117"/>
      <c r="M30" s="119"/>
      <c r="N30" s="119"/>
      <c r="O30" s="119"/>
      <c r="P30" s="119"/>
      <c r="Q30" s="119"/>
      <c r="R30" s="119"/>
      <c r="S30" s="24"/>
      <c r="T30" s="24"/>
      <c r="U30" s="24"/>
      <c r="V30" s="24"/>
      <c r="W30" s="24"/>
      <c r="X30" s="24"/>
      <c r="Y30" s="24"/>
      <c r="Z30" s="24"/>
      <c r="AA30" s="119"/>
      <c r="AB30" s="119"/>
      <c r="AC30" s="34"/>
      <c r="AD30" s="34"/>
      <c r="AE30" s="3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</row>
    <row r="31" spans="1:82" s="2" customFormat="1" ht="15" customHeight="1" x14ac:dyDescent="0.3">
      <c r="A31" s="108"/>
      <c r="B31" s="102"/>
      <c r="C31" s="119"/>
      <c r="D31" s="102"/>
      <c r="E31" s="119"/>
      <c r="F31" s="226"/>
      <c r="G31" s="119"/>
      <c r="H31" s="233"/>
      <c r="I31" s="233"/>
      <c r="J31" s="233"/>
      <c r="K31" s="119"/>
      <c r="L31" s="117"/>
      <c r="M31" s="119"/>
      <c r="N31" s="119"/>
      <c r="O31" s="119"/>
      <c r="P31" s="119"/>
      <c r="Q31" s="119"/>
      <c r="R31" s="119"/>
      <c r="S31" s="24"/>
      <c r="T31" s="24"/>
      <c r="U31" s="24"/>
      <c r="V31" s="24"/>
      <c r="W31" s="24"/>
      <c r="X31" s="24"/>
      <c r="Y31" s="24"/>
      <c r="Z31" s="24"/>
      <c r="AA31" s="119"/>
      <c r="AB31" s="119"/>
      <c r="AC31" s="34"/>
      <c r="AD31" s="34"/>
      <c r="AE31" s="3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</row>
    <row r="32" spans="1:82" s="168" customFormat="1" ht="18" hidden="1" customHeight="1" outlineLevel="1" x14ac:dyDescent="0.3">
      <c r="A32" s="166"/>
      <c r="B32" s="146"/>
      <c r="C32" s="41">
        <v>0</v>
      </c>
      <c r="D32" s="296" t="s">
        <v>207</v>
      </c>
      <c r="E32" s="297">
        <v>10000</v>
      </c>
      <c r="F32" s="298"/>
      <c r="G32" s="298"/>
      <c r="H32" s="298"/>
      <c r="I32" s="298"/>
      <c r="J32" s="298"/>
      <c r="K32" s="261"/>
      <c r="L32" s="299"/>
      <c r="M32" s="261"/>
      <c r="N32" s="261"/>
      <c r="O32" s="261"/>
      <c r="P32" s="261"/>
      <c r="Q32" s="261"/>
      <c r="R32" s="261"/>
      <c r="S32" s="167"/>
      <c r="T32" s="167"/>
      <c r="U32" s="167"/>
      <c r="V32" s="167"/>
      <c r="W32" s="167"/>
      <c r="X32" s="167"/>
      <c r="Y32" s="167"/>
      <c r="Z32" s="167"/>
      <c r="AA32" s="261"/>
      <c r="AB32" s="261"/>
      <c r="AC32" s="261"/>
      <c r="AD32" s="261"/>
      <c r="AE32" s="261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</row>
    <row r="33" spans="1:78" s="168" customFormat="1" ht="18" hidden="1" customHeight="1" outlineLevel="1" x14ac:dyDescent="0.3">
      <c r="A33" s="166"/>
      <c r="B33" s="146"/>
      <c r="C33" s="41">
        <v>1</v>
      </c>
      <c r="D33" s="296" t="s">
        <v>292</v>
      </c>
      <c r="E33" s="297">
        <f>E32+5000</f>
        <v>15000</v>
      </c>
      <c r="F33" s="298"/>
      <c r="G33" s="298"/>
      <c r="H33" s="298"/>
      <c r="I33" s="298"/>
      <c r="J33" s="298"/>
      <c r="K33" s="261"/>
      <c r="L33" s="299"/>
      <c r="M33" s="261"/>
      <c r="N33" s="261"/>
      <c r="O33" s="261"/>
      <c r="P33" s="261"/>
      <c r="Q33" s="261"/>
      <c r="R33" s="261"/>
      <c r="S33" s="167"/>
      <c r="T33" s="167"/>
      <c r="U33" s="167"/>
      <c r="V33" s="167"/>
      <c r="W33" s="167"/>
      <c r="X33" s="167"/>
      <c r="Y33" s="167"/>
      <c r="Z33" s="167"/>
      <c r="AA33" s="261"/>
      <c r="AB33" s="261"/>
      <c r="AC33" s="261"/>
      <c r="AD33" s="261"/>
      <c r="AE33" s="261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</row>
    <row r="34" spans="1:78" s="168" customFormat="1" ht="18" hidden="1" customHeight="1" outlineLevel="1" x14ac:dyDescent="0.3">
      <c r="A34" s="166"/>
      <c r="B34" s="146"/>
      <c r="C34" s="41">
        <v>2</v>
      </c>
      <c r="D34" s="296" t="s">
        <v>293</v>
      </c>
      <c r="E34" s="297">
        <f t="shared" ref="E34:E36" si="2">E33+5000</f>
        <v>20000</v>
      </c>
      <c r="F34" s="298"/>
      <c r="G34" s="298"/>
      <c r="H34" s="298"/>
      <c r="I34" s="298"/>
      <c r="J34" s="298"/>
      <c r="K34" s="261"/>
      <c r="L34" s="299"/>
      <c r="M34" s="261"/>
      <c r="N34" s="261"/>
      <c r="O34" s="261"/>
      <c r="P34" s="261"/>
      <c r="Q34" s="261"/>
      <c r="R34" s="261"/>
      <c r="S34" s="167"/>
      <c r="T34" s="167"/>
      <c r="U34" s="167"/>
      <c r="V34" s="167"/>
      <c r="W34" s="167"/>
      <c r="X34" s="167"/>
      <c r="Y34" s="167"/>
      <c r="Z34" s="167"/>
      <c r="AA34" s="261"/>
      <c r="AB34" s="261"/>
      <c r="AC34" s="261"/>
      <c r="AD34" s="261"/>
      <c r="AE34" s="261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</row>
    <row r="35" spans="1:78" s="168" customFormat="1" ht="18" hidden="1" customHeight="1" outlineLevel="1" x14ac:dyDescent="0.3">
      <c r="A35" s="166"/>
      <c r="B35" s="146"/>
      <c r="C35" s="41">
        <v>3</v>
      </c>
      <c r="D35" s="296" t="s">
        <v>294</v>
      </c>
      <c r="E35" s="297">
        <f t="shared" si="2"/>
        <v>25000</v>
      </c>
      <c r="F35" s="298"/>
      <c r="G35" s="298"/>
      <c r="H35" s="298"/>
      <c r="I35" s="298"/>
      <c r="J35" s="298"/>
      <c r="K35" s="261"/>
      <c r="L35" s="299"/>
      <c r="M35" s="261"/>
      <c r="N35" s="261"/>
      <c r="O35" s="261"/>
      <c r="P35" s="261"/>
      <c r="Q35" s="261"/>
      <c r="R35" s="261"/>
      <c r="S35" s="146"/>
      <c r="T35" s="146"/>
      <c r="U35" s="146"/>
      <c r="V35" s="146"/>
      <c r="W35" s="146"/>
      <c r="X35" s="146"/>
      <c r="Y35" s="146"/>
      <c r="Z35" s="146"/>
      <c r="AA35" s="261"/>
      <c r="AB35" s="261"/>
      <c r="AC35" s="261"/>
      <c r="AD35" s="261"/>
      <c r="AE35" s="261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</row>
    <row r="36" spans="1:78" s="168" customFormat="1" ht="18" hidden="1" customHeight="1" outlineLevel="1" x14ac:dyDescent="0.3">
      <c r="A36" s="166"/>
      <c r="B36" s="146"/>
      <c r="C36" s="41">
        <v>4</v>
      </c>
      <c r="D36" s="296" t="s">
        <v>295</v>
      </c>
      <c r="E36" s="297">
        <f t="shared" si="2"/>
        <v>30000</v>
      </c>
      <c r="F36" s="298"/>
      <c r="G36" s="298"/>
      <c r="H36" s="298"/>
      <c r="I36" s="298"/>
      <c r="J36" s="298"/>
      <c r="K36" s="261"/>
      <c r="L36" s="299"/>
      <c r="M36" s="261"/>
      <c r="N36" s="261"/>
      <c r="O36" s="261"/>
      <c r="P36" s="261"/>
      <c r="Q36" s="261"/>
      <c r="R36" s="261"/>
      <c r="S36" s="146"/>
      <c r="T36" s="146"/>
      <c r="U36" s="146"/>
      <c r="V36" s="146"/>
      <c r="W36" s="146"/>
      <c r="X36" s="146"/>
      <c r="Y36" s="146"/>
      <c r="Z36" s="146"/>
      <c r="AA36" s="261"/>
      <c r="AB36" s="261"/>
      <c r="AC36" s="261"/>
      <c r="AD36" s="261"/>
      <c r="AE36" s="261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</row>
    <row r="37" spans="1:78" s="168" customFormat="1" ht="18" hidden="1" customHeight="1" outlineLevel="1" x14ac:dyDescent="0.3">
      <c r="A37" s="166"/>
      <c r="B37" s="146"/>
      <c r="C37" s="41">
        <v>5</v>
      </c>
      <c r="D37" s="296" t="s">
        <v>296</v>
      </c>
      <c r="E37" s="297">
        <f>E36+5000</f>
        <v>35000</v>
      </c>
      <c r="F37" s="298"/>
      <c r="G37" s="298"/>
      <c r="H37" s="298"/>
      <c r="I37" s="298"/>
      <c r="J37" s="298"/>
      <c r="K37" s="261"/>
      <c r="L37" s="299"/>
      <c r="M37" s="261"/>
      <c r="N37" s="261"/>
      <c r="O37" s="261"/>
      <c r="P37" s="261"/>
      <c r="Q37" s="261"/>
      <c r="R37" s="261"/>
      <c r="S37" s="146"/>
      <c r="T37" s="146"/>
      <c r="U37" s="146"/>
      <c r="V37" s="146"/>
      <c r="W37" s="146"/>
      <c r="X37" s="146"/>
      <c r="Y37" s="146"/>
      <c r="Z37" s="146"/>
      <c r="AA37" s="261"/>
      <c r="AB37" s="261"/>
      <c r="AC37" s="261"/>
      <c r="AD37" s="261"/>
      <c r="AE37" s="261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</row>
    <row r="38" spans="1:78" s="168" customFormat="1" ht="18" hidden="1" customHeight="1" outlineLevel="1" x14ac:dyDescent="0.3">
      <c r="A38" s="166"/>
      <c r="B38" s="146"/>
      <c r="C38" s="41">
        <v>6</v>
      </c>
      <c r="D38" s="296" t="s">
        <v>396</v>
      </c>
      <c r="E38" s="297">
        <f t="shared" ref="E38:E43" si="3">E37+5000</f>
        <v>40000</v>
      </c>
      <c r="F38" s="298"/>
      <c r="G38" s="298"/>
      <c r="H38" s="298"/>
      <c r="I38" s="298"/>
      <c r="J38" s="298"/>
      <c r="K38" s="261"/>
      <c r="L38" s="299"/>
      <c r="M38" s="261"/>
      <c r="N38" s="261"/>
      <c r="O38" s="261"/>
      <c r="P38" s="261"/>
      <c r="Q38" s="261"/>
      <c r="R38" s="261"/>
      <c r="S38" s="146"/>
      <c r="T38" s="146"/>
      <c r="U38" s="146"/>
      <c r="V38" s="146"/>
      <c r="W38" s="146"/>
      <c r="X38" s="146"/>
      <c r="Y38" s="146"/>
      <c r="Z38" s="146"/>
      <c r="AA38" s="261"/>
      <c r="AB38" s="261"/>
      <c r="AC38" s="261"/>
      <c r="AD38" s="261"/>
      <c r="AE38" s="261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</row>
    <row r="39" spans="1:78" s="168" customFormat="1" ht="18" hidden="1" customHeight="1" outlineLevel="1" x14ac:dyDescent="0.3">
      <c r="A39" s="166"/>
      <c r="B39" s="146"/>
      <c r="C39" s="41">
        <v>7</v>
      </c>
      <c r="D39" s="296" t="s">
        <v>433</v>
      </c>
      <c r="E39" s="297">
        <f t="shared" si="3"/>
        <v>45000</v>
      </c>
      <c r="F39" s="298"/>
      <c r="G39" s="298"/>
      <c r="H39" s="298"/>
      <c r="I39" s="298"/>
      <c r="J39" s="298"/>
      <c r="K39" s="261"/>
      <c r="L39" s="299"/>
      <c r="M39" s="261"/>
      <c r="N39" s="261"/>
      <c r="O39" s="261"/>
      <c r="P39" s="261"/>
      <c r="Q39" s="261"/>
      <c r="R39" s="261"/>
      <c r="S39" s="146"/>
      <c r="T39" s="146"/>
      <c r="U39" s="146"/>
      <c r="V39" s="146"/>
      <c r="W39" s="146"/>
      <c r="X39" s="146"/>
      <c r="Y39" s="146"/>
      <c r="Z39" s="146"/>
      <c r="AA39" s="261"/>
      <c r="AB39" s="261"/>
      <c r="AC39" s="261"/>
      <c r="AD39" s="261"/>
      <c r="AE39" s="261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</row>
    <row r="40" spans="1:78" s="168" customFormat="1" ht="18" hidden="1" customHeight="1" outlineLevel="1" x14ac:dyDescent="0.3">
      <c r="A40" s="166"/>
      <c r="B40" s="146"/>
      <c r="C40" s="41">
        <v>8</v>
      </c>
      <c r="D40" s="296" t="s">
        <v>434</v>
      </c>
      <c r="E40" s="297">
        <f t="shared" si="3"/>
        <v>50000</v>
      </c>
      <c r="F40" s="322"/>
      <c r="G40" s="322"/>
      <c r="H40" s="322"/>
      <c r="I40" s="322"/>
      <c r="J40" s="322"/>
      <c r="K40" s="261"/>
      <c r="L40" s="299"/>
      <c r="M40" s="261"/>
      <c r="N40" s="261"/>
      <c r="O40" s="261"/>
      <c r="P40" s="261"/>
      <c r="Q40" s="261"/>
      <c r="R40" s="261"/>
      <c r="S40" s="146"/>
      <c r="T40" s="146"/>
      <c r="U40" s="146"/>
      <c r="V40" s="146"/>
      <c r="W40" s="146"/>
      <c r="X40" s="146"/>
      <c r="Y40" s="146"/>
      <c r="Z40" s="146"/>
      <c r="AA40" s="261"/>
      <c r="AB40" s="261"/>
      <c r="AC40" s="261"/>
      <c r="AD40" s="261"/>
      <c r="AE40" s="261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</row>
    <row r="41" spans="1:78" s="168" customFormat="1" ht="18" hidden="1" customHeight="1" outlineLevel="1" x14ac:dyDescent="0.3">
      <c r="A41" s="166"/>
      <c r="B41" s="146"/>
      <c r="C41" s="41">
        <v>9</v>
      </c>
      <c r="D41" s="296" t="s">
        <v>438</v>
      </c>
      <c r="E41" s="297">
        <f t="shared" si="3"/>
        <v>55000</v>
      </c>
      <c r="F41" s="298"/>
      <c r="G41" s="298"/>
      <c r="H41" s="298"/>
      <c r="I41" s="298"/>
      <c r="J41" s="298"/>
      <c r="K41" s="261"/>
      <c r="L41" s="299"/>
      <c r="M41" s="261"/>
      <c r="N41" s="261"/>
      <c r="O41" s="261"/>
      <c r="P41" s="261"/>
      <c r="Q41" s="261"/>
      <c r="R41" s="261"/>
      <c r="S41" s="146"/>
      <c r="T41" s="146"/>
      <c r="U41" s="146"/>
      <c r="V41" s="146"/>
      <c r="W41" s="146"/>
      <c r="X41" s="146"/>
      <c r="Y41" s="146"/>
      <c r="Z41" s="146"/>
      <c r="AA41" s="261"/>
      <c r="AB41" s="261"/>
      <c r="AC41" s="261"/>
      <c r="AD41" s="261"/>
      <c r="AE41" s="261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</row>
    <row r="42" spans="1:78" s="168" customFormat="1" ht="18" hidden="1" customHeight="1" outlineLevel="1" x14ac:dyDescent="0.3">
      <c r="A42" s="166"/>
      <c r="B42" s="146"/>
      <c r="C42" s="41">
        <v>10</v>
      </c>
      <c r="D42" s="296" t="s">
        <v>440</v>
      </c>
      <c r="E42" s="297">
        <f t="shared" si="3"/>
        <v>60000</v>
      </c>
      <c r="F42" s="298"/>
      <c r="G42" s="298"/>
      <c r="H42" s="298"/>
      <c r="I42" s="298"/>
      <c r="J42" s="298"/>
      <c r="K42" s="261"/>
      <c r="L42" s="299"/>
      <c r="M42" s="261"/>
      <c r="N42" s="261"/>
      <c r="O42" s="261"/>
      <c r="P42" s="261"/>
      <c r="Q42" s="261"/>
      <c r="R42" s="261"/>
      <c r="S42" s="146"/>
      <c r="T42" s="146"/>
      <c r="U42" s="146"/>
      <c r="V42" s="146"/>
      <c r="W42" s="146"/>
      <c r="X42" s="146"/>
      <c r="Y42" s="146"/>
      <c r="Z42" s="146"/>
      <c r="AA42" s="261"/>
      <c r="AB42" s="261"/>
      <c r="AC42" s="261"/>
      <c r="AD42" s="261"/>
      <c r="AE42" s="261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</row>
    <row r="43" spans="1:78" s="621" customFormat="1" ht="18" hidden="1" customHeight="1" outlineLevel="1" x14ac:dyDescent="0.3">
      <c r="A43" s="614"/>
      <c r="B43" s="29"/>
      <c r="C43" s="615">
        <v>11</v>
      </c>
      <c r="D43" s="616" t="s">
        <v>443</v>
      </c>
      <c r="E43" s="617">
        <f t="shared" si="3"/>
        <v>65000</v>
      </c>
      <c r="F43" s="618"/>
      <c r="G43" s="618"/>
      <c r="H43" s="618"/>
      <c r="I43" s="618"/>
      <c r="J43" s="618"/>
      <c r="K43" s="619"/>
      <c r="L43" s="620"/>
      <c r="M43" s="619"/>
      <c r="N43" s="619"/>
      <c r="O43" s="619"/>
      <c r="P43" s="619"/>
      <c r="Q43" s="619"/>
      <c r="R43" s="619"/>
      <c r="S43" s="29"/>
      <c r="T43" s="29"/>
      <c r="U43" s="29"/>
      <c r="V43" s="29"/>
      <c r="W43" s="29"/>
      <c r="X43" s="29"/>
      <c r="Y43" s="29"/>
      <c r="Z43" s="29"/>
      <c r="AA43" s="619"/>
      <c r="AB43" s="619"/>
      <c r="AC43" s="619"/>
      <c r="AD43" s="619"/>
      <c r="AE43" s="61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614"/>
      <c r="BV43" s="614"/>
      <c r="BW43" s="614"/>
      <c r="BX43" s="614"/>
      <c r="BY43" s="614"/>
      <c r="BZ43" s="614"/>
    </row>
    <row r="44" spans="1:78" s="165" customFormat="1" ht="18" hidden="1" customHeight="1" outlineLevel="1" x14ac:dyDescent="0.3">
      <c r="A44" s="163"/>
      <c r="B44" s="86"/>
      <c r="C44" s="74">
        <v>12</v>
      </c>
      <c r="D44" s="164"/>
      <c r="E44" s="141">
        <v>75000</v>
      </c>
      <c r="F44" s="185"/>
      <c r="G44" s="185"/>
      <c r="H44" s="185"/>
      <c r="I44" s="185"/>
      <c r="J44" s="185"/>
      <c r="K44" s="90"/>
      <c r="L44" s="56"/>
      <c r="M44" s="90"/>
      <c r="N44" s="90"/>
      <c r="O44" s="90"/>
      <c r="P44" s="90"/>
      <c r="Q44" s="90"/>
      <c r="R44" s="90"/>
      <c r="S44" s="86"/>
      <c r="T44" s="86"/>
      <c r="U44" s="86"/>
      <c r="V44" s="86"/>
      <c r="W44" s="86"/>
      <c r="X44" s="86"/>
      <c r="Y44" s="86"/>
      <c r="Z44" s="86"/>
      <c r="AA44" s="90"/>
      <c r="AB44" s="90"/>
      <c r="AC44" s="90"/>
      <c r="AD44" s="90"/>
      <c r="AE44" s="90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</row>
    <row r="45" spans="1:78" s="165" customFormat="1" ht="18" hidden="1" customHeight="1" outlineLevel="1" x14ac:dyDescent="0.3">
      <c r="A45" s="163"/>
      <c r="B45" s="24"/>
      <c r="C45" s="74">
        <v>13</v>
      </c>
      <c r="D45" s="164" t="s">
        <v>114</v>
      </c>
      <c r="E45" s="141"/>
      <c r="F45" s="185"/>
      <c r="G45" s="185"/>
      <c r="H45" s="185"/>
      <c r="I45" s="185"/>
      <c r="J45" s="185"/>
      <c r="K45" s="34"/>
      <c r="L45" s="56"/>
      <c r="M45" s="34"/>
      <c r="N45" s="34"/>
      <c r="O45" s="34"/>
      <c r="P45" s="34"/>
      <c r="Q45" s="34"/>
      <c r="R45" s="34"/>
      <c r="S45" s="24"/>
      <c r="T45" s="24"/>
      <c r="U45" s="24"/>
      <c r="V45" s="24"/>
      <c r="W45" s="24"/>
      <c r="X45" s="24"/>
      <c r="Y45" s="24"/>
      <c r="Z45" s="24"/>
      <c r="AA45" s="34"/>
      <c r="AB45" s="34"/>
      <c r="AC45" s="34"/>
      <c r="AD45" s="34"/>
      <c r="AE45" s="3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</row>
    <row r="46" spans="1:78" s="2" customFormat="1" ht="4.5" customHeight="1" collapsed="1" thickBot="1" x14ac:dyDescent="0.35">
      <c r="A46" s="108"/>
      <c r="B46" s="102"/>
      <c r="C46" s="119"/>
      <c r="D46" s="102"/>
      <c r="E46" s="102"/>
      <c r="F46" s="119"/>
      <c r="G46" s="119"/>
      <c r="H46" s="233"/>
      <c r="I46" s="233"/>
      <c r="J46" s="233"/>
      <c r="K46" s="119"/>
      <c r="L46" s="117"/>
      <c r="M46" s="119"/>
      <c r="N46" s="119"/>
      <c r="O46" s="119"/>
      <c r="P46" s="119"/>
      <c r="Q46" s="119"/>
      <c r="R46" s="119"/>
      <c r="S46" s="24"/>
      <c r="T46" s="24"/>
      <c r="U46" s="24"/>
      <c r="V46" s="24"/>
      <c r="W46" s="24"/>
      <c r="X46" s="24"/>
      <c r="Y46" s="24"/>
      <c r="Z46" s="24"/>
      <c r="AA46" s="119"/>
      <c r="AB46" s="119"/>
      <c r="AC46" s="34"/>
      <c r="AD46" s="34"/>
      <c r="AE46" s="3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</row>
    <row r="47" spans="1:78" s="2" customFormat="1" ht="19.5" thickBot="1" x14ac:dyDescent="0.35">
      <c r="A47" s="108"/>
      <c r="B47" s="649" t="s">
        <v>277</v>
      </c>
      <c r="C47" s="650"/>
      <c r="D47" s="650"/>
      <c r="E47" s="650"/>
      <c r="F47" s="651"/>
      <c r="G47" s="119"/>
      <c r="H47" s="233"/>
      <c r="I47" s="665" t="s">
        <v>275</v>
      </c>
      <c r="J47" s="666"/>
      <c r="K47" s="667"/>
      <c r="L47" s="634" t="s">
        <v>154</v>
      </c>
      <c r="M47" s="636"/>
      <c r="N47" s="634" t="s">
        <v>155</v>
      </c>
      <c r="O47" s="635"/>
      <c r="P47" s="635"/>
      <c r="Q47" s="635"/>
      <c r="R47" s="636"/>
      <c r="S47" s="24"/>
      <c r="T47" s="24"/>
      <c r="U47" s="634" t="s">
        <v>155</v>
      </c>
      <c r="V47" s="635"/>
      <c r="W47" s="635"/>
      <c r="X47" s="635"/>
      <c r="Y47" s="635"/>
      <c r="Z47" s="636"/>
      <c r="AA47" s="557" t="s">
        <v>155</v>
      </c>
      <c r="AB47" s="558"/>
      <c r="AC47" s="535"/>
      <c r="AD47" s="536"/>
      <c r="AE47" s="320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</row>
    <row r="48" spans="1:78" s="2" customFormat="1" ht="18.75" x14ac:dyDescent="0.3">
      <c r="A48" s="108"/>
      <c r="B48" s="102"/>
      <c r="C48" s="119"/>
      <c r="D48" s="102"/>
      <c r="E48" s="119"/>
      <c r="F48" s="119"/>
      <c r="G48" s="119"/>
      <c r="H48" s="233"/>
      <c r="I48" s="429" t="s">
        <v>16</v>
      </c>
      <c r="J48" s="268" t="s">
        <v>111</v>
      </c>
      <c r="K48" s="269" t="s">
        <v>110</v>
      </c>
      <c r="L48" s="283" t="s">
        <v>111</v>
      </c>
      <c r="M48" s="269" t="s">
        <v>110</v>
      </c>
      <c r="N48" s="432" t="s">
        <v>16</v>
      </c>
      <c r="O48" s="467" t="s">
        <v>16</v>
      </c>
      <c r="P48" s="423" t="s">
        <v>16</v>
      </c>
      <c r="Q48" s="442" t="s">
        <v>16</v>
      </c>
      <c r="R48" s="468" t="s">
        <v>16</v>
      </c>
      <c r="S48" s="24"/>
      <c r="T48" s="24"/>
      <c r="U48" s="311" t="s">
        <v>16</v>
      </c>
      <c r="V48" s="415" t="s">
        <v>16</v>
      </c>
      <c r="W48" s="417" t="s">
        <v>16</v>
      </c>
      <c r="X48" s="416" t="s">
        <v>16</v>
      </c>
      <c r="Y48" s="429" t="s">
        <v>16</v>
      </c>
      <c r="Z48" s="425" t="s">
        <v>16</v>
      </c>
      <c r="AA48" s="465" t="s">
        <v>16</v>
      </c>
      <c r="AB48" s="466" t="s">
        <v>16</v>
      </c>
      <c r="AC48" s="117" t="s">
        <v>16</v>
      </c>
      <c r="AD48" s="423" t="s">
        <v>16</v>
      </c>
      <c r="AE48" s="317"/>
      <c r="AF48" s="24"/>
      <c r="AG48" s="24"/>
      <c r="AH48" s="24"/>
      <c r="AI48" s="24"/>
      <c r="AJ48" s="24"/>
      <c r="AK48" s="24"/>
      <c r="AL48" s="24"/>
      <c r="AM48" s="637" t="s">
        <v>74</v>
      </c>
      <c r="AN48" s="637"/>
      <c r="AO48" s="24"/>
      <c r="AP48" s="24"/>
      <c r="AQ48" s="24"/>
      <c r="AR48" s="24"/>
      <c r="AS48" s="24"/>
      <c r="AT48" s="638" t="s">
        <v>108</v>
      </c>
      <c r="AU48" s="638"/>
      <c r="AV48" s="639" t="s">
        <v>109</v>
      </c>
      <c r="AW48" s="639"/>
      <c r="AX48" s="631" t="s">
        <v>71</v>
      </c>
      <c r="AY48" s="632"/>
      <c r="AZ48" s="632"/>
      <c r="BA48" s="633"/>
      <c r="BB48" s="631" t="s">
        <v>72</v>
      </c>
      <c r="BC48" s="632"/>
      <c r="BD48" s="632"/>
      <c r="BE48" s="633"/>
      <c r="BF48" s="24"/>
      <c r="BG48" s="24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</row>
    <row r="49" spans="1:78" s="55" customFormat="1" ht="30.75" thickBot="1" x14ac:dyDescent="0.35">
      <c r="A49" s="109"/>
      <c r="B49" s="117"/>
      <c r="C49" s="117"/>
      <c r="D49" s="117"/>
      <c r="E49" s="117"/>
      <c r="F49" s="117"/>
      <c r="G49" s="253" t="s">
        <v>31</v>
      </c>
      <c r="H49" s="253" t="s">
        <v>14</v>
      </c>
      <c r="I49" s="430" t="s">
        <v>51</v>
      </c>
      <c r="J49" s="270" t="s">
        <v>51</v>
      </c>
      <c r="K49" s="271" t="s">
        <v>51</v>
      </c>
      <c r="L49" s="284" t="s">
        <v>154</v>
      </c>
      <c r="M49" s="271" t="s">
        <v>154</v>
      </c>
      <c r="N49" s="433" t="s">
        <v>141</v>
      </c>
      <c r="O49" s="469" t="s">
        <v>142</v>
      </c>
      <c r="P49" s="434" t="s">
        <v>148</v>
      </c>
      <c r="Q49" s="443" t="s">
        <v>234</v>
      </c>
      <c r="R49" s="470" t="s">
        <v>233</v>
      </c>
      <c r="S49" s="56"/>
      <c r="T49" s="56"/>
      <c r="U49" s="311" t="s">
        <v>164</v>
      </c>
      <c r="V49" s="415" t="s">
        <v>166</v>
      </c>
      <c r="W49" s="417" t="s">
        <v>168</v>
      </c>
      <c r="X49" s="416" t="s">
        <v>91</v>
      </c>
      <c r="Y49" s="430" t="s">
        <v>302</v>
      </c>
      <c r="Z49" s="425" t="s">
        <v>232</v>
      </c>
      <c r="AA49" s="465" t="s">
        <v>165</v>
      </c>
      <c r="AB49" s="466" t="s">
        <v>167</v>
      </c>
      <c r="AC49" s="435"/>
      <c r="AD49" s="434"/>
      <c r="AE49" s="318"/>
      <c r="AF49" s="52" t="s">
        <v>31</v>
      </c>
      <c r="AG49" s="402" t="s">
        <v>32</v>
      </c>
      <c r="AH49" s="402" t="s">
        <v>14</v>
      </c>
      <c r="AI49" s="52" t="s">
        <v>34</v>
      </c>
      <c r="AJ49" s="52" t="s">
        <v>33</v>
      </c>
      <c r="AK49" s="52" t="s">
        <v>35</v>
      </c>
      <c r="AL49" s="52" t="s">
        <v>36</v>
      </c>
      <c r="AM49" s="52" t="s">
        <v>37</v>
      </c>
      <c r="AN49" s="52" t="s">
        <v>40</v>
      </c>
      <c r="AO49" s="52" t="s">
        <v>44</v>
      </c>
      <c r="AP49" s="52" t="s">
        <v>39</v>
      </c>
      <c r="AQ49" s="53" t="s">
        <v>41</v>
      </c>
      <c r="AR49" s="52" t="s">
        <v>46</v>
      </c>
      <c r="AS49" s="52" t="s">
        <v>45</v>
      </c>
      <c r="AT49" s="182" t="s">
        <v>73</v>
      </c>
      <c r="AU49" s="204" t="s">
        <v>40</v>
      </c>
      <c r="AV49" s="183" t="s">
        <v>73</v>
      </c>
      <c r="AW49" s="205" t="s">
        <v>40</v>
      </c>
      <c r="AX49" s="52" t="s">
        <v>73</v>
      </c>
      <c r="AY49" s="54" t="s">
        <v>38</v>
      </c>
      <c r="AZ49" s="52" t="s">
        <v>40</v>
      </c>
      <c r="BA49" s="54" t="s">
        <v>38</v>
      </c>
      <c r="BB49" s="52" t="s">
        <v>73</v>
      </c>
      <c r="BC49" s="54" t="s">
        <v>38</v>
      </c>
      <c r="BD49" s="52" t="s">
        <v>40</v>
      </c>
      <c r="BE49" s="54" t="s">
        <v>38</v>
      </c>
      <c r="BF49" s="52" t="s">
        <v>42</v>
      </c>
      <c r="BG49" s="52" t="s">
        <v>43</v>
      </c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</row>
    <row r="50" spans="1:78" s="68" customFormat="1" ht="15.75" thickBot="1" x14ac:dyDescent="0.35">
      <c r="A50" s="110"/>
      <c r="B50" s="118"/>
      <c r="C50" s="189"/>
      <c r="D50" s="118"/>
      <c r="E50" s="189"/>
      <c r="F50" s="189"/>
      <c r="G50" s="114">
        <v>0</v>
      </c>
      <c r="H50" s="139">
        <f>AJ50</f>
        <v>45399.75</v>
      </c>
      <c r="I50" s="272">
        <f>AM50</f>
        <v>0</v>
      </c>
      <c r="J50" s="273">
        <f>AT50</f>
        <v>0</v>
      </c>
      <c r="K50" s="274">
        <f>AV50</f>
        <v>0</v>
      </c>
      <c r="L50" s="285">
        <f>AX50</f>
        <v>0</v>
      </c>
      <c r="M50" s="286">
        <f>BB50</f>
        <v>0</v>
      </c>
      <c r="N50" s="272">
        <v>0</v>
      </c>
      <c r="O50" s="569">
        <v>0</v>
      </c>
      <c r="P50" s="275">
        <v>0</v>
      </c>
      <c r="Q50" s="272">
        <v>0</v>
      </c>
      <c r="R50" s="275">
        <v>0</v>
      </c>
      <c r="S50" s="41"/>
      <c r="T50" s="41"/>
      <c r="U50" s="285">
        <v>0</v>
      </c>
      <c r="V50" s="309">
        <v>0</v>
      </c>
      <c r="W50" s="309">
        <v>0</v>
      </c>
      <c r="X50" s="309">
        <v>0</v>
      </c>
      <c r="Y50" s="272">
        <v>0</v>
      </c>
      <c r="Z50" s="286">
        <v>0</v>
      </c>
      <c r="AA50" s="285">
        <v>0</v>
      </c>
      <c r="AB50" s="309">
        <v>0</v>
      </c>
      <c r="AC50" s="309"/>
      <c r="AD50" s="286"/>
      <c r="AE50" s="301"/>
      <c r="AF50" s="73">
        <v>0</v>
      </c>
      <c r="AG50" s="403">
        <f>WEEKDAY(AH50)</f>
        <v>4</v>
      </c>
      <c r="AH50" s="404">
        <v>45399</v>
      </c>
      <c r="AI50" s="59">
        <v>0.75</v>
      </c>
      <c r="AJ50" s="60">
        <f>AH50+AI50</f>
        <v>45399.75</v>
      </c>
      <c r="AK50" s="61"/>
      <c r="AL50" s="61"/>
      <c r="AM50" s="62">
        <v>0</v>
      </c>
      <c r="AN50" s="32">
        <v>0</v>
      </c>
      <c r="AO50" s="63"/>
      <c r="AP50" s="64"/>
      <c r="AQ50" s="65"/>
      <c r="AR50" s="66"/>
      <c r="AS50" s="65"/>
      <c r="AT50" s="251">
        <f>AM50</f>
        <v>0</v>
      </c>
      <c r="AU50" s="252">
        <f>AN50</f>
        <v>0</v>
      </c>
      <c r="AV50" s="251">
        <f>AM50</f>
        <v>0</v>
      </c>
      <c r="AW50" s="252">
        <f>AN50</f>
        <v>0</v>
      </c>
      <c r="AX50" s="64">
        <f>BC50</f>
        <v>0</v>
      </c>
      <c r="AY50" s="67"/>
      <c r="AZ50" s="43"/>
      <c r="BA50" s="50"/>
      <c r="BB50" s="64"/>
      <c r="BC50" s="67"/>
      <c r="BD50" s="43"/>
      <c r="BE50" s="50"/>
      <c r="BF50" s="64"/>
      <c r="BG50" s="64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</row>
    <row r="51" spans="1:78" s="68" customFormat="1" ht="15.75" thickBot="1" x14ac:dyDescent="0.35">
      <c r="A51" s="110"/>
      <c r="B51" s="118"/>
      <c r="C51" s="189"/>
      <c r="D51" s="118"/>
      <c r="E51" s="189"/>
      <c r="F51" s="189"/>
      <c r="G51" s="114">
        <v>1</v>
      </c>
      <c r="H51" s="139">
        <f t="shared" ref="H51:H71" si="4">AJ51</f>
        <v>45400.75</v>
      </c>
      <c r="I51" s="517">
        <f t="shared" ref="I51:I71" si="5">AM51</f>
        <v>17251</v>
      </c>
      <c r="J51" s="518">
        <f t="shared" ref="J51:J71" si="6">AT51</f>
        <v>17251</v>
      </c>
      <c r="K51" s="519">
        <f t="shared" ref="K51:K71" si="7">AV51</f>
        <v>17251</v>
      </c>
      <c r="L51" s="520">
        <f t="shared" ref="L51:L71" si="8">AX51</f>
        <v>17251</v>
      </c>
      <c r="M51" s="521">
        <f t="shared" ref="M51:M70" si="9">BB51</f>
        <v>17251</v>
      </c>
      <c r="N51" s="570">
        <v>36402</v>
      </c>
      <c r="O51" s="571">
        <v>26725</v>
      </c>
      <c r="P51" s="572">
        <v>8357</v>
      </c>
      <c r="Q51" s="570">
        <v>14771</v>
      </c>
      <c r="R51" s="572">
        <v>19612</v>
      </c>
      <c r="S51" s="41"/>
      <c r="T51" s="41"/>
      <c r="U51" s="292"/>
      <c r="V51" s="273">
        <v>89735</v>
      </c>
      <c r="W51" s="273">
        <v>97183</v>
      </c>
      <c r="X51" s="273">
        <v>82966</v>
      </c>
      <c r="Y51" s="272">
        <v>25960</v>
      </c>
      <c r="Z51" s="274">
        <v>39596</v>
      </c>
      <c r="AA51" s="292">
        <v>43437</v>
      </c>
      <c r="AB51" s="273">
        <v>76466</v>
      </c>
      <c r="AC51" s="273"/>
      <c r="AD51" s="274"/>
      <c r="AE51" s="302"/>
      <c r="AF51" s="73">
        <v>1</v>
      </c>
      <c r="AG51" s="57" t="s">
        <v>13</v>
      </c>
      <c r="AH51" s="58">
        <f>AH50+1</f>
        <v>45400</v>
      </c>
      <c r="AI51" s="59">
        <v>0.75</v>
      </c>
      <c r="AJ51" s="60">
        <f t="shared" ref="AJ51:AJ71" si="10">AH51+AI51</f>
        <v>45400.75</v>
      </c>
      <c r="AK51" s="61">
        <f t="shared" ref="AK51:AK71" si="11">AJ51-$AJ$50</f>
        <v>1</v>
      </c>
      <c r="AL51" s="61">
        <f>AK51-AK50</f>
        <v>1</v>
      </c>
      <c r="AM51" s="69">
        <v>17251</v>
      </c>
      <c r="AN51" s="70">
        <v>121</v>
      </c>
      <c r="AO51" s="408">
        <f t="shared" ref="AO51:AO71" si="12">AN51-AN50</f>
        <v>121</v>
      </c>
      <c r="AP51" s="409">
        <f>AM51-AM50</f>
        <v>17251</v>
      </c>
      <c r="AQ51" s="65">
        <f t="shared" ref="AQ51:AQ71" si="13">AM51/AN51</f>
        <v>142.5702479338843</v>
      </c>
      <c r="AR51" s="66">
        <f>(AP51-AM50)/(AO51-AN50)</f>
        <v>142.5702479338843</v>
      </c>
      <c r="AS51" s="66">
        <f>SUM(AP51:AP51)/SUM(AO51:AO51)</f>
        <v>142.5702479338843</v>
      </c>
      <c r="AT51" s="69">
        <f t="shared" ref="AT51:AU52" si="14">AM51</f>
        <v>17251</v>
      </c>
      <c r="AU51" s="70">
        <f t="shared" si="14"/>
        <v>121</v>
      </c>
      <c r="AV51" s="69">
        <f t="shared" ref="AV51:AW52" si="15">AM51</f>
        <v>17251</v>
      </c>
      <c r="AW51" s="70">
        <f t="shared" si="15"/>
        <v>121</v>
      </c>
      <c r="AX51" s="64">
        <f>AM51</f>
        <v>17251</v>
      </c>
      <c r="AY51" s="67">
        <f>AM51-AX51</f>
        <v>0</v>
      </c>
      <c r="AZ51" s="72">
        <f>AO51</f>
        <v>121</v>
      </c>
      <c r="BA51" s="50">
        <f t="shared" ref="BA51:BA71" si="16">AN51-AZ51</f>
        <v>0</v>
      </c>
      <c r="BB51" s="64">
        <f>AX51</f>
        <v>17251</v>
      </c>
      <c r="BC51" s="67">
        <f t="shared" ref="BC51:BC71" si="17">AM51-BB51</f>
        <v>0</v>
      </c>
      <c r="BD51" s="72">
        <f>AZ51</f>
        <v>121</v>
      </c>
      <c r="BE51" s="50">
        <f t="shared" ref="BE51:BE71" si="18">AN51-BD51</f>
        <v>0</v>
      </c>
      <c r="BF51" s="64">
        <f t="shared" ref="BF51:BF71" si="19">AP51/AL51</f>
        <v>17251</v>
      </c>
      <c r="BG51" s="64">
        <f t="shared" ref="BG51:BG71" si="20">AM51/AK51</f>
        <v>17251</v>
      </c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</row>
    <row r="52" spans="1:78" s="68" customFormat="1" x14ac:dyDescent="0.3">
      <c r="A52" s="110"/>
      <c r="B52" s="118"/>
      <c r="C52" s="189"/>
      <c r="D52" s="118"/>
      <c r="E52" s="189"/>
      <c r="F52" s="189"/>
      <c r="G52" s="114">
        <v>2</v>
      </c>
      <c r="H52" s="139">
        <f t="shared" si="4"/>
        <v>45401.75</v>
      </c>
      <c r="I52" s="522"/>
      <c r="J52" s="523"/>
      <c r="K52" s="524"/>
      <c r="L52" s="525"/>
      <c r="M52" s="526"/>
      <c r="N52" s="570">
        <v>42659</v>
      </c>
      <c r="O52" s="571">
        <v>32416</v>
      </c>
      <c r="P52" s="572">
        <v>11433</v>
      </c>
      <c r="Q52" s="570">
        <v>16764</v>
      </c>
      <c r="R52" s="572">
        <v>24532</v>
      </c>
      <c r="S52" s="41"/>
      <c r="T52" s="41"/>
      <c r="U52" s="292">
        <v>65000</v>
      </c>
      <c r="V52" s="273">
        <v>114003</v>
      </c>
      <c r="W52" s="273">
        <v>121393</v>
      </c>
      <c r="X52" s="273">
        <v>96328</v>
      </c>
      <c r="Y52" s="272">
        <v>35712</v>
      </c>
      <c r="Z52" s="274">
        <v>55623</v>
      </c>
      <c r="AA52" s="292">
        <v>49522</v>
      </c>
      <c r="AB52" s="273">
        <v>100197</v>
      </c>
      <c r="AC52" s="273"/>
      <c r="AD52" s="274"/>
      <c r="AE52" s="302"/>
      <c r="AF52" s="73">
        <v>2</v>
      </c>
      <c r="AG52" s="57">
        <f t="shared" ref="AG52:AG71" si="21">WEEKDAY(AH52)</f>
        <v>6</v>
      </c>
      <c r="AH52" s="58">
        <f t="shared" ref="AH52:AH71" si="22">AH51+1</f>
        <v>45401</v>
      </c>
      <c r="AI52" s="59">
        <v>0.75</v>
      </c>
      <c r="AJ52" s="60">
        <f t="shared" si="10"/>
        <v>45401.75</v>
      </c>
      <c r="AK52" s="61">
        <f t="shared" si="11"/>
        <v>2</v>
      </c>
      <c r="AL52" s="61">
        <f t="shared" ref="AL52:AL71" si="23">AK52-AK51</f>
        <v>1</v>
      </c>
      <c r="AM52" s="591"/>
      <c r="AN52" s="592"/>
      <c r="AO52" s="71">
        <f t="shared" si="12"/>
        <v>-121</v>
      </c>
      <c r="AP52" s="64"/>
      <c r="AQ52" s="65" t="e">
        <f t="shared" si="13"/>
        <v>#DIV/0!</v>
      </c>
      <c r="AR52" s="66">
        <f t="shared" ref="AR52:AR71" si="24">AP52/AO52</f>
        <v>0</v>
      </c>
      <c r="AS52" s="66" t="e">
        <f>SUM(AP51:AP52)/SUM(AO51:AO52)</f>
        <v>#DIV/0!</v>
      </c>
      <c r="AT52" s="69">
        <f t="shared" si="14"/>
        <v>0</v>
      </c>
      <c r="AU52" s="70">
        <f t="shared" si="14"/>
        <v>0</v>
      </c>
      <c r="AV52" s="69">
        <f t="shared" si="15"/>
        <v>0</v>
      </c>
      <c r="AW52" s="70">
        <f t="shared" si="15"/>
        <v>0</v>
      </c>
      <c r="AX52" s="64">
        <f>AT52</f>
        <v>0</v>
      </c>
      <c r="AY52" s="67">
        <f t="shared" ref="AY52:AY71" si="25">AM52-AX52</f>
        <v>0</v>
      </c>
      <c r="AZ52" s="72">
        <f>AU52</f>
        <v>0</v>
      </c>
      <c r="BA52" s="50">
        <f t="shared" si="16"/>
        <v>0</v>
      </c>
      <c r="BB52" s="64">
        <f>AV52</f>
        <v>0</v>
      </c>
      <c r="BC52" s="67">
        <f t="shared" si="17"/>
        <v>0</v>
      </c>
      <c r="BD52" s="72">
        <f>AW52</f>
        <v>0</v>
      </c>
      <c r="BE52" s="50">
        <f t="shared" si="18"/>
        <v>0</v>
      </c>
      <c r="BF52" s="64">
        <f t="shared" si="19"/>
        <v>0</v>
      </c>
      <c r="BG52" s="64">
        <f t="shared" si="20"/>
        <v>0</v>
      </c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</row>
    <row r="53" spans="1:78" s="68" customFormat="1" x14ac:dyDescent="0.3">
      <c r="A53" s="110"/>
      <c r="B53" s="118"/>
      <c r="C53" s="189"/>
      <c r="D53" s="118"/>
      <c r="E53" s="189"/>
      <c r="F53" s="189"/>
      <c r="G53" s="114">
        <v>3</v>
      </c>
      <c r="H53" s="139">
        <f t="shared" si="4"/>
        <v>45402.75</v>
      </c>
      <c r="I53" s="522"/>
      <c r="J53" s="523"/>
      <c r="K53" s="524"/>
      <c r="L53" s="525"/>
      <c r="M53" s="526"/>
      <c r="N53" s="570">
        <v>45273</v>
      </c>
      <c r="O53" s="571">
        <v>38191</v>
      </c>
      <c r="P53" s="572">
        <v>13158</v>
      </c>
      <c r="Q53" s="570">
        <v>17674</v>
      </c>
      <c r="R53" s="572">
        <v>27671</v>
      </c>
      <c r="S53" s="41"/>
      <c r="T53" s="41"/>
      <c r="U53" s="292"/>
      <c r="V53" s="273">
        <v>122519</v>
      </c>
      <c r="W53" s="273">
        <v>143837</v>
      </c>
      <c r="X53" s="273">
        <v>115147</v>
      </c>
      <c r="Y53" s="272">
        <v>39341</v>
      </c>
      <c r="Z53" s="274">
        <v>65490</v>
      </c>
      <c r="AA53" s="292">
        <v>53901</v>
      </c>
      <c r="AB53" s="273">
        <v>110488</v>
      </c>
      <c r="AC53" s="273"/>
      <c r="AD53" s="274"/>
      <c r="AE53" s="302"/>
      <c r="AF53" s="73">
        <v>3</v>
      </c>
      <c r="AG53" s="57">
        <f t="shared" si="21"/>
        <v>7</v>
      </c>
      <c r="AH53" s="58">
        <f t="shared" si="22"/>
        <v>45402</v>
      </c>
      <c r="AI53" s="59">
        <v>0.75</v>
      </c>
      <c r="AJ53" s="60">
        <f t="shared" si="10"/>
        <v>45402.75</v>
      </c>
      <c r="AK53" s="61">
        <f t="shared" si="11"/>
        <v>3</v>
      </c>
      <c r="AL53" s="61">
        <f t="shared" si="23"/>
        <v>1</v>
      </c>
      <c r="AM53" s="591"/>
      <c r="AN53" s="592"/>
      <c r="AO53" s="71">
        <f t="shared" si="12"/>
        <v>0</v>
      </c>
      <c r="AP53" s="64"/>
      <c r="AQ53" s="65" t="e">
        <f t="shared" si="13"/>
        <v>#DIV/0!</v>
      </c>
      <c r="AR53" s="66" t="e">
        <f t="shared" si="24"/>
        <v>#DIV/0!</v>
      </c>
      <c r="AS53" s="66" t="e">
        <f>SUM(AP51:AP53)/SUM(AO51:AO53)</f>
        <v>#DIV/0!</v>
      </c>
      <c r="AT53" s="69">
        <f t="shared" ref="AT53" si="26">AM53</f>
        <v>0</v>
      </c>
      <c r="AU53" s="70">
        <f t="shared" ref="AU53" si="27">AN53</f>
        <v>0</v>
      </c>
      <c r="AV53" s="69">
        <f t="shared" ref="AV53" si="28">AM53</f>
        <v>0</v>
      </c>
      <c r="AW53" s="70">
        <f t="shared" ref="AW53" si="29">AN53</f>
        <v>0</v>
      </c>
      <c r="AX53" s="64">
        <f>AT53</f>
        <v>0</v>
      </c>
      <c r="AY53" s="67">
        <f t="shared" si="25"/>
        <v>0</v>
      </c>
      <c r="AZ53" s="72">
        <f>AU53</f>
        <v>0</v>
      </c>
      <c r="BA53" s="50">
        <f t="shared" si="16"/>
        <v>0</v>
      </c>
      <c r="BB53" s="64">
        <f>AV53</f>
        <v>0</v>
      </c>
      <c r="BC53" s="67">
        <f t="shared" si="17"/>
        <v>0</v>
      </c>
      <c r="BD53" s="72">
        <f t="shared" ref="BD53:BD61" si="30">AW53</f>
        <v>0</v>
      </c>
      <c r="BE53" s="50">
        <f t="shared" si="18"/>
        <v>0</v>
      </c>
      <c r="BF53" s="64">
        <f t="shared" si="19"/>
        <v>0</v>
      </c>
      <c r="BG53" s="64">
        <f t="shared" si="20"/>
        <v>0</v>
      </c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</row>
    <row r="54" spans="1:78" s="68" customFormat="1" x14ac:dyDescent="0.3">
      <c r="A54" s="110"/>
      <c r="B54" s="118"/>
      <c r="C54" s="189"/>
      <c r="D54" s="118"/>
      <c r="E54" s="189"/>
      <c r="F54" s="189"/>
      <c r="G54" s="114">
        <v>4</v>
      </c>
      <c r="H54" s="139">
        <f t="shared" si="4"/>
        <v>45403.75</v>
      </c>
      <c r="I54" s="522"/>
      <c r="J54" s="523"/>
      <c r="K54" s="524"/>
      <c r="L54" s="525"/>
      <c r="M54" s="526"/>
      <c r="N54" s="570">
        <v>47957</v>
      </c>
      <c r="O54" s="571">
        <v>41597</v>
      </c>
      <c r="P54" s="572">
        <v>14235</v>
      </c>
      <c r="Q54" s="570">
        <v>18881</v>
      </c>
      <c r="R54" s="572">
        <v>30324</v>
      </c>
      <c r="S54" s="41"/>
      <c r="T54" s="41"/>
      <c r="U54" s="292"/>
      <c r="V54" s="273">
        <v>127604</v>
      </c>
      <c r="W54" s="273">
        <v>156839</v>
      </c>
      <c r="X54" s="273">
        <v>123834</v>
      </c>
      <c r="Y54" s="272">
        <v>43256</v>
      </c>
      <c r="Z54" s="274">
        <v>69834</v>
      </c>
      <c r="AA54" s="292">
        <v>59963</v>
      </c>
      <c r="AB54" s="273">
        <v>117325</v>
      </c>
      <c r="AC54" s="273"/>
      <c r="AD54" s="274"/>
      <c r="AE54" s="302"/>
      <c r="AF54" s="73">
        <v>4</v>
      </c>
      <c r="AG54" s="300">
        <f t="shared" si="21"/>
        <v>1</v>
      </c>
      <c r="AH54" s="58">
        <f t="shared" si="22"/>
        <v>45403</v>
      </c>
      <c r="AI54" s="59">
        <v>0.75</v>
      </c>
      <c r="AJ54" s="60">
        <f t="shared" si="10"/>
        <v>45403.75</v>
      </c>
      <c r="AK54" s="61">
        <f t="shared" si="11"/>
        <v>4</v>
      </c>
      <c r="AL54" s="61">
        <f t="shared" si="23"/>
        <v>1</v>
      </c>
      <c r="AM54" s="591"/>
      <c r="AN54" s="592"/>
      <c r="AO54" s="71">
        <f t="shared" si="12"/>
        <v>0</v>
      </c>
      <c r="AP54" s="64"/>
      <c r="AQ54" s="65" t="e">
        <f t="shared" si="13"/>
        <v>#DIV/0!</v>
      </c>
      <c r="AR54" s="66" t="e">
        <f t="shared" si="24"/>
        <v>#DIV/0!</v>
      </c>
      <c r="AS54" s="66" t="e">
        <f t="shared" ref="AS54" si="31">SUM(AP51:AP54)/SUM(AO51:AO54)</f>
        <v>#DIV/0!</v>
      </c>
      <c r="AT54" s="69">
        <f t="shared" ref="AT54" si="32">AM54</f>
        <v>0</v>
      </c>
      <c r="AU54" s="70">
        <f t="shared" ref="AU54" si="33">AN54</f>
        <v>0</v>
      </c>
      <c r="AV54" s="69">
        <f t="shared" ref="AV54" si="34">AM54</f>
        <v>0</v>
      </c>
      <c r="AW54" s="70">
        <f t="shared" ref="AW54" si="35">AN54</f>
        <v>0</v>
      </c>
      <c r="AX54" s="64">
        <f t="shared" ref="AX54:AX61" si="36">AT54</f>
        <v>0</v>
      </c>
      <c r="AY54" s="67">
        <f t="shared" ref="AY54" si="37">AM54-AX54</f>
        <v>0</v>
      </c>
      <c r="AZ54" s="72">
        <f t="shared" ref="AZ54:AZ61" si="38">AU54</f>
        <v>0</v>
      </c>
      <c r="BA54" s="50">
        <f t="shared" ref="BA54" si="39">AN54-AZ54</f>
        <v>0</v>
      </c>
      <c r="BB54" s="64">
        <f t="shared" ref="BB54:BB61" si="40">AV54</f>
        <v>0</v>
      </c>
      <c r="BC54" s="67">
        <f t="shared" ref="BC54" si="41">AM54-BB54</f>
        <v>0</v>
      </c>
      <c r="BD54" s="72">
        <f t="shared" si="30"/>
        <v>0</v>
      </c>
      <c r="BE54" s="50">
        <f t="shared" ref="BE54" si="42">AN54-BD54</f>
        <v>0</v>
      </c>
      <c r="BF54" s="64">
        <f t="shared" si="19"/>
        <v>0</v>
      </c>
      <c r="BG54" s="64">
        <f t="shared" si="20"/>
        <v>0</v>
      </c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</row>
    <row r="55" spans="1:78" s="68" customFormat="1" x14ac:dyDescent="0.3">
      <c r="A55" s="110"/>
      <c r="B55" s="118"/>
      <c r="C55" s="189"/>
      <c r="D55" s="118"/>
      <c r="E55" s="189"/>
      <c r="F55" s="189"/>
      <c r="G55" s="114">
        <v>5</v>
      </c>
      <c r="H55" s="139">
        <f t="shared" si="4"/>
        <v>45404.75</v>
      </c>
      <c r="I55" s="522"/>
      <c r="J55" s="523"/>
      <c r="K55" s="524"/>
      <c r="L55" s="525"/>
      <c r="M55" s="526"/>
      <c r="N55" s="570">
        <v>50763</v>
      </c>
      <c r="O55" s="571">
        <v>44358</v>
      </c>
      <c r="P55" s="572">
        <v>15015</v>
      </c>
      <c r="Q55" s="570">
        <v>21886</v>
      </c>
      <c r="R55" s="572">
        <v>32621</v>
      </c>
      <c r="S55" s="41"/>
      <c r="T55" s="41"/>
      <c r="U55" s="292"/>
      <c r="V55" s="273">
        <v>131274</v>
      </c>
      <c r="W55" s="273">
        <v>166947</v>
      </c>
      <c r="X55" s="273">
        <v>132002</v>
      </c>
      <c r="Y55" s="272">
        <v>44966</v>
      </c>
      <c r="Z55" s="274">
        <v>75551</v>
      </c>
      <c r="AA55" s="292">
        <v>63115</v>
      </c>
      <c r="AB55" s="273">
        <v>120368</v>
      </c>
      <c r="AC55" s="273"/>
      <c r="AD55" s="274"/>
      <c r="AE55" s="302"/>
      <c r="AF55" s="73">
        <v>5</v>
      </c>
      <c r="AG55" s="300">
        <f t="shared" si="21"/>
        <v>2</v>
      </c>
      <c r="AH55" s="58">
        <f t="shared" si="22"/>
        <v>45404</v>
      </c>
      <c r="AI55" s="59">
        <v>0.75</v>
      </c>
      <c r="AJ55" s="60">
        <f t="shared" si="10"/>
        <v>45404.75</v>
      </c>
      <c r="AK55" s="61">
        <f t="shared" si="11"/>
        <v>5</v>
      </c>
      <c r="AL55" s="61">
        <f t="shared" si="23"/>
        <v>1</v>
      </c>
      <c r="AM55" s="591"/>
      <c r="AN55" s="592"/>
      <c r="AO55" s="71">
        <f t="shared" si="12"/>
        <v>0</v>
      </c>
      <c r="AP55" s="64"/>
      <c r="AQ55" s="65" t="e">
        <f t="shared" si="13"/>
        <v>#DIV/0!</v>
      </c>
      <c r="AR55" s="66" t="e">
        <f t="shared" si="24"/>
        <v>#DIV/0!</v>
      </c>
      <c r="AS55" s="66" t="e">
        <f>SUM(AP51:AP55)/SUM(AO51:AO55)</f>
        <v>#DIV/0!</v>
      </c>
      <c r="AT55" s="69">
        <f t="shared" ref="AT55" si="43">AM55</f>
        <v>0</v>
      </c>
      <c r="AU55" s="70">
        <f t="shared" ref="AU55" si="44">AN55</f>
        <v>0</v>
      </c>
      <c r="AV55" s="69">
        <f t="shared" ref="AV55" si="45">AM55</f>
        <v>0</v>
      </c>
      <c r="AW55" s="70">
        <f t="shared" ref="AW55" si="46">AN55</f>
        <v>0</v>
      </c>
      <c r="AX55" s="64">
        <f t="shared" si="36"/>
        <v>0</v>
      </c>
      <c r="AY55" s="67">
        <f t="shared" si="25"/>
        <v>0</v>
      </c>
      <c r="AZ55" s="72">
        <f t="shared" si="38"/>
        <v>0</v>
      </c>
      <c r="BA55" s="50">
        <f t="shared" si="16"/>
        <v>0</v>
      </c>
      <c r="BB55" s="64">
        <f t="shared" si="40"/>
        <v>0</v>
      </c>
      <c r="BC55" s="67">
        <f t="shared" si="17"/>
        <v>0</v>
      </c>
      <c r="BD55" s="72">
        <f t="shared" si="30"/>
        <v>0</v>
      </c>
      <c r="BE55" s="50">
        <f t="shared" si="18"/>
        <v>0</v>
      </c>
      <c r="BF55" s="64">
        <f t="shared" si="19"/>
        <v>0</v>
      </c>
      <c r="BG55" s="64">
        <f t="shared" si="20"/>
        <v>0</v>
      </c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</row>
    <row r="56" spans="1:78" s="68" customFormat="1" ht="15.75" thickBot="1" x14ac:dyDescent="0.35">
      <c r="A56" s="110"/>
      <c r="B56" s="118"/>
      <c r="C56" s="189"/>
      <c r="D56" s="118"/>
      <c r="E56" s="189"/>
      <c r="F56" s="189"/>
      <c r="G56" s="114">
        <v>6</v>
      </c>
      <c r="H56" s="139">
        <f t="shared" si="4"/>
        <v>45405.75</v>
      </c>
      <c r="I56" s="522"/>
      <c r="J56" s="523"/>
      <c r="K56" s="524"/>
      <c r="L56" s="525"/>
      <c r="M56" s="526"/>
      <c r="N56" s="570">
        <v>53829</v>
      </c>
      <c r="O56" s="571">
        <v>45558</v>
      </c>
      <c r="P56" s="572">
        <v>16237</v>
      </c>
      <c r="Q56" s="570">
        <v>22571</v>
      </c>
      <c r="R56" s="572">
        <v>37481</v>
      </c>
      <c r="S56" s="41"/>
      <c r="T56" s="41"/>
      <c r="U56" s="292"/>
      <c r="V56" s="273">
        <v>135593</v>
      </c>
      <c r="W56" s="273">
        <v>175946</v>
      </c>
      <c r="X56" s="273">
        <v>150957</v>
      </c>
      <c r="Y56" s="272">
        <v>46520</v>
      </c>
      <c r="Z56" s="274">
        <v>85403</v>
      </c>
      <c r="AA56" s="292">
        <v>65148</v>
      </c>
      <c r="AB56" s="273">
        <v>123198</v>
      </c>
      <c r="AC56" s="273"/>
      <c r="AD56" s="274"/>
      <c r="AE56" s="302"/>
      <c r="AF56" s="73">
        <v>6</v>
      </c>
      <c r="AG56" s="300">
        <f t="shared" si="21"/>
        <v>3</v>
      </c>
      <c r="AH56" s="58">
        <f t="shared" si="22"/>
        <v>45405</v>
      </c>
      <c r="AI56" s="59">
        <v>0.75</v>
      </c>
      <c r="AJ56" s="60">
        <f t="shared" si="10"/>
        <v>45405.75</v>
      </c>
      <c r="AK56" s="61">
        <f t="shared" si="11"/>
        <v>6</v>
      </c>
      <c r="AL56" s="61">
        <f t="shared" si="23"/>
        <v>1</v>
      </c>
      <c r="AM56" s="591"/>
      <c r="AN56" s="592"/>
      <c r="AO56" s="71">
        <f t="shared" si="12"/>
        <v>0</v>
      </c>
      <c r="AP56" s="64"/>
      <c r="AQ56" s="65" t="e">
        <f t="shared" si="13"/>
        <v>#DIV/0!</v>
      </c>
      <c r="AR56" s="66" t="e">
        <f t="shared" si="24"/>
        <v>#DIV/0!</v>
      </c>
      <c r="AS56" s="66">
        <f>SUM(AP52:AP56)/SUM(AO52:AO56)</f>
        <v>0</v>
      </c>
      <c r="AT56" s="69">
        <f t="shared" ref="AT56" si="47">AM56</f>
        <v>0</v>
      </c>
      <c r="AU56" s="70">
        <f t="shared" ref="AU56" si="48">AN56</f>
        <v>0</v>
      </c>
      <c r="AV56" s="69">
        <f t="shared" ref="AV56" si="49">AM56</f>
        <v>0</v>
      </c>
      <c r="AW56" s="70">
        <f t="shared" ref="AW56" si="50">AN56</f>
        <v>0</v>
      </c>
      <c r="AX56" s="64">
        <f t="shared" si="36"/>
        <v>0</v>
      </c>
      <c r="AY56" s="67">
        <f t="shared" si="25"/>
        <v>0</v>
      </c>
      <c r="AZ56" s="72">
        <f t="shared" si="38"/>
        <v>0</v>
      </c>
      <c r="BA56" s="50">
        <f t="shared" si="16"/>
        <v>0</v>
      </c>
      <c r="BB56" s="64">
        <f t="shared" si="40"/>
        <v>0</v>
      </c>
      <c r="BC56" s="67">
        <f t="shared" si="17"/>
        <v>0</v>
      </c>
      <c r="BD56" s="72">
        <f t="shared" si="30"/>
        <v>0</v>
      </c>
      <c r="BE56" s="50">
        <f t="shared" si="18"/>
        <v>0</v>
      </c>
      <c r="BF56" s="64">
        <f t="shared" si="19"/>
        <v>0</v>
      </c>
      <c r="BG56" s="64">
        <f t="shared" si="20"/>
        <v>0</v>
      </c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</row>
    <row r="57" spans="1:78" s="68" customFormat="1" ht="15.75" thickBot="1" x14ac:dyDescent="0.35">
      <c r="A57" s="110"/>
      <c r="B57" s="118"/>
      <c r="C57" s="189"/>
      <c r="D57" s="118"/>
      <c r="E57" s="189"/>
      <c r="F57" s="189"/>
      <c r="G57" s="114">
        <v>7</v>
      </c>
      <c r="H57" s="139">
        <f t="shared" si="4"/>
        <v>45406.75</v>
      </c>
      <c r="I57" s="517">
        <f t="shared" si="5"/>
        <v>31356</v>
      </c>
      <c r="J57" s="518">
        <f t="shared" si="6"/>
        <v>31356</v>
      </c>
      <c r="K57" s="519">
        <f t="shared" si="7"/>
        <v>31356</v>
      </c>
      <c r="L57" s="520">
        <f t="shared" si="8"/>
        <v>31356</v>
      </c>
      <c r="M57" s="521">
        <f t="shared" si="9"/>
        <v>31356</v>
      </c>
      <c r="N57" s="570">
        <v>55981</v>
      </c>
      <c r="O57" s="571">
        <v>50019</v>
      </c>
      <c r="P57" s="572">
        <v>16727</v>
      </c>
      <c r="Q57" s="570">
        <v>24180</v>
      </c>
      <c r="R57" s="572">
        <v>40223</v>
      </c>
      <c r="S57" s="41"/>
      <c r="T57" s="41"/>
      <c r="U57" s="292"/>
      <c r="V57" s="273">
        <v>147297</v>
      </c>
      <c r="W57" s="273">
        <v>184883</v>
      </c>
      <c r="X57" s="273">
        <v>164491</v>
      </c>
      <c r="Y57" s="272">
        <v>48572</v>
      </c>
      <c r="Z57" s="274">
        <v>94449</v>
      </c>
      <c r="AA57" s="292">
        <v>69623</v>
      </c>
      <c r="AB57" s="273">
        <v>126713</v>
      </c>
      <c r="AC57" s="273"/>
      <c r="AD57" s="274"/>
      <c r="AE57" s="302"/>
      <c r="AF57" s="73">
        <v>7</v>
      </c>
      <c r="AG57" s="405">
        <f t="shared" si="21"/>
        <v>4</v>
      </c>
      <c r="AH57" s="404">
        <f t="shared" si="22"/>
        <v>45406</v>
      </c>
      <c r="AI57" s="59">
        <v>0.75</v>
      </c>
      <c r="AJ57" s="60">
        <f t="shared" si="10"/>
        <v>45406.75</v>
      </c>
      <c r="AK57" s="61">
        <f t="shared" si="11"/>
        <v>7</v>
      </c>
      <c r="AL57" s="61">
        <f t="shared" si="23"/>
        <v>1</v>
      </c>
      <c r="AM57" s="69">
        <v>31356</v>
      </c>
      <c r="AN57" s="70">
        <v>220</v>
      </c>
      <c r="AO57" s="71">
        <f t="shared" si="12"/>
        <v>220</v>
      </c>
      <c r="AP57" s="64"/>
      <c r="AQ57" s="65">
        <f t="shared" si="13"/>
        <v>142.52727272727273</v>
      </c>
      <c r="AR57" s="66">
        <f t="shared" si="24"/>
        <v>0</v>
      </c>
      <c r="AS57" s="66">
        <f t="shared" ref="AS57:AS71" si="51">SUM(AP53:AP57)/SUM(AO53:AO57)</f>
        <v>0</v>
      </c>
      <c r="AT57" s="69">
        <f t="shared" ref="AT57" si="52">AM57</f>
        <v>31356</v>
      </c>
      <c r="AU57" s="70">
        <f t="shared" ref="AU57" si="53">AN57</f>
        <v>220</v>
      </c>
      <c r="AV57" s="69">
        <f t="shared" ref="AV57" si="54">AM57</f>
        <v>31356</v>
      </c>
      <c r="AW57" s="70">
        <f t="shared" ref="AW57" si="55">AN57</f>
        <v>220</v>
      </c>
      <c r="AX57" s="64">
        <f t="shared" si="36"/>
        <v>31356</v>
      </c>
      <c r="AY57" s="67">
        <f t="shared" si="25"/>
        <v>0</v>
      </c>
      <c r="AZ57" s="72">
        <f t="shared" si="38"/>
        <v>220</v>
      </c>
      <c r="BA57" s="50">
        <f t="shared" si="16"/>
        <v>0</v>
      </c>
      <c r="BB57" s="64">
        <f t="shared" si="40"/>
        <v>31356</v>
      </c>
      <c r="BC57" s="67">
        <f t="shared" si="17"/>
        <v>0</v>
      </c>
      <c r="BD57" s="72">
        <f t="shared" si="30"/>
        <v>220</v>
      </c>
      <c r="BE57" s="50">
        <f t="shared" si="18"/>
        <v>0</v>
      </c>
      <c r="BF57" s="64">
        <f t="shared" si="19"/>
        <v>0</v>
      </c>
      <c r="BG57" s="64">
        <f t="shared" si="20"/>
        <v>4479.4285714285716</v>
      </c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</row>
    <row r="58" spans="1:78" s="68" customFormat="1" ht="15.75" thickBot="1" x14ac:dyDescent="0.35">
      <c r="A58" s="110"/>
      <c r="B58" s="118"/>
      <c r="C58" s="189"/>
      <c r="D58" s="118"/>
      <c r="E58" s="189"/>
      <c r="F58" s="189"/>
      <c r="G58" s="114">
        <v>8</v>
      </c>
      <c r="H58" s="139">
        <f t="shared" si="4"/>
        <v>45407.75</v>
      </c>
      <c r="I58" s="272">
        <f t="shared" si="5"/>
        <v>33362</v>
      </c>
      <c r="J58" s="273">
        <f t="shared" si="6"/>
        <v>33362</v>
      </c>
      <c r="K58" s="274">
        <f t="shared" si="7"/>
        <v>33362</v>
      </c>
      <c r="L58" s="285">
        <f t="shared" si="8"/>
        <v>33362</v>
      </c>
      <c r="M58" s="286">
        <f t="shared" si="9"/>
        <v>33362</v>
      </c>
      <c r="N58" s="570">
        <v>58795</v>
      </c>
      <c r="O58" s="571">
        <v>54482</v>
      </c>
      <c r="P58" s="572">
        <v>17672</v>
      </c>
      <c r="Q58" s="570">
        <v>26679</v>
      </c>
      <c r="R58" s="572">
        <v>43766</v>
      </c>
      <c r="S58" s="41"/>
      <c r="T58" s="41"/>
      <c r="U58" s="292"/>
      <c r="V58" s="273">
        <v>154154</v>
      </c>
      <c r="W58" s="273">
        <v>193287</v>
      </c>
      <c r="X58" s="273">
        <v>182858</v>
      </c>
      <c r="Y58" s="272">
        <v>50335</v>
      </c>
      <c r="Z58" s="274">
        <v>103073</v>
      </c>
      <c r="AA58" s="292">
        <v>72783</v>
      </c>
      <c r="AB58" s="273">
        <v>130050</v>
      </c>
      <c r="AC58" s="273"/>
      <c r="AD58" s="274"/>
      <c r="AE58" s="302"/>
      <c r="AF58" s="73">
        <v>8</v>
      </c>
      <c r="AG58" s="300">
        <f t="shared" si="21"/>
        <v>5</v>
      </c>
      <c r="AH58" s="58">
        <f t="shared" si="22"/>
        <v>45407</v>
      </c>
      <c r="AI58" s="59">
        <v>0.75</v>
      </c>
      <c r="AJ58" s="60">
        <f t="shared" si="10"/>
        <v>45407.75</v>
      </c>
      <c r="AK58" s="61">
        <f t="shared" si="11"/>
        <v>8</v>
      </c>
      <c r="AL58" s="61">
        <f t="shared" si="23"/>
        <v>1</v>
      </c>
      <c r="AM58" s="69">
        <v>33362</v>
      </c>
      <c r="AN58" s="70">
        <v>234</v>
      </c>
      <c r="AO58" s="408">
        <f t="shared" si="12"/>
        <v>14</v>
      </c>
      <c r="AP58" s="409">
        <f t="shared" ref="AP58:AP71" si="56">AM58-AM57</f>
        <v>2006</v>
      </c>
      <c r="AQ58" s="65">
        <f t="shared" si="13"/>
        <v>142.57264957264957</v>
      </c>
      <c r="AR58" s="66">
        <f t="shared" si="24"/>
        <v>143.28571428571428</v>
      </c>
      <c r="AS58" s="66">
        <f t="shared" si="51"/>
        <v>8.5726495726495724</v>
      </c>
      <c r="AT58" s="69">
        <f t="shared" ref="AT58" si="57">AM58</f>
        <v>33362</v>
      </c>
      <c r="AU58" s="70">
        <f t="shared" ref="AU58" si="58">AN58</f>
        <v>234</v>
      </c>
      <c r="AV58" s="69">
        <f t="shared" ref="AV58" si="59">AM58</f>
        <v>33362</v>
      </c>
      <c r="AW58" s="70">
        <f t="shared" ref="AW58" si="60">AN58</f>
        <v>234</v>
      </c>
      <c r="AX58" s="64">
        <f t="shared" si="36"/>
        <v>33362</v>
      </c>
      <c r="AY58" s="67">
        <f t="shared" si="25"/>
        <v>0</v>
      </c>
      <c r="AZ58" s="72">
        <f t="shared" si="38"/>
        <v>234</v>
      </c>
      <c r="BA58" s="50">
        <f t="shared" si="16"/>
        <v>0</v>
      </c>
      <c r="BB58" s="64">
        <f t="shared" si="40"/>
        <v>33362</v>
      </c>
      <c r="BC58" s="67">
        <f t="shared" si="17"/>
        <v>0</v>
      </c>
      <c r="BD58" s="72">
        <f t="shared" si="30"/>
        <v>234</v>
      </c>
      <c r="BE58" s="50">
        <f t="shared" si="18"/>
        <v>0</v>
      </c>
      <c r="BF58" s="64">
        <f t="shared" si="19"/>
        <v>2006</v>
      </c>
      <c r="BG58" s="64">
        <f t="shared" si="20"/>
        <v>4170.25</v>
      </c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</row>
    <row r="59" spans="1:78" s="68" customFormat="1" x14ac:dyDescent="0.3">
      <c r="A59" s="110"/>
      <c r="B59" s="118"/>
      <c r="C59" s="189"/>
      <c r="D59" s="118"/>
      <c r="E59" s="189"/>
      <c r="F59" s="189"/>
      <c r="G59" s="114">
        <v>9</v>
      </c>
      <c r="H59" s="139">
        <f t="shared" si="4"/>
        <v>45408.75</v>
      </c>
      <c r="I59" s="272">
        <f t="shared" si="5"/>
        <v>35984</v>
      </c>
      <c r="J59" s="273">
        <f t="shared" si="6"/>
        <v>35984</v>
      </c>
      <c r="K59" s="274">
        <f t="shared" si="7"/>
        <v>35984</v>
      </c>
      <c r="L59" s="285">
        <f t="shared" si="8"/>
        <v>35984</v>
      </c>
      <c r="M59" s="286">
        <f t="shared" si="9"/>
        <v>35984</v>
      </c>
      <c r="N59" s="570">
        <v>63300</v>
      </c>
      <c r="O59" s="571">
        <v>60464</v>
      </c>
      <c r="P59" s="572">
        <v>17982</v>
      </c>
      <c r="Q59" s="570">
        <v>27868</v>
      </c>
      <c r="R59" s="572">
        <v>45971</v>
      </c>
      <c r="S59" s="41"/>
      <c r="T59" s="41"/>
      <c r="U59" s="292"/>
      <c r="V59" s="273">
        <v>158642</v>
      </c>
      <c r="W59" s="273">
        <v>202015</v>
      </c>
      <c r="X59" s="273">
        <v>195000</v>
      </c>
      <c r="Y59" s="272">
        <v>51635</v>
      </c>
      <c r="Z59" s="274">
        <v>113149</v>
      </c>
      <c r="AA59" s="292">
        <v>76597</v>
      </c>
      <c r="AB59" s="273">
        <v>133215</v>
      </c>
      <c r="AC59" s="273"/>
      <c r="AD59" s="274"/>
      <c r="AE59" s="302"/>
      <c r="AF59" s="73">
        <v>9</v>
      </c>
      <c r="AG59" s="300">
        <f t="shared" si="21"/>
        <v>6</v>
      </c>
      <c r="AH59" s="58">
        <f t="shared" si="22"/>
        <v>45408</v>
      </c>
      <c r="AI59" s="59">
        <v>0.75</v>
      </c>
      <c r="AJ59" s="60">
        <f t="shared" si="10"/>
        <v>45408.75</v>
      </c>
      <c r="AK59" s="61">
        <f t="shared" si="11"/>
        <v>9</v>
      </c>
      <c r="AL59" s="61">
        <f t="shared" si="23"/>
        <v>1</v>
      </c>
      <c r="AM59" s="69">
        <v>35984</v>
      </c>
      <c r="AN59" s="70">
        <v>240</v>
      </c>
      <c r="AO59" s="71">
        <f t="shared" si="12"/>
        <v>6</v>
      </c>
      <c r="AP59" s="64">
        <f t="shared" si="56"/>
        <v>2622</v>
      </c>
      <c r="AQ59" s="65">
        <f t="shared" si="13"/>
        <v>149.93333333333334</v>
      </c>
      <c r="AR59" s="66">
        <f t="shared" si="24"/>
        <v>437</v>
      </c>
      <c r="AS59" s="590">
        <f>SUM(AP58:AP59)/SUM(AO58:AO59)</f>
        <v>231.4</v>
      </c>
      <c r="AT59" s="69">
        <f t="shared" ref="AT59:AT60" si="61">AM59</f>
        <v>35984</v>
      </c>
      <c r="AU59" s="70">
        <f t="shared" ref="AU59:AU60" si="62">AN59</f>
        <v>240</v>
      </c>
      <c r="AV59" s="69">
        <f t="shared" ref="AV59:AV60" si="63">AM59</f>
        <v>35984</v>
      </c>
      <c r="AW59" s="70">
        <f t="shared" ref="AW59:AW60" si="64">AN59</f>
        <v>240</v>
      </c>
      <c r="AX59" s="64">
        <f t="shared" si="36"/>
        <v>35984</v>
      </c>
      <c r="AY59" s="67">
        <f t="shared" si="25"/>
        <v>0</v>
      </c>
      <c r="AZ59" s="72">
        <f t="shared" si="38"/>
        <v>240</v>
      </c>
      <c r="BA59" s="50">
        <f t="shared" si="16"/>
        <v>0</v>
      </c>
      <c r="BB59" s="64">
        <f t="shared" si="40"/>
        <v>35984</v>
      </c>
      <c r="BC59" s="67">
        <f t="shared" si="17"/>
        <v>0</v>
      </c>
      <c r="BD59" s="72">
        <f t="shared" si="30"/>
        <v>240</v>
      </c>
      <c r="BE59" s="50">
        <f t="shared" si="18"/>
        <v>0</v>
      </c>
      <c r="BF59" s="64">
        <f t="shared" si="19"/>
        <v>2622</v>
      </c>
      <c r="BG59" s="64">
        <f t="shared" si="20"/>
        <v>3998.2222222222222</v>
      </c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</row>
    <row r="60" spans="1:78" s="68" customFormat="1" x14ac:dyDescent="0.3">
      <c r="A60" s="110"/>
      <c r="B60" s="118"/>
      <c r="C60" s="189"/>
      <c r="D60" s="118"/>
      <c r="E60" s="189"/>
      <c r="F60" s="189"/>
      <c r="G60" s="114">
        <v>10</v>
      </c>
      <c r="H60" s="139">
        <f t="shared" si="4"/>
        <v>45409.75</v>
      </c>
      <c r="I60" s="272">
        <f t="shared" si="5"/>
        <v>37454</v>
      </c>
      <c r="J60" s="273">
        <f t="shared" si="6"/>
        <v>37454</v>
      </c>
      <c r="K60" s="274">
        <f t="shared" si="7"/>
        <v>37454</v>
      </c>
      <c r="L60" s="285">
        <f t="shared" si="8"/>
        <v>37454</v>
      </c>
      <c r="M60" s="286">
        <f t="shared" si="9"/>
        <v>37454</v>
      </c>
      <c r="N60" s="570">
        <v>66650</v>
      </c>
      <c r="O60" s="571">
        <v>62608</v>
      </c>
      <c r="P60" s="572">
        <v>18530</v>
      </c>
      <c r="Q60" s="570">
        <v>31587</v>
      </c>
      <c r="R60" s="572">
        <v>48853</v>
      </c>
      <c r="S60" s="41"/>
      <c r="T60" s="41"/>
      <c r="U60" s="292"/>
      <c r="V60" s="273">
        <v>163194</v>
      </c>
      <c r="W60" s="273">
        <v>209016</v>
      </c>
      <c r="X60" s="273">
        <v>203877</v>
      </c>
      <c r="Y60" s="272">
        <v>53657</v>
      </c>
      <c r="Z60" s="274">
        <v>120667</v>
      </c>
      <c r="AA60" s="292">
        <v>81327</v>
      </c>
      <c r="AB60" s="273">
        <v>136715</v>
      </c>
      <c r="AC60" s="273"/>
      <c r="AD60" s="274"/>
      <c r="AE60" s="302"/>
      <c r="AF60" s="73">
        <v>10</v>
      </c>
      <c r="AG60" s="300">
        <f t="shared" si="21"/>
        <v>7</v>
      </c>
      <c r="AH60" s="58">
        <f t="shared" si="22"/>
        <v>45409</v>
      </c>
      <c r="AI60" s="59">
        <v>0.75</v>
      </c>
      <c r="AJ60" s="60">
        <f t="shared" si="10"/>
        <v>45409.75</v>
      </c>
      <c r="AK60" s="61">
        <f t="shared" si="11"/>
        <v>10</v>
      </c>
      <c r="AL60" s="61">
        <f t="shared" si="23"/>
        <v>1</v>
      </c>
      <c r="AM60" s="69">
        <v>37454</v>
      </c>
      <c r="AN60" s="70">
        <v>250</v>
      </c>
      <c r="AO60" s="71">
        <f t="shared" si="12"/>
        <v>10</v>
      </c>
      <c r="AP60" s="64">
        <f t="shared" si="56"/>
        <v>1470</v>
      </c>
      <c r="AQ60" s="65">
        <f t="shared" si="13"/>
        <v>149.816</v>
      </c>
      <c r="AR60" s="66">
        <f t="shared" si="24"/>
        <v>147</v>
      </c>
      <c r="AS60" s="590">
        <f>SUM(AP58:AP60)/SUM(AO58:AO60)</f>
        <v>203.26666666666668</v>
      </c>
      <c r="AT60" s="69">
        <f t="shared" si="61"/>
        <v>37454</v>
      </c>
      <c r="AU60" s="70">
        <f t="shared" si="62"/>
        <v>250</v>
      </c>
      <c r="AV60" s="69">
        <f t="shared" si="63"/>
        <v>37454</v>
      </c>
      <c r="AW60" s="70">
        <f t="shared" si="64"/>
        <v>250</v>
      </c>
      <c r="AX60" s="64">
        <f t="shared" si="36"/>
        <v>37454</v>
      </c>
      <c r="AY60" s="67">
        <f t="shared" si="25"/>
        <v>0</v>
      </c>
      <c r="AZ60" s="72">
        <f t="shared" si="38"/>
        <v>250</v>
      </c>
      <c r="BA60" s="50">
        <f t="shared" si="16"/>
        <v>0</v>
      </c>
      <c r="BB60" s="64">
        <f t="shared" si="40"/>
        <v>37454</v>
      </c>
      <c r="BC60" s="67">
        <f t="shared" si="17"/>
        <v>0</v>
      </c>
      <c r="BD60" s="72">
        <f t="shared" si="30"/>
        <v>250</v>
      </c>
      <c r="BE60" s="50">
        <f t="shared" si="18"/>
        <v>0</v>
      </c>
      <c r="BF60" s="64">
        <f t="shared" si="19"/>
        <v>1470</v>
      </c>
      <c r="BG60" s="64">
        <f t="shared" si="20"/>
        <v>3745.4</v>
      </c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</row>
    <row r="61" spans="1:78" s="68" customFormat="1" x14ac:dyDescent="0.3">
      <c r="A61" s="110"/>
      <c r="B61" s="118"/>
      <c r="C61" s="189"/>
      <c r="D61" s="118"/>
      <c r="E61" s="189"/>
      <c r="F61" s="189"/>
      <c r="G61" s="114">
        <v>11</v>
      </c>
      <c r="H61" s="139">
        <f t="shared" si="4"/>
        <v>45410.75</v>
      </c>
      <c r="I61" s="272">
        <f t="shared" si="5"/>
        <v>38542</v>
      </c>
      <c r="J61" s="273">
        <f t="shared" si="6"/>
        <v>38542</v>
      </c>
      <c r="K61" s="274">
        <f t="shared" si="7"/>
        <v>38542</v>
      </c>
      <c r="L61" s="285">
        <f t="shared" si="8"/>
        <v>38542</v>
      </c>
      <c r="M61" s="286">
        <f t="shared" si="9"/>
        <v>38542</v>
      </c>
      <c r="N61" s="570">
        <v>69668</v>
      </c>
      <c r="O61" s="571">
        <v>63707</v>
      </c>
      <c r="P61" s="572">
        <v>19542</v>
      </c>
      <c r="Q61" s="570">
        <v>34703</v>
      </c>
      <c r="R61" s="572">
        <v>50284</v>
      </c>
      <c r="S61" s="41"/>
      <c r="T61" s="41"/>
      <c r="U61" s="292"/>
      <c r="V61" s="273">
        <v>166405</v>
      </c>
      <c r="W61" s="273">
        <v>214911</v>
      </c>
      <c r="X61" s="273">
        <v>212794</v>
      </c>
      <c r="Y61" s="272">
        <v>55502</v>
      </c>
      <c r="Z61" s="274">
        <v>127353</v>
      </c>
      <c r="AA61" s="292">
        <v>83062</v>
      </c>
      <c r="AB61" s="273">
        <v>139670</v>
      </c>
      <c r="AC61" s="273"/>
      <c r="AD61" s="274"/>
      <c r="AE61" s="302"/>
      <c r="AF61" s="73">
        <v>11</v>
      </c>
      <c r="AG61" s="300">
        <f t="shared" si="21"/>
        <v>1</v>
      </c>
      <c r="AH61" s="58">
        <f t="shared" si="22"/>
        <v>45410</v>
      </c>
      <c r="AI61" s="59">
        <v>0.75</v>
      </c>
      <c r="AJ61" s="60">
        <f t="shared" si="10"/>
        <v>45410.75</v>
      </c>
      <c r="AK61" s="61">
        <f t="shared" si="11"/>
        <v>11</v>
      </c>
      <c r="AL61" s="61">
        <f t="shared" si="23"/>
        <v>1</v>
      </c>
      <c r="AM61" s="69">
        <v>38542</v>
      </c>
      <c r="AN61" s="70">
        <v>256</v>
      </c>
      <c r="AO61" s="71">
        <f t="shared" si="12"/>
        <v>6</v>
      </c>
      <c r="AP61" s="64">
        <f t="shared" si="56"/>
        <v>1088</v>
      </c>
      <c r="AQ61" s="65">
        <f t="shared" si="13"/>
        <v>150.5546875</v>
      </c>
      <c r="AR61" s="66">
        <f t="shared" si="24"/>
        <v>181.33333333333334</v>
      </c>
      <c r="AS61" s="590">
        <f>SUM(AP58:AP61)/SUM(AO58:AO61)</f>
        <v>199.61111111111111</v>
      </c>
      <c r="AT61" s="69">
        <f t="shared" ref="AT61" si="65">AM61</f>
        <v>38542</v>
      </c>
      <c r="AU61" s="70">
        <f t="shared" ref="AU61" si="66">AN61</f>
        <v>256</v>
      </c>
      <c r="AV61" s="69">
        <f t="shared" ref="AV61" si="67">AM61</f>
        <v>38542</v>
      </c>
      <c r="AW61" s="70">
        <f t="shared" ref="AW61" si="68">AN61</f>
        <v>256</v>
      </c>
      <c r="AX61" s="64">
        <f t="shared" si="36"/>
        <v>38542</v>
      </c>
      <c r="AY61" s="67">
        <f t="shared" si="25"/>
        <v>0</v>
      </c>
      <c r="AZ61" s="72">
        <f t="shared" si="38"/>
        <v>256</v>
      </c>
      <c r="BA61" s="50">
        <f t="shared" si="16"/>
        <v>0</v>
      </c>
      <c r="BB61" s="64">
        <f t="shared" si="40"/>
        <v>38542</v>
      </c>
      <c r="BC61" s="67">
        <f t="shared" si="17"/>
        <v>0</v>
      </c>
      <c r="BD61" s="72">
        <f t="shared" si="30"/>
        <v>256</v>
      </c>
      <c r="BE61" s="50">
        <f t="shared" si="18"/>
        <v>0</v>
      </c>
      <c r="BF61" s="64">
        <f t="shared" si="19"/>
        <v>1088</v>
      </c>
      <c r="BG61" s="64">
        <f t="shared" si="20"/>
        <v>3503.818181818182</v>
      </c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</row>
    <row r="62" spans="1:78" s="68" customFormat="1" x14ac:dyDescent="0.3">
      <c r="A62" s="110"/>
      <c r="B62" s="118"/>
      <c r="C62" s="189"/>
      <c r="D62" s="118"/>
      <c r="E62" s="189"/>
      <c r="F62" s="189"/>
      <c r="G62" s="114">
        <v>12</v>
      </c>
      <c r="H62" s="139">
        <f t="shared" si="4"/>
        <v>45411.75</v>
      </c>
      <c r="I62" s="272">
        <f t="shared" si="5"/>
        <v>40462</v>
      </c>
      <c r="J62" s="273">
        <f t="shared" si="6"/>
        <v>40462</v>
      </c>
      <c r="K62" s="274">
        <f t="shared" si="7"/>
        <v>40462</v>
      </c>
      <c r="L62" s="285">
        <f t="shared" si="8"/>
        <v>39601.93260261949</v>
      </c>
      <c r="M62" s="286">
        <f t="shared" si="9"/>
        <v>40430.582413034004</v>
      </c>
      <c r="N62" s="570">
        <v>71286</v>
      </c>
      <c r="O62" s="571">
        <v>66094</v>
      </c>
      <c r="P62" s="572">
        <v>20594</v>
      </c>
      <c r="Q62" s="570">
        <v>36986</v>
      </c>
      <c r="R62" s="572">
        <v>54218</v>
      </c>
      <c r="S62" s="41"/>
      <c r="T62" s="41"/>
      <c r="U62" s="292">
        <v>125000</v>
      </c>
      <c r="V62" s="273">
        <v>169780</v>
      </c>
      <c r="W62" s="273">
        <v>220698</v>
      </c>
      <c r="X62" s="273">
        <v>221864</v>
      </c>
      <c r="Y62" s="272">
        <v>57013</v>
      </c>
      <c r="Z62" s="274">
        <v>134068</v>
      </c>
      <c r="AA62" s="292">
        <v>86154</v>
      </c>
      <c r="AB62" s="273">
        <v>143057</v>
      </c>
      <c r="AC62" s="273"/>
      <c r="AD62" s="274"/>
      <c r="AE62" s="302"/>
      <c r="AF62" s="73">
        <v>12</v>
      </c>
      <c r="AG62" s="300">
        <f t="shared" si="21"/>
        <v>2</v>
      </c>
      <c r="AH62" s="58">
        <f t="shared" si="22"/>
        <v>45411</v>
      </c>
      <c r="AI62" s="59">
        <v>0.75</v>
      </c>
      <c r="AJ62" s="60">
        <f t="shared" si="10"/>
        <v>45411.75</v>
      </c>
      <c r="AK62" s="61">
        <f t="shared" si="11"/>
        <v>12</v>
      </c>
      <c r="AL62" s="61">
        <f t="shared" si="23"/>
        <v>1</v>
      </c>
      <c r="AM62" s="69">
        <v>40462</v>
      </c>
      <c r="AN62" s="70">
        <v>270</v>
      </c>
      <c r="AO62" s="71">
        <f t="shared" si="12"/>
        <v>14</v>
      </c>
      <c r="AP62" s="64">
        <f t="shared" si="56"/>
        <v>1920</v>
      </c>
      <c r="AQ62" s="65">
        <f t="shared" si="13"/>
        <v>149.85925925925926</v>
      </c>
      <c r="AR62" s="66">
        <f t="shared" si="24"/>
        <v>137.14285714285714</v>
      </c>
      <c r="AS62" s="66">
        <f t="shared" si="51"/>
        <v>182.12</v>
      </c>
      <c r="AT62" s="69">
        <f t="shared" ref="AT62" si="69">AM62</f>
        <v>40462</v>
      </c>
      <c r="AU62" s="70">
        <f t="shared" ref="AU62" si="70">AN62</f>
        <v>270</v>
      </c>
      <c r="AV62" s="69">
        <f t="shared" ref="AV62" si="71">AM62</f>
        <v>40462</v>
      </c>
      <c r="AW62" s="70">
        <f t="shared" ref="AW62" si="72">AN62</f>
        <v>270</v>
      </c>
      <c r="AX62" s="64">
        <f>AX61+(AX$73-$AX$61)*Vergleich!AC94</f>
        <v>39601.93260261949</v>
      </c>
      <c r="AY62" s="67">
        <f t="shared" ref="AY62:AY70" si="73">AM62-AX62</f>
        <v>860.06739738050965</v>
      </c>
      <c r="AZ62" s="72">
        <f>ROUND(AZ61+(AZ$73-$AZ$61)*Vergleich!AD94,)</f>
        <v>260</v>
      </c>
      <c r="BA62" s="50">
        <f t="shared" ref="BA62:BA70" si="74">AN62-AZ62</f>
        <v>10</v>
      </c>
      <c r="BB62" s="64">
        <f>BB61+(BB$73-$BB$61)*Vergleich!N94</f>
        <v>40430.582413034004</v>
      </c>
      <c r="BC62" s="67">
        <f t="shared" ref="BC62:BC70" si="75">AM62-BB62</f>
        <v>31.417586965995724</v>
      </c>
      <c r="BD62" s="72">
        <f>ROUND(BD61+(BD$73-$BD$61)*Vergleich!O94,)</f>
        <v>271</v>
      </c>
      <c r="BE62" s="50">
        <f t="shared" ref="BE62:BE70" si="76">AN62-BD62</f>
        <v>-1</v>
      </c>
      <c r="BF62" s="64">
        <f t="shared" si="19"/>
        <v>1920</v>
      </c>
      <c r="BG62" s="64">
        <f t="shared" si="20"/>
        <v>3371.8333333333335</v>
      </c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</row>
    <row r="63" spans="1:78" s="68" customFormat="1" ht="15.75" thickBot="1" x14ac:dyDescent="0.35">
      <c r="A63" s="110"/>
      <c r="B63" s="118"/>
      <c r="C63" s="189"/>
      <c r="D63" s="118"/>
      <c r="E63" s="189"/>
      <c r="F63" s="189"/>
      <c r="G63" s="114">
        <v>13</v>
      </c>
      <c r="H63" s="139">
        <f t="shared" si="4"/>
        <v>45412.75</v>
      </c>
      <c r="I63" s="272">
        <f t="shared" si="5"/>
        <v>42073</v>
      </c>
      <c r="J63" s="273">
        <f t="shared" si="6"/>
        <v>42073</v>
      </c>
      <c r="K63" s="274">
        <f t="shared" si="7"/>
        <v>42073</v>
      </c>
      <c r="L63" s="285">
        <f t="shared" si="8"/>
        <v>39818.553809428602</v>
      </c>
      <c r="M63" s="286">
        <f t="shared" si="9"/>
        <v>41916.826824594988</v>
      </c>
      <c r="N63" s="570">
        <v>74079</v>
      </c>
      <c r="O63" s="571">
        <v>68288</v>
      </c>
      <c r="P63" s="572">
        <v>20809</v>
      </c>
      <c r="Q63" s="570">
        <v>37704</v>
      </c>
      <c r="R63" s="572">
        <v>55585</v>
      </c>
      <c r="S63" s="41"/>
      <c r="T63" s="41"/>
      <c r="U63" s="292"/>
      <c r="V63" s="273">
        <v>172436</v>
      </c>
      <c r="W63" s="273">
        <v>224732</v>
      </c>
      <c r="X63" s="273">
        <v>229701</v>
      </c>
      <c r="Y63" s="272">
        <v>57853</v>
      </c>
      <c r="Z63" s="274">
        <v>139930</v>
      </c>
      <c r="AA63" s="292">
        <v>89062</v>
      </c>
      <c r="AB63" s="273">
        <v>149744</v>
      </c>
      <c r="AC63" s="273"/>
      <c r="AD63" s="274"/>
      <c r="AE63" s="302"/>
      <c r="AF63" s="73">
        <v>13</v>
      </c>
      <c r="AG63" s="300">
        <f t="shared" si="21"/>
        <v>3</v>
      </c>
      <c r="AH63" s="58">
        <f t="shared" si="22"/>
        <v>45412</v>
      </c>
      <c r="AI63" s="59">
        <v>0.75</v>
      </c>
      <c r="AJ63" s="60">
        <f t="shared" si="10"/>
        <v>45412.75</v>
      </c>
      <c r="AK63" s="61">
        <f t="shared" si="11"/>
        <v>13</v>
      </c>
      <c r="AL63" s="61">
        <f t="shared" si="23"/>
        <v>1</v>
      </c>
      <c r="AM63" s="69">
        <v>42073</v>
      </c>
      <c r="AN63" s="70">
        <v>282</v>
      </c>
      <c r="AO63" s="71">
        <f t="shared" si="12"/>
        <v>12</v>
      </c>
      <c r="AP63" s="64">
        <f t="shared" si="56"/>
        <v>1611</v>
      </c>
      <c r="AQ63" s="65">
        <f t="shared" si="13"/>
        <v>149.1950354609929</v>
      </c>
      <c r="AR63" s="66">
        <f t="shared" si="24"/>
        <v>134.25</v>
      </c>
      <c r="AS63" s="66">
        <f t="shared" si="51"/>
        <v>181.47916666666666</v>
      </c>
      <c r="AT63" s="69">
        <f t="shared" ref="AT63:AT65" si="77">AM63</f>
        <v>42073</v>
      </c>
      <c r="AU63" s="70">
        <f t="shared" ref="AU63:AU65" si="78">AN63</f>
        <v>282</v>
      </c>
      <c r="AV63" s="69">
        <f t="shared" ref="AV63:AV65" si="79">AM63</f>
        <v>42073</v>
      </c>
      <c r="AW63" s="70">
        <f t="shared" ref="AW63:AW65" si="80">AN63</f>
        <v>282</v>
      </c>
      <c r="AX63" s="64">
        <f>AX62+(AX$73-$AX$61)*Vergleich!AC95</f>
        <v>39818.553809428602</v>
      </c>
      <c r="AY63" s="67">
        <f t="shared" si="73"/>
        <v>2254.4461905713979</v>
      </c>
      <c r="AZ63" s="72">
        <f>ROUND(AZ62+(AZ$73-$AZ$61)*Vergleich!AD95,)</f>
        <v>261</v>
      </c>
      <c r="BA63" s="50">
        <f t="shared" si="74"/>
        <v>21</v>
      </c>
      <c r="BB63" s="64">
        <f>BB62+(BB$73-$BB$61)*Vergleich!N95</f>
        <v>41916.826824594988</v>
      </c>
      <c r="BC63" s="67">
        <f t="shared" si="75"/>
        <v>156.17317540501244</v>
      </c>
      <c r="BD63" s="72">
        <f>ROUND(BD62+(BD$73-$BD$61)*Vergleich!O95,)</f>
        <v>280</v>
      </c>
      <c r="BE63" s="50">
        <f t="shared" si="76"/>
        <v>2</v>
      </c>
      <c r="BF63" s="64">
        <f t="shared" si="19"/>
        <v>1611</v>
      </c>
      <c r="BG63" s="64">
        <f t="shared" si="20"/>
        <v>3236.3846153846152</v>
      </c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</row>
    <row r="64" spans="1:78" s="68" customFormat="1" ht="15.75" thickBot="1" x14ac:dyDescent="0.35">
      <c r="A64" s="110"/>
      <c r="B64" s="118"/>
      <c r="C64" s="189"/>
      <c r="D64" s="118"/>
      <c r="E64" s="189"/>
      <c r="F64" s="189"/>
      <c r="G64" s="114">
        <v>14</v>
      </c>
      <c r="H64" s="139">
        <f t="shared" si="4"/>
        <v>45413.75</v>
      </c>
      <c r="I64" s="272">
        <f t="shared" si="5"/>
        <v>43611</v>
      </c>
      <c r="J64" s="273">
        <f t="shared" si="6"/>
        <v>43611</v>
      </c>
      <c r="K64" s="274">
        <f t="shared" si="7"/>
        <v>43611</v>
      </c>
      <c r="L64" s="285">
        <f t="shared" si="8"/>
        <v>40440.206295945929</v>
      </c>
      <c r="M64" s="286">
        <f t="shared" si="9"/>
        <v>44263.145656551002</v>
      </c>
      <c r="N64" s="570">
        <v>75411</v>
      </c>
      <c r="O64" s="571">
        <v>71648</v>
      </c>
      <c r="P64" s="572">
        <v>21426</v>
      </c>
      <c r="Q64" s="570">
        <v>38541</v>
      </c>
      <c r="R64" s="572">
        <v>57658</v>
      </c>
      <c r="S64" s="41"/>
      <c r="T64" s="41"/>
      <c r="U64" s="292"/>
      <c r="V64" s="273">
        <v>176629</v>
      </c>
      <c r="W64" s="273">
        <v>232641</v>
      </c>
      <c r="X64" s="273">
        <v>240791</v>
      </c>
      <c r="Y64" s="272">
        <v>59064</v>
      </c>
      <c r="Z64" s="274">
        <v>148846</v>
      </c>
      <c r="AA64" s="292">
        <v>93109</v>
      </c>
      <c r="AB64" s="273">
        <v>155980</v>
      </c>
      <c r="AC64" s="273"/>
      <c r="AD64" s="274"/>
      <c r="AE64" s="302"/>
      <c r="AF64" s="73">
        <v>14</v>
      </c>
      <c r="AG64" s="405">
        <f t="shared" si="21"/>
        <v>4</v>
      </c>
      <c r="AH64" s="404">
        <f t="shared" si="22"/>
        <v>45413</v>
      </c>
      <c r="AI64" s="59">
        <v>0.75</v>
      </c>
      <c r="AJ64" s="60">
        <f t="shared" si="10"/>
        <v>45413.75</v>
      </c>
      <c r="AK64" s="61">
        <f t="shared" si="11"/>
        <v>14</v>
      </c>
      <c r="AL64" s="61">
        <f t="shared" si="23"/>
        <v>1</v>
      </c>
      <c r="AM64" s="69">
        <v>43611</v>
      </c>
      <c r="AN64" s="70">
        <v>294</v>
      </c>
      <c r="AO64" s="71">
        <f t="shared" si="12"/>
        <v>12</v>
      </c>
      <c r="AP64" s="64">
        <f t="shared" si="56"/>
        <v>1538</v>
      </c>
      <c r="AQ64" s="65">
        <f t="shared" si="13"/>
        <v>148.33673469387756</v>
      </c>
      <c r="AR64" s="66">
        <f t="shared" si="24"/>
        <v>128.16666666666666</v>
      </c>
      <c r="AS64" s="66">
        <f t="shared" si="51"/>
        <v>141.24074074074073</v>
      </c>
      <c r="AT64" s="69">
        <f t="shared" si="77"/>
        <v>43611</v>
      </c>
      <c r="AU64" s="70">
        <f t="shared" si="78"/>
        <v>294</v>
      </c>
      <c r="AV64" s="69">
        <f t="shared" si="79"/>
        <v>43611</v>
      </c>
      <c r="AW64" s="70">
        <f t="shared" si="80"/>
        <v>294</v>
      </c>
      <c r="AX64" s="64">
        <f>AX63+(AX$73-$AX$61)*Vergleich!AC96</f>
        <v>40440.206295945929</v>
      </c>
      <c r="AY64" s="67">
        <f t="shared" si="73"/>
        <v>3170.793704054071</v>
      </c>
      <c r="AZ64" s="72">
        <f>ROUND(AZ63+(AZ$73-$AZ$61)*Vergleich!AD96,)</f>
        <v>265</v>
      </c>
      <c r="BA64" s="50">
        <f t="shared" si="74"/>
        <v>29</v>
      </c>
      <c r="BB64" s="64">
        <f>BB63+(BB$73-$BB$61)*Vergleich!N96</f>
        <v>44263.145656551002</v>
      </c>
      <c r="BC64" s="67">
        <f t="shared" si="75"/>
        <v>-652.14565655100159</v>
      </c>
      <c r="BD64" s="72">
        <f>ROUND(BD63+(BD$73-$BD$61)*Vergleich!O96,)</f>
        <v>296</v>
      </c>
      <c r="BE64" s="50">
        <f t="shared" si="76"/>
        <v>-2</v>
      </c>
      <c r="BF64" s="64">
        <f t="shared" si="19"/>
        <v>1538</v>
      </c>
      <c r="BG64" s="64">
        <f t="shared" si="20"/>
        <v>3115.0714285714284</v>
      </c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</row>
    <row r="65" spans="1:78" s="68" customFormat="1" ht="15.75" thickBot="1" x14ac:dyDescent="0.35">
      <c r="A65" s="110"/>
      <c r="B65" s="118"/>
      <c r="C65" s="189"/>
      <c r="D65" s="118"/>
      <c r="E65" s="189"/>
      <c r="F65" s="189"/>
      <c r="G65" s="114">
        <v>15</v>
      </c>
      <c r="H65" s="139">
        <f t="shared" si="4"/>
        <v>45414.75</v>
      </c>
      <c r="I65" s="272">
        <f t="shared" si="5"/>
        <v>45951</v>
      </c>
      <c r="J65" s="273">
        <f t="shared" si="6"/>
        <v>45951</v>
      </c>
      <c r="K65" s="274">
        <f t="shared" si="7"/>
        <v>45951</v>
      </c>
      <c r="L65" s="285">
        <f t="shared" si="8"/>
        <v>41545.478220920813</v>
      </c>
      <c r="M65" s="286">
        <f t="shared" si="9"/>
        <v>50778.894876511855</v>
      </c>
      <c r="N65" s="570">
        <v>77016</v>
      </c>
      <c r="O65" s="571">
        <v>75191</v>
      </c>
      <c r="P65" s="572">
        <v>22523</v>
      </c>
      <c r="Q65" s="570">
        <v>40401</v>
      </c>
      <c r="R65" s="572">
        <v>59154</v>
      </c>
      <c r="S65" s="41"/>
      <c r="T65" s="41"/>
      <c r="U65" s="292"/>
      <c r="V65" s="273">
        <v>188273</v>
      </c>
      <c r="W65" s="273">
        <v>242719</v>
      </c>
      <c r="X65" s="273">
        <v>249000</v>
      </c>
      <c r="Y65" s="272">
        <v>60362</v>
      </c>
      <c r="Z65" s="274">
        <v>159815</v>
      </c>
      <c r="AA65" s="292">
        <v>97466</v>
      </c>
      <c r="AB65" s="273">
        <v>165152</v>
      </c>
      <c r="AC65" s="273"/>
      <c r="AD65" s="274"/>
      <c r="AE65" s="302"/>
      <c r="AF65" s="73">
        <v>15</v>
      </c>
      <c r="AG65" s="300">
        <f t="shared" si="21"/>
        <v>5</v>
      </c>
      <c r="AH65" s="58">
        <f t="shared" si="22"/>
        <v>45414</v>
      </c>
      <c r="AI65" s="59">
        <v>0.75</v>
      </c>
      <c r="AJ65" s="60">
        <f t="shared" si="10"/>
        <v>45414.75</v>
      </c>
      <c r="AK65" s="61">
        <f t="shared" si="11"/>
        <v>15</v>
      </c>
      <c r="AL65" s="61">
        <f t="shared" si="23"/>
        <v>1</v>
      </c>
      <c r="AM65" s="69">
        <v>45951</v>
      </c>
      <c r="AN65" s="70">
        <v>308</v>
      </c>
      <c r="AO65" s="71">
        <f t="shared" si="12"/>
        <v>14</v>
      </c>
      <c r="AP65" s="409">
        <f t="shared" si="56"/>
        <v>2340</v>
      </c>
      <c r="AQ65" s="65">
        <f t="shared" si="13"/>
        <v>149.19155844155844</v>
      </c>
      <c r="AR65" s="66">
        <f t="shared" si="24"/>
        <v>167.14285714285714</v>
      </c>
      <c r="AS65" s="66">
        <f t="shared" si="51"/>
        <v>146.5</v>
      </c>
      <c r="AT65" s="69">
        <f t="shared" si="77"/>
        <v>45951</v>
      </c>
      <c r="AU65" s="70">
        <f t="shared" si="78"/>
        <v>308</v>
      </c>
      <c r="AV65" s="69">
        <f t="shared" si="79"/>
        <v>45951</v>
      </c>
      <c r="AW65" s="70">
        <f t="shared" si="80"/>
        <v>308</v>
      </c>
      <c r="AX65" s="64">
        <f>AX64+(AX$73-$AX$61)*Vergleich!AC97</f>
        <v>41545.478220920813</v>
      </c>
      <c r="AY65" s="67">
        <f t="shared" si="73"/>
        <v>4405.5217790791867</v>
      </c>
      <c r="AZ65" s="72">
        <f>ROUND(AZ64+(AZ$73-$AZ$61)*Vergleich!AD97,)</f>
        <v>270</v>
      </c>
      <c r="BA65" s="50">
        <f t="shared" si="74"/>
        <v>38</v>
      </c>
      <c r="BB65" s="64">
        <f>BB64+(BB$73-$BB$61)*Vergleich!N97</f>
        <v>50778.894876511855</v>
      </c>
      <c r="BC65" s="67">
        <f t="shared" si="75"/>
        <v>-4827.8948765118548</v>
      </c>
      <c r="BD65" s="72">
        <f>ROUND(BD64+(BD$73-$BD$61)*Vergleich!O97,)</f>
        <v>343</v>
      </c>
      <c r="BE65" s="50">
        <f t="shared" si="76"/>
        <v>-35</v>
      </c>
      <c r="BF65" s="64">
        <f t="shared" si="19"/>
        <v>2340</v>
      </c>
      <c r="BG65" s="64">
        <f t="shared" si="20"/>
        <v>3063.4</v>
      </c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</row>
    <row r="66" spans="1:78" s="68" customFormat="1" x14ac:dyDescent="0.3">
      <c r="A66" s="110"/>
      <c r="B66" s="118"/>
      <c r="C66" s="189"/>
      <c r="D66" s="118"/>
      <c r="E66" s="189"/>
      <c r="F66" s="189"/>
      <c r="G66" s="114">
        <v>16</v>
      </c>
      <c r="H66" s="139">
        <f t="shared" si="4"/>
        <v>45415.75</v>
      </c>
      <c r="I66" s="272">
        <f t="shared" si="5"/>
        <v>47979</v>
      </c>
      <c r="J66" s="273">
        <f t="shared" si="6"/>
        <v>47979</v>
      </c>
      <c r="K66" s="274">
        <f t="shared" si="7"/>
        <v>47979</v>
      </c>
      <c r="L66" s="285">
        <f t="shared" si="8"/>
        <v>42532.867907771666</v>
      </c>
      <c r="M66" s="286">
        <f t="shared" si="9"/>
        <v>53571.758527905244</v>
      </c>
      <c r="N66" s="570">
        <v>80049</v>
      </c>
      <c r="O66" s="571">
        <v>78668</v>
      </c>
      <c r="P66" s="572">
        <v>23503</v>
      </c>
      <c r="Q66" s="570">
        <v>42277</v>
      </c>
      <c r="R66" s="572">
        <v>61842</v>
      </c>
      <c r="S66" s="41"/>
      <c r="T66" s="41"/>
      <c r="U66" s="292"/>
      <c r="V66" s="273">
        <v>193264</v>
      </c>
      <c r="W66" s="273">
        <v>251181</v>
      </c>
      <c r="X66" s="273">
        <v>257666</v>
      </c>
      <c r="Y66" s="272">
        <v>61360</v>
      </c>
      <c r="Z66" s="274">
        <v>167089</v>
      </c>
      <c r="AA66" s="292">
        <v>103452</v>
      </c>
      <c r="AB66" s="273">
        <v>174081</v>
      </c>
      <c r="AC66" s="273"/>
      <c r="AD66" s="274"/>
      <c r="AE66" s="302"/>
      <c r="AF66" s="73">
        <v>16</v>
      </c>
      <c r="AG66" s="300">
        <f t="shared" si="21"/>
        <v>6</v>
      </c>
      <c r="AH66" s="58">
        <f t="shared" si="22"/>
        <v>45415</v>
      </c>
      <c r="AI66" s="59">
        <v>0.75</v>
      </c>
      <c r="AJ66" s="60">
        <f t="shared" si="10"/>
        <v>45415.75</v>
      </c>
      <c r="AK66" s="61">
        <f t="shared" si="11"/>
        <v>16</v>
      </c>
      <c r="AL66" s="61">
        <f t="shared" si="23"/>
        <v>1</v>
      </c>
      <c r="AM66" s="69">
        <v>47979</v>
      </c>
      <c r="AN66" s="70">
        <v>319</v>
      </c>
      <c r="AO66" s="71">
        <f t="shared" si="12"/>
        <v>11</v>
      </c>
      <c r="AP66" s="64">
        <f t="shared" si="56"/>
        <v>2028</v>
      </c>
      <c r="AQ66" s="65">
        <f t="shared" si="13"/>
        <v>150.40438871473353</v>
      </c>
      <c r="AR66" s="66">
        <f t="shared" si="24"/>
        <v>184.36363636363637</v>
      </c>
      <c r="AS66" s="66">
        <f t="shared" si="51"/>
        <v>149.79365079365078</v>
      </c>
      <c r="AT66" s="69">
        <f t="shared" ref="AT66" si="81">AM66</f>
        <v>47979</v>
      </c>
      <c r="AU66" s="70">
        <f t="shared" ref="AU66" si="82">AN66</f>
        <v>319</v>
      </c>
      <c r="AV66" s="69">
        <f t="shared" ref="AV66" si="83">AM66</f>
        <v>47979</v>
      </c>
      <c r="AW66" s="70">
        <f t="shared" ref="AW66" si="84">AN66</f>
        <v>319</v>
      </c>
      <c r="AX66" s="64">
        <f>AX65+(AX$73-$AX$61)*Vergleich!AC98</f>
        <v>42532.867907771666</v>
      </c>
      <c r="AY66" s="67">
        <f t="shared" si="73"/>
        <v>5446.1320922283339</v>
      </c>
      <c r="AZ66" s="72">
        <f>ROUND(AZ65+(AZ$73-$AZ$61)*Vergleich!AD98,)</f>
        <v>277</v>
      </c>
      <c r="BA66" s="50">
        <f t="shared" si="74"/>
        <v>42</v>
      </c>
      <c r="BB66" s="64">
        <f>BB65+(BB$73-$BB$61)*Vergleich!N98</f>
        <v>53571.758527905244</v>
      </c>
      <c r="BC66" s="67">
        <f t="shared" si="75"/>
        <v>-5592.7585279052437</v>
      </c>
      <c r="BD66" s="72">
        <f>ROUND(BD65+(BD$73-$BD$61)*Vergleich!O98,)</f>
        <v>364</v>
      </c>
      <c r="BE66" s="50">
        <f t="shared" si="76"/>
        <v>-45</v>
      </c>
      <c r="BF66" s="64">
        <f t="shared" si="19"/>
        <v>2028</v>
      </c>
      <c r="BG66" s="64">
        <f t="shared" si="20"/>
        <v>2998.6875</v>
      </c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</row>
    <row r="67" spans="1:78" s="68" customFormat="1" x14ac:dyDescent="0.3">
      <c r="A67" s="110"/>
      <c r="B67" s="118"/>
      <c r="C67" s="189"/>
      <c r="D67" s="118"/>
      <c r="E67" s="189"/>
      <c r="F67" s="189"/>
      <c r="G67" s="114">
        <v>17</v>
      </c>
      <c r="H67" s="139">
        <f t="shared" si="4"/>
        <v>45416.75</v>
      </c>
      <c r="I67" s="272">
        <f t="shared" si="5"/>
        <v>49387</v>
      </c>
      <c r="J67" s="273">
        <f t="shared" si="6"/>
        <v>49387</v>
      </c>
      <c r="K67" s="274">
        <f t="shared" si="7"/>
        <v>49387</v>
      </c>
      <c r="L67" s="285">
        <f t="shared" si="8"/>
        <v>42978.200807351335</v>
      </c>
      <c r="M67" s="286">
        <f t="shared" si="9"/>
        <v>56367.979659144032</v>
      </c>
      <c r="N67" s="570">
        <v>86833</v>
      </c>
      <c r="O67" s="571">
        <v>83940</v>
      </c>
      <c r="P67" s="572">
        <v>23945</v>
      </c>
      <c r="Q67" s="570">
        <v>44039</v>
      </c>
      <c r="R67" s="572">
        <v>64258</v>
      </c>
      <c r="S67" s="41"/>
      <c r="T67" s="41"/>
      <c r="U67" s="292"/>
      <c r="V67" s="273">
        <v>198261</v>
      </c>
      <c r="W67" s="273">
        <v>258252</v>
      </c>
      <c r="X67" s="273">
        <v>268894</v>
      </c>
      <c r="Y67" s="272">
        <v>63787</v>
      </c>
      <c r="Z67" s="274">
        <v>174268</v>
      </c>
      <c r="AA67" s="292">
        <v>109547</v>
      </c>
      <c r="AB67" s="273">
        <v>181054</v>
      </c>
      <c r="AC67" s="273"/>
      <c r="AD67" s="274"/>
      <c r="AE67" s="302"/>
      <c r="AF67" s="73">
        <v>17</v>
      </c>
      <c r="AG67" s="300">
        <f t="shared" si="21"/>
        <v>7</v>
      </c>
      <c r="AH67" s="58">
        <f t="shared" si="22"/>
        <v>45416</v>
      </c>
      <c r="AI67" s="59">
        <v>0.75</v>
      </c>
      <c r="AJ67" s="60">
        <f t="shared" si="10"/>
        <v>45416.75</v>
      </c>
      <c r="AK67" s="61">
        <f t="shared" si="11"/>
        <v>17</v>
      </c>
      <c r="AL67" s="61">
        <f t="shared" si="23"/>
        <v>1</v>
      </c>
      <c r="AM67" s="69">
        <v>49387</v>
      </c>
      <c r="AN67" s="70">
        <v>329</v>
      </c>
      <c r="AO67" s="71">
        <f t="shared" si="12"/>
        <v>10</v>
      </c>
      <c r="AP67" s="64">
        <f t="shared" si="56"/>
        <v>1408</v>
      </c>
      <c r="AQ67" s="65">
        <f t="shared" si="13"/>
        <v>150.11246200607903</v>
      </c>
      <c r="AR67" s="66">
        <f t="shared" si="24"/>
        <v>140.80000000000001</v>
      </c>
      <c r="AS67" s="66">
        <f t="shared" si="51"/>
        <v>151.27118644067798</v>
      </c>
      <c r="AT67" s="69">
        <f t="shared" ref="AT67:AT68" si="85">AM67</f>
        <v>49387</v>
      </c>
      <c r="AU67" s="70">
        <f t="shared" ref="AU67:AU68" si="86">AN67</f>
        <v>329</v>
      </c>
      <c r="AV67" s="69">
        <f t="shared" ref="AV67:AV68" si="87">AM67</f>
        <v>49387</v>
      </c>
      <c r="AW67" s="70">
        <f t="shared" ref="AW67:AW68" si="88">AN67</f>
        <v>329</v>
      </c>
      <c r="AX67" s="64">
        <f>AX66+(AX$73-$AX$61)*Vergleich!AC99</f>
        <v>42978.200807351335</v>
      </c>
      <c r="AY67" s="67">
        <f t="shared" si="73"/>
        <v>6408.7991926486648</v>
      </c>
      <c r="AZ67" s="72">
        <f>ROUND(AZ66+(AZ$73-$AZ$61)*Vergleich!AD99,)</f>
        <v>280</v>
      </c>
      <c r="BA67" s="50">
        <f t="shared" si="74"/>
        <v>49</v>
      </c>
      <c r="BB67" s="64">
        <f>BB66+(BB$73-$BB$61)*Vergleich!N99</f>
        <v>56367.979659144032</v>
      </c>
      <c r="BC67" s="67">
        <f t="shared" si="75"/>
        <v>-6980.9796591440318</v>
      </c>
      <c r="BD67" s="72">
        <f>ROUND(BD66+(BD$73-$BD$61)*Vergleich!O99,)</f>
        <v>384</v>
      </c>
      <c r="BE67" s="50">
        <f t="shared" si="76"/>
        <v>-55</v>
      </c>
      <c r="BF67" s="64">
        <f t="shared" si="19"/>
        <v>1408</v>
      </c>
      <c r="BG67" s="64">
        <f t="shared" si="20"/>
        <v>2905.1176470588234</v>
      </c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</row>
    <row r="68" spans="1:78" s="68" customFormat="1" x14ac:dyDescent="0.3">
      <c r="A68" s="110"/>
      <c r="B68" s="118"/>
      <c r="C68" s="189"/>
      <c r="D68" s="118"/>
      <c r="E68" s="189"/>
      <c r="F68" s="189"/>
      <c r="G68" s="114">
        <v>18</v>
      </c>
      <c r="H68" s="139">
        <f t="shared" si="4"/>
        <v>45417.75</v>
      </c>
      <c r="I68" s="272">
        <f t="shared" si="5"/>
        <v>51996</v>
      </c>
      <c r="J68" s="273">
        <f t="shared" si="6"/>
        <v>51996</v>
      </c>
      <c r="K68" s="274">
        <f t="shared" si="7"/>
        <v>51996</v>
      </c>
      <c r="L68" s="285">
        <f t="shared" si="8"/>
        <v>44306.139182116058</v>
      </c>
      <c r="M68" s="286">
        <f t="shared" si="9"/>
        <v>59086.419173964525</v>
      </c>
      <c r="N68" s="570">
        <v>91974</v>
      </c>
      <c r="O68" s="571">
        <v>87091</v>
      </c>
      <c r="P68" s="572">
        <v>25263</v>
      </c>
      <c r="Q68" s="570">
        <v>46661</v>
      </c>
      <c r="R68" s="572">
        <v>66749</v>
      </c>
      <c r="S68" s="41"/>
      <c r="T68" s="41"/>
      <c r="U68" s="292"/>
      <c r="V68" s="273">
        <v>203119</v>
      </c>
      <c r="W68" s="273">
        <v>267342</v>
      </c>
      <c r="X68" s="273">
        <v>280832</v>
      </c>
      <c r="Y68" s="272">
        <v>66341</v>
      </c>
      <c r="Z68" s="274">
        <v>180234</v>
      </c>
      <c r="AA68" s="292">
        <v>115420</v>
      </c>
      <c r="AB68" s="273">
        <v>187527</v>
      </c>
      <c r="AC68" s="273"/>
      <c r="AD68" s="274"/>
      <c r="AE68" s="302"/>
      <c r="AF68" s="73">
        <v>18</v>
      </c>
      <c r="AG68" s="300">
        <f t="shared" si="21"/>
        <v>1</v>
      </c>
      <c r="AH68" s="58">
        <f t="shared" si="22"/>
        <v>45417</v>
      </c>
      <c r="AI68" s="59">
        <v>0.75</v>
      </c>
      <c r="AJ68" s="60">
        <f t="shared" si="10"/>
        <v>45417.75</v>
      </c>
      <c r="AK68" s="61">
        <f t="shared" si="11"/>
        <v>18</v>
      </c>
      <c r="AL68" s="61">
        <f t="shared" si="23"/>
        <v>1</v>
      </c>
      <c r="AM68" s="69">
        <v>51996</v>
      </c>
      <c r="AN68" s="70">
        <v>347</v>
      </c>
      <c r="AO68" s="71">
        <f t="shared" si="12"/>
        <v>18</v>
      </c>
      <c r="AP68" s="64">
        <f t="shared" si="56"/>
        <v>2609</v>
      </c>
      <c r="AQ68" s="65">
        <f t="shared" si="13"/>
        <v>149.84438040345822</v>
      </c>
      <c r="AR68" s="66">
        <f t="shared" si="24"/>
        <v>144.94444444444446</v>
      </c>
      <c r="AS68" s="66">
        <f t="shared" si="51"/>
        <v>152.66153846153847</v>
      </c>
      <c r="AT68" s="69">
        <f t="shared" si="85"/>
        <v>51996</v>
      </c>
      <c r="AU68" s="70">
        <f t="shared" si="86"/>
        <v>347</v>
      </c>
      <c r="AV68" s="69">
        <f t="shared" si="87"/>
        <v>51996</v>
      </c>
      <c r="AW68" s="70">
        <f t="shared" si="88"/>
        <v>347</v>
      </c>
      <c r="AX68" s="64">
        <f>AX67+(AX$73-$AX$61)*Vergleich!AC100</f>
        <v>44306.139182116058</v>
      </c>
      <c r="AY68" s="67">
        <f t="shared" si="73"/>
        <v>7689.8608178839422</v>
      </c>
      <c r="AZ68" s="72">
        <f>ROUND(AZ67+(AZ$73-$AZ$61)*Vergleich!AD100,)</f>
        <v>290</v>
      </c>
      <c r="BA68" s="50">
        <f t="shared" si="74"/>
        <v>57</v>
      </c>
      <c r="BB68" s="64">
        <f>BB67+(BB$73-$BB$61)*Vergleich!N100</f>
        <v>59086.419173964525</v>
      </c>
      <c r="BC68" s="67">
        <f t="shared" si="75"/>
        <v>-7090.4191739645248</v>
      </c>
      <c r="BD68" s="72">
        <f>ROUND(BD67+(BD$73-$BD$61)*Vergleich!O100,)</f>
        <v>404</v>
      </c>
      <c r="BE68" s="50">
        <f t="shared" si="76"/>
        <v>-57</v>
      </c>
      <c r="BF68" s="64">
        <f t="shared" si="19"/>
        <v>2609</v>
      </c>
      <c r="BG68" s="64">
        <f t="shared" si="20"/>
        <v>2888.6666666666665</v>
      </c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</row>
    <row r="69" spans="1:78" s="68" customFormat="1" x14ac:dyDescent="0.3">
      <c r="A69" s="110"/>
      <c r="B69" s="118"/>
      <c r="C69" s="189"/>
      <c r="D69" s="118"/>
      <c r="E69" s="189"/>
      <c r="F69" s="189"/>
      <c r="G69" s="114">
        <v>19</v>
      </c>
      <c r="H69" s="139">
        <f t="shared" si="4"/>
        <v>45418.75</v>
      </c>
      <c r="I69" s="272">
        <f t="shared" si="5"/>
        <v>55221</v>
      </c>
      <c r="J69" s="273">
        <f t="shared" si="6"/>
        <v>55221</v>
      </c>
      <c r="K69" s="274">
        <f t="shared" si="7"/>
        <v>55221</v>
      </c>
      <c r="L69" s="285">
        <f t="shared" si="8"/>
        <v>45762.035199972677</v>
      </c>
      <c r="M69" s="286">
        <f t="shared" si="9"/>
        <v>64160.130800328763</v>
      </c>
      <c r="N69" s="570">
        <v>101170</v>
      </c>
      <c r="O69" s="571">
        <v>91598</v>
      </c>
      <c r="P69" s="572">
        <v>26708</v>
      </c>
      <c r="Q69" s="570">
        <v>49576</v>
      </c>
      <c r="R69" s="572">
        <v>71433</v>
      </c>
      <c r="S69" s="41"/>
      <c r="T69" s="41"/>
      <c r="U69" s="292"/>
      <c r="V69" s="273">
        <v>212186</v>
      </c>
      <c r="W69" s="273">
        <v>279921</v>
      </c>
      <c r="X69" s="273">
        <v>299641</v>
      </c>
      <c r="Y69" s="272">
        <v>71736</v>
      </c>
      <c r="Z69" s="274">
        <v>197561</v>
      </c>
      <c r="AA69" s="292">
        <v>123542</v>
      </c>
      <c r="AB69" s="273">
        <v>197700</v>
      </c>
      <c r="AC69" s="273"/>
      <c r="AD69" s="274"/>
      <c r="AE69" s="302"/>
      <c r="AF69" s="73">
        <v>19</v>
      </c>
      <c r="AG69" s="300">
        <f t="shared" si="21"/>
        <v>2</v>
      </c>
      <c r="AH69" s="58">
        <f t="shared" si="22"/>
        <v>45418</v>
      </c>
      <c r="AI69" s="59">
        <v>0.75</v>
      </c>
      <c r="AJ69" s="60">
        <f t="shared" si="10"/>
        <v>45418.75</v>
      </c>
      <c r="AK69" s="61">
        <f t="shared" si="11"/>
        <v>19</v>
      </c>
      <c r="AL69" s="61">
        <f t="shared" si="23"/>
        <v>1</v>
      </c>
      <c r="AM69" s="69">
        <v>55221</v>
      </c>
      <c r="AN69" s="70">
        <v>368</v>
      </c>
      <c r="AO69" s="71">
        <f t="shared" si="12"/>
        <v>21</v>
      </c>
      <c r="AP69" s="64">
        <f t="shared" si="56"/>
        <v>3225</v>
      </c>
      <c r="AQ69" s="65">
        <f t="shared" si="13"/>
        <v>150.05706521739131</v>
      </c>
      <c r="AR69" s="66">
        <f t="shared" si="24"/>
        <v>153.57142857142858</v>
      </c>
      <c r="AS69" s="66">
        <f t="shared" si="51"/>
        <v>156.8918918918919</v>
      </c>
      <c r="AT69" s="69">
        <f t="shared" ref="AT69" si="89">AM69</f>
        <v>55221</v>
      </c>
      <c r="AU69" s="70">
        <f t="shared" ref="AU69" si="90">AN69</f>
        <v>368</v>
      </c>
      <c r="AV69" s="69">
        <f t="shared" ref="AV69" si="91">AM69</f>
        <v>55221</v>
      </c>
      <c r="AW69" s="70">
        <f t="shared" ref="AW69" si="92">AN69</f>
        <v>368</v>
      </c>
      <c r="AX69" s="64">
        <f>AX68+(AX$73-$AX$61)*Vergleich!AC101</f>
        <v>45762.035199972677</v>
      </c>
      <c r="AY69" s="67">
        <f t="shared" si="73"/>
        <v>9458.9648000273228</v>
      </c>
      <c r="AZ69" s="72">
        <f>ROUND(AZ68+(AZ$73-$AZ$61)*Vergleich!AD101,)</f>
        <v>301</v>
      </c>
      <c r="BA69" s="50">
        <f t="shared" si="74"/>
        <v>67</v>
      </c>
      <c r="BB69" s="64">
        <f>BB68+(BB$73-$BB$61)*Vergleich!N101</f>
        <v>64160.130800328763</v>
      </c>
      <c r="BC69" s="67">
        <f t="shared" si="75"/>
        <v>-8939.1308003287631</v>
      </c>
      <c r="BD69" s="72">
        <f>ROUND(BD68+(BD$73-$BD$61)*Vergleich!O101,)</f>
        <v>441</v>
      </c>
      <c r="BE69" s="50">
        <f t="shared" si="76"/>
        <v>-73</v>
      </c>
      <c r="BF69" s="64">
        <f t="shared" si="19"/>
        <v>3225</v>
      </c>
      <c r="BG69" s="64">
        <f t="shared" si="20"/>
        <v>2906.3684210526317</v>
      </c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</row>
    <row r="70" spans="1:78" s="68" customFormat="1" ht="15.75" thickBot="1" x14ac:dyDescent="0.35">
      <c r="A70" s="110"/>
      <c r="B70" s="118"/>
      <c r="C70" s="189"/>
      <c r="D70" s="118"/>
      <c r="E70" s="189"/>
      <c r="F70" s="189"/>
      <c r="G70" s="114">
        <v>20</v>
      </c>
      <c r="H70" s="139">
        <f t="shared" si="4"/>
        <v>45419.75</v>
      </c>
      <c r="I70" s="272">
        <f t="shared" si="5"/>
        <v>58568</v>
      </c>
      <c r="J70" s="273">
        <f t="shared" si="6"/>
        <v>58568</v>
      </c>
      <c r="K70" s="274">
        <f t="shared" si="7"/>
        <v>58568</v>
      </c>
      <c r="L70" s="285">
        <f t="shared" si="8"/>
        <v>49217.899103950673</v>
      </c>
      <c r="M70" s="286">
        <f t="shared" si="9"/>
        <v>69034.63195586628</v>
      </c>
      <c r="N70" s="570">
        <v>108862</v>
      </c>
      <c r="O70" s="571">
        <v>99702</v>
      </c>
      <c r="P70" s="572">
        <v>30138</v>
      </c>
      <c r="Q70" s="570">
        <v>54612</v>
      </c>
      <c r="R70" s="572">
        <v>78993</v>
      </c>
      <c r="S70" s="41"/>
      <c r="T70" s="41"/>
      <c r="U70" s="292"/>
      <c r="V70" s="273">
        <v>220897</v>
      </c>
      <c r="W70" s="273">
        <v>295660</v>
      </c>
      <c r="X70" s="273">
        <v>330836</v>
      </c>
      <c r="Y70" s="272">
        <v>76619</v>
      </c>
      <c r="Z70" s="274">
        <v>214259</v>
      </c>
      <c r="AA70" s="292">
        <v>130324</v>
      </c>
      <c r="AB70" s="273">
        <v>205967</v>
      </c>
      <c r="AC70" s="273"/>
      <c r="AD70" s="274"/>
      <c r="AE70" s="302"/>
      <c r="AF70" s="73">
        <v>20</v>
      </c>
      <c r="AG70" s="300">
        <f t="shared" si="21"/>
        <v>3</v>
      </c>
      <c r="AH70" s="58">
        <f t="shared" si="22"/>
        <v>45419</v>
      </c>
      <c r="AI70" s="59">
        <v>0.75</v>
      </c>
      <c r="AJ70" s="60">
        <f t="shared" si="10"/>
        <v>45419.75</v>
      </c>
      <c r="AK70" s="61">
        <f t="shared" si="11"/>
        <v>20</v>
      </c>
      <c r="AL70" s="61">
        <f t="shared" si="23"/>
        <v>1</v>
      </c>
      <c r="AM70" s="69">
        <v>58568</v>
      </c>
      <c r="AN70" s="70">
        <v>392</v>
      </c>
      <c r="AO70" s="71">
        <f t="shared" si="12"/>
        <v>24</v>
      </c>
      <c r="AP70" s="64">
        <f t="shared" si="56"/>
        <v>3347</v>
      </c>
      <c r="AQ70" s="65">
        <f t="shared" si="13"/>
        <v>149.40816326530611</v>
      </c>
      <c r="AR70" s="66">
        <f t="shared" si="24"/>
        <v>139.45833333333334</v>
      </c>
      <c r="AS70" s="66">
        <f t="shared" si="51"/>
        <v>150.20238095238096</v>
      </c>
      <c r="AT70" s="69">
        <f t="shared" ref="AT70" si="93">AM70</f>
        <v>58568</v>
      </c>
      <c r="AU70" s="70">
        <f t="shared" ref="AU70" si="94">AN70</f>
        <v>392</v>
      </c>
      <c r="AV70" s="69">
        <f t="shared" ref="AV70" si="95">AM70</f>
        <v>58568</v>
      </c>
      <c r="AW70" s="70">
        <f t="shared" ref="AW70" si="96">AN70</f>
        <v>392</v>
      </c>
      <c r="AX70" s="64">
        <f>AX69+(AX$73-$AX$61)*Vergleich!AC102</f>
        <v>49217.899103950673</v>
      </c>
      <c r="AY70" s="67">
        <f t="shared" si="73"/>
        <v>9350.1008960493273</v>
      </c>
      <c r="AZ70" s="72">
        <f>ROUND(AZ69+(AZ$73-$AZ$61)*Vergleich!AD102,)</f>
        <v>328</v>
      </c>
      <c r="BA70" s="50">
        <f t="shared" si="74"/>
        <v>64</v>
      </c>
      <c r="BB70" s="64">
        <f>BB69+(BB$73-$BB$61)*Vergleich!N102</f>
        <v>69034.63195586628</v>
      </c>
      <c r="BC70" s="67">
        <f t="shared" si="75"/>
        <v>-10466.63195586628</v>
      </c>
      <c r="BD70" s="72">
        <f>ROUND(BD69+(BD$73-$BD$61)*Vergleich!O102,)</f>
        <v>477</v>
      </c>
      <c r="BE70" s="50">
        <f t="shared" si="76"/>
        <v>-85</v>
      </c>
      <c r="BF70" s="64">
        <f t="shared" si="19"/>
        <v>3347</v>
      </c>
      <c r="BG70" s="64">
        <f t="shared" si="20"/>
        <v>2928.4</v>
      </c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</row>
    <row r="71" spans="1:78" s="85" customFormat="1" ht="15.75" thickBot="1" x14ac:dyDescent="0.35">
      <c r="A71" s="111"/>
      <c r="B71" s="112"/>
      <c r="C71" s="190"/>
      <c r="D71" s="112"/>
      <c r="E71" s="190"/>
      <c r="F71" s="190"/>
      <c r="G71" s="114">
        <v>21</v>
      </c>
      <c r="H71" s="139">
        <f t="shared" si="4"/>
        <v>45420.75</v>
      </c>
      <c r="I71" s="428">
        <f t="shared" si="5"/>
        <v>62627</v>
      </c>
      <c r="J71" s="132">
        <f t="shared" si="6"/>
        <v>62627</v>
      </c>
      <c r="K71" s="275">
        <f t="shared" si="7"/>
        <v>62627</v>
      </c>
      <c r="L71" s="287">
        <f t="shared" si="8"/>
        <v>55373.971539316721</v>
      </c>
      <c r="M71" s="275">
        <f>BB73</f>
        <v>79207.795887409418</v>
      </c>
      <c r="N71" s="293">
        <v>123694</v>
      </c>
      <c r="O71" s="310">
        <v>115113</v>
      </c>
      <c r="P71" s="436">
        <v>36248</v>
      </c>
      <c r="Q71" s="444">
        <v>62345</v>
      </c>
      <c r="R71" s="473">
        <v>89991</v>
      </c>
      <c r="S71" s="74"/>
      <c r="T71" s="74"/>
      <c r="U71" s="312">
        <v>266116</v>
      </c>
      <c r="V71" s="418">
        <v>239077</v>
      </c>
      <c r="W71" s="420">
        <v>324435</v>
      </c>
      <c r="X71" s="419">
        <v>390507</v>
      </c>
      <c r="Y71" s="428">
        <v>84047</v>
      </c>
      <c r="Z71" s="426">
        <v>249219</v>
      </c>
      <c r="AA71" s="471">
        <v>170701</v>
      </c>
      <c r="AB71" s="472">
        <v>231430</v>
      </c>
      <c r="AC71" s="437"/>
      <c r="AD71" s="436"/>
      <c r="AE71" s="319"/>
      <c r="AF71" s="75">
        <v>21</v>
      </c>
      <c r="AG71" s="406">
        <f t="shared" si="21"/>
        <v>4</v>
      </c>
      <c r="AH71" s="407">
        <f t="shared" si="22"/>
        <v>45420</v>
      </c>
      <c r="AI71" s="78">
        <v>0.75</v>
      </c>
      <c r="AJ71" s="79">
        <f t="shared" si="10"/>
        <v>45420.75</v>
      </c>
      <c r="AK71" s="80">
        <f t="shared" si="11"/>
        <v>21</v>
      </c>
      <c r="AL71" s="80">
        <f t="shared" si="23"/>
        <v>1</v>
      </c>
      <c r="AM71" s="69">
        <f>T8</f>
        <v>62627</v>
      </c>
      <c r="AN71" s="70">
        <f>T10</f>
        <v>425</v>
      </c>
      <c r="AO71" s="71">
        <f t="shared" si="12"/>
        <v>33</v>
      </c>
      <c r="AP71" s="410">
        <f t="shared" si="56"/>
        <v>4059</v>
      </c>
      <c r="AQ71" s="81">
        <f t="shared" si="13"/>
        <v>147.35764705882352</v>
      </c>
      <c r="AR71" s="82">
        <f t="shared" si="24"/>
        <v>123</v>
      </c>
      <c r="AS71" s="82">
        <f t="shared" si="51"/>
        <v>138.18867924528303</v>
      </c>
      <c r="AT71" s="69">
        <f t="shared" ref="AT71" si="97">AM71</f>
        <v>62627</v>
      </c>
      <c r="AU71" s="70">
        <f t="shared" ref="AU71" si="98">AN71</f>
        <v>425</v>
      </c>
      <c r="AV71" s="69">
        <f t="shared" ref="AV71" si="99">AM71</f>
        <v>62627</v>
      </c>
      <c r="AW71" s="70">
        <f t="shared" ref="AW71" si="100">AN71</f>
        <v>425</v>
      </c>
      <c r="AX71" s="64">
        <f>AX70+(AX$73-$AX$61)*Vergleich!AC103</f>
        <v>55373.971539316721</v>
      </c>
      <c r="AY71" s="67">
        <f t="shared" si="25"/>
        <v>7253.0284606832793</v>
      </c>
      <c r="AZ71" s="72">
        <f>ROUND(AZ70+(AZ$73-$AZ$61)*Vergleich!AD103,)</f>
        <v>367</v>
      </c>
      <c r="BA71" s="50">
        <f t="shared" si="16"/>
        <v>58</v>
      </c>
      <c r="BB71" s="64">
        <f>BB70+(BB$73-$BB$61)*Vergleich!N103</f>
        <v>79207.795887409418</v>
      </c>
      <c r="BC71" s="67">
        <f t="shared" si="17"/>
        <v>-16580.795887409418</v>
      </c>
      <c r="BD71" s="72">
        <f>ROUND(BD70+(BD$73-$BD$61)*Vergleich!O103,)</f>
        <v>545</v>
      </c>
      <c r="BE71" s="50">
        <f t="shared" si="18"/>
        <v>-120</v>
      </c>
      <c r="BF71" s="64">
        <f t="shared" si="19"/>
        <v>4059</v>
      </c>
      <c r="BG71" s="64">
        <f t="shared" si="20"/>
        <v>2982.2380952380954</v>
      </c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</row>
    <row r="72" spans="1:78" s="85" customFormat="1" ht="15.75" thickBot="1" x14ac:dyDescent="0.35">
      <c r="A72" s="111"/>
      <c r="B72" s="112"/>
      <c r="C72" s="190"/>
      <c r="D72" s="112"/>
      <c r="E72" s="190"/>
      <c r="F72" s="190"/>
      <c r="G72" s="117"/>
      <c r="H72" s="140"/>
      <c r="I72" s="276"/>
      <c r="J72" s="132"/>
      <c r="K72" s="275"/>
      <c r="L72" s="288"/>
      <c r="M72" s="289"/>
      <c r="N72" s="293"/>
      <c r="O72" s="310"/>
      <c r="P72" s="424"/>
      <c r="Q72" s="293"/>
      <c r="R72" s="424"/>
      <c r="S72" s="74"/>
      <c r="T72" s="74"/>
      <c r="U72" s="293"/>
      <c r="V72" s="421"/>
      <c r="W72" s="310"/>
      <c r="X72" s="310"/>
      <c r="Y72" s="310"/>
      <c r="Z72" s="294"/>
      <c r="AA72" s="474"/>
      <c r="AB72" s="421"/>
      <c r="AC72" s="421"/>
      <c r="AD72" s="424"/>
      <c r="AE72" s="303"/>
      <c r="AF72" s="75"/>
      <c r="AG72" s="76"/>
      <c r="AH72" s="77"/>
      <c r="AI72" s="78"/>
      <c r="AJ72" s="79"/>
      <c r="AK72" s="80"/>
      <c r="AL72" s="80"/>
      <c r="AM72" s="83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83"/>
      <c r="AY72" s="67"/>
      <c r="AZ72" s="84"/>
      <c r="BA72" s="50"/>
      <c r="BB72" s="83"/>
      <c r="BC72" s="67"/>
      <c r="BD72" s="84"/>
      <c r="BE72" s="50"/>
      <c r="BF72" s="83"/>
      <c r="BG72" s="83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</row>
    <row r="73" spans="1:78" s="85" customFormat="1" ht="15.75" thickBot="1" x14ac:dyDescent="0.35">
      <c r="A73" s="111"/>
      <c r="B73" s="112"/>
      <c r="C73" s="190"/>
      <c r="D73" s="112"/>
      <c r="E73" s="190"/>
      <c r="F73" s="190"/>
      <c r="G73" s="117"/>
      <c r="H73" s="140"/>
      <c r="I73" s="276"/>
      <c r="J73" s="132"/>
      <c r="K73" s="275"/>
      <c r="L73" s="288"/>
      <c r="M73" s="289"/>
      <c r="N73" s="293"/>
      <c r="O73" s="310"/>
      <c r="P73" s="424"/>
      <c r="Q73" s="293"/>
      <c r="R73" s="424"/>
      <c r="S73" s="74"/>
      <c r="T73" s="74"/>
      <c r="U73" s="293"/>
      <c r="V73" s="421"/>
      <c r="W73" s="421"/>
      <c r="X73" s="310"/>
      <c r="Y73" s="310"/>
      <c r="Z73" s="424"/>
      <c r="AA73" s="474"/>
      <c r="AB73" s="421"/>
      <c r="AC73" s="421"/>
      <c r="AD73" s="424"/>
      <c r="AE73" s="303"/>
      <c r="AF73" s="75"/>
      <c r="AG73" s="76"/>
      <c r="AH73" s="77"/>
      <c r="AI73" s="78"/>
      <c r="AJ73" s="79"/>
      <c r="AK73" s="80"/>
      <c r="AL73" s="80"/>
      <c r="AM73" s="83"/>
      <c r="AN73" s="91"/>
      <c r="AO73" s="91"/>
      <c r="AP73" s="91"/>
      <c r="AQ73" s="91"/>
      <c r="AR73" s="91"/>
      <c r="AS73" s="91"/>
      <c r="AT73" s="91"/>
      <c r="AU73" s="91"/>
      <c r="AV73" s="91"/>
      <c r="AW73" s="383" t="s">
        <v>222</v>
      </c>
      <c r="AX73" s="411">
        <f>Vergleich!AZ16</f>
        <v>55373.971539316728</v>
      </c>
      <c r="AY73" s="411"/>
      <c r="AZ73" s="413">
        <f>Vergleich!BA16</f>
        <v>366.28030954428203</v>
      </c>
      <c r="BA73" s="412"/>
      <c r="BB73" s="414">
        <f>Vergleich!BC16</f>
        <v>79207.795887409418</v>
      </c>
      <c r="BC73" s="414"/>
      <c r="BD73" s="477">
        <f>Vergleich!BD16</f>
        <v>543.64044943820227</v>
      </c>
      <c r="BE73" s="478"/>
      <c r="BF73" s="83"/>
      <c r="BG73" s="83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</row>
    <row r="74" spans="1:78" s="85" customFormat="1" x14ac:dyDescent="0.3">
      <c r="A74" s="111"/>
      <c r="B74" s="112"/>
      <c r="C74" s="190"/>
      <c r="D74" s="112"/>
      <c r="E74" s="190"/>
      <c r="F74" s="190"/>
      <c r="G74" s="117"/>
      <c r="H74" s="140"/>
      <c r="I74" s="276"/>
      <c r="J74" s="132"/>
      <c r="K74" s="275"/>
      <c r="L74" s="288"/>
      <c r="M74" s="289"/>
      <c r="N74" s="293"/>
      <c r="O74" s="310"/>
      <c r="P74" s="424"/>
      <c r="Q74" s="293"/>
      <c r="R74" s="424"/>
      <c r="S74" s="74"/>
      <c r="T74" s="74"/>
      <c r="U74" s="293"/>
      <c r="V74" s="421"/>
      <c r="W74" s="421"/>
      <c r="X74" s="310"/>
      <c r="Y74" s="310"/>
      <c r="Z74" s="424"/>
      <c r="AA74" s="474"/>
      <c r="AB74" s="421"/>
      <c r="AC74" s="421"/>
      <c r="AD74" s="424"/>
      <c r="AE74" s="303"/>
      <c r="AF74" s="75"/>
      <c r="AG74" s="76"/>
      <c r="AH74" s="77"/>
      <c r="AI74" s="78"/>
      <c r="AJ74" s="79"/>
      <c r="AK74" s="80"/>
      <c r="AL74" s="80"/>
      <c r="AM74" s="83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630" t="s">
        <v>230</v>
      </c>
      <c r="AY74" s="630"/>
      <c r="AZ74" s="630"/>
      <c r="BA74" s="630"/>
      <c r="BB74" s="630" t="s">
        <v>231</v>
      </c>
      <c r="BC74" s="630"/>
      <c r="BD74" s="630"/>
      <c r="BE74" s="630"/>
      <c r="BF74" s="83"/>
      <c r="BG74" s="83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</row>
    <row r="75" spans="1:78" s="85" customFormat="1" x14ac:dyDescent="0.3">
      <c r="A75" s="111"/>
      <c r="B75" s="112"/>
      <c r="C75" s="190"/>
      <c r="D75" s="112"/>
      <c r="E75" s="190"/>
      <c r="F75" s="190"/>
      <c r="G75" s="117"/>
      <c r="H75" s="140"/>
      <c r="I75" s="276"/>
      <c r="J75" s="132"/>
      <c r="K75" s="275"/>
      <c r="L75" s="288"/>
      <c r="M75" s="289"/>
      <c r="N75" s="293"/>
      <c r="O75" s="310"/>
      <c r="P75" s="424"/>
      <c r="Q75" s="293"/>
      <c r="R75" s="424"/>
      <c r="S75" s="74"/>
      <c r="T75" s="74"/>
      <c r="U75" s="293"/>
      <c r="V75" s="421"/>
      <c r="W75" s="421"/>
      <c r="X75" s="310"/>
      <c r="Y75" s="310"/>
      <c r="Z75" s="424"/>
      <c r="AA75" s="474"/>
      <c r="AB75" s="421"/>
      <c r="AC75" s="421"/>
      <c r="AD75" s="424"/>
      <c r="AE75" s="303"/>
      <c r="AF75" s="75"/>
      <c r="AG75" s="76"/>
      <c r="AH75" s="77"/>
      <c r="AI75" s="78"/>
      <c r="AJ75" s="79"/>
      <c r="AK75" s="80"/>
      <c r="AL75" s="80"/>
      <c r="AM75" s="83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83"/>
      <c r="AY75" s="67"/>
      <c r="AZ75" s="84"/>
      <c r="BA75" s="50"/>
      <c r="BB75" s="83"/>
      <c r="BC75" s="67"/>
      <c r="BD75" s="84"/>
      <c r="BE75" s="50"/>
      <c r="BF75" s="83"/>
      <c r="BG75" s="83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</row>
    <row r="76" spans="1:78" s="85" customFormat="1" x14ac:dyDescent="0.3">
      <c r="A76" s="111"/>
      <c r="B76" s="112"/>
      <c r="C76" s="190"/>
      <c r="D76" s="112"/>
      <c r="E76" s="190"/>
      <c r="F76" s="190"/>
      <c r="G76" s="117"/>
      <c r="H76" s="140"/>
      <c r="I76" s="276"/>
      <c r="J76" s="132"/>
      <c r="K76" s="275"/>
      <c r="L76" s="288"/>
      <c r="M76" s="289"/>
      <c r="N76" s="293"/>
      <c r="O76" s="310"/>
      <c r="P76" s="424"/>
      <c r="Q76" s="293"/>
      <c r="R76" s="424"/>
      <c r="S76" s="74"/>
      <c r="T76" s="74"/>
      <c r="U76" s="293"/>
      <c r="V76" s="421"/>
      <c r="W76" s="421"/>
      <c r="X76" s="310"/>
      <c r="Y76" s="310"/>
      <c r="Z76" s="424"/>
      <c r="AA76" s="474"/>
      <c r="AB76" s="421"/>
      <c r="AC76" s="421"/>
      <c r="AD76" s="424"/>
      <c r="AE76" s="303"/>
      <c r="AF76" s="75"/>
      <c r="AG76" s="76"/>
      <c r="AH76" s="77"/>
      <c r="AI76" s="78"/>
      <c r="AJ76" s="79"/>
      <c r="AK76" s="80"/>
      <c r="AL76" s="80"/>
      <c r="AM76" s="83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83"/>
      <c r="AY76" s="67"/>
      <c r="AZ76" s="84"/>
      <c r="BA76" s="50"/>
      <c r="BB76" s="83"/>
      <c r="BC76" s="67"/>
      <c r="BD76" s="84"/>
      <c r="BE76" s="50"/>
      <c r="BF76" s="83"/>
      <c r="BG76" s="83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</row>
    <row r="77" spans="1:78" s="85" customFormat="1" x14ac:dyDescent="0.3">
      <c r="A77" s="112"/>
      <c r="B77" s="133"/>
      <c r="C77" s="190"/>
      <c r="D77" s="112"/>
      <c r="E77" s="190"/>
      <c r="F77" s="190"/>
      <c r="G77" s="119"/>
      <c r="H77" s="119"/>
      <c r="I77" s="430" t="s">
        <v>15</v>
      </c>
      <c r="J77" s="270" t="s">
        <v>112</v>
      </c>
      <c r="K77" s="271" t="s">
        <v>113</v>
      </c>
      <c r="L77" s="270" t="s">
        <v>112</v>
      </c>
      <c r="M77" s="271" t="s">
        <v>113</v>
      </c>
      <c r="N77" s="433" t="s">
        <v>15</v>
      </c>
      <c r="O77" s="469" t="s">
        <v>15</v>
      </c>
      <c r="P77" s="434" t="s">
        <v>15</v>
      </c>
      <c r="Q77" s="443" t="s">
        <v>15</v>
      </c>
      <c r="R77" s="470" t="s">
        <v>15</v>
      </c>
      <c r="S77" s="86"/>
      <c r="T77" s="86"/>
      <c r="U77" s="311" t="s">
        <v>15</v>
      </c>
      <c r="V77" s="415" t="s">
        <v>15</v>
      </c>
      <c r="W77" s="417" t="s">
        <v>15</v>
      </c>
      <c r="X77" s="416" t="s">
        <v>15</v>
      </c>
      <c r="Y77" s="429" t="s">
        <v>15</v>
      </c>
      <c r="Z77" s="425" t="s">
        <v>15</v>
      </c>
      <c r="AA77" s="465" t="s">
        <v>15</v>
      </c>
      <c r="AB77" s="466" t="s">
        <v>15</v>
      </c>
      <c r="AC77" s="435" t="s">
        <v>15</v>
      </c>
      <c r="AD77" s="434" t="s">
        <v>15</v>
      </c>
      <c r="AE77" s="318"/>
      <c r="AF77" s="86"/>
      <c r="AG77" s="86"/>
      <c r="AH77" s="86"/>
      <c r="AI77" s="86"/>
      <c r="AJ77" s="86"/>
      <c r="AK77" s="74"/>
      <c r="AL77" s="86"/>
      <c r="AM77" s="83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83"/>
      <c r="AY77" s="67"/>
      <c r="AZ77" s="84"/>
      <c r="BA77" s="50"/>
      <c r="BB77" s="83"/>
      <c r="BC77" s="67"/>
      <c r="BD77" s="84"/>
      <c r="BE77" s="50"/>
      <c r="BF77" s="83"/>
      <c r="BG77" s="83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</row>
    <row r="78" spans="1:78" s="85" customFormat="1" ht="30" x14ac:dyDescent="0.25">
      <c r="A78" s="112"/>
      <c r="B78" s="133"/>
      <c r="C78" s="190"/>
      <c r="D78" s="112"/>
      <c r="E78" s="190"/>
      <c r="F78" s="190"/>
      <c r="G78" s="253" t="s">
        <v>31</v>
      </c>
      <c r="H78" s="253" t="s">
        <v>14</v>
      </c>
      <c r="I78" s="430" t="str">
        <f>I49</f>
        <v>Stand Ist/HR</v>
      </c>
      <c r="J78" s="270" t="str">
        <f t="shared" ref="J78:K78" si="101">J49</f>
        <v>Stand Ist/HR</v>
      </c>
      <c r="K78" s="271" t="str">
        <f t="shared" si="101"/>
        <v>Stand Ist/HR</v>
      </c>
      <c r="L78" s="284" t="str">
        <f t="shared" ref="L78:R78" si="102">L49</f>
        <v>1. Schätzung</v>
      </c>
      <c r="M78" s="271" t="str">
        <f t="shared" si="102"/>
        <v>1. Schätzung</v>
      </c>
      <c r="N78" s="433" t="str">
        <f t="shared" si="102"/>
        <v>DSK Fasar</v>
      </c>
      <c r="O78" s="469" t="str">
        <f t="shared" si="102"/>
        <v>Schleichender Verfall</v>
      </c>
      <c r="P78" s="434" t="str">
        <f t="shared" si="102"/>
        <v>DSK Refurbished</v>
      </c>
      <c r="Q78" s="443" t="str">
        <f t="shared" si="102"/>
        <v>AVENTURIA
Nedime</v>
      </c>
      <c r="R78" s="470" t="str">
        <f t="shared" si="102"/>
        <v>AVENTURIA
Mythen&amp;Leg.</v>
      </c>
      <c r="S78" s="86"/>
      <c r="T78" s="86"/>
      <c r="U78" s="311" t="s">
        <v>164</v>
      </c>
      <c r="V78" s="415" t="s">
        <v>166</v>
      </c>
      <c r="W78" s="417" t="s">
        <v>168</v>
      </c>
      <c r="X78" s="416" t="s">
        <v>91</v>
      </c>
      <c r="Y78" s="430" t="s">
        <v>301</v>
      </c>
      <c r="Z78" s="425" t="s">
        <v>232</v>
      </c>
      <c r="AA78" s="465" t="s">
        <v>165</v>
      </c>
      <c r="AB78" s="466" t="s">
        <v>167</v>
      </c>
      <c r="AC78" s="435">
        <f t="shared" ref="AC78:AD78" si="103">AC49</f>
        <v>0</v>
      </c>
      <c r="AD78" s="434">
        <f t="shared" si="103"/>
        <v>0</v>
      </c>
      <c r="AE78" s="318"/>
      <c r="AF78" s="86"/>
      <c r="AG78" s="86"/>
      <c r="AH78" s="86"/>
      <c r="AI78" s="86"/>
      <c r="AJ78" s="86"/>
      <c r="AK78" s="74"/>
      <c r="AL78" s="86"/>
      <c r="AM78" s="83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83"/>
      <c r="AY78" s="67"/>
      <c r="AZ78" s="84"/>
      <c r="BA78" s="50"/>
      <c r="BB78" s="83"/>
      <c r="BC78" s="67"/>
      <c r="BD78" s="84"/>
      <c r="BE78" s="50"/>
      <c r="BF78" s="83"/>
      <c r="BG78" s="83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</row>
    <row r="79" spans="1:78" s="85" customFormat="1" x14ac:dyDescent="0.3">
      <c r="A79" s="112"/>
      <c r="B79" s="133"/>
      <c r="C79" s="190"/>
      <c r="D79" s="112"/>
      <c r="E79" s="190"/>
      <c r="F79" s="190"/>
      <c r="G79" s="114">
        <v>0</v>
      </c>
      <c r="H79" s="139">
        <f t="shared" ref="H79:H100" si="104">H50</f>
        <v>45399.75</v>
      </c>
      <c r="I79" s="277">
        <f t="shared" ref="I79:I100" si="105">AN50</f>
        <v>0</v>
      </c>
      <c r="J79" s="118">
        <f t="shared" ref="J79:J100" si="106">AU50</f>
        <v>0</v>
      </c>
      <c r="K79" s="278">
        <f t="shared" ref="K79:K100" si="107">AW50</f>
        <v>0</v>
      </c>
      <c r="L79" s="277">
        <f>AX78</f>
        <v>0</v>
      </c>
      <c r="M79" s="290">
        <f>BB78</f>
        <v>0</v>
      </c>
      <c r="N79" s="277">
        <v>0</v>
      </c>
      <c r="O79" s="148">
        <v>0</v>
      </c>
      <c r="P79" s="290">
        <v>0</v>
      </c>
      <c r="Q79" s="277">
        <v>0</v>
      </c>
      <c r="R79" s="290">
        <v>0</v>
      </c>
      <c r="S79" s="86"/>
      <c r="T79" s="86"/>
      <c r="U79" s="277">
        <v>0</v>
      </c>
      <c r="V79" s="148">
        <v>0</v>
      </c>
      <c r="W79" s="148">
        <v>0</v>
      </c>
      <c r="X79" s="148">
        <v>0</v>
      </c>
      <c r="Y79" s="148">
        <v>0</v>
      </c>
      <c r="Z79" s="290">
        <v>0</v>
      </c>
      <c r="AA79" s="277">
        <v>0</v>
      </c>
      <c r="AB79" s="148">
        <v>0</v>
      </c>
      <c r="AC79" s="148"/>
      <c r="AD79" s="290"/>
      <c r="AE79" s="304"/>
      <c r="AF79" s="86"/>
      <c r="AG79" s="86"/>
      <c r="AH79" s="86"/>
      <c r="AI79" s="86"/>
      <c r="AJ79" s="86"/>
      <c r="AK79" s="74"/>
      <c r="AL79" s="86"/>
      <c r="AM79" s="83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83"/>
      <c r="AY79" s="67"/>
      <c r="AZ79" s="84"/>
      <c r="BA79" s="50"/>
      <c r="BB79" s="83"/>
      <c r="BC79" s="67"/>
      <c r="BD79" s="84"/>
      <c r="BE79" s="50"/>
      <c r="BF79" s="83"/>
      <c r="BG79" s="83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</row>
    <row r="80" spans="1:78" s="85" customFormat="1" x14ac:dyDescent="0.3">
      <c r="A80" s="112"/>
      <c r="B80" s="133"/>
      <c r="C80" s="190"/>
      <c r="D80" s="112"/>
      <c r="E80" s="190"/>
      <c r="F80" s="190"/>
      <c r="G80" s="114">
        <v>1</v>
      </c>
      <c r="H80" s="139">
        <f t="shared" si="104"/>
        <v>45400.75</v>
      </c>
      <c r="I80" s="527">
        <f t="shared" si="105"/>
        <v>121</v>
      </c>
      <c r="J80" s="528">
        <f t="shared" si="106"/>
        <v>121</v>
      </c>
      <c r="K80" s="529">
        <f t="shared" si="107"/>
        <v>121</v>
      </c>
      <c r="L80" s="527">
        <f t="shared" ref="L80:L100" si="108">AZ51</f>
        <v>121</v>
      </c>
      <c r="M80" s="530">
        <f t="shared" ref="M80:M100" si="109">BD51</f>
        <v>121</v>
      </c>
      <c r="N80" s="277">
        <v>195</v>
      </c>
      <c r="O80" s="148">
        <v>136</v>
      </c>
      <c r="P80" s="290">
        <v>67</v>
      </c>
      <c r="Q80" s="277">
        <v>73</v>
      </c>
      <c r="R80" s="290">
        <v>115</v>
      </c>
      <c r="S80" s="86"/>
      <c r="T80" s="86"/>
      <c r="U80" s="277">
        <v>500</v>
      </c>
      <c r="V80" s="148">
        <v>625</v>
      </c>
      <c r="W80" s="148">
        <v>489</v>
      </c>
      <c r="X80" s="148">
        <v>341</v>
      </c>
      <c r="Y80" s="148">
        <v>347</v>
      </c>
      <c r="Z80" s="290">
        <v>180</v>
      </c>
      <c r="AA80" s="277">
        <v>179</v>
      </c>
      <c r="AB80" s="148">
        <v>317</v>
      </c>
      <c r="AC80" s="148"/>
      <c r="AD80" s="290"/>
      <c r="AE80" s="304"/>
      <c r="AF80" s="86"/>
      <c r="AG80" s="86"/>
      <c r="AH80" s="86"/>
      <c r="AI80" s="86"/>
      <c r="AJ80" s="86"/>
      <c r="AK80" s="74"/>
      <c r="AL80" s="88"/>
      <c r="AM80" s="83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83"/>
      <c r="AY80" s="67"/>
      <c r="AZ80" s="84"/>
      <c r="BA80" s="50"/>
      <c r="BB80" s="83"/>
      <c r="BC80" s="67"/>
      <c r="BD80" s="84"/>
      <c r="BE80" s="50"/>
      <c r="BF80" s="83"/>
      <c r="BG80" s="83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</row>
    <row r="81" spans="1:78" s="85" customFormat="1" x14ac:dyDescent="0.3">
      <c r="A81" s="112"/>
      <c r="B81" s="133"/>
      <c r="C81" s="190"/>
      <c r="D81" s="112"/>
      <c r="E81" s="190"/>
      <c r="F81" s="190"/>
      <c r="G81" s="114">
        <v>2</v>
      </c>
      <c r="H81" s="139">
        <f t="shared" si="104"/>
        <v>45401.75</v>
      </c>
      <c r="I81" s="531"/>
      <c r="J81" s="532"/>
      <c r="K81" s="533"/>
      <c r="L81" s="531"/>
      <c r="M81" s="534"/>
      <c r="N81" s="277">
        <v>233</v>
      </c>
      <c r="O81" s="148">
        <v>172</v>
      </c>
      <c r="P81" s="290">
        <v>89</v>
      </c>
      <c r="Q81" s="277">
        <v>82</v>
      </c>
      <c r="R81" s="290">
        <v>145</v>
      </c>
      <c r="S81" s="86"/>
      <c r="T81" s="86"/>
      <c r="U81" s="277"/>
      <c r="V81" s="148">
        <v>789</v>
      </c>
      <c r="W81" s="148">
        <v>618</v>
      </c>
      <c r="X81" s="148">
        <v>404</v>
      </c>
      <c r="Y81" s="148">
        <v>483</v>
      </c>
      <c r="Z81" s="290">
        <v>256</v>
      </c>
      <c r="AA81" s="277">
        <v>206</v>
      </c>
      <c r="AB81" s="148">
        <v>417</v>
      </c>
      <c r="AC81" s="148"/>
      <c r="AD81" s="290"/>
      <c r="AE81" s="304"/>
      <c r="AF81" s="86"/>
      <c r="AG81" s="86"/>
      <c r="AH81" s="86"/>
      <c r="AI81" s="86"/>
      <c r="AJ81" s="86"/>
      <c r="AK81" s="74"/>
      <c r="AL81" s="24"/>
      <c r="AM81" s="83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83"/>
      <c r="AY81" s="67"/>
      <c r="AZ81" s="84"/>
      <c r="BA81" s="50"/>
      <c r="BB81" s="83"/>
      <c r="BC81" s="67"/>
      <c r="BD81" s="84"/>
      <c r="BE81" s="50"/>
      <c r="BF81" s="83"/>
      <c r="BG81" s="83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</row>
    <row r="82" spans="1:78" s="68" customFormat="1" x14ac:dyDescent="0.3">
      <c r="A82" s="118"/>
      <c r="B82" s="250"/>
      <c r="C82" s="189"/>
      <c r="D82" s="118"/>
      <c r="E82" s="189"/>
      <c r="F82" s="189"/>
      <c r="G82" s="114">
        <v>3</v>
      </c>
      <c r="H82" s="139">
        <f t="shared" si="104"/>
        <v>45402.75</v>
      </c>
      <c r="I82" s="531"/>
      <c r="J82" s="532"/>
      <c r="K82" s="533"/>
      <c r="L82" s="531"/>
      <c r="M82" s="534"/>
      <c r="N82" s="277">
        <v>248</v>
      </c>
      <c r="O82" s="148">
        <v>199</v>
      </c>
      <c r="P82" s="290">
        <v>101</v>
      </c>
      <c r="Q82" s="277">
        <v>90</v>
      </c>
      <c r="R82" s="290">
        <v>162</v>
      </c>
      <c r="S82" s="146"/>
      <c r="T82" s="146"/>
      <c r="U82" s="277"/>
      <c r="V82" s="148">
        <v>852</v>
      </c>
      <c r="W82" s="148">
        <v>731</v>
      </c>
      <c r="X82" s="148">
        <v>480</v>
      </c>
      <c r="Y82" s="148">
        <v>536</v>
      </c>
      <c r="Z82" s="290">
        <v>301</v>
      </c>
      <c r="AA82" s="277">
        <v>224</v>
      </c>
      <c r="AB82" s="148">
        <v>458</v>
      </c>
      <c r="AC82" s="148"/>
      <c r="AD82" s="290"/>
      <c r="AE82" s="304"/>
      <c r="AF82" s="86"/>
      <c r="AG82" s="86"/>
      <c r="AH82" s="86"/>
      <c r="AI82" s="86"/>
      <c r="AJ82" s="86"/>
      <c r="AK82" s="41"/>
      <c r="AL82" s="146"/>
      <c r="AM82" s="83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83"/>
      <c r="AY82" s="67"/>
      <c r="AZ82" s="84"/>
      <c r="BA82" s="50"/>
      <c r="BB82" s="83"/>
      <c r="BC82" s="67"/>
      <c r="BD82" s="84"/>
      <c r="BE82" s="50"/>
      <c r="BF82" s="83"/>
      <c r="BG82" s="83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</row>
    <row r="83" spans="1:78" s="68" customFormat="1" x14ac:dyDescent="0.3">
      <c r="A83" s="118"/>
      <c r="B83" s="250"/>
      <c r="C83" s="189"/>
      <c r="D83" s="118"/>
      <c r="E83" s="189"/>
      <c r="F83" s="189"/>
      <c r="G83" s="114">
        <v>4</v>
      </c>
      <c r="H83" s="139">
        <f t="shared" si="104"/>
        <v>45403.75</v>
      </c>
      <c r="I83" s="531"/>
      <c r="J83" s="532"/>
      <c r="K83" s="533"/>
      <c r="L83" s="531"/>
      <c r="M83" s="534"/>
      <c r="N83" s="277">
        <v>264</v>
      </c>
      <c r="O83" s="148">
        <v>218</v>
      </c>
      <c r="P83" s="290">
        <v>110</v>
      </c>
      <c r="Q83" s="277">
        <v>95</v>
      </c>
      <c r="R83" s="290">
        <v>178</v>
      </c>
      <c r="S83" s="146"/>
      <c r="T83" s="146"/>
      <c r="U83" s="277"/>
      <c r="V83" s="148">
        <v>891</v>
      </c>
      <c r="W83" s="148">
        <v>797</v>
      </c>
      <c r="X83" s="148">
        <v>520</v>
      </c>
      <c r="Y83" s="148">
        <v>585</v>
      </c>
      <c r="Z83" s="290">
        <v>323</v>
      </c>
      <c r="AA83" s="277">
        <v>247</v>
      </c>
      <c r="AB83" s="148">
        <v>486</v>
      </c>
      <c r="AC83" s="148"/>
      <c r="AD83" s="290"/>
      <c r="AE83" s="304"/>
      <c r="AF83" s="146"/>
      <c r="AG83" s="146"/>
      <c r="AH83" s="146"/>
      <c r="AI83" s="146"/>
      <c r="AJ83" s="146"/>
      <c r="AK83" s="41"/>
      <c r="AL83" s="146"/>
      <c r="AM83" s="83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83"/>
      <c r="AY83" s="67"/>
      <c r="AZ83" s="84"/>
      <c r="BA83" s="50"/>
      <c r="BB83" s="83"/>
      <c r="BC83" s="67"/>
      <c r="BD83" s="84"/>
      <c r="BE83" s="50"/>
      <c r="BF83" s="83"/>
      <c r="BG83" s="83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</row>
    <row r="84" spans="1:78" s="68" customFormat="1" x14ac:dyDescent="0.3">
      <c r="A84" s="118"/>
      <c r="B84" s="250"/>
      <c r="C84" s="189"/>
      <c r="D84" s="118"/>
      <c r="E84" s="189"/>
      <c r="F84" s="189"/>
      <c r="G84" s="114">
        <v>5</v>
      </c>
      <c r="H84" s="139">
        <f t="shared" si="104"/>
        <v>45404.75</v>
      </c>
      <c r="I84" s="531"/>
      <c r="J84" s="532"/>
      <c r="K84" s="533"/>
      <c r="L84" s="531"/>
      <c r="M84" s="534"/>
      <c r="N84" s="277">
        <v>280</v>
      </c>
      <c r="O84" s="148">
        <v>235</v>
      </c>
      <c r="P84" s="290">
        <v>116</v>
      </c>
      <c r="Q84" s="277">
        <v>111</v>
      </c>
      <c r="R84" s="290">
        <v>191</v>
      </c>
      <c r="S84" s="146"/>
      <c r="T84" s="146"/>
      <c r="U84" s="277"/>
      <c r="V84" s="148">
        <v>918</v>
      </c>
      <c r="W84" s="148">
        <v>847</v>
      </c>
      <c r="X84" s="148">
        <v>564</v>
      </c>
      <c r="Y84" s="148">
        <v>611</v>
      </c>
      <c r="Z84" s="290">
        <v>351</v>
      </c>
      <c r="AA84" s="277">
        <v>264</v>
      </c>
      <c r="AB84" s="148">
        <v>497</v>
      </c>
      <c r="AC84" s="148"/>
      <c r="AD84" s="290"/>
      <c r="AE84" s="304"/>
      <c r="AF84" s="146"/>
      <c r="AG84" s="146"/>
      <c r="AH84" s="146"/>
      <c r="AI84" s="146"/>
      <c r="AJ84" s="146"/>
      <c r="AK84" s="41"/>
      <c r="AL84" s="146"/>
      <c r="AM84" s="83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83"/>
      <c r="AY84" s="67"/>
      <c r="AZ84" s="84"/>
      <c r="BA84" s="50"/>
      <c r="BB84" s="83"/>
      <c r="BC84" s="67"/>
      <c r="BD84" s="84"/>
      <c r="BE84" s="50"/>
      <c r="BF84" s="83"/>
      <c r="BG84" s="83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</row>
    <row r="85" spans="1:78" s="68" customFormat="1" x14ac:dyDescent="0.3">
      <c r="A85" s="118"/>
      <c r="B85" s="250"/>
      <c r="C85" s="189"/>
      <c r="D85" s="118"/>
      <c r="E85" s="189"/>
      <c r="F85" s="189"/>
      <c r="G85" s="114">
        <v>6</v>
      </c>
      <c r="H85" s="139">
        <f t="shared" si="104"/>
        <v>45405.75</v>
      </c>
      <c r="I85" s="531"/>
      <c r="J85" s="532"/>
      <c r="K85" s="533"/>
      <c r="L85" s="531"/>
      <c r="M85" s="534"/>
      <c r="N85" s="277">
        <v>294</v>
      </c>
      <c r="O85" s="148">
        <v>241</v>
      </c>
      <c r="P85" s="290">
        <v>123</v>
      </c>
      <c r="Q85" s="277">
        <v>114.99999999999999</v>
      </c>
      <c r="R85" s="290">
        <v>220</v>
      </c>
      <c r="S85" s="146"/>
      <c r="T85" s="146"/>
      <c r="U85" s="277"/>
      <c r="V85" s="148">
        <v>953</v>
      </c>
      <c r="W85" s="148">
        <v>901</v>
      </c>
      <c r="X85" s="148">
        <v>652</v>
      </c>
      <c r="Y85" s="148">
        <v>633</v>
      </c>
      <c r="Z85" s="290">
        <v>395</v>
      </c>
      <c r="AA85" s="277">
        <v>274</v>
      </c>
      <c r="AB85" s="148">
        <v>508</v>
      </c>
      <c r="AC85" s="148"/>
      <c r="AD85" s="290"/>
      <c r="AE85" s="304"/>
      <c r="AF85" s="146"/>
      <c r="AG85" s="146"/>
      <c r="AH85" s="146"/>
      <c r="AI85" s="146"/>
      <c r="AJ85" s="146"/>
      <c r="AK85" s="41"/>
      <c r="AL85" s="146"/>
      <c r="AM85" s="83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83"/>
      <c r="AY85" s="67"/>
      <c r="AZ85" s="84"/>
      <c r="BA85" s="50"/>
      <c r="BB85" s="83"/>
      <c r="BC85" s="67"/>
      <c r="BD85" s="84"/>
      <c r="BE85" s="50"/>
      <c r="BF85" s="83"/>
      <c r="BG85" s="83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</row>
    <row r="86" spans="1:78" s="68" customFormat="1" x14ac:dyDescent="0.3">
      <c r="A86" s="118"/>
      <c r="B86" s="250"/>
      <c r="C86" s="189"/>
      <c r="D86" s="118"/>
      <c r="E86" s="189"/>
      <c r="F86" s="189"/>
      <c r="G86" s="114">
        <v>7</v>
      </c>
      <c r="H86" s="139">
        <f t="shared" si="104"/>
        <v>45406.75</v>
      </c>
      <c r="I86" s="527">
        <f t="shared" si="105"/>
        <v>220</v>
      </c>
      <c r="J86" s="528">
        <f t="shared" si="106"/>
        <v>220</v>
      </c>
      <c r="K86" s="529">
        <f t="shared" si="107"/>
        <v>220</v>
      </c>
      <c r="L86" s="527">
        <f t="shared" si="108"/>
        <v>220</v>
      </c>
      <c r="M86" s="530">
        <f t="shared" si="109"/>
        <v>220</v>
      </c>
      <c r="N86" s="277">
        <v>308</v>
      </c>
      <c r="O86" s="148">
        <v>262</v>
      </c>
      <c r="P86" s="290">
        <v>127</v>
      </c>
      <c r="Q86" s="277">
        <v>124</v>
      </c>
      <c r="R86" s="290">
        <v>236</v>
      </c>
      <c r="S86" s="146"/>
      <c r="T86" s="146"/>
      <c r="U86" s="277"/>
      <c r="V86" s="148">
        <v>1044</v>
      </c>
      <c r="W86" s="148">
        <v>953</v>
      </c>
      <c r="X86" s="148">
        <v>709</v>
      </c>
      <c r="Y86" s="148">
        <v>661</v>
      </c>
      <c r="Z86" s="290">
        <v>435</v>
      </c>
      <c r="AA86" s="277">
        <v>295</v>
      </c>
      <c r="AB86" s="148">
        <v>523</v>
      </c>
      <c r="AC86" s="148"/>
      <c r="AD86" s="290"/>
      <c r="AE86" s="304"/>
      <c r="AF86" s="146"/>
      <c r="AG86" s="146"/>
      <c r="AH86" s="146"/>
      <c r="AI86" s="146"/>
      <c r="AJ86" s="146"/>
      <c r="AK86" s="41"/>
      <c r="AL86" s="146"/>
      <c r="AM86" s="83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83"/>
      <c r="AY86" s="67"/>
      <c r="AZ86" s="84"/>
      <c r="BA86" s="50"/>
      <c r="BB86" s="83"/>
      <c r="BC86" s="67"/>
      <c r="BD86" s="84"/>
      <c r="BE86" s="50"/>
      <c r="BF86" s="83"/>
      <c r="BG86" s="83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</row>
    <row r="87" spans="1:78" s="68" customFormat="1" x14ac:dyDescent="0.3">
      <c r="A87" s="118"/>
      <c r="B87" s="250"/>
      <c r="C87" s="189"/>
      <c r="D87" s="118"/>
      <c r="E87" s="189"/>
      <c r="F87" s="189"/>
      <c r="G87" s="114">
        <v>8</v>
      </c>
      <c r="H87" s="139">
        <f t="shared" si="104"/>
        <v>45407.75</v>
      </c>
      <c r="I87" s="277">
        <f t="shared" si="105"/>
        <v>234</v>
      </c>
      <c r="J87" s="279">
        <f t="shared" si="106"/>
        <v>234</v>
      </c>
      <c r="K87" s="280">
        <f t="shared" si="107"/>
        <v>234</v>
      </c>
      <c r="L87" s="277">
        <f t="shared" si="108"/>
        <v>234</v>
      </c>
      <c r="M87" s="290">
        <f t="shared" si="109"/>
        <v>234</v>
      </c>
      <c r="N87" s="277">
        <v>325</v>
      </c>
      <c r="O87" s="148">
        <v>287</v>
      </c>
      <c r="P87" s="290">
        <v>134</v>
      </c>
      <c r="Q87" s="277">
        <v>136</v>
      </c>
      <c r="R87" s="290">
        <v>253</v>
      </c>
      <c r="S87" s="146"/>
      <c r="T87" s="146"/>
      <c r="U87" s="277"/>
      <c r="V87" s="148">
        <v>1084</v>
      </c>
      <c r="W87" s="148">
        <v>994</v>
      </c>
      <c r="X87" s="148">
        <v>792</v>
      </c>
      <c r="Y87" s="148">
        <v>687</v>
      </c>
      <c r="Z87" s="290">
        <v>476</v>
      </c>
      <c r="AA87" s="277">
        <v>308</v>
      </c>
      <c r="AB87" s="148">
        <v>539</v>
      </c>
      <c r="AC87" s="148"/>
      <c r="AD87" s="290"/>
      <c r="AE87" s="304"/>
      <c r="AF87" s="146"/>
      <c r="AG87" s="146"/>
      <c r="AH87" s="146"/>
      <c r="AI87" s="146"/>
      <c r="AJ87" s="146"/>
      <c r="AK87" s="41"/>
      <c r="AL87" s="146"/>
      <c r="AM87" s="83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83"/>
      <c r="AY87" s="67"/>
      <c r="AZ87" s="84"/>
      <c r="BA87" s="50"/>
      <c r="BB87" s="83"/>
      <c r="BC87" s="67"/>
      <c r="BD87" s="84"/>
      <c r="BE87" s="50"/>
      <c r="BF87" s="83"/>
      <c r="BG87" s="83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</row>
    <row r="88" spans="1:78" s="68" customFormat="1" x14ac:dyDescent="0.3">
      <c r="A88" s="118"/>
      <c r="B88" s="250"/>
      <c r="C88" s="189"/>
      <c r="D88" s="118"/>
      <c r="E88" s="189"/>
      <c r="F88" s="189"/>
      <c r="G88" s="114">
        <v>9</v>
      </c>
      <c r="H88" s="139">
        <f t="shared" si="104"/>
        <v>45408.75</v>
      </c>
      <c r="I88" s="277">
        <f t="shared" si="105"/>
        <v>240</v>
      </c>
      <c r="J88" s="279">
        <f t="shared" si="106"/>
        <v>240</v>
      </c>
      <c r="K88" s="280">
        <f t="shared" si="107"/>
        <v>240</v>
      </c>
      <c r="L88" s="277">
        <f t="shared" si="108"/>
        <v>240</v>
      </c>
      <c r="M88" s="290">
        <f t="shared" si="109"/>
        <v>240</v>
      </c>
      <c r="N88" s="277">
        <v>350</v>
      </c>
      <c r="O88" s="148">
        <v>324</v>
      </c>
      <c r="P88" s="290">
        <v>138</v>
      </c>
      <c r="Q88" s="277">
        <v>142</v>
      </c>
      <c r="R88" s="290">
        <v>267</v>
      </c>
      <c r="S88" s="146"/>
      <c r="T88" s="146"/>
      <c r="U88" s="277"/>
      <c r="V88" s="148">
        <v>1112</v>
      </c>
      <c r="W88" s="148">
        <v>1040</v>
      </c>
      <c r="X88" s="148">
        <v>851</v>
      </c>
      <c r="Y88" s="148">
        <v>705</v>
      </c>
      <c r="Z88" s="290">
        <v>524</v>
      </c>
      <c r="AA88" s="277">
        <v>329</v>
      </c>
      <c r="AB88" s="148">
        <v>551</v>
      </c>
      <c r="AC88" s="148"/>
      <c r="AD88" s="290"/>
      <c r="AE88" s="304"/>
      <c r="AF88" s="146"/>
      <c r="AG88" s="146"/>
      <c r="AH88" s="146"/>
      <c r="AI88" s="146"/>
      <c r="AJ88" s="146"/>
      <c r="AK88" s="41"/>
      <c r="AL88" s="146"/>
      <c r="AM88" s="146"/>
      <c r="AN88" s="219"/>
      <c r="AO88" s="321"/>
      <c r="AP88" s="322"/>
      <c r="AQ88" s="219"/>
      <c r="AR88" s="66"/>
      <c r="AS88" s="66"/>
      <c r="AT88" s="64"/>
      <c r="AU88" s="72"/>
      <c r="AV88" s="64"/>
      <c r="AW88" s="91"/>
      <c r="AX88" s="83"/>
      <c r="AY88" s="67"/>
      <c r="AZ88" s="84"/>
      <c r="BA88" s="50"/>
      <c r="BB88" s="83"/>
      <c r="BC88" s="67"/>
      <c r="BD88" s="84"/>
      <c r="BE88" s="50"/>
      <c r="BF88" s="83"/>
      <c r="BG88" s="83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</row>
    <row r="89" spans="1:78" s="68" customFormat="1" x14ac:dyDescent="0.3">
      <c r="A89" s="118"/>
      <c r="B89" s="250"/>
      <c r="C89" s="189"/>
      <c r="D89" s="118"/>
      <c r="E89" s="189"/>
      <c r="F89" s="189"/>
      <c r="G89" s="114">
        <v>10</v>
      </c>
      <c r="H89" s="139">
        <f t="shared" si="104"/>
        <v>45409.75</v>
      </c>
      <c r="I89" s="277">
        <f t="shared" si="105"/>
        <v>250</v>
      </c>
      <c r="J89" s="279">
        <f t="shared" si="106"/>
        <v>250</v>
      </c>
      <c r="K89" s="280">
        <f t="shared" si="107"/>
        <v>250</v>
      </c>
      <c r="L89" s="277">
        <f t="shared" si="108"/>
        <v>250</v>
      </c>
      <c r="M89" s="290">
        <f t="shared" si="109"/>
        <v>250</v>
      </c>
      <c r="N89" s="277">
        <v>369</v>
      </c>
      <c r="O89" s="148">
        <v>336</v>
      </c>
      <c r="P89" s="290">
        <v>143</v>
      </c>
      <c r="Q89" s="277">
        <v>161</v>
      </c>
      <c r="R89" s="290">
        <v>282</v>
      </c>
      <c r="S89" s="146"/>
      <c r="T89" s="146"/>
      <c r="U89" s="277"/>
      <c r="V89" s="148">
        <v>1140</v>
      </c>
      <c r="W89" s="148">
        <v>1073</v>
      </c>
      <c r="X89" s="148">
        <v>893</v>
      </c>
      <c r="Y89" s="148">
        <v>727</v>
      </c>
      <c r="Z89" s="290">
        <v>564</v>
      </c>
      <c r="AA89" s="277">
        <v>350</v>
      </c>
      <c r="AB89" s="148">
        <v>565</v>
      </c>
      <c r="AC89" s="148"/>
      <c r="AD89" s="290"/>
      <c r="AE89" s="304"/>
      <c r="AF89" s="146"/>
      <c r="AG89" s="146"/>
      <c r="AH89" s="146"/>
      <c r="AI89" s="146"/>
      <c r="AJ89" s="146"/>
      <c r="AK89" s="41"/>
      <c r="AL89" s="146"/>
      <c r="AM89" s="146"/>
      <c r="AN89" s="219"/>
      <c r="AO89" s="321"/>
      <c r="AP89" s="322"/>
      <c r="AQ89" s="219"/>
      <c r="AR89" s="66"/>
      <c r="AS89" s="66"/>
      <c r="AT89" s="64"/>
      <c r="AU89" s="72"/>
      <c r="AV89" s="64"/>
      <c r="AW89" s="91"/>
      <c r="AX89" s="83"/>
      <c r="AY89" s="67"/>
      <c r="AZ89" s="84"/>
      <c r="BA89" s="50"/>
      <c r="BB89" s="83"/>
      <c r="BC89" s="67"/>
      <c r="BD89" s="84"/>
      <c r="BE89" s="50"/>
      <c r="BF89" s="83"/>
      <c r="BG89" s="83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</row>
    <row r="90" spans="1:78" s="68" customFormat="1" x14ac:dyDescent="0.3">
      <c r="A90" s="118"/>
      <c r="B90" s="250"/>
      <c r="C90" s="189"/>
      <c r="D90" s="118"/>
      <c r="E90" s="189"/>
      <c r="F90" s="189"/>
      <c r="G90" s="114">
        <v>11</v>
      </c>
      <c r="H90" s="139">
        <f t="shared" si="104"/>
        <v>45410.75</v>
      </c>
      <c r="I90" s="277">
        <f t="shared" si="105"/>
        <v>256</v>
      </c>
      <c r="J90" s="279">
        <f t="shared" si="106"/>
        <v>256</v>
      </c>
      <c r="K90" s="280">
        <f t="shared" si="107"/>
        <v>256</v>
      </c>
      <c r="L90" s="277">
        <f t="shared" si="108"/>
        <v>256</v>
      </c>
      <c r="M90" s="290">
        <f t="shared" si="109"/>
        <v>256</v>
      </c>
      <c r="N90" s="277">
        <v>386</v>
      </c>
      <c r="O90" s="148">
        <v>345</v>
      </c>
      <c r="P90" s="290">
        <v>150</v>
      </c>
      <c r="Q90" s="277">
        <v>178</v>
      </c>
      <c r="R90" s="290">
        <v>291</v>
      </c>
      <c r="S90" s="146"/>
      <c r="T90" s="146"/>
      <c r="U90" s="277">
        <v>900</v>
      </c>
      <c r="V90" s="148">
        <v>1163</v>
      </c>
      <c r="W90" s="148">
        <v>1104</v>
      </c>
      <c r="X90" s="148">
        <v>935</v>
      </c>
      <c r="Y90" s="148">
        <v>753</v>
      </c>
      <c r="Z90" s="290">
        <v>596</v>
      </c>
      <c r="AA90" s="277">
        <v>356</v>
      </c>
      <c r="AB90" s="148">
        <v>582</v>
      </c>
      <c r="AC90" s="148"/>
      <c r="AD90" s="290"/>
      <c r="AE90" s="304"/>
      <c r="AF90" s="146"/>
      <c r="AG90" s="146"/>
      <c r="AH90" s="146"/>
      <c r="AI90" s="146"/>
      <c r="AJ90" s="146"/>
      <c r="AK90" s="41"/>
      <c r="AL90" s="146"/>
      <c r="AM90" s="146"/>
      <c r="AN90" s="219"/>
      <c r="AO90" s="321"/>
      <c r="AP90" s="322"/>
      <c r="AQ90" s="219"/>
      <c r="AR90" s="66"/>
      <c r="AS90" s="66"/>
      <c r="AT90" s="64"/>
      <c r="AU90" s="72"/>
      <c r="AV90" s="64"/>
      <c r="AW90" s="91"/>
      <c r="AX90" s="83"/>
      <c r="AY90" s="67"/>
      <c r="AZ90" s="84"/>
      <c r="BA90" s="50"/>
      <c r="BB90" s="83"/>
      <c r="BC90" s="67"/>
      <c r="BD90" s="84"/>
      <c r="BE90" s="50"/>
      <c r="BF90" s="83"/>
      <c r="BG90" s="83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</row>
    <row r="91" spans="1:78" s="68" customFormat="1" x14ac:dyDescent="0.3">
      <c r="A91" s="118"/>
      <c r="B91" s="250"/>
      <c r="C91" s="189"/>
      <c r="D91" s="118"/>
      <c r="E91" s="189"/>
      <c r="F91" s="189"/>
      <c r="G91" s="114">
        <v>12</v>
      </c>
      <c r="H91" s="139">
        <f t="shared" si="104"/>
        <v>45411.75</v>
      </c>
      <c r="I91" s="277">
        <f t="shared" si="105"/>
        <v>270</v>
      </c>
      <c r="J91" s="609">
        <f t="shared" si="106"/>
        <v>270</v>
      </c>
      <c r="K91" s="610">
        <f t="shared" si="107"/>
        <v>270</v>
      </c>
      <c r="L91" s="611">
        <f t="shared" si="108"/>
        <v>260</v>
      </c>
      <c r="M91" s="612">
        <f t="shared" si="109"/>
        <v>271</v>
      </c>
      <c r="N91" s="277">
        <v>395</v>
      </c>
      <c r="O91" s="148">
        <v>361</v>
      </c>
      <c r="P91" s="290">
        <v>154</v>
      </c>
      <c r="Q91" s="277">
        <v>193</v>
      </c>
      <c r="R91" s="290">
        <v>311</v>
      </c>
      <c r="S91" s="146"/>
      <c r="T91" s="146"/>
      <c r="U91" s="277"/>
      <c r="V91" s="148">
        <v>1189</v>
      </c>
      <c r="W91" s="148">
        <v>1137</v>
      </c>
      <c r="X91" s="148">
        <v>976</v>
      </c>
      <c r="Y91" s="148">
        <v>775</v>
      </c>
      <c r="Z91" s="290">
        <v>624</v>
      </c>
      <c r="AA91" s="277">
        <v>371</v>
      </c>
      <c r="AB91" s="148">
        <v>598</v>
      </c>
      <c r="AC91" s="148"/>
      <c r="AD91" s="290"/>
      <c r="AE91" s="304"/>
      <c r="AF91" s="146"/>
      <c r="AG91" s="146"/>
      <c r="AH91" s="146"/>
      <c r="AI91" s="146"/>
      <c r="AJ91" s="146"/>
      <c r="AK91" s="41"/>
      <c r="AL91" s="146"/>
      <c r="AM91" s="146"/>
      <c r="AN91" s="219"/>
      <c r="AO91" s="321"/>
      <c r="AP91" s="322"/>
      <c r="AQ91" s="219"/>
      <c r="AR91" s="66"/>
      <c r="AS91" s="66"/>
      <c r="AT91" s="64"/>
      <c r="AU91" s="72"/>
      <c r="AV91" s="64"/>
      <c r="AW91" s="613"/>
      <c r="AX91" s="64"/>
      <c r="AY91" s="64"/>
      <c r="AZ91" s="72"/>
      <c r="BA91" s="43"/>
      <c r="BB91" s="64"/>
      <c r="BC91" s="64"/>
      <c r="BD91" s="72"/>
      <c r="BE91" s="43"/>
      <c r="BF91" s="64"/>
      <c r="BG91" s="64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</row>
    <row r="92" spans="1:78" s="68" customFormat="1" x14ac:dyDescent="0.3">
      <c r="A92" s="118"/>
      <c r="B92" s="250"/>
      <c r="C92" s="189"/>
      <c r="D92" s="118"/>
      <c r="E92" s="189"/>
      <c r="F92" s="189"/>
      <c r="G92" s="114">
        <v>13</v>
      </c>
      <c r="H92" s="139">
        <f t="shared" si="104"/>
        <v>45412.75</v>
      </c>
      <c r="I92" s="277">
        <f t="shared" si="105"/>
        <v>282</v>
      </c>
      <c r="J92" s="609">
        <f t="shared" si="106"/>
        <v>282</v>
      </c>
      <c r="K92" s="610">
        <f t="shared" si="107"/>
        <v>282</v>
      </c>
      <c r="L92" s="611">
        <f t="shared" si="108"/>
        <v>261</v>
      </c>
      <c r="M92" s="612">
        <f t="shared" si="109"/>
        <v>280</v>
      </c>
      <c r="N92" s="277">
        <v>410</v>
      </c>
      <c r="O92" s="148">
        <v>375</v>
      </c>
      <c r="P92" s="290">
        <v>155</v>
      </c>
      <c r="Q92" s="277">
        <v>197</v>
      </c>
      <c r="R92" s="290">
        <v>319</v>
      </c>
      <c r="S92" s="146"/>
      <c r="T92" s="146"/>
      <c r="U92" s="277"/>
      <c r="V92" s="148">
        <v>1205</v>
      </c>
      <c r="W92" s="148">
        <v>1159</v>
      </c>
      <c r="X92" s="148">
        <v>1011</v>
      </c>
      <c r="Y92" s="148">
        <v>789</v>
      </c>
      <c r="Z92" s="290">
        <v>656</v>
      </c>
      <c r="AA92" s="277">
        <v>386</v>
      </c>
      <c r="AB92" s="148">
        <v>624</v>
      </c>
      <c r="AC92" s="148"/>
      <c r="AD92" s="290"/>
      <c r="AE92" s="304"/>
      <c r="AF92" s="146"/>
      <c r="AG92" s="146"/>
      <c r="AH92" s="146"/>
      <c r="AI92" s="146"/>
      <c r="AJ92" s="146"/>
      <c r="AK92" s="41"/>
      <c r="AL92" s="146"/>
      <c r="AM92" s="146"/>
      <c r="AN92" s="219"/>
      <c r="AO92" s="321"/>
      <c r="AP92" s="322"/>
      <c r="AQ92" s="219"/>
      <c r="AR92" s="66"/>
      <c r="AS92" s="66"/>
      <c r="AT92" s="64"/>
      <c r="AU92" s="72"/>
      <c r="AV92" s="64"/>
      <c r="AW92" s="613"/>
      <c r="AX92" s="64"/>
      <c r="AY92" s="64"/>
      <c r="AZ92" s="72"/>
      <c r="BA92" s="43"/>
      <c r="BB92" s="64"/>
      <c r="BC92" s="64"/>
      <c r="BD92" s="72"/>
      <c r="BE92" s="43"/>
      <c r="BF92" s="64"/>
      <c r="BG92" s="64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</row>
    <row r="93" spans="1:78" s="68" customFormat="1" x14ac:dyDescent="0.3">
      <c r="A93" s="118"/>
      <c r="B93" s="250"/>
      <c r="C93" s="189"/>
      <c r="D93" s="118"/>
      <c r="E93" s="189"/>
      <c r="F93" s="189"/>
      <c r="G93" s="114">
        <v>14</v>
      </c>
      <c r="H93" s="139">
        <f t="shared" si="104"/>
        <v>45413.75</v>
      </c>
      <c r="I93" s="277">
        <f t="shared" si="105"/>
        <v>294</v>
      </c>
      <c r="J93" s="609">
        <f t="shared" si="106"/>
        <v>294</v>
      </c>
      <c r="K93" s="610">
        <f t="shared" si="107"/>
        <v>294</v>
      </c>
      <c r="L93" s="611">
        <f t="shared" si="108"/>
        <v>265</v>
      </c>
      <c r="M93" s="612">
        <f t="shared" si="109"/>
        <v>296</v>
      </c>
      <c r="N93" s="277">
        <v>417</v>
      </c>
      <c r="O93" s="148">
        <v>395</v>
      </c>
      <c r="P93" s="290">
        <v>159</v>
      </c>
      <c r="Q93" s="277">
        <v>205</v>
      </c>
      <c r="R93" s="290">
        <v>330</v>
      </c>
      <c r="S93" s="146"/>
      <c r="T93" s="146"/>
      <c r="U93" s="277"/>
      <c r="V93" s="148">
        <v>1232</v>
      </c>
      <c r="W93" s="148">
        <v>1207</v>
      </c>
      <c r="X93" s="148">
        <v>1060</v>
      </c>
      <c r="Y93" s="148">
        <v>806</v>
      </c>
      <c r="Z93" s="290">
        <v>696</v>
      </c>
      <c r="AA93" s="277">
        <v>403</v>
      </c>
      <c r="AB93" s="148">
        <v>650</v>
      </c>
      <c r="AC93" s="148"/>
      <c r="AD93" s="290"/>
      <c r="AE93" s="304"/>
      <c r="AF93" s="146"/>
      <c r="AG93" s="146"/>
      <c r="AH93" s="146"/>
      <c r="AI93" s="146"/>
      <c r="AJ93" s="146"/>
      <c r="AK93" s="41"/>
      <c r="AL93" s="146"/>
      <c r="AM93" s="146"/>
      <c r="AN93" s="219"/>
      <c r="AO93" s="321"/>
      <c r="AP93" s="322"/>
      <c r="AQ93" s="219"/>
      <c r="AR93" s="66"/>
      <c r="AS93" s="66"/>
      <c r="AT93" s="64"/>
      <c r="AU93" s="72"/>
      <c r="AV93" s="64"/>
      <c r="AW93" s="613"/>
      <c r="AX93" s="64"/>
      <c r="AY93" s="64"/>
      <c r="AZ93" s="72"/>
      <c r="BA93" s="43"/>
      <c r="BB93" s="64"/>
      <c r="BC93" s="64"/>
      <c r="BD93" s="72"/>
      <c r="BE93" s="43"/>
      <c r="BF93" s="64"/>
      <c r="BG93" s="64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</row>
    <row r="94" spans="1:78" s="68" customFormat="1" x14ac:dyDescent="0.3">
      <c r="A94" s="118"/>
      <c r="B94" s="250"/>
      <c r="C94" s="189"/>
      <c r="D94" s="118"/>
      <c r="E94" s="189"/>
      <c r="F94" s="189"/>
      <c r="G94" s="114">
        <v>15</v>
      </c>
      <c r="H94" s="139">
        <f t="shared" si="104"/>
        <v>45414.75</v>
      </c>
      <c r="I94" s="277">
        <f t="shared" si="105"/>
        <v>308</v>
      </c>
      <c r="J94" s="609">
        <f t="shared" si="106"/>
        <v>308</v>
      </c>
      <c r="K94" s="610">
        <f t="shared" si="107"/>
        <v>308</v>
      </c>
      <c r="L94" s="611">
        <f t="shared" si="108"/>
        <v>270</v>
      </c>
      <c r="M94" s="612">
        <f t="shared" si="109"/>
        <v>343</v>
      </c>
      <c r="N94" s="277">
        <v>427</v>
      </c>
      <c r="O94" s="148">
        <v>415</v>
      </c>
      <c r="P94" s="290">
        <v>164</v>
      </c>
      <c r="Q94" s="277">
        <v>214</v>
      </c>
      <c r="R94" s="290">
        <v>337</v>
      </c>
      <c r="S94" s="146"/>
      <c r="T94" s="146"/>
      <c r="U94" s="277"/>
      <c r="V94" s="148">
        <v>1313</v>
      </c>
      <c r="W94" s="148">
        <v>1257</v>
      </c>
      <c r="X94" s="148">
        <v>1096</v>
      </c>
      <c r="Y94" s="148">
        <v>825</v>
      </c>
      <c r="Z94" s="290">
        <v>727</v>
      </c>
      <c r="AA94" s="277">
        <v>422</v>
      </c>
      <c r="AB94" s="148">
        <v>690</v>
      </c>
      <c r="AC94" s="148"/>
      <c r="AD94" s="290"/>
      <c r="AE94" s="304"/>
      <c r="AF94" s="146"/>
      <c r="AG94" s="146"/>
      <c r="AH94" s="146"/>
      <c r="AI94" s="146"/>
      <c r="AJ94" s="146"/>
      <c r="AK94" s="41"/>
      <c r="AL94" s="146"/>
      <c r="AM94" s="146"/>
      <c r="AN94" s="219"/>
      <c r="AO94" s="321"/>
      <c r="AP94" s="322"/>
      <c r="AQ94" s="219"/>
      <c r="AR94" s="66"/>
      <c r="AS94" s="66"/>
      <c r="AT94" s="64"/>
      <c r="AU94" s="72"/>
      <c r="AV94" s="64"/>
      <c r="AW94" s="613"/>
      <c r="AX94" s="64"/>
      <c r="AY94" s="64"/>
      <c r="AZ94" s="72"/>
      <c r="BA94" s="43"/>
      <c r="BB94" s="64"/>
      <c r="BC94" s="64"/>
      <c r="BD94" s="72"/>
      <c r="BE94" s="43"/>
      <c r="BF94" s="64"/>
      <c r="BG94" s="64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</row>
    <row r="95" spans="1:78" s="68" customFormat="1" x14ac:dyDescent="0.3">
      <c r="A95" s="118"/>
      <c r="B95" s="250"/>
      <c r="C95" s="189"/>
      <c r="D95" s="118"/>
      <c r="E95" s="189"/>
      <c r="F95" s="189"/>
      <c r="G95" s="114">
        <v>16</v>
      </c>
      <c r="H95" s="139">
        <f t="shared" si="104"/>
        <v>45415.75</v>
      </c>
      <c r="I95" s="277">
        <f t="shared" si="105"/>
        <v>319</v>
      </c>
      <c r="J95" s="609">
        <f t="shared" si="106"/>
        <v>319</v>
      </c>
      <c r="K95" s="610">
        <f t="shared" si="107"/>
        <v>319</v>
      </c>
      <c r="L95" s="611">
        <f t="shared" si="108"/>
        <v>277</v>
      </c>
      <c r="M95" s="612">
        <f t="shared" si="109"/>
        <v>364</v>
      </c>
      <c r="N95" s="277">
        <v>444</v>
      </c>
      <c r="O95" s="148">
        <v>438</v>
      </c>
      <c r="P95" s="290">
        <v>172</v>
      </c>
      <c r="Q95" s="277">
        <v>224</v>
      </c>
      <c r="R95" s="290">
        <v>349</v>
      </c>
      <c r="S95" s="146"/>
      <c r="T95" s="146"/>
      <c r="U95" s="277"/>
      <c r="V95" s="148">
        <v>1350</v>
      </c>
      <c r="W95" s="148">
        <v>1301</v>
      </c>
      <c r="X95" s="148">
        <v>1134</v>
      </c>
      <c r="Y95" s="148">
        <v>836</v>
      </c>
      <c r="Z95" s="290">
        <v>758</v>
      </c>
      <c r="AA95" s="277">
        <v>445</v>
      </c>
      <c r="AB95" s="148">
        <v>729</v>
      </c>
      <c r="AC95" s="148"/>
      <c r="AD95" s="290"/>
      <c r="AE95" s="304"/>
      <c r="AF95" s="146"/>
      <c r="AG95" s="146"/>
      <c r="AH95" s="146"/>
      <c r="AI95" s="146"/>
      <c r="AJ95" s="146"/>
      <c r="AK95" s="41"/>
      <c r="AL95" s="146"/>
      <c r="AM95" s="146"/>
      <c r="AN95" s="219"/>
      <c r="AO95" s="321"/>
      <c r="AP95" s="322"/>
      <c r="AQ95" s="219"/>
      <c r="AR95" s="66"/>
      <c r="AS95" s="66"/>
      <c r="AT95" s="64"/>
      <c r="AU95" s="72"/>
      <c r="AV95" s="64"/>
      <c r="AW95" s="613"/>
      <c r="AX95" s="64"/>
      <c r="AY95" s="64"/>
      <c r="AZ95" s="72"/>
      <c r="BA95" s="43"/>
      <c r="BB95" s="64"/>
      <c r="BC95" s="64"/>
      <c r="BD95" s="72"/>
      <c r="BE95" s="43"/>
      <c r="BF95" s="64"/>
      <c r="BG95" s="64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</row>
    <row r="96" spans="1:78" s="68" customFormat="1" x14ac:dyDescent="0.3">
      <c r="A96" s="118"/>
      <c r="B96" s="250"/>
      <c r="C96" s="189"/>
      <c r="D96" s="118"/>
      <c r="E96" s="189"/>
      <c r="F96" s="189"/>
      <c r="G96" s="114">
        <v>17</v>
      </c>
      <c r="H96" s="139">
        <f t="shared" si="104"/>
        <v>45416.75</v>
      </c>
      <c r="I96" s="277">
        <f t="shared" si="105"/>
        <v>329</v>
      </c>
      <c r="J96" s="609">
        <f t="shared" si="106"/>
        <v>329</v>
      </c>
      <c r="K96" s="610">
        <f t="shared" si="107"/>
        <v>329</v>
      </c>
      <c r="L96" s="611">
        <f t="shared" si="108"/>
        <v>280</v>
      </c>
      <c r="M96" s="612">
        <f t="shared" si="109"/>
        <v>384</v>
      </c>
      <c r="N96" s="277">
        <v>487</v>
      </c>
      <c r="O96" s="148">
        <v>471</v>
      </c>
      <c r="P96" s="290">
        <v>175</v>
      </c>
      <c r="Q96" s="277">
        <v>233</v>
      </c>
      <c r="R96" s="290">
        <v>363</v>
      </c>
      <c r="S96" s="146"/>
      <c r="T96" s="146"/>
      <c r="U96" s="277"/>
      <c r="V96" s="148">
        <v>1384</v>
      </c>
      <c r="W96" s="148">
        <v>1341</v>
      </c>
      <c r="X96" s="148">
        <v>1160</v>
      </c>
      <c r="Y96" s="148">
        <v>865</v>
      </c>
      <c r="Z96" s="290">
        <v>790</v>
      </c>
      <c r="AA96" s="277">
        <v>471</v>
      </c>
      <c r="AB96" s="148">
        <v>757</v>
      </c>
      <c r="AC96" s="148"/>
      <c r="AD96" s="290"/>
      <c r="AE96" s="304"/>
      <c r="AF96" s="146"/>
      <c r="AG96" s="146"/>
      <c r="AH96" s="146"/>
      <c r="AI96" s="146"/>
      <c r="AJ96" s="146"/>
      <c r="AK96" s="41"/>
      <c r="AL96" s="146"/>
      <c r="AM96" s="146"/>
      <c r="AN96" s="219"/>
      <c r="AO96" s="321"/>
      <c r="AP96" s="322"/>
      <c r="AQ96" s="219"/>
      <c r="AR96" s="66"/>
      <c r="AS96" s="66"/>
      <c r="AT96" s="64"/>
      <c r="AU96" s="72"/>
      <c r="AV96" s="64"/>
      <c r="AW96" s="613"/>
      <c r="AX96" s="64"/>
      <c r="AY96" s="64"/>
      <c r="AZ96" s="72"/>
      <c r="BA96" s="43"/>
      <c r="BB96" s="64"/>
      <c r="BC96" s="64"/>
      <c r="BD96" s="72"/>
      <c r="BE96" s="43"/>
      <c r="BF96" s="64"/>
      <c r="BG96" s="64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</row>
    <row r="97" spans="1:78" s="68" customFormat="1" x14ac:dyDescent="0.3">
      <c r="A97" s="118"/>
      <c r="B97" s="250"/>
      <c r="C97" s="189"/>
      <c r="D97" s="118"/>
      <c r="E97" s="189"/>
      <c r="F97" s="189"/>
      <c r="G97" s="114">
        <v>18</v>
      </c>
      <c r="H97" s="139">
        <f t="shared" si="104"/>
        <v>45417.75</v>
      </c>
      <c r="I97" s="277">
        <f t="shared" si="105"/>
        <v>347</v>
      </c>
      <c r="J97" s="609">
        <f t="shared" si="106"/>
        <v>347</v>
      </c>
      <c r="K97" s="610">
        <f t="shared" si="107"/>
        <v>347</v>
      </c>
      <c r="L97" s="611">
        <f t="shared" si="108"/>
        <v>290</v>
      </c>
      <c r="M97" s="612">
        <f t="shared" si="109"/>
        <v>404</v>
      </c>
      <c r="N97" s="277">
        <v>514</v>
      </c>
      <c r="O97" s="148">
        <v>491</v>
      </c>
      <c r="P97" s="290">
        <v>186</v>
      </c>
      <c r="Q97" s="277">
        <v>250</v>
      </c>
      <c r="R97" s="290">
        <v>377</v>
      </c>
      <c r="S97" s="146"/>
      <c r="T97" s="146"/>
      <c r="U97" s="277"/>
      <c r="V97" s="148">
        <v>1419</v>
      </c>
      <c r="W97" s="148">
        <v>1386</v>
      </c>
      <c r="X97" s="148">
        <v>1210</v>
      </c>
      <c r="Y97" s="148">
        <v>892</v>
      </c>
      <c r="Z97" s="290">
        <v>821</v>
      </c>
      <c r="AA97" s="277">
        <v>501</v>
      </c>
      <c r="AB97" s="148">
        <v>781</v>
      </c>
      <c r="AC97" s="148"/>
      <c r="AD97" s="290"/>
      <c r="AE97" s="304"/>
      <c r="AF97" s="146"/>
      <c r="AG97" s="146"/>
      <c r="AH97" s="146"/>
      <c r="AI97" s="146"/>
      <c r="AJ97" s="146"/>
      <c r="AK97" s="41"/>
      <c r="AL97" s="146"/>
      <c r="AM97" s="146"/>
      <c r="AN97" s="219"/>
      <c r="AO97" s="321"/>
      <c r="AP97" s="322"/>
      <c r="AQ97" s="219"/>
      <c r="AR97" s="66"/>
      <c r="AS97" s="66"/>
      <c r="AT97" s="64"/>
      <c r="AU97" s="72"/>
      <c r="AV97" s="64"/>
      <c r="AW97" s="613"/>
      <c r="AX97" s="64"/>
      <c r="AY97" s="64"/>
      <c r="AZ97" s="72"/>
      <c r="BA97" s="43"/>
      <c r="BB97" s="64"/>
      <c r="BC97" s="64"/>
      <c r="BD97" s="72"/>
      <c r="BE97" s="43"/>
      <c r="BF97" s="64"/>
      <c r="BG97" s="64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</row>
    <row r="98" spans="1:78" s="68" customFormat="1" x14ac:dyDescent="0.3">
      <c r="A98" s="118"/>
      <c r="B98" s="250"/>
      <c r="C98" s="189"/>
      <c r="D98" s="118"/>
      <c r="E98" s="189"/>
      <c r="F98" s="189"/>
      <c r="G98" s="114">
        <v>19</v>
      </c>
      <c r="H98" s="139">
        <f t="shared" si="104"/>
        <v>45418.75</v>
      </c>
      <c r="I98" s="277">
        <f t="shared" si="105"/>
        <v>368</v>
      </c>
      <c r="J98" s="609">
        <f t="shared" si="106"/>
        <v>368</v>
      </c>
      <c r="K98" s="610">
        <f t="shared" si="107"/>
        <v>368</v>
      </c>
      <c r="L98" s="611">
        <f t="shared" si="108"/>
        <v>301</v>
      </c>
      <c r="M98" s="612">
        <f t="shared" si="109"/>
        <v>441</v>
      </c>
      <c r="N98" s="277">
        <v>549</v>
      </c>
      <c r="O98" s="148">
        <v>519</v>
      </c>
      <c r="P98" s="290">
        <v>198</v>
      </c>
      <c r="Q98" s="277">
        <v>267</v>
      </c>
      <c r="R98" s="290">
        <v>401</v>
      </c>
      <c r="S98" s="146"/>
      <c r="T98" s="146"/>
      <c r="U98" s="277"/>
      <c r="V98" s="148">
        <v>1483</v>
      </c>
      <c r="W98" s="148">
        <v>1454</v>
      </c>
      <c r="X98" s="148">
        <v>1290</v>
      </c>
      <c r="Y98" s="148">
        <v>973</v>
      </c>
      <c r="Z98" s="290">
        <v>900</v>
      </c>
      <c r="AA98" s="277">
        <v>537</v>
      </c>
      <c r="AB98" s="148">
        <v>827</v>
      </c>
      <c r="AC98" s="148"/>
      <c r="AD98" s="290"/>
      <c r="AE98" s="304"/>
      <c r="AF98" s="146"/>
      <c r="AG98" s="146"/>
      <c r="AH98" s="146"/>
      <c r="AI98" s="146"/>
      <c r="AJ98" s="146"/>
      <c r="AK98" s="41"/>
      <c r="AL98" s="146"/>
      <c r="AM98" s="146"/>
      <c r="AN98" s="219"/>
      <c r="AO98" s="321"/>
      <c r="AP98" s="322"/>
      <c r="AQ98" s="219"/>
      <c r="AR98" s="66"/>
      <c r="AS98" s="66"/>
      <c r="AT98" s="64"/>
      <c r="AU98" s="72"/>
      <c r="AV98" s="64"/>
      <c r="AW98" s="613"/>
      <c r="AX98" s="64"/>
      <c r="AY98" s="64"/>
      <c r="AZ98" s="72"/>
      <c r="BA98" s="43"/>
      <c r="BB98" s="64"/>
      <c r="BC98" s="64"/>
      <c r="BD98" s="72"/>
      <c r="BE98" s="43"/>
      <c r="BF98" s="64"/>
      <c r="BG98" s="64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</row>
    <row r="99" spans="1:78" s="68" customFormat="1" x14ac:dyDescent="0.3">
      <c r="A99" s="118"/>
      <c r="B99" s="250"/>
      <c r="C99" s="189"/>
      <c r="D99" s="118"/>
      <c r="E99" s="189"/>
      <c r="F99" s="189"/>
      <c r="G99" s="114">
        <v>20</v>
      </c>
      <c r="H99" s="139">
        <f t="shared" si="104"/>
        <v>45419.75</v>
      </c>
      <c r="I99" s="277">
        <f t="shared" si="105"/>
        <v>392</v>
      </c>
      <c r="J99" s="279">
        <f t="shared" si="106"/>
        <v>392</v>
      </c>
      <c r="K99" s="280">
        <f t="shared" si="107"/>
        <v>392</v>
      </c>
      <c r="L99" s="277">
        <f t="shared" si="108"/>
        <v>328</v>
      </c>
      <c r="M99" s="290">
        <f t="shared" si="109"/>
        <v>477</v>
      </c>
      <c r="N99" s="277">
        <v>584</v>
      </c>
      <c r="O99" s="148">
        <v>558</v>
      </c>
      <c r="P99" s="290">
        <v>227</v>
      </c>
      <c r="Q99" s="277">
        <v>300</v>
      </c>
      <c r="R99" s="290">
        <v>440</v>
      </c>
      <c r="S99" s="146"/>
      <c r="T99" s="146"/>
      <c r="U99" s="277"/>
      <c r="V99" s="148">
        <v>1545</v>
      </c>
      <c r="W99" s="148">
        <v>1533</v>
      </c>
      <c r="X99" s="148">
        <v>1421</v>
      </c>
      <c r="Y99" s="148">
        <v>1053</v>
      </c>
      <c r="Z99" s="290">
        <v>985</v>
      </c>
      <c r="AA99" s="277">
        <v>576</v>
      </c>
      <c r="AB99" s="148">
        <v>863</v>
      </c>
      <c r="AC99" s="148"/>
      <c r="AD99" s="290"/>
      <c r="AE99" s="304"/>
      <c r="AF99" s="146"/>
      <c r="AG99" s="146"/>
      <c r="AH99" s="146"/>
      <c r="AI99" s="146"/>
      <c r="AJ99" s="146"/>
      <c r="AK99" s="41"/>
      <c r="AL99" s="146"/>
      <c r="AM99" s="146"/>
      <c r="AN99" s="219"/>
      <c r="AO99" s="321"/>
      <c r="AP99" s="322"/>
      <c r="AQ99" s="219"/>
      <c r="AR99" s="66"/>
      <c r="AS99" s="66"/>
      <c r="AT99" s="64"/>
      <c r="AU99" s="72"/>
      <c r="AV99" s="64"/>
      <c r="AW99" s="613"/>
      <c r="AX99" s="64"/>
      <c r="AY99" s="64"/>
      <c r="AZ99" s="72"/>
      <c r="BA99" s="43"/>
      <c r="BB99" s="64"/>
      <c r="BC99" s="64"/>
      <c r="BD99" s="72"/>
      <c r="BE99" s="43"/>
      <c r="BF99" s="64"/>
      <c r="BG99" s="64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</row>
    <row r="100" spans="1:78" s="2" customFormat="1" x14ac:dyDescent="0.3">
      <c r="A100" s="102"/>
      <c r="B100" s="102"/>
      <c r="C100" s="119"/>
      <c r="D100" s="102"/>
      <c r="E100" s="119"/>
      <c r="F100" s="119"/>
      <c r="G100" s="114">
        <v>21</v>
      </c>
      <c r="H100" s="139">
        <f t="shared" si="104"/>
        <v>45420.75</v>
      </c>
      <c r="I100" s="431">
        <f t="shared" si="105"/>
        <v>425</v>
      </c>
      <c r="J100" s="281">
        <f t="shared" si="106"/>
        <v>425</v>
      </c>
      <c r="K100" s="282">
        <f t="shared" si="107"/>
        <v>425</v>
      </c>
      <c r="L100" s="291">
        <f t="shared" si="108"/>
        <v>367</v>
      </c>
      <c r="M100" s="282">
        <f t="shared" si="109"/>
        <v>545</v>
      </c>
      <c r="N100" s="438">
        <v>658</v>
      </c>
      <c r="O100" s="439">
        <v>645</v>
      </c>
      <c r="P100" s="440">
        <v>269</v>
      </c>
      <c r="Q100" s="445">
        <v>347</v>
      </c>
      <c r="R100" s="476">
        <v>497</v>
      </c>
      <c r="S100" s="24"/>
      <c r="T100" s="24"/>
      <c r="U100" s="313">
        <v>1572</v>
      </c>
      <c r="V100" s="332">
        <v>1664</v>
      </c>
      <c r="W100" s="422">
        <v>1680</v>
      </c>
      <c r="X100" s="314">
        <v>1658</v>
      </c>
      <c r="Y100" s="516">
        <v>1157</v>
      </c>
      <c r="Z100" s="427">
        <v>1136</v>
      </c>
      <c r="AA100" s="475">
        <v>756</v>
      </c>
      <c r="AB100" s="315">
        <v>975</v>
      </c>
      <c r="AC100" s="441"/>
      <c r="AD100" s="440"/>
      <c r="AE100" s="305"/>
      <c r="AF100" s="24"/>
      <c r="AG100" s="24"/>
      <c r="AH100" s="24"/>
      <c r="AI100" s="24"/>
      <c r="AJ100" s="24"/>
      <c r="AK100" s="24"/>
      <c r="AL100" s="24"/>
      <c r="AM100" s="24"/>
      <c r="AN100" s="87"/>
      <c r="AO100" s="175"/>
      <c r="AP100" s="88"/>
      <c r="AQ100" s="87"/>
      <c r="AR100" s="82"/>
      <c r="AS100" s="82"/>
      <c r="AT100" s="83"/>
      <c r="AU100" s="84"/>
      <c r="AV100" s="83"/>
      <c r="AW100" s="91"/>
      <c r="AX100" s="83"/>
      <c r="AY100" s="67"/>
      <c r="AZ100" s="84"/>
      <c r="BA100" s="50"/>
      <c r="BB100" s="83"/>
      <c r="BC100" s="67"/>
      <c r="BD100" s="84"/>
      <c r="BE100" s="50"/>
      <c r="BF100" s="83"/>
      <c r="BG100" s="83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</row>
    <row r="101" spans="1:78" s="2" customFormat="1" x14ac:dyDescent="0.3">
      <c r="A101" s="102"/>
      <c r="B101" s="102"/>
      <c r="C101" s="119"/>
      <c r="D101" s="102"/>
      <c r="E101" s="119"/>
      <c r="F101" s="119"/>
      <c r="G101" s="117"/>
      <c r="H101" s="140"/>
      <c r="I101" s="201"/>
      <c r="J101" s="176"/>
      <c r="K101" s="148"/>
      <c r="L101" s="176"/>
      <c r="M101" s="148"/>
      <c r="N101" s="206"/>
      <c r="O101" s="218"/>
      <c r="P101" s="218"/>
      <c r="Q101" s="206"/>
      <c r="R101" s="218"/>
      <c r="S101" s="24"/>
      <c r="T101" s="24"/>
      <c r="U101" s="24"/>
      <c r="V101" s="24"/>
      <c r="W101" s="24"/>
      <c r="X101" s="24"/>
      <c r="Y101" s="24"/>
      <c r="Z101" s="24"/>
      <c r="AA101" s="206"/>
      <c r="AB101" s="218"/>
      <c r="AC101" s="306"/>
      <c r="AD101" s="306"/>
      <c r="AE101" s="306"/>
      <c r="AF101" s="24"/>
      <c r="AG101" s="24"/>
      <c r="AH101" s="24"/>
      <c r="AI101" s="24"/>
      <c r="AJ101" s="24"/>
      <c r="AK101" s="24"/>
      <c r="AL101" s="24"/>
      <c r="AM101" s="24"/>
      <c r="AN101" s="87"/>
      <c r="AO101" s="175"/>
      <c r="AP101" s="88"/>
      <c r="AQ101" s="87"/>
      <c r="AR101" s="82"/>
      <c r="AS101" s="82"/>
      <c r="AT101" s="83"/>
      <c r="AU101" s="84"/>
      <c r="AV101" s="83"/>
      <c r="AW101" s="91"/>
      <c r="AX101" s="83"/>
      <c r="AY101" s="67"/>
      <c r="AZ101" s="84"/>
      <c r="BA101" s="50"/>
      <c r="BB101" s="83"/>
      <c r="BC101" s="67"/>
      <c r="BD101" s="84"/>
      <c r="BE101" s="50"/>
      <c r="BF101" s="83"/>
      <c r="BG101" s="83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</row>
    <row r="102" spans="1:78" s="2" customFormat="1" x14ac:dyDescent="0.3">
      <c r="A102" s="102"/>
      <c r="B102" s="102"/>
      <c r="C102" s="119"/>
      <c r="D102" s="102"/>
      <c r="E102" s="119"/>
      <c r="F102" s="119"/>
      <c r="G102" s="117"/>
      <c r="H102" s="140"/>
      <c r="I102" s="201"/>
      <c r="J102" s="176"/>
      <c r="K102" s="148"/>
      <c r="L102" s="176"/>
      <c r="M102" s="148"/>
      <c r="N102" s="206"/>
      <c r="O102" s="218"/>
      <c r="P102" s="218"/>
      <c r="Q102" s="206"/>
      <c r="R102" s="218"/>
      <c r="S102" s="24"/>
      <c r="T102" s="24"/>
      <c r="U102" s="24"/>
      <c r="V102" s="24"/>
      <c r="W102" s="24"/>
      <c r="X102" s="24"/>
      <c r="Y102" s="24"/>
      <c r="Z102" s="24"/>
      <c r="AA102" s="206"/>
      <c r="AB102" s="218"/>
      <c r="AC102" s="306"/>
      <c r="AD102" s="306"/>
      <c r="AE102" s="306"/>
      <c r="AF102" s="24"/>
      <c r="AG102" s="24"/>
      <c r="AH102" s="24"/>
      <c r="AI102" s="24"/>
      <c r="AJ102" s="24"/>
      <c r="AK102" s="24"/>
      <c r="AL102" s="24"/>
      <c r="AM102" s="24"/>
      <c r="AN102" s="87"/>
      <c r="AO102" s="175"/>
      <c r="AP102" s="88"/>
      <c r="AQ102" s="87"/>
      <c r="AR102" s="82"/>
      <c r="AS102" s="82"/>
      <c r="AT102" s="83"/>
      <c r="AU102" s="84"/>
      <c r="AV102" s="83"/>
      <c r="AW102" s="91"/>
      <c r="AX102" s="83"/>
      <c r="AY102" s="67"/>
      <c r="AZ102" s="84"/>
      <c r="BA102" s="50"/>
      <c r="BB102" s="83"/>
      <c r="BC102" s="67"/>
      <c r="BD102" s="84"/>
      <c r="BE102" s="50"/>
      <c r="BF102" s="83"/>
      <c r="BG102" s="83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</row>
    <row r="103" spans="1:78" s="2" customFormat="1" x14ac:dyDescent="0.3">
      <c r="A103" s="102"/>
      <c r="B103" s="102"/>
      <c r="C103" s="119"/>
      <c r="D103" s="102"/>
      <c r="E103" s="119"/>
      <c r="F103" s="119"/>
      <c r="G103" s="117"/>
      <c r="H103" s="140"/>
      <c r="I103" s="201"/>
      <c r="J103" s="176"/>
      <c r="K103" s="148"/>
      <c r="L103" s="176"/>
      <c r="M103" s="148"/>
      <c r="N103" s="206"/>
      <c r="O103" s="218"/>
      <c r="P103" s="218"/>
      <c r="Q103" s="206"/>
      <c r="R103" s="218"/>
      <c r="S103" s="24"/>
      <c r="T103" s="24"/>
      <c r="U103" s="24"/>
      <c r="V103" s="24"/>
      <c r="W103" s="24"/>
      <c r="X103" s="24"/>
      <c r="Y103" s="24"/>
      <c r="Z103" s="24"/>
      <c r="AA103" s="206"/>
      <c r="AB103" s="218"/>
      <c r="AC103" s="306"/>
      <c r="AD103" s="306"/>
      <c r="AE103" s="306"/>
      <c r="AF103" s="24"/>
      <c r="AG103" s="24"/>
      <c r="AH103" s="24"/>
      <c r="AI103" s="24"/>
      <c r="AJ103" s="24"/>
      <c r="AK103" s="24"/>
      <c r="AL103" s="24"/>
      <c r="AM103" s="24"/>
      <c r="AN103" s="87"/>
      <c r="AO103" s="175"/>
      <c r="AP103" s="88"/>
      <c r="AQ103" s="87"/>
      <c r="AR103" s="82"/>
      <c r="AS103" s="82"/>
      <c r="AT103" s="83"/>
      <c r="AU103" s="84"/>
      <c r="AV103" s="83"/>
      <c r="AW103" s="91"/>
      <c r="AX103" s="83"/>
      <c r="AY103" s="67"/>
      <c r="AZ103" s="84"/>
      <c r="BA103" s="50"/>
      <c r="BB103" s="83"/>
      <c r="BC103" s="67"/>
      <c r="BD103" s="84"/>
      <c r="BE103" s="50"/>
      <c r="BF103" s="83"/>
      <c r="BG103" s="83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</row>
    <row r="104" spans="1:78" s="2" customFormat="1" x14ac:dyDescent="0.3">
      <c r="A104" s="102"/>
      <c r="B104" s="102"/>
      <c r="C104" s="119"/>
      <c r="D104" s="102"/>
      <c r="E104" s="119"/>
      <c r="F104" s="119"/>
      <c r="G104" s="117"/>
      <c r="H104" s="140"/>
      <c r="I104" s="201"/>
      <c r="J104" s="176"/>
      <c r="K104" s="148"/>
      <c r="L104" s="176"/>
      <c r="M104" s="148"/>
      <c r="N104" s="206"/>
      <c r="O104" s="218"/>
      <c r="P104" s="218"/>
      <c r="Q104" s="206"/>
      <c r="R104" s="218"/>
      <c r="S104" s="24"/>
      <c r="T104" s="24"/>
      <c r="U104" s="24"/>
      <c r="V104" s="24"/>
      <c r="W104" s="24"/>
      <c r="X104" s="24"/>
      <c r="Y104" s="24"/>
      <c r="Z104" s="24"/>
      <c r="AA104" s="206"/>
      <c r="AB104" s="218"/>
      <c r="AC104" s="306"/>
      <c r="AD104" s="306"/>
      <c r="AE104" s="306"/>
      <c r="AF104" s="24"/>
      <c r="AG104" s="24"/>
      <c r="AH104" s="24"/>
      <c r="AI104" s="24"/>
      <c r="AJ104" s="24"/>
      <c r="AK104" s="24"/>
      <c r="AL104" s="24"/>
      <c r="AM104" s="24"/>
      <c r="AN104" s="87"/>
      <c r="AO104" s="175"/>
      <c r="AP104" s="88"/>
      <c r="AQ104" s="87"/>
      <c r="AR104" s="82"/>
      <c r="AS104" s="82"/>
      <c r="AT104" s="83"/>
      <c r="AU104" s="84"/>
      <c r="AV104" s="83"/>
      <c r="AW104" s="91"/>
      <c r="AX104" s="83"/>
      <c r="AY104" s="67"/>
      <c r="AZ104" s="84"/>
      <c r="BA104" s="50"/>
      <c r="BB104" s="83"/>
      <c r="BC104" s="67"/>
      <c r="BD104" s="84"/>
      <c r="BE104" s="50"/>
      <c r="BF104" s="83"/>
      <c r="BG104" s="83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</row>
    <row r="105" spans="1:78" s="2" customFormat="1" x14ac:dyDescent="0.3">
      <c r="A105" s="102"/>
      <c r="B105" s="102"/>
      <c r="C105" s="119"/>
      <c r="D105" s="102"/>
      <c r="E105" s="119"/>
      <c r="F105" s="119"/>
      <c r="G105" s="117"/>
      <c r="H105" s="140"/>
      <c r="I105" s="201"/>
      <c r="J105" s="176"/>
      <c r="K105" s="148"/>
      <c r="L105" s="176"/>
      <c r="M105" s="148"/>
      <c r="N105" s="206"/>
      <c r="O105" s="218"/>
      <c r="P105" s="218"/>
      <c r="Q105" s="206"/>
      <c r="R105" s="218"/>
      <c r="S105" s="24"/>
      <c r="T105" s="24"/>
      <c r="U105" s="24"/>
      <c r="V105" s="24"/>
      <c r="W105" s="24"/>
      <c r="X105" s="24"/>
      <c r="Y105" s="24"/>
      <c r="Z105" s="24"/>
      <c r="AA105" s="206"/>
      <c r="AB105" s="218"/>
      <c r="AC105" s="306"/>
      <c r="AD105" s="306"/>
      <c r="AE105" s="306"/>
      <c r="AF105" s="24"/>
      <c r="AG105" s="24"/>
      <c r="AH105" s="24"/>
      <c r="AI105" s="24"/>
      <c r="AJ105" s="24"/>
      <c r="AK105" s="24"/>
      <c r="AL105" s="24"/>
      <c r="AM105" s="24"/>
      <c r="AN105" s="87"/>
      <c r="AO105" s="175"/>
      <c r="AP105" s="88"/>
      <c r="AQ105" s="87"/>
      <c r="AR105" s="82"/>
      <c r="AS105" s="82"/>
      <c r="AT105" s="83"/>
      <c r="AU105" s="84"/>
      <c r="AV105" s="83"/>
      <c r="AW105" s="91"/>
      <c r="AX105" s="83"/>
      <c r="AY105" s="67"/>
      <c r="AZ105" s="84"/>
      <c r="BA105" s="50"/>
      <c r="BB105" s="83"/>
      <c r="BC105" s="67"/>
      <c r="BD105" s="84"/>
      <c r="BE105" s="50"/>
      <c r="BF105" s="83"/>
      <c r="BG105" s="83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78" s="2" customFormat="1" x14ac:dyDescent="0.3">
      <c r="A106" s="102"/>
      <c r="B106" s="102"/>
      <c r="C106" s="119"/>
      <c r="D106" s="102"/>
      <c r="E106" s="119"/>
      <c r="F106" s="119"/>
      <c r="G106" s="102"/>
      <c r="H106" s="102"/>
      <c r="I106" s="102"/>
      <c r="J106" s="102"/>
      <c r="K106" s="102"/>
      <c r="L106" s="102"/>
      <c r="M106" s="102"/>
      <c r="N106" s="102"/>
      <c r="O106" s="118"/>
      <c r="P106" s="118"/>
      <c r="Q106" s="102"/>
      <c r="R106" s="118"/>
      <c r="S106" s="24"/>
      <c r="T106" s="24"/>
      <c r="U106" s="24"/>
      <c r="V106" s="24"/>
      <c r="W106" s="24"/>
      <c r="X106" s="24"/>
      <c r="Y106" s="24"/>
      <c r="Z106" s="24"/>
      <c r="AA106" s="102"/>
      <c r="AB106" s="118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87"/>
      <c r="AO106" s="175"/>
      <c r="AP106" s="88"/>
      <c r="AQ106" s="87"/>
      <c r="AR106" s="82"/>
      <c r="AS106" s="82"/>
      <c r="AT106" s="83"/>
      <c r="AU106" s="84"/>
      <c r="AV106" s="83"/>
      <c r="AW106" s="91"/>
      <c r="AX106" s="83"/>
      <c r="AY106" s="67"/>
      <c r="AZ106" s="84"/>
      <c r="BA106" s="50"/>
      <c r="BB106" s="83"/>
      <c r="BC106" s="67"/>
      <c r="BD106" s="84"/>
      <c r="BE106" s="50"/>
      <c r="BF106" s="83"/>
      <c r="BG106" s="83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</row>
    <row r="107" spans="1:78" s="2" customFormat="1" x14ac:dyDescent="0.3">
      <c r="A107" s="102"/>
      <c r="B107" s="102"/>
      <c r="C107" s="119"/>
      <c r="D107" s="102"/>
      <c r="E107" s="119"/>
      <c r="F107" s="119"/>
      <c r="G107" s="102"/>
      <c r="H107" s="102"/>
      <c r="I107" s="102"/>
      <c r="J107" s="102"/>
      <c r="K107" s="102"/>
      <c r="L107" s="129"/>
      <c r="M107" s="102"/>
      <c r="N107" s="102"/>
      <c r="O107" s="102"/>
      <c r="P107" s="102"/>
      <c r="Q107" s="102"/>
      <c r="R107" s="102"/>
      <c r="S107" s="24"/>
      <c r="T107" s="24"/>
      <c r="U107" s="24"/>
      <c r="V107" s="24"/>
      <c r="W107" s="24"/>
      <c r="X107" s="24"/>
      <c r="Y107" s="24"/>
      <c r="Z107" s="24"/>
      <c r="AA107" s="102"/>
      <c r="AB107" s="102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87"/>
      <c r="AO107" s="175"/>
      <c r="AP107" s="88"/>
      <c r="AQ107" s="87"/>
      <c r="AR107" s="82"/>
      <c r="AS107" s="82"/>
      <c r="AT107" s="83"/>
      <c r="AU107" s="84"/>
      <c r="AV107" s="83"/>
      <c r="AW107" s="91"/>
      <c r="AX107" s="83"/>
      <c r="AY107" s="67"/>
      <c r="AZ107" s="84"/>
      <c r="BA107" s="50"/>
      <c r="BB107" s="83"/>
      <c r="BC107" s="67"/>
      <c r="BD107" s="84"/>
      <c r="BE107" s="50"/>
      <c r="BF107" s="83"/>
      <c r="BG107" s="83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</row>
    <row r="108" spans="1:78" s="2" customFormat="1" x14ac:dyDescent="0.3">
      <c r="A108" s="102"/>
      <c r="B108" s="102"/>
      <c r="C108" s="119"/>
      <c r="D108" s="102"/>
      <c r="E108" s="119"/>
      <c r="F108" s="119"/>
      <c r="G108" s="102"/>
      <c r="H108" s="102"/>
      <c r="I108" s="102"/>
      <c r="J108" s="102"/>
      <c r="K108" s="102"/>
      <c r="L108" s="129"/>
      <c r="M108" s="102"/>
      <c r="N108" s="102"/>
      <c r="O108" s="102"/>
      <c r="P108" s="102"/>
      <c r="Q108" s="102"/>
      <c r="R108" s="102"/>
      <c r="S108" s="24"/>
      <c r="T108" s="24"/>
      <c r="U108" s="24"/>
      <c r="V108" s="24"/>
      <c r="W108" s="24"/>
      <c r="X108" s="24"/>
      <c r="Y108" s="24"/>
      <c r="Z108" s="24"/>
      <c r="AA108" s="102"/>
      <c r="AB108" s="102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87"/>
      <c r="AO108" s="175"/>
      <c r="AP108" s="88"/>
      <c r="AQ108" s="87"/>
      <c r="AR108" s="82"/>
      <c r="AS108" s="82"/>
      <c r="AT108" s="83"/>
      <c r="AU108" s="84"/>
      <c r="AV108" s="83"/>
      <c r="AW108" s="91"/>
      <c r="AX108" s="83"/>
      <c r="AY108" s="67"/>
      <c r="AZ108" s="84"/>
      <c r="BA108" s="50"/>
      <c r="BB108" s="83"/>
      <c r="BC108" s="67"/>
      <c r="BD108" s="84"/>
      <c r="BE108" s="50"/>
      <c r="BF108" s="83"/>
      <c r="BG108" s="83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</row>
    <row r="109" spans="1:78" s="2" customFormat="1" x14ac:dyDescent="0.3">
      <c r="A109" s="102"/>
      <c r="B109" s="102"/>
      <c r="C109" s="119"/>
      <c r="D109" s="102"/>
      <c r="E109" s="119"/>
      <c r="F109" s="119"/>
      <c r="G109" s="102"/>
      <c r="H109" s="102"/>
      <c r="I109" s="102"/>
      <c r="J109" s="102"/>
      <c r="K109" s="102"/>
      <c r="L109" s="129"/>
      <c r="M109" s="102"/>
      <c r="N109" s="129"/>
      <c r="O109" s="102"/>
      <c r="P109" s="102"/>
      <c r="Q109" s="129"/>
      <c r="R109" s="102"/>
      <c r="S109" s="24"/>
      <c r="T109" s="24"/>
      <c r="U109" s="24"/>
      <c r="V109" s="24"/>
      <c r="W109" s="24"/>
      <c r="X109" s="24"/>
      <c r="Y109" s="24"/>
      <c r="Z109" s="24"/>
      <c r="AA109" s="129"/>
      <c r="AB109" s="102"/>
      <c r="AC109" s="97"/>
      <c r="AD109" s="97"/>
      <c r="AE109" s="97"/>
      <c r="AF109" s="24"/>
      <c r="AG109" s="24"/>
      <c r="AH109" s="24"/>
      <c r="AI109" s="24"/>
      <c r="AJ109" s="24"/>
      <c r="AK109" s="24"/>
      <c r="AL109" s="24"/>
      <c r="AM109" s="24"/>
      <c r="AN109" s="87"/>
      <c r="AO109" s="175"/>
      <c r="AP109" s="88"/>
      <c r="AQ109" s="87"/>
      <c r="AR109" s="82"/>
      <c r="AS109" s="82"/>
      <c r="AT109" s="83"/>
      <c r="AU109" s="84"/>
      <c r="AV109" s="83"/>
      <c r="AW109" s="91"/>
      <c r="AX109" s="83"/>
      <c r="AY109" s="67"/>
      <c r="AZ109" s="84"/>
      <c r="BA109" s="50"/>
      <c r="BB109" s="83"/>
      <c r="BC109" s="67"/>
      <c r="BD109" s="84"/>
      <c r="BE109" s="50"/>
      <c r="BF109" s="83"/>
      <c r="BG109" s="83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</row>
    <row r="110" spans="1:78" s="2" customFormat="1" x14ac:dyDescent="0.3">
      <c r="A110" s="102"/>
      <c r="B110" s="102"/>
      <c r="C110" s="119"/>
      <c r="D110" s="102"/>
      <c r="E110" s="119"/>
      <c r="F110" s="119"/>
      <c r="G110" s="102"/>
      <c r="H110" s="102"/>
      <c r="I110" s="102"/>
      <c r="J110" s="102"/>
      <c r="K110" s="102"/>
      <c r="L110" s="129"/>
      <c r="M110" s="102"/>
      <c r="N110" s="129"/>
      <c r="O110" s="102"/>
      <c r="P110" s="102"/>
      <c r="Q110" s="129"/>
      <c r="R110" s="102"/>
      <c r="S110" s="24"/>
      <c r="T110" s="24"/>
      <c r="U110" s="24"/>
      <c r="V110" s="24"/>
      <c r="W110" s="24"/>
      <c r="X110" s="24"/>
      <c r="Y110" s="24"/>
      <c r="Z110" s="24"/>
      <c r="AA110" s="129"/>
      <c r="AB110" s="102"/>
      <c r="AC110" s="97"/>
      <c r="AD110" s="97"/>
      <c r="AE110" s="97"/>
      <c r="AF110" s="24"/>
      <c r="AG110" s="24"/>
      <c r="AH110" s="24"/>
      <c r="AI110" s="24"/>
      <c r="AJ110" s="24"/>
      <c r="AK110" s="24"/>
      <c r="AL110" s="24"/>
      <c r="AM110" s="24"/>
      <c r="AN110" s="87"/>
      <c r="AO110" s="175"/>
      <c r="AP110" s="88"/>
      <c r="AQ110" s="87"/>
      <c r="AR110" s="82"/>
      <c r="AS110" s="82"/>
      <c r="AT110" s="83"/>
      <c r="AU110" s="84"/>
      <c r="AV110" s="83"/>
      <c r="AW110" s="91"/>
      <c r="AX110" s="83"/>
      <c r="AY110" s="67"/>
      <c r="AZ110" s="84"/>
      <c r="BA110" s="50"/>
      <c r="BB110" s="83"/>
      <c r="BC110" s="67"/>
      <c r="BD110" s="84"/>
      <c r="BE110" s="50"/>
      <c r="BF110" s="83"/>
      <c r="BG110" s="83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</row>
    <row r="111" spans="1:78" s="2" customFormat="1" x14ac:dyDescent="0.3">
      <c r="A111" s="102"/>
      <c r="B111" s="102"/>
      <c r="C111" s="119"/>
      <c r="D111" s="102"/>
      <c r="E111" s="119"/>
      <c r="F111" s="119"/>
      <c r="G111" s="102"/>
      <c r="H111" s="102"/>
      <c r="I111" s="102"/>
      <c r="J111" s="102"/>
      <c r="K111" s="102"/>
      <c r="L111" s="102"/>
      <c r="M111" s="102"/>
      <c r="N111" s="129"/>
      <c r="O111" s="102"/>
      <c r="P111" s="102"/>
      <c r="Q111" s="129"/>
      <c r="R111" s="102"/>
      <c r="S111" s="24"/>
      <c r="T111" s="24"/>
      <c r="U111" s="24"/>
      <c r="V111" s="24"/>
      <c r="W111" s="24"/>
      <c r="X111" s="24"/>
      <c r="Y111" s="24"/>
      <c r="Z111" s="24"/>
      <c r="AA111" s="129"/>
      <c r="AB111" s="102"/>
      <c r="AC111" s="97"/>
      <c r="AD111" s="97"/>
      <c r="AE111" s="97"/>
      <c r="AF111" s="24"/>
      <c r="AG111" s="24"/>
      <c r="AH111" s="24"/>
      <c r="AI111" s="24"/>
      <c r="AJ111" s="24"/>
      <c r="AK111" s="24"/>
      <c r="AL111" s="24"/>
      <c r="AM111" s="24"/>
      <c r="AN111" s="87"/>
      <c r="AO111" s="175"/>
      <c r="AP111" s="88"/>
      <c r="AQ111" s="87"/>
      <c r="AR111" s="82"/>
      <c r="AS111" s="82"/>
      <c r="AT111" s="83"/>
      <c r="AU111" s="84"/>
      <c r="AV111" s="83"/>
      <c r="AW111" s="91"/>
      <c r="AX111" s="83"/>
      <c r="AY111" s="67"/>
      <c r="AZ111" s="84"/>
      <c r="BA111" s="50"/>
      <c r="BB111" s="83"/>
      <c r="BC111" s="67"/>
      <c r="BD111" s="84"/>
      <c r="BE111" s="50"/>
      <c r="BF111" s="83"/>
      <c r="BG111" s="83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</row>
    <row r="112" spans="1:78" s="2" customFormat="1" x14ac:dyDescent="0.3">
      <c r="A112" s="102"/>
      <c r="B112" s="102"/>
      <c r="C112" s="119"/>
      <c r="D112" s="102"/>
      <c r="E112" s="119"/>
      <c r="F112" s="119"/>
      <c r="G112" s="102"/>
      <c r="H112" s="102"/>
      <c r="I112" s="102"/>
      <c r="J112" s="102"/>
      <c r="K112" s="102"/>
      <c r="L112" s="102"/>
      <c r="M112" s="102"/>
      <c r="N112" s="129"/>
      <c r="O112" s="102"/>
      <c r="P112" s="102"/>
      <c r="Q112" s="129"/>
      <c r="R112" s="102"/>
      <c r="S112" s="24"/>
      <c r="T112" s="24"/>
      <c r="U112" s="24"/>
      <c r="V112" s="24"/>
      <c r="W112" s="24"/>
      <c r="X112" s="24"/>
      <c r="Y112" s="24"/>
      <c r="Z112" s="24"/>
      <c r="AA112" s="129"/>
      <c r="AB112" s="102"/>
      <c r="AC112" s="97"/>
      <c r="AD112" s="97"/>
      <c r="AE112" s="97"/>
      <c r="AF112" s="24"/>
      <c r="AG112" s="24"/>
      <c r="AH112" s="24"/>
      <c r="AI112" s="24"/>
      <c r="AJ112" s="24"/>
      <c r="AK112" s="74"/>
      <c r="AL112" s="86"/>
      <c r="AM112" s="86"/>
      <c r="AN112" s="87"/>
      <c r="AO112" s="175"/>
      <c r="AP112" s="88"/>
      <c r="AQ112" s="87"/>
      <c r="AR112" s="24"/>
      <c r="AS112" s="24"/>
      <c r="AT112" s="147"/>
      <c r="AU112" s="36"/>
      <c r="AV112" s="147"/>
      <c r="AW112" s="91"/>
      <c r="AX112" s="83"/>
      <c r="AY112" s="67"/>
      <c r="AZ112" s="84"/>
      <c r="BA112" s="50"/>
      <c r="BB112" s="83"/>
      <c r="BC112" s="67"/>
      <c r="BD112" s="84"/>
      <c r="BE112" s="50"/>
      <c r="BF112" s="83"/>
      <c r="BG112" s="83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</row>
    <row r="113" spans="1:78" s="2" customFormat="1" ht="18.75" customHeight="1" x14ac:dyDescent="0.3">
      <c r="A113" s="102"/>
      <c r="B113" s="131"/>
      <c r="C113" s="119"/>
      <c r="D113" s="102"/>
      <c r="E113" s="119"/>
      <c r="F113" s="119"/>
      <c r="G113" s="119"/>
      <c r="H113" s="119"/>
      <c r="I113" s="119"/>
      <c r="J113" s="119"/>
      <c r="K113" s="119"/>
      <c r="L113" s="119"/>
      <c r="M113" s="119"/>
      <c r="N113" s="129"/>
      <c r="O113" s="102"/>
      <c r="P113" s="102"/>
      <c r="Q113" s="115"/>
      <c r="R113" s="102"/>
      <c r="S113" s="24"/>
      <c r="T113" s="24"/>
      <c r="U113" s="24"/>
      <c r="V113" s="24"/>
      <c r="W113" s="24"/>
      <c r="X113" s="24"/>
      <c r="Y113" s="24"/>
      <c r="Z113" s="24"/>
      <c r="AA113" s="115"/>
      <c r="AB113" s="102"/>
      <c r="AC113" s="307"/>
      <c r="AD113" s="307"/>
      <c r="AE113" s="307"/>
      <c r="AF113" s="24"/>
      <c r="AG113" s="24"/>
      <c r="AH113" s="24"/>
      <c r="AI113" s="24"/>
      <c r="AJ113" s="24"/>
      <c r="AK113" s="74"/>
      <c r="AL113" s="86"/>
      <c r="AM113" s="86"/>
      <c r="AN113" s="87"/>
      <c r="AO113" s="175"/>
      <c r="AP113" s="88"/>
      <c r="AQ113" s="87"/>
      <c r="AR113" s="24"/>
      <c r="AS113" s="24"/>
      <c r="AT113" s="147"/>
      <c r="AU113" s="36"/>
      <c r="AV113" s="147"/>
      <c r="AW113" s="36"/>
      <c r="AX113" s="24"/>
      <c r="AY113" s="29"/>
      <c r="AZ113" s="29"/>
      <c r="BA113" s="29"/>
      <c r="BB113" s="24"/>
      <c r="BC113" s="29"/>
      <c r="BD113" s="29"/>
      <c r="BE113" s="29"/>
      <c r="BF113" s="24"/>
      <c r="BG113" s="24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</row>
    <row r="114" spans="1:78" s="2" customFormat="1" ht="19.5" customHeight="1" x14ac:dyDescent="0.3">
      <c r="A114" s="102"/>
      <c r="B114" s="108"/>
      <c r="C114" s="119"/>
      <c r="D114" s="102"/>
      <c r="E114" s="119"/>
      <c r="F114" s="119"/>
      <c r="G114" s="119"/>
      <c r="H114" s="119"/>
      <c r="I114" s="119"/>
      <c r="J114" s="119"/>
      <c r="K114" s="119"/>
      <c r="L114" s="119"/>
      <c r="M114" s="119"/>
      <c r="N114" s="102"/>
      <c r="O114" s="115"/>
      <c r="P114" s="102"/>
      <c r="Q114" s="115"/>
      <c r="R114" s="102"/>
      <c r="S114" s="24"/>
      <c r="T114" s="24"/>
      <c r="U114" s="24"/>
      <c r="V114" s="24"/>
      <c r="W114" s="24"/>
      <c r="X114" s="24"/>
      <c r="Y114" s="24"/>
      <c r="Z114" s="24"/>
      <c r="AA114" s="115"/>
      <c r="AB114" s="102"/>
      <c r="AC114" s="307"/>
      <c r="AD114" s="307"/>
      <c r="AE114" s="307"/>
      <c r="AF114" s="24"/>
      <c r="AG114" s="24"/>
      <c r="AH114" s="24"/>
      <c r="AI114" s="24"/>
      <c r="AJ114" s="24"/>
      <c r="AK114" s="74"/>
      <c r="AL114" s="86"/>
      <c r="AM114" s="86"/>
      <c r="AN114" s="87"/>
      <c r="AO114" s="175"/>
      <c r="AP114" s="88"/>
      <c r="AQ114" s="87"/>
      <c r="AR114" s="24"/>
      <c r="AS114" s="24"/>
      <c r="AT114" s="147"/>
      <c r="AU114" s="36"/>
      <c r="AV114" s="147"/>
      <c r="AW114" s="36"/>
      <c r="AX114" s="24"/>
      <c r="AY114" s="29"/>
      <c r="AZ114" s="29"/>
      <c r="BA114" s="29"/>
      <c r="BB114" s="24"/>
      <c r="BC114" s="29"/>
      <c r="BD114" s="29"/>
      <c r="BE114" s="29"/>
      <c r="BF114" s="24"/>
      <c r="BG114" s="24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</row>
    <row r="115" spans="1:78" s="2" customFormat="1" x14ac:dyDescent="0.3">
      <c r="A115" s="102"/>
      <c r="B115" s="108"/>
      <c r="C115" s="119"/>
      <c r="D115" s="102"/>
      <c r="E115" s="119"/>
      <c r="F115" s="119"/>
      <c r="G115" s="119"/>
      <c r="H115" s="119"/>
      <c r="I115" s="119"/>
      <c r="J115" s="119"/>
      <c r="K115" s="119"/>
      <c r="L115" s="119"/>
      <c r="M115" s="119"/>
      <c r="N115" s="102"/>
      <c r="O115" s="115"/>
      <c r="P115" s="102"/>
      <c r="Q115" s="115"/>
      <c r="R115" s="102"/>
      <c r="S115" s="24"/>
      <c r="T115" s="24"/>
      <c r="U115" s="24"/>
      <c r="V115" s="24"/>
      <c r="W115" s="24"/>
      <c r="X115" s="24"/>
      <c r="Y115" s="24"/>
      <c r="Z115" s="24"/>
      <c r="AA115" s="115"/>
      <c r="AB115" s="102"/>
      <c r="AC115" s="307"/>
      <c r="AD115" s="307"/>
      <c r="AE115" s="307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5"/>
      <c r="AR115" s="24"/>
      <c r="AS115" s="24"/>
      <c r="AT115" s="147"/>
      <c r="AU115" s="36"/>
      <c r="AV115" s="147"/>
      <c r="AW115" s="36"/>
      <c r="AX115" s="87"/>
      <c r="AY115" s="50"/>
      <c r="AZ115" s="89"/>
      <c r="BA115" s="29"/>
      <c r="BB115" s="24"/>
      <c r="BC115" s="29"/>
      <c r="BD115" s="29"/>
      <c r="BE115" s="29"/>
      <c r="BF115" s="24"/>
      <c r="BG115" s="24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</row>
    <row r="116" spans="1:78" s="2" customFormat="1" x14ac:dyDescent="0.3">
      <c r="A116" s="102"/>
      <c r="B116" s="108"/>
      <c r="C116" s="119"/>
      <c r="D116" s="102"/>
      <c r="E116" s="119"/>
      <c r="F116" s="119"/>
      <c r="G116" s="119"/>
      <c r="H116" s="119"/>
      <c r="I116" s="119"/>
      <c r="J116" s="119"/>
      <c r="K116" s="119"/>
      <c r="L116" s="119"/>
      <c r="M116" s="119"/>
      <c r="N116" s="102"/>
      <c r="O116" s="115"/>
      <c r="P116" s="102"/>
      <c r="Q116" s="115"/>
      <c r="R116" s="102"/>
      <c r="S116" s="24"/>
      <c r="T116" s="24"/>
      <c r="U116" s="24"/>
      <c r="V116" s="24"/>
      <c r="W116" s="24"/>
      <c r="X116" s="24"/>
      <c r="Y116" s="24"/>
      <c r="Z116" s="24"/>
      <c r="AA116" s="115"/>
      <c r="AB116" s="102"/>
      <c r="AC116" s="307"/>
      <c r="AD116" s="307"/>
      <c r="AE116" s="307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5"/>
      <c r="AR116" s="24"/>
      <c r="AS116" s="24"/>
      <c r="AT116" s="147"/>
      <c r="AU116" s="36"/>
      <c r="AV116" s="147"/>
      <c r="AW116" s="36"/>
      <c r="AX116" s="83"/>
      <c r="AY116" s="98"/>
      <c r="AZ116" s="36"/>
      <c r="BA116" s="29"/>
      <c r="BB116" s="24"/>
      <c r="BC116" s="29"/>
      <c r="BD116" s="29"/>
      <c r="BE116" s="29"/>
      <c r="BF116" s="24"/>
      <c r="BG116" s="24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</row>
    <row r="117" spans="1:78" s="2" customFormat="1" x14ac:dyDescent="0.3">
      <c r="A117" s="102"/>
      <c r="B117" s="108"/>
      <c r="C117" s="119"/>
      <c r="D117" s="102"/>
      <c r="E117" s="119"/>
      <c r="F117" s="119"/>
      <c r="G117" s="119"/>
      <c r="H117" s="119"/>
      <c r="I117" s="119"/>
      <c r="J117" s="119"/>
      <c r="K117" s="119"/>
      <c r="L117" s="119"/>
      <c r="M117" s="119"/>
      <c r="N117" s="102"/>
      <c r="O117" s="115"/>
      <c r="P117" s="102"/>
      <c r="Q117" s="115"/>
      <c r="R117" s="102"/>
      <c r="S117" s="24"/>
      <c r="T117" s="24"/>
      <c r="U117" s="24"/>
      <c r="V117" s="24"/>
      <c r="W117" s="24"/>
      <c r="X117" s="24"/>
      <c r="Y117" s="24"/>
      <c r="Z117" s="24"/>
      <c r="AA117" s="115"/>
      <c r="AB117" s="102"/>
      <c r="AC117" s="307"/>
      <c r="AD117" s="307"/>
      <c r="AE117" s="307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5"/>
      <c r="AR117" s="24"/>
      <c r="AS117" s="24"/>
      <c r="AT117" s="147"/>
      <c r="AU117" s="36"/>
      <c r="AV117" s="147"/>
      <c r="AW117" s="36"/>
      <c r="AX117" s="83"/>
      <c r="AY117" s="98"/>
      <c r="AZ117" s="36"/>
      <c r="BA117" s="29"/>
      <c r="BB117" s="24"/>
      <c r="BC117" s="29"/>
      <c r="BD117" s="29"/>
      <c r="BE117" s="29"/>
      <c r="BF117" s="24"/>
      <c r="BG117" s="24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</row>
    <row r="118" spans="1:78" s="2" customFormat="1" x14ac:dyDescent="0.3">
      <c r="A118" s="102"/>
      <c r="B118" s="108"/>
      <c r="C118" s="119"/>
      <c r="D118" s="102"/>
      <c r="E118" s="119"/>
      <c r="F118" s="119"/>
      <c r="G118" s="119"/>
      <c r="H118" s="119"/>
      <c r="I118" s="119"/>
      <c r="J118" s="119"/>
      <c r="K118" s="119"/>
      <c r="L118" s="119"/>
      <c r="M118" s="119"/>
      <c r="N118" s="102"/>
      <c r="O118" s="115"/>
      <c r="P118" s="102"/>
      <c r="Q118" s="115"/>
      <c r="R118" s="102"/>
      <c r="S118" s="24"/>
      <c r="T118" s="24"/>
      <c r="U118" s="24"/>
      <c r="V118" s="24"/>
      <c r="W118" s="24"/>
      <c r="X118" s="24"/>
      <c r="Y118" s="24"/>
      <c r="Z118" s="24"/>
      <c r="AA118" s="115"/>
      <c r="AB118" s="102"/>
      <c r="AC118" s="307"/>
      <c r="AD118" s="307"/>
      <c r="AE118" s="307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5"/>
      <c r="AR118" s="24"/>
      <c r="AS118" s="24"/>
      <c r="AT118" s="147"/>
      <c r="AU118" s="36"/>
      <c r="AV118" s="147"/>
      <c r="AW118" s="36"/>
      <c r="AX118" s="83"/>
      <c r="AY118" s="98"/>
      <c r="AZ118" s="36"/>
      <c r="BA118" s="29"/>
      <c r="BB118" s="24"/>
      <c r="BC118" s="29"/>
      <c r="BD118" s="29"/>
      <c r="BE118" s="29"/>
      <c r="BF118" s="24"/>
      <c r="BG118" s="24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</row>
    <row r="119" spans="1:78" s="2" customFormat="1" x14ac:dyDescent="0.3">
      <c r="A119" s="102"/>
      <c r="B119" s="108"/>
      <c r="C119" s="119"/>
      <c r="D119" s="102"/>
      <c r="E119" s="119"/>
      <c r="F119" s="119"/>
      <c r="G119" s="119"/>
      <c r="H119" s="119"/>
      <c r="I119" s="119"/>
      <c r="J119" s="119"/>
      <c r="K119" s="119"/>
      <c r="L119" s="119"/>
      <c r="M119" s="119"/>
      <c r="N119" s="102"/>
      <c r="O119" s="115"/>
      <c r="P119" s="102"/>
      <c r="Q119" s="115"/>
      <c r="R119" s="102"/>
      <c r="S119" s="24"/>
      <c r="T119" s="24"/>
      <c r="U119" s="24"/>
      <c r="V119" s="24"/>
      <c r="W119" s="24"/>
      <c r="X119" s="24"/>
      <c r="Y119" s="24"/>
      <c r="Z119" s="24"/>
      <c r="AA119" s="115"/>
      <c r="AB119" s="102"/>
      <c r="AC119" s="307"/>
      <c r="AD119" s="307"/>
      <c r="AE119" s="307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5"/>
      <c r="AR119" s="24"/>
      <c r="AS119" s="24"/>
      <c r="AT119" s="147"/>
      <c r="AU119" s="36"/>
      <c r="AV119" s="147"/>
      <c r="AW119" s="36"/>
      <c r="AX119" s="83"/>
      <c r="AY119" s="98"/>
      <c r="AZ119" s="36"/>
      <c r="BA119" s="29"/>
      <c r="BB119" s="24"/>
      <c r="BC119" s="29"/>
      <c r="BD119" s="29"/>
      <c r="BE119" s="29"/>
      <c r="BF119" s="24"/>
      <c r="BG119" s="24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</row>
    <row r="120" spans="1:78" s="2" customFormat="1" x14ac:dyDescent="0.3">
      <c r="A120" s="102"/>
      <c r="B120" s="108"/>
      <c r="C120" s="119"/>
      <c r="D120" s="102"/>
      <c r="E120" s="119"/>
      <c r="F120" s="119"/>
      <c r="G120" s="119"/>
      <c r="H120" s="119"/>
      <c r="I120" s="119"/>
      <c r="J120" s="119"/>
      <c r="K120" s="119"/>
      <c r="L120" s="119"/>
      <c r="M120" s="119"/>
      <c r="N120" s="102"/>
      <c r="O120" s="115"/>
      <c r="P120" s="102"/>
      <c r="Q120" s="115"/>
      <c r="R120" s="102"/>
      <c r="S120" s="24"/>
      <c r="T120" s="24"/>
      <c r="U120" s="24"/>
      <c r="V120" s="24"/>
      <c r="W120" s="24"/>
      <c r="X120" s="24"/>
      <c r="Y120" s="24"/>
      <c r="Z120" s="24"/>
      <c r="AA120" s="115"/>
      <c r="AB120" s="102"/>
      <c r="AC120" s="307"/>
      <c r="AD120" s="307"/>
      <c r="AE120" s="307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5"/>
      <c r="AR120" s="24"/>
      <c r="AS120" s="24"/>
      <c r="AT120" s="147"/>
      <c r="AU120" s="36"/>
      <c r="AV120" s="147"/>
      <c r="AW120" s="36"/>
      <c r="AX120" s="83">
        <f>AX68*Vergleich!BN30</f>
        <v>0</v>
      </c>
      <c r="AY120" s="98"/>
      <c r="AZ120" s="36">
        <f>ROUND(AN68*Vergleich!BO30,)</f>
        <v>0</v>
      </c>
      <c r="BA120" s="29"/>
      <c r="BB120" s="24"/>
      <c r="BC120" s="29"/>
      <c r="BD120" s="29"/>
      <c r="BE120" s="29"/>
      <c r="BF120" s="24"/>
      <c r="BG120" s="24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</row>
    <row r="121" spans="1:78" s="2" customFormat="1" x14ac:dyDescent="0.3">
      <c r="A121" s="102"/>
      <c r="B121" s="108"/>
      <c r="C121" s="119"/>
      <c r="D121" s="102"/>
      <c r="E121" s="119"/>
      <c r="F121" s="119"/>
      <c r="G121" s="119"/>
      <c r="H121" s="119"/>
      <c r="I121" s="119"/>
      <c r="J121" s="119"/>
      <c r="K121" s="119"/>
      <c r="L121" s="119"/>
      <c r="M121" s="119"/>
      <c r="N121" s="102"/>
      <c r="O121" s="115"/>
      <c r="P121" s="102"/>
      <c r="Q121" s="115"/>
      <c r="R121" s="102"/>
      <c r="S121" s="24"/>
      <c r="T121" s="24"/>
      <c r="U121" s="24"/>
      <c r="V121" s="24"/>
      <c r="W121" s="24"/>
      <c r="X121" s="24"/>
      <c r="Y121" s="24"/>
      <c r="Z121" s="24"/>
      <c r="AA121" s="115"/>
      <c r="AB121" s="102"/>
      <c r="AC121" s="307"/>
      <c r="AD121" s="307"/>
      <c r="AE121" s="307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5"/>
      <c r="AR121" s="24"/>
      <c r="AS121" s="24"/>
      <c r="AT121" s="147"/>
      <c r="AU121" s="36"/>
      <c r="AV121" s="147"/>
      <c r="AW121" s="36"/>
      <c r="AX121" s="88">
        <f>MIN(AX116:AX120)</f>
        <v>0</v>
      </c>
      <c r="AY121" s="29"/>
      <c r="AZ121" s="91">
        <f>MIN(AZ116:AZ120)</f>
        <v>0</v>
      </c>
      <c r="BA121" s="29"/>
      <c r="BB121" s="24"/>
      <c r="BC121" s="29"/>
      <c r="BD121" s="29"/>
      <c r="BE121" s="29"/>
      <c r="BF121" s="24"/>
      <c r="BG121" s="24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</row>
    <row r="122" spans="1:78" s="2" customFormat="1" x14ac:dyDescent="0.3">
      <c r="A122" s="102"/>
      <c r="B122" s="108"/>
      <c r="C122" s="119"/>
      <c r="D122" s="102"/>
      <c r="E122" s="119"/>
      <c r="F122" s="119"/>
      <c r="G122" s="119"/>
      <c r="H122" s="119"/>
      <c r="I122" s="119"/>
      <c r="J122" s="119"/>
      <c r="K122" s="119"/>
      <c r="L122" s="119"/>
      <c r="M122" s="119"/>
      <c r="N122" s="102"/>
      <c r="O122" s="115"/>
      <c r="P122" s="102"/>
      <c r="Q122" s="115"/>
      <c r="R122" s="102"/>
      <c r="S122" s="24"/>
      <c r="T122" s="24"/>
      <c r="U122" s="24"/>
      <c r="V122" s="24"/>
      <c r="W122" s="24"/>
      <c r="X122" s="24"/>
      <c r="Y122" s="24"/>
      <c r="Z122" s="24"/>
      <c r="AA122" s="115"/>
      <c r="AB122" s="102"/>
      <c r="AC122" s="307"/>
      <c r="AD122" s="307"/>
      <c r="AE122" s="307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5"/>
      <c r="AR122" s="24"/>
      <c r="AS122" s="24"/>
      <c r="AT122" s="147"/>
      <c r="AU122" s="36"/>
      <c r="AV122" s="147"/>
      <c r="AW122" s="36"/>
      <c r="AX122" s="24"/>
      <c r="AY122" s="29"/>
      <c r="AZ122" s="29"/>
      <c r="BA122" s="29"/>
      <c r="BB122" s="24"/>
      <c r="BC122" s="29"/>
      <c r="BD122" s="29"/>
      <c r="BE122" s="29"/>
      <c r="BF122" s="24"/>
      <c r="BG122" s="24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</row>
    <row r="123" spans="1:78" s="2" customFormat="1" x14ac:dyDescent="0.3">
      <c r="A123" s="102"/>
      <c r="B123" s="108"/>
      <c r="C123" s="119"/>
      <c r="D123" s="102"/>
      <c r="E123" s="119"/>
      <c r="F123" s="119"/>
      <c r="G123" s="119"/>
      <c r="H123" s="119"/>
      <c r="I123" s="119"/>
      <c r="J123" s="119"/>
      <c r="K123" s="119"/>
      <c r="L123" s="119"/>
      <c r="M123" s="119"/>
      <c r="N123" s="102"/>
      <c r="O123" s="115"/>
      <c r="P123" s="102"/>
      <c r="Q123" s="115"/>
      <c r="R123" s="102"/>
      <c r="S123" s="24"/>
      <c r="T123" s="24"/>
      <c r="U123" s="24"/>
      <c r="V123" s="24"/>
      <c r="W123" s="24"/>
      <c r="X123" s="24"/>
      <c r="Y123" s="24"/>
      <c r="Z123" s="24"/>
      <c r="AA123" s="115"/>
      <c r="AB123" s="102"/>
      <c r="AC123" s="307"/>
      <c r="AD123" s="307"/>
      <c r="AE123" s="307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5"/>
      <c r="AR123" s="24"/>
      <c r="AS123" s="24"/>
      <c r="AT123" s="147"/>
      <c r="AU123" s="36"/>
      <c r="AV123" s="147"/>
      <c r="AW123" s="36"/>
      <c r="AX123" s="24"/>
      <c r="AY123" s="29"/>
      <c r="AZ123" s="29"/>
      <c r="BA123" s="29"/>
      <c r="BB123" s="24"/>
      <c r="BC123" s="29"/>
      <c r="BD123" s="29"/>
      <c r="BE123" s="29"/>
      <c r="BF123" s="24"/>
      <c r="BG123" s="24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</row>
    <row r="124" spans="1:78" s="2" customFormat="1" x14ac:dyDescent="0.3">
      <c r="A124" s="102"/>
      <c r="B124" s="108"/>
      <c r="C124" s="119"/>
      <c r="D124" s="102"/>
      <c r="E124" s="119"/>
      <c r="F124" s="119"/>
      <c r="G124" s="119"/>
      <c r="H124" s="119"/>
      <c r="I124" s="119"/>
      <c r="J124" s="119"/>
      <c r="K124" s="119"/>
      <c r="L124" s="119"/>
      <c r="M124" s="119"/>
      <c r="N124" s="102"/>
      <c r="O124" s="115"/>
      <c r="P124" s="102"/>
      <c r="Q124" s="115"/>
      <c r="R124" s="102"/>
      <c r="S124" s="24"/>
      <c r="T124" s="24"/>
      <c r="U124" s="24"/>
      <c r="V124" s="24"/>
      <c r="W124" s="24"/>
      <c r="X124" s="24"/>
      <c r="Y124" s="24"/>
      <c r="Z124" s="24"/>
      <c r="AA124" s="115"/>
      <c r="AB124" s="102"/>
      <c r="AC124" s="307"/>
      <c r="AD124" s="307"/>
      <c r="AE124" s="307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5"/>
      <c r="AR124" s="24"/>
      <c r="AS124" s="24"/>
      <c r="AT124" s="147"/>
      <c r="AU124" s="36"/>
      <c r="AV124" s="147"/>
      <c r="AW124" s="36"/>
      <c r="AX124" s="24"/>
      <c r="AY124" s="29"/>
      <c r="AZ124" s="29"/>
      <c r="BA124" s="29"/>
      <c r="BB124" s="24"/>
      <c r="BC124" s="29"/>
      <c r="BD124" s="29"/>
      <c r="BE124" s="29"/>
      <c r="BF124" s="24"/>
      <c r="BG124" s="24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</row>
    <row r="125" spans="1:78" s="2" customFormat="1" x14ac:dyDescent="0.3">
      <c r="A125" s="102"/>
      <c r="B125" s="108"/>
      <c r="C125" s="119"/>
      <c r="D125" s="102"/>
      <c r="E125" s="119"/>
      <c r="F125" s="119"/>
      <c r="G125" s="119"/>
      <c r="H125" s="119"/>
      <c r="I125" s="119"/>
      <c r="J125" s="119"/>
      <c r="K125" s="119"/>
      <c r="L125" s="119"/>
      <c r="M125" s="119"/>
      <c r="N125" s="102"/>
      <c r="O125" s="115"/>
      <c r="P125" s="102"/>
      <c r="Q125" s="115"/>
      <c r="R125" s="102"/>
      <c r="S125" s="24"/>
      <c r="T125" s="24"/>
      <c r="U125" s="24"/>
      <c r="V125" s="24"/>
      <c r="W125" s="24"/>
      <c r="X125" s="24"/>
      <c r="Y125" s="24"/>
      <c r="Z125" s="24"/>
      <c r="AA125" s="115"/>
      <c r="AB125" s="102"/>
      <c r="AC125" s="307"/>
      <c r="AD125" s="307"/>
      <c r="AE125" s="307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5"/>
      <c r="AR125" s="24"/>
      <c r="AS125" s="24"/>
      <c r="AT125" s="147"/>
      <c r="AU125" s="36"/>
      <c r="AV125" s="147"/>
      <c r="AW125" s="36"/>
      <c r="AX125" s="24"/>
      <c r="AY125" s="29"/>
      <c r="AZ125" s="29"/>
      <c r="BA125" s="29"/>
      <c r="BB125" s="24"/>
      <c r="BC125" s="29"/>
      <c r="BD125" s="29"/>
      <c r="BE125" s="29"/>
      <c r="BF125" s="24"/>
      <c r="BG125" s="24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</row>
    <row r="126" spans="1:78" s="2" customFormat="1" x14ac:dyDescent="0.3">
      <c r="A126" s="102"/>
      <c r="B126" s="108"/>
      <c r="C126" s="119"/>
      <c r="D126" s="102"/>
      <c r="E126" s="119"/>
      <c r="F126" s="119"/>
      <c r="G126" s="119"/>
      <c r="H126" s="119"/>
      <c r="I126" s="119"/>
      <c r="J126" s="119"/>
      <c r="K126" s="119"/>
      <c r="L126" s="119"/>
      <c r="M126" s="119"/>
      <c r="N126" s="102"/>
      <c r="O126" s="115"/>
      <c r="P126" s="102"/>
      <c r="Q126" s="115"/>
      <c r="R126" s="102"/>
      <c r="S126" s="24"/>
      <c r="T126" s="24"/>
      <c r="U126" s="24"/>
      <c r="V126" s="24"/>
      <c r="W126" s="24"/>
      <c r="X126" s="24"/>
      <c r="Y126" s="24"/>
      <c r="Z126" s="24"/>
      <c r="AA126" s="115"/>
      <c r="AB126" s="102"/>
      <c r="AC126" s="307"/>
      <c r="AD126" s="307"/>
      <c r="AE126" s="307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5"/>
      <c r="AR126" s="24"/>
      <c r="AS126" s="24"/>
      <c r="AT126" s="147"/>
      <c r="AU126" s="36"/>
      <c r="AV126" s="147"/>
      <c r="AW126" s="36"/>
      <c r="AX126" s="24"/>
      <c r="AY126" s="29"/>
      <c r="AZ126" s="29"/>
      <c r="BA126" s="29"/>
      <c r="BB126" s="24"/>
      <c r="BC126" s="29"/>
      <c r="BD126" s="29"/>
      <c r="BE126" s="29"/>
      <c r="BF126" s="24"/>
      <c r="BG126" s="24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</row>
    <row r="127" spans="1:78" s="2" customFormat="1" x14ac:dyDescent="0.3">
      <c r="A127" s="102"/>
      <c r="B127" s="108"/>
      <c r="C127" s="119"/>
      <c r="D127" s="102"/>
      <c r="E127" s="119"/>
      <c r="F127" s="119"/>
      <c r="G127" s="119"/>
      <c r="H127" s="119"/>
      <c r="I127" s="119"/>
      <c r="J127" s="119"/>
      <c r="K127" s="119"/>
      <c r="L127" s="119"/>
      <c r="M127" s="119"/>
      <c r="N127" s="102"/>
      <c r="O127" s="115"/>
      <c r="P127" s="102"/>
      <c r="Q127" s="115"/>
      <c r="R127" s="102"/>
      <c r="S127" s="24"/>
      <c r="T127" s="24"/>
      <c r="U127" s="24"/>
      <c r="V127" s="24"/>
      <c r="W127" s="24"/>
      <c r="X127" s="24"/>
      <c r="Y127" s="24"/>
      <c r="Z127" s="24"/>
      <c r="AA127" s="115"/>
      <c r="AB127" s="102"/>
      <c r="AC127" s="307"/>
      <c r="AD127" s="307"/>
      <c r="AE127" s="307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5"/>
      <c r="AR127" s="24"/>
      <c r="AS127" s="24"/>
      <c r="AT127" s="147"/>
      <c r="AU127" s="36"/>
      <c r="AV127" s="147"/>
      <c r="AW127" s="36"/>
      <c r="AX127" s="24"/>
      <c r="AY127" s="29"/>
      <c r="AZ127" s="29"/>
      <c r="BA127" s="29"/>
      <c r="BB127" s="24"/>
      <c r="BC127" s="29"/>
      <c r="BD127" s="29"/>
      <c r="BE127" s="29"/>
      <c r="BF127" s="24"/>
      <c r="BG127" s="24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</row>
    <row r="128" spans="1:78" s="2" customFormat="1" x14ac:dyDescent="0.3">
      <c r="A128" s="102"/>
      <c r="B128" s="108"/>
      <c r="C128" s="119"/>
      <c r="D128" s="102"/>
      <c r="E128" s="119"/>
      <c r="F128" s="119"/>
      <c r="G128" s="119"/>
      <c r="H128" s="119"/>
      <c r="I128" s="119"/>
      <c r="J128" s="119"/>
      <c r="K128" s="119"/>
      <c r="L128" s="119"/>
      <c r="M128" s="119"/>
      <c r="N128" s="102"/>
      <c r="O128" s="115"/>
      <c r="P128" s="102"/>
      <c r="Q128" s="115"/>
      <c r="R128" s="102"/>
      <c r="S128" s="24"/>
      <c r="T128" s="24"/>
      <c r="U128" s="24"/>
      <c r="V128" s="24"/>
      <c r="W128" s="24"/>
      <c r="X128" s="24"/>
      <c r="Y128" s="24"/>
      <c r="Z128" s="24"/>
      <c r="AA128" s="115"/>
      <c r="AB128" s="102"/>
      <c r="AC128" s="307"/>
      <c r="AD128" s="307"/>
      <c r="AE128" s="307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5"/>
      <c r="AR128" s="24"/>
      <c r="AS128" s="24"/>
      <c r="AT128" s="147"/>
      <c r="AU128" s="36"/>
      <c r="AV128" s="147"/>
      <c r="AW128" s="36"/>
      <c r="AX128" s="24"/>
      <c r="AY128" s="29"/>
      <c r="AZ128" s="29"/>
      <c r="BA128" s="29"/>
      <c r="BB128" s="24"/>
      <c r="BC128" s="29"/>
      <c r="BD128" s="29"/>
      <c r="BE128" s="29"/>
      <c r="BF128" s="24"/>
      <c r="BG128" s="24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</row>
    <row r="129" spans="1:78" s="2" customFormat="1" x14ac:dyDescent="0.3">
      <c r="A129" s="102"/>
      <c r="B129" s="108"/>
      <c r="C129" s="119"/>
      <c r="D129" s="102"/>
      <c r="E129" s="119"/>
      <c r="F129" s="119"/>
      <c r="G129" s="119"/>
      <c r="H129" s="119"/>
      <c r="I129" s="119"/>
      <c r="J129" s="119"/>
      <c r="K129" s="119"/>
      <c r="L129" s="119"/>
      <c r="M129" s="119"/>
      <c r="N129" s="116"/>
      <c r="O129" s="115"/>
      <c r="P129" s="116"/>
      <c r="Q129" s="115"/>
      <c r="R129" s="116"/>
      <c r="S129" s="24"/>
      <c r="T129" s="24"/>
      <c r="U129" s="24"/>
      <c r="V129" s="24"/>
      <c r="W129" s="24"/>
      <c r="X129" s="24"/>
      <c r="Y129" s="24"/>
      <c r="Z129" s="24"/>
      <c r="AA129" s="115"/>
      <c r="AB129" s="116"/>
      <c r="AC129" s="307"/>
      <c r="AD129" s="307"/>
      <c r="AE129" s="307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5"/>
      <c r="AR129" s="24"/>
      <c r="AS129" s="24"/>
      <c r="AT129" s="147"/>
      <c r="AU129" s="36"/>
      <c r="AV129" s="147"/>
      <c r="AW129" s="36"/>
      <c r="AX129" s="24"/>
      <c r="AY129" s="29"/>
      <c r="AZ129" s="29"/>
      <c r="BA129" s="29"/>
      <c r="BB129" s="24"/>
      <c r="BC129" s="29"/>
      <c r="BD129" s="29"/>
      <c r="BE129" s="29"/>
      <c r="BF129" s="24"/>
      <c r="BG129" s="24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</row>
    <row r="130" spans="1:78" s="2" customFormat="1" x14ac:dyDescent="0.3">
      <c r="A130" s="102"/>
      <c r="B130" s="108"/>
      <c r="C130" s="119"/>
      <c r="D130" s="102"/>
      <c r="E130" s="119"/>
      <c r="F130" s="119"/>
      <c r="G130" s="119"/>
      <c r="H130" s="119"/>
      <c r="I130" s="119"/>
      <c r="J130" s="119"/>
      <c r="K130" s="119"/>
      <c r="L130" s="119"/>
      <c r="M130" s="119"/>
      <c r="N130" s="115"/>
      <c r="O130" s="115"/>
      <c r="P130" s="115"/>
      <c r="Q130" s="115"/>
      <c r="R130" s="115"/>
      <c r="S130" s="24"/>
      <c r="T130" s="24"/>
      <c r="U130" s="24"/>
      <c r="V130" s="24"/>
      <c r="W130" s="24"/>
      <c r="X130" s="24"/>
      <c r="Y130" s="24"/>
      <c r="Z130" s="24"/>
      <c r="AA130" s="115"/>
      <c r="AB130" s="115"/>
      <c r="AC130" s="307"/>
      <c r="AD130" s="307"/>
      <c r="AE130" s="307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5"/>
      <c r="AR130" s="24"/>
      <c r="AS130" s="24"/>
      <c r="AT130" s="147"/>
      <c r="AU130" s="36"/>
      <c r="AV130" s="147"/>
      <c r="AW130" s="36"/>
      <c r="AX130" s="24"/>
      <c r="AY130" s="29"/>
      <c r="AZ130" s="29"/>
      <c r="BA130" s="29"/>
      <c r="BB130" s="24"/>
      <c r="BC130" s="29"/>
      <c r="BD130" s="29"/>
      <c r="BE130" s="29"/>
      <c r="BF130" s="24"/>
      <c r="BG130" s="24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</row>
    <row r="131" spans="1:78" s="2" customFormat="1" x14ac:dyDescent="0.3">
      <c r="A131" s="102"/>
      <c r="B131" s="108"/>
      <c r="C131" s="119"/>
      <c r="D131" s="102"/>
      <c r="E131" s="119"/>
      <c r="F131" s="119"/>
      <c r="G131" s="119"/>
      <c r="H131" s="119"/>
      <c r="I131" s="119"/>
      <c r="J131" s="119"/>
      <c r="K131" s="119"/>
      <c r="L131" s="119"/>
      <c r="M131" s="119"/>
      <c r="N131" s="115"/>
      <c r="O131" s="115"/>
      <c r="P131" s="115"/>
      <c r="Q131" s="115"/>
      <c r="R131" s="115"/>
      <c r="S131" s="24"/>
      <c r="T131" s="24"/>
      <c r="U131" s="24"/>
      <c r="V131" s="24"/>
      <c r="W131" s="24"/>
      <c r="X131" s="24"/>
      <c r="Y131" s="24"/>
      <c r="Z131" s="24"/>
      <c r="AA131" s="115"/>
      <c r="AB131" s="115"/>
      <c r="AC131" s="307"/>
      <c r="AD131" s="307"/>
      <c r="AE131" s="307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5"/>
      <c r="AR131" s="24"/>
      <c r="AS131" s="24"/>
      <c r="AT131" s="147"/>
      <c r="AU131" s="36"/>
      <c r="AV131" s="147"/>
      <c r="AW131" s="36"/>
      <c r="AX131" s="24"/>
      <c r="AY131" s="29"/>
      <c r="AZ131" s="29"/>
      <c r="BA131" s="29"/>
      <c r="BB131" s="24"/>
      <c r="BC131" s="29"/>
      <c r="BD131" s="29"/>
      <c r="BE131" s="29"/>
      <c r="BF131" s="24"/>
      <c r="BG131" s="24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</row>
    <row r="132" spans="1:78" s="2" customFormat="1" x14ac:dyDescent="0.3">
      <c r="A132" s="102"/>
      <c r="B132" s="108"/>
      <c r="C132" s="119"/>
      <c r="D132" s="102"/>
      <c r="E132" s="119"/>
      <c r="F132" s="119"/>
      <c r="G132" s="119"/>
      <c r="H132" s="119"/>
      <c r="I132" s="119"/>
      <c r="J132" s="119"/>
      <c r="K132" s="119"/>
      <c r="L132" s="119"/>
      <c r="M132" s="119"/>
      <c r="N132" s="115"/>
      <c r="O132" s="115"/>
      <c r="P132" s="115"/>
      <c r="Q132" s="115"/>
      <c r="R132" s="115"/>
      <c r="S132" s="24"/>
      <c r="T132" s="24"/>
      <c r="U132" s="24"/>
      <c r="V132" s="24"/>
      <c r="W132" s="24"/>
      <c r="X132" s="24"/>
      <c r="Y132" s="24"/>
      <c r="Z132" s="24"/>
      <c r="AA132" s="115"/>
      <c r="AB132" s="115"/>
      <c r="AC132" s="307"/>
      <c r="AD132" s="307"/>
      <c r="AE132" s="307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5"/>
      <c r="AR132" s="24"/>
      <c r="AS132" s="24"/>
      <c r="AT132" s="147"/>
      <c r="AU132" s="36"/>
      <c r="AV132" s="147"/>
      <c r="AW132" s="36"/>
      <c r="AX132" s="24"/>
      <c r="AY132" s="29"/>
      <c r="AZ132" s="29"/>
      <c r="BA132" s="29"/>
      <c r="BB132" s="24"/>
      <c r="BC132" s="29"/>
      <c r="BD132" s="29"/>
      <c r="BE132" s="29"/>
      <c r="BF132" s="24"/>
      <c r="BG132" s="24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</row>
    <row r="133" spans="1:78" s="2" customFormat="1" x14ac:dyDescent="0.3">
      <c r="A133" s="102"/>
      <c r="B133" s="108"/>
      <c r="C133" s="119"/>
      <c r="D133" s="102"/>
      <c r="E133" s="119"/>
      <c r="F133" s="119"/>
      <c r="G133" s="119"/>
      <c r="H133" s="119"/>
      <c r="I133" s="119"/>
      <c r="J133" s="119"/>
      <c r="K133" s="119"/>
      <c r="L133" s="119"/>
      <c r="M133" s="119"/>
      <c r="N133" s="115"/>
      <c r="O133" s="115"/>
      <c r="P133" s="115"/>
      <c r="Q133" s="115"/>
      <c r="R133" s="115"/>
      <c r="S133" s="24"/>
      <c r="T133" s="24"/>
      <c r="U133" s="24"/>
      <c r="V133" s="24"/>
      <c r="W133" s="24"/>
      <c r="X133" s="24"/>
      <c r="Y133" s="24"/>
      <c r="Z133" s="24"/>
      <c r="AA133" s="115"/>
      <c r="AB133" s="115"/>
      <c r="AC133" s="307"/>
      <c r="AD133" s="307"/>
      <c r="AE133" s="307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5"/>
      <c r="AR133" s="24"/>
      <c r="AS133" s="24"/>
      <c r="AT133" s="147"/>
      <c r="AU133" s="36"/>
      <c r="AV133" s="147"/>
      <c r="AW133" s="36"/>
      <c r="AX133" s="24"/>
      <c r="AY133" s="29"/>
      <c r="AZ133" s="29"/>
      <c r="BA133" s="29"/>
      <c r="BB133" s="24"/>
      <c r="BC133" s="29"/>
      <c r="BD133" s="29"/>
      <c r="BE133" s="29"/>
      <c r="BF133" s="24"/>
      <c r="BG133" s="24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</row>
    <row r="134" spans="1:78" s="2" customFormat="1" x14ac:dyDescent="0.3">
      <c r="A134" s="102"/>
      <c r="B134" s="108"/>
      <c r="C134" s="119"/>
      <c r="D134" s="102"/>
      <c r="E134" s="119"/>
      <c r="F134" s="119"/>
      <c r="G134" s="119"/>
      <c r="H134" s="119"/>
      <c r="I134" s="119"/>
      <c r="J134" s="119"/>
      <c r="K134" s="119"/>
      <c r="L134" s="119"/>
      <c r="M134" s="119"/>
      <c r="N134" s="115"/>
      <c r="O134" s="115"/>
      <c r="P134" s="115"/>
      <c r="Q134" s="115"/>
      <c r="R134" s="115"/>
      <c r="S134" s="24"/>
      <c r="T134" s="24"/>
      <c r="U134" s="24"/>
      <c r="V134" s="24"/>
      <c r="W134" s="24"/>
      <c r="X134" s="24"/>
      <c r="Y134" s="24"/>
      <c r="Z134" s="24"/>
      <c r="AA134" s="115"/>
      <c r="AB134" s="115"/>
      <c r="AC134" s="307"/>
      <c r="AD134" s="307"/>
      <c r="AE134" s="307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5"/>
      <c r="AR134" s="24"/>
      <c r="AS134" s="24"/>
      <c r="AT134" s="147"/>
      <c r="AU134" s="36"/>
      <c r="AV134" s="147"/>
      <c r="AW134" s="36"/>
      <c r="AX134" s="24"/>
      <c r="AY134" s="29"/>
      <c r="AZ134" s="29"/>
      <c r="BA134" s="29"/>
      <c r="BB134" s="24"/>
      <c r="BC134" s="29"/>
      <c r="BD134" s="29"/>
      <c r="BE134" s="29"/>
      <c r="BF134" s="24"/>
      <c r="BG134" s="24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</row>
    <row r="135" spans="1:78" s="2" customFormat="1" x14ac:dyDescent="0.3">
      <c r="A135" s="102"/>
      <c r="B135" s="108"/>
      <c r="C135" s="119"/>
      <c r="D135" s="102"/>
      <c r="E135" s="119"/>
      <c r="F135" s="119"/>
      <c r="G135" s="119"/>
      <c r="H135" s="119"/>
      <c r="I135" s="119"/>
      <c r="J135" s="119"/>
      <c r="K135" s="119"/>
      <c r="L135" s="119"/>
      <c r="M135" s="119"/>
      <c r="N135" s="115"/>
      <c r="O135" s="115"/>
      <c r="P135" s="115"/>
      <c r="Q135" s="115"/>
      <c r="R135" s="115"/>
      <c r="S135" s="24"/>
      <c r="T135" s="24"/>
      <c r="U135" s="24"/>
      <c r="V135" s="24"/>
      <c r="W135" s="24"/>
      <c r="X135" s="24"/>
      <c r="Y135" s="24"/>
      <c r="Z135" s="24"/>
      <c r="AA135" s="115"/>
      <c r="AB135" s="115"/>
      <c r="AC135" s="307"/>
      <c r="AD135" s="307"/>
      <c r="AE135" s="307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5"/>
      <c r="AR135" s="24"/>
      <c r="AS135" s="24"/>
      <c r="AT135" s="147"/>
      <c r="AU135" s="36"/>
      <c r="AV135" s="147"/>
      <c r="AW135" s="36"/>
      <c r="AX135" s="24"/>
      <c r="AY135" s="29"/>
      <c r="AZ135" s="29"/>
      <c r="BA135" s="29"/>
      <c r="BB135" s="24"/>
      <c r="BC135" s="29"/>
      <c r="BD135" s="29"/>
      <c r="BE135" s="29"/>
      <c r="BF135" s="24"/>
      <c r="BG135" s="24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</row>
    <row r="136" spans="1:78" s="2" customFormat="1" x14ac:dyDescent="0.3">
      <c r="A136" s="102"/>
      <c r="B136" s="108"/>
      <c r="C136" s="119"/>
      <c r="D136" s="102"/>
      <c r="E136" s="119"/>
      <c r="F136" s="119"/>
      <c r="G136" s="119"/>
      <c r="H136" s="119"/>
      <c r="I136" s="119"/>
      <c r="J136" s="119"/>
      <c r="K136" s="119"/>
      <c r="L136" s="119"/>
      <c r="M136" s="119"/>
      <c r="N136" s="115"/>
      <c r="O136" s="115"/>
      <c r="P136" s="115"/>
      <c r="Q136" s="115"/>
      <c r="R136" s="115"/>
      <c r="S136" s="24"/>
      <c r="T136" s="24"/>
      <c r="U136" s="24"/>
      <c r="V136" s="24"/>
      <c r="W136" s="24"/>
      <c r="X136" s="24"/>
      <c r="Y136" s="24"/>
      <c r="Z136" s="24"/>
      <c r="AA136" s="115"/>
      <c r="AB136" s="115"/>
      <c r="AC136" s="307"/>
      <c r="AD136" s="307"/>
      <c r="AE136" s="307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5"/>
      <c r="AR136" s="24"/>
      <c r="AS136" s="24"/>
      <c r="AT136" s="147"/>
      <c r="AU136" s="36"/>
      <c r="AV136" s="147"/>
      <c r="AW136" s="36"/>
      <c r="AX136" s="24"/>
      <c r="AY136" s="29"/>
      <c r="AZ136" s="29"/>
      <c r="BA136" s="29"/>
      <c r="BB136" s="24"/>
      <c r="BC136" s="29"/>
      <c r="BD136" s="29"/>
      <c r="BE136" s="29"/>
      <c r="BF136" s="24"/>
      <c r="BG136" s="24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</row>
    <row r="137" spans="1:78" s="2" customFormat="1" x14ac:dyDescent="0.3">
      <c r="A137" s="102"/>
      <c r="B137" s="108"/>
      <c r="C137" s="119"/>
      <c r="D137" s="102"/>
      <c r="E137" s="119"/>
      <c r="F137" s="119"/>
      <c r="G137" s="119"/>
      <c r="H137" s="119"/>
      <c r="I137" s="119"/>
      <c r="J137" s="119"/>
      <c r="K137" s="119"/>
      <c r="L137" s="119"/>
      <c r="M137" s="119"/>
      <c r="N137" s="115"/>
      <c r="O137" s="115"/>
      <c r="P137" s="115"/>
      <c r="Q137" s="115"/>
      <c r="R137" s="115"/>
      <c r="S137" s="24"/>
      <c r="T137" s="24"/>
      <c r="U137" s="24"/>
      <c r="V137" s="24"/>
      <c r="W137" s="24"/>
      <c r="X137" s="24"/>
      <c r="Y137" s="24"/>
      <c r="Z137" s="24"/>
      <c r="AA137" s="115"/>
      <c r="AB137" s="115"/>
      <c r="AC137" s="307"/>
      <c r="AD137" s="307"/>
      <c r="AE137" s="307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5"/>
      <c r="AR137" s="24"/>
      <c r="AS137" s="24"/>
      <c r="AT137" s="147"/>
      <c r="AU137" s="36"/>
      <c r="AV137" s="147"/>
      <c r="AW137" s="36"/>
      <c r="AX137" s="24"/>
      <c r="AY137" s="29"/>
      <c r="AZ137" s="29"/>
      <c r="BA137" s="29"/>
      <c r="BB137" s="24"/>
      <c r="BC137" s="29"/>
      <c r="BD137" s="29"/>
      <c r="BE137" s="29"/>
      <c r="BF137" s="24"/>
      <c r="BG137" s="24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</row>
    <row r="138" spans="1:78" s="2" customFormat="1" x14ac:dyDescent="0.3">
      <c r="A138" s="102"/>
      <c r="B138" s="108"/>
      <c r="C138" s="119"/>
      <c r="D138" s="102"/>
      <c r="E138" s="119"/>
      <c r="F138" s="119"/>
      <c r="G138" s="119"/>
      <c r="H138" s="119"/>
      <c r="I138" s="119"/>
      <c r="J138" s="119"/>
      <c r="K138" s="119"/>
      <c r="L138" s="119"/>
      <c r="M138" s="119"/>
      <c r="N138" s="115"/>
      <c r="O138" s="115"/>
      <c r="P138" s="115"/>
      <c r="Q138" s="115"/>
      <c r="R138" s="115"/>
      <c r="S138" s="24"/>
      <c r="T138" s="24"/>
      <c r="U138" s="24"/>
      <c r="V138" s="24"/>
      <c r="W138" s="24"/>
      <c r="X138" s="24"/>
      <c r="Y138" s="24"/>
      <c r="Z138" s="24"/>
      <c r="AA138" s="115"/>
      <c r="AB138" s="115"/>
      <c r="AC138" s="307"/>
      <c r="AD138" s="307"/>
      <c r="AE138" s="307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5"/>
      <c r="AR138" s="24"/>
      <c r="AS138" s="24"/>
      <c r="AT138" s="147"/>
      <c r="AU138" s="36"/>
      <c r="AV138" s="147"/>
      <c r="AW138" s="36"/>
      <c r="AX138" s="24"/>
      <c r="AY138" s="29"/>
      <c r="AZ138" s="29"/>
      <c r="BA138" s="29"/>
      <c r="BB138" s="24"/>
      <c r="BC138" s="29"/>
      <c r="BD138" s="29"/>
      <c r="BE138" s="29"/>
      <c r="BF138" s="24"/>
      <c r="BG138" s="24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</row>
    <row r="139" spans="1:78" s="2" customFormat="1" x14ac:dyDescent="0.3">
      <c r="A139" s="102"/>
      <c r="B139" s="108"/>
      <c r="C139" s="119"/>
      <c r="D139" s="102"/>
      <c r="E139" s="119"/>
      <c r="F139" s="119"/>
      <c r="G139" s="119"/>
      <c r="H139" s="119"/>
      <c r="I139" s="119"/>
      <c r="J139" s="119"/>
      <c r="K139" s="119"/>
      <c r="L139" s="119"/>
      <c r="M139" s="119"/>
      <c r="N139" s="115"/>
      <c r="O139" s="115"/>
      <c r="P139" s="115"/>
      <c r="Q139" s="115"/>
      <c r="R139" s="115"/>
      <c r="S139" s="24"/>
      <c r="T139" s="24"/>
      <c r="U139" s="24"/>
      <c r="V139" s="24"/>
      <c r="W139" s="24"/>
      <c r="X139" s="24"/>
      <c r="Y139" s="24"/>
      <c r="Z139" s="24"/>
      <c r="AA139" s="115"/>
      <c r="AB139" s="115"/>
      <c r="AC139" s="307"/>
      <c r="AD139" s="307"/>
      <c r="AE139" s="307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5"/>
      <c r="AR139" s="24"/>
      <c r="AS139" s="24"/>
      <c r="AT139" s="147"/>
      <c r="AU139" s="36"/>
      <c r="AV139" s="147"/>
      <c r="AW139" s="36"/>
      <c r="AX139" s="24"/>
      <c r="AY139" s="29"/>
      <c r="AZ139" s="29"/>
      <c r="BA139" s="29"/>
      <c r="BB139" s="24"/>
      <c r="BC139" s="29"/>
      <c r="BD139" s="29"/>
      <c r="BE139" s="29"/>
      <c r="BF139" s="24"/>
      <c r="BG139" s="24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</row>
    <row r="140" spans="1:78" s="2" customFormat="1" x14ac:dyDescent="0.3">
      <c r="A140" s="102"/>
      <c r="B140" s="108"/>
      <c r="C140" s="119"/>
      <c r="D140" s="102"/>
      <c r="E140" s="119"/>
      <c r="F140" s="119"/>
      <c r="G140" s="119"/>
      <c r="H140" s="119"/>
      <c r="I140" s="119"/>
      <c r="J140" s="119"/>
      <c r="K140" s="119"/>
      <c r="L140" s="119"/>
      <c r="M140" s="119"/>
      <c r="N140" s="115"/>
      <c r="O140" s="115"/>
      <c r="P140" s="115"/>
      <c r="Q140" s="115"/>
      <c r="R140" s="115"/>
      <c r="S140" s="24"/>
      <c r="T140" s="24"/>
      <c r="U140" s="24"/>
      <c r="V140" s="24"/>
      <c r="W140" s="24"/>
      <c r="X140" s="24"/>
      <c r="Y140" s="24"/>
      <c r="Z140" s="24"/>
      <c r="AA140" s="115"/>
      <c r="AB140" s="115"/>
      <c r="AC140" s="307"/>
      <c r="AD140" s="307"/>
      <c r="AE140" s="307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5"/>
      <c r="AR140" s="24"/>
      <c r="AS140" s="24"/>
      <c r="AT140" s="147"/>
      <c r="AU140" s="36"/>
      <c r="AV140" s="147"/>
      <c r="AW140" s="36"/>
      <c r="AX140" s="24"/>
      <c r="AY140" s="29"/>
      <c r="AZ140" s="29"/>
      <c r="BA140" s="29"/>
      <c r="BB140" s="24"/>
      <c r="BC140" s="29"/>
      <c r="BD140" s="29"/>
      <c r="BE140" s="29"/>
      <c r="BF140" s="24"/>
      <c r="BG140" s="24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</row>
    <row r="141" spans="1:78" s="2" customFormat="1" x14ac:dyDescent="0.3">
      <c r="A141" s="102"/>
      <c r="B141" s="108"/>
      <c r="C141" s="119"/>
      <c r="D141" s="102"/>
      <c r="E141" s="119"/>
      <c r="F141" s="119"/>
      <c r="G141" s="119"/>
      <c r="H141" s="119"/>
      <c r="I141" s="119"/>
      <c r="J141" s="119"/>
      <c r="K141" s="119"/>
      <c r="L141" s="119"/>
      <c r="M141" s="119"/>
      <c r="N141" s="115"/>
      <c r="O141" s="115"/>
      <c r="P141" s="115"/>
      <c r="Q141" s="115"/>
      <c r="R141" s="115"/>
      <c r="S141" s="24"/>
      <c r="T141" s="24"/>
      <c r="U141" s="24"/>
      <c r="V141" s="24"/>
      <c r="W141" s="24"/>
      <c r="X141" s="24"/>
      <c r="Y141" s="24"/>
      <c r="Z141" s="24"/>
      <c r="AA141" s="115"/>
      <c r="AB141" s="115"/>
      <c r="AC141" s="307"/>
      <c r="AD141" s="307"/>
      <c r="AE141" s="307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5"/>
      <c r="AR141" s="24"/>
      <c r="AS141" s="24"/>
      <c r="AT141" s="147"/>
      <c r="AU141" s="36"/>
      <c r="AV141" s="147"/>
      <c r="AW141" s="36"/>
      <c r="AX141" s="24"/>
      <c r="AY141" s="29"/>
      <c r="AZ141" s="29"/>
      <c r="BA141" s="29"/>
      <c r="BB141" s="24"/>
      <c r="BC141" s="29"/>
      <c r="BD141" s="29"/>
      <c r="BE141" s="29"/>
      <c r="BF141" s="24"/>
      <c r="BG141" s="24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</row>
    <row r="142" spans="1:78" s="2" customFormat="1" x14ac:dyDescent="0.3">
      <c r="A142" s="102"/>
      <c r="B142" s="108"/>
      <c r="C142" s="119"/>
      <c r="D142" s="102"/>
      <c r="E142" s="119"/>
      <c r="F142" s="119"/>
      <c r="G142" s="119"/>
      <c r="H142" s="119"/>
      <c r="I142" s="119"/>
      <c r="J142" s="119"/>
      <c r="K142" s="119"/>
      <c r="L142" s="119"/>
      <c r="M142" s="119"/>
      <c r="N142" s="115"/>
      <c r="O142" s="115"/>
      <c r="P142" s="115"/>
      <c r="Q142" s="115"/>
      <c r="R142" s="115"/>
      <c r="S142" s="24"/>
      <c r="T142" s="24"/>
      <c r="U142" s="24"/>
      <c r="V142" s="24"/>
      <c r="W142" s="24"/>
      <c r="X142" s="24"/>
      <c r="Y142" s="24"/>
      <c r="Z142" s="24"/>
      <c r="AA142" s="115"/>
      <c r="AB142" s="115"/>
      <c r="AC142" s="307"/>
      <c r="AD142" s="307"/>
      <c r="AE142" s="307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5"/>
      <c r="AR142" s="24"/>
      <c r="AS142" s="24"/>
      <c r="AT142" s="147"/>
      <c r="AU142" s="36"/>
      <c r="AV142" s="147"/>
      <c r="AW142" s="36"/>
      <c r="AX142" s="24"/>
      <c r="AY142" s="29"/>
      <c r="AZ142" s="29"/>
      <c r="BA142" s="29"/>
      <c r="BB142" s="24"/>
      <c r="BC142" s="29"/>
      <c r="BD142" s="29"/>
      <c r="BE142" s="29"/>
      <c r="BF142" s="24"/>
      <c r="BG142" s="24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</row>
    <row r="143" spans="1:78" s="2" customFormat="1" x14ac:dyDescent="0.3">
      <c r="A143" s="102"/>
      <c r="B143" s="108"/>
      <c r="C143" s="119"/>
      <c r="D143" s="102"/>
      <c r="E143" s="119"/>
      <c r="F143" s="119"/>
      <c r="G143" s="119"/>
      <c r="H143" s="119"/>
      <c r="I143" s="119"/>
      <c r="J143" s="119"/>
      <c r="K143" s="119"/>
      <c r="L143" s="119"/>
      <c r="M143" s="119"/>
      <c r="N143" s="115"/>
      <c r="O143" s="115"/>
      <c r="P143" s="115"/>
      <c r="Q143" s="115"/>
      <c r="R143" s="115"/>
      <c r="S143" s="24"/>
      <c r="T143" s="24"/>
      <c r="U143" s="24"/>
      <c r="V143" s="24"/>
      <c r="W143" s="24"/>
      <c r="X143" s="24"/>
      <c r="Y143" s="24"/>
      <c r="Z143" s="24"/>
      <c r="AA143" s="115"/>
      <c r="AB143" s="115"/>
      <c r="AC143" s="307"/>
      <c r="AD143" s="307"/>
      <c r="AE143" s="307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5"/>
      <c r="AR143" s="24"/>
      <c r="AS143" s="24"/>
      <c r="AT143" s="147"/>
      <c r="AU143" s="36"/>
      <c r="AV143" s="147"/>
      <c r="AW143" s="36"/>
      <c r="AX143" s="24"/>
      <c r="AY143" s="29"/>
      <c r="AZ143" s="29"/>
      <c r="BA143" s="29"/>
      <c r="BB143" s="24"/>
      <c r="BC143" s="29"/>
      <c r="BD143" s="29"/>
      <c r="BE143" s="29"/>
      <c r="BF143" s="24"/>
      <c r="BG143" s="24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</row>
    <row r="144" spans="1:78" s="2" customFormat="1" x14ac:dyDescent="0.3">
      <c r="A144" s="102"/>
      <c r="B144" s="108"/>
      <c r="C144" s="119"/>
      <c r="D144" s="102"/>
      <c r="E144" s="119"/>
      <c r="F144" s="119"/>
      <c r="G144" s="119"/>
      <c r="H144" s="119"/>
      <c r="I144" s="119"/>
      <c r="J144" s="119"/>
      <c r="K144" s="119"/>
      <c r="L144" s="119"/>
      <c r="M144" s="119"/>
      <c r="N144" s="115"/>
      <c r="O144" s="115"/>
      <c r="P144" s="115"/>
      <c r="Q144" s="115"/>
      <c r="R144" s="115"/>
      <c r="S144" s="24"/>
      <c r="T144" s="24"/>
      <c r="U144" s="24"/>
      <c r="V144" s="24"/>
      <c r="W144" s="24"/>
      <c r="X144" s="24"/>
      <c r="Y144" s="24"/>
      <c r="Z144" s="24"/>
      <c r="AA144" s="115"/>
      <c r="AB144" s="115"/>
      <c r="AC144" s="307"/>
      <c r="AD144" s="307"/>
      <c r="AE144" s="307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5"/>
      <c r="AR144" s="24"/>
      <c r="AS144" s="24"/>
      <c r="AT144" s="147"/>
      <c r="AU144" s="36"/>
      <c r="AV144" s="147"/>
      <c r="AW144" s="36"/>
      <c r="AX144" s="24"/>
      <c r="AY144" s="29"/>
      <c r="AZ144" s="29"/>
      <c r="BA144" s="29"/>
      <c r="BB144" s="24"/>
      <c r="BC144" s="29"/>
      <c r="BD144" s="29"/>
      <c r="BE144" s="29"/>
      <c r="BF144" s="24"/>
      <c r="BG144" s="24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</row>
    <row r="145" spans="1:78" s="2" customFormat="1" x14ac:dyDescent="0.3">
      <c r="A145" s="102"/>
      <c r="B145" s="108"/>
      <c r="C145" s="119"/>
      <c r="D145" s="102"/>
      <c r="E145" s="119"/>
      <c r="F145" s="119"/>
      <c r="G145" s="119"/>
      <c r="H145" s="119"/>
      <c r="I145" s="119"/>
      <c r="J145" s="119"/>
      <c r="K145" s="119"/>
      <c r="L145" s="119"/>
      <c r="M145" s="119"/>
      <c r="N145" s="115"/>
      <c r="O145" s="115"/>
      <c r="P145" s="115"/>
      <c r="Q145" s="115"/>
      <c r="R145" s="115"/>
      <c r="S145" s="24"/>
      <c r="T145" s="24"/>
      <c r="U145" s="24"/>
      <c r="V145" s="24"/>
      <c r="W145" s="24"/>
      <c r="X145" s="24"/>
      <c r="Y145" s="24"/>
      <c r="Z145" s="24"/>
      <c r="AA145" s="115"/>
      <c r="AB145" s="115"/>
      <c r="AC145" s="307"/>
      <c r="AD145" s="307"/>
      <c r="AE145" s="307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5"/>
      <c r="AR145" s="24"/>
      <c r="AS145" s="24"/>
      <c r="AT145" s="147"/>
      <c r="AU145" s="36"/>
      <c r="AV145" s="147"/>
      <c r="AW145" s="36"/>
      <c r="AX145" s="24"/>
      <c r="AY145" s="29"/>
      <c r="AZ145" s="29"/>
      <c r="BA145" s="29"/>
      <c r="BB145" s="24"/>
      <c r="BC145" s="29"/>
      <c r="BD145" s="29"/>
      <c r="BE145" s="29"/>
      <c r="BF145" s="24"/>
      <c r="BG145" s="24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</row>
    <row r="146" spans="1:78" s="2" customFormat="1" x14ac:dyDescent="0.3">
      <c r="A146" s="102"/>
      <c r="B146" s="108"/>
      <c r="C146" s="119"/>
      <c r="D146" s="102"/>
      <c r="E146" s="119"/>
      <c r="F146" s="119"/>
      <c r="G146" s="119"/>
      <c r="H146" s="119"/>
      <c r="I146" s="119"/>
      <c r="J146" s="119"/>
      <c r="K146" s="119"/>
      <c r="L146" s="119"/>
      <c r="M146" s="119"/>
      <c r="N146" s="115"/>
      <c r="O146" s="115"/>
      <c r="P146" s="115"/>
      <c r="Q146" s="115"/>
      <c r="R146" s="115"/>
      <c r="S146" s="24"/>
      <c r="T146" s="24"/>
      <c r="U146" s="24"/>
      <c r="V146" s="24"/>
      <c r="W146" s="24"/>
      <c r="X146" s="24"/>
      <c r="Y146" s="24"/>
      <c r="Z146" s="24"/>
      <c r="AA146" s="115"/>
      <c r="AB146" s="115"/>
      <c r="AC146" s="307"/>
      <c r="AD146" s="307"/>
      <c r="AE146" s="307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5"/>
      <c r="AR146" s="24"/>
      <c r="AS146" s="24"/>
      <c r="AT146" s="147"/>
      <c r="AU146" s="36"/>
      <c r="AV146" s="147"/>
      <c r="AW146" s="36"/>
      <c r="AX146" s="24"/>
      <c r="AY146" s="29"/>
      <c r="AZ146" s="29"/>
      <c r="BA146" s="29"/>
      <c r="BB146" s="24"/>
      <c r="BC146" s="29"/>
      <c r="BD146" s="29"/>
      <c r="BE146" s="29"/>
      <c r="BF146" s="24"/>
      <c r="BG146" s="24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</row>
    <row r="147" spans="1:78" s="2" customFormat="1" x14ac:dyDescent="0.3">
      <c r="A147" s="102"/>
      <c r="B147" s="108"/>
      <c r="C147" s="119"/>
      <c r="D147" s="102"/>
      <c r="E147" s="119"/>
      <c r="F147" s="119"/>
      <c r="G147" s="119"/>
      <c r="H147" s="119"/>
      <c r="I147" s="119"/>
      <c r="J147" s="119"/>
      <c r="K147" s="119"/>
      <c r="L147" s="119"/>
      <c r="M147" s="119"/>
      <c r="N147" s="115"/>
      <c r="O147" s="115"/>
      <c r="P147" s="115"/>
      <c r="Q147" s="115"/>
      <c r="R147" s="115"/>
      <c r="S147" s="24"/>
      <c r="T147" s="24"/>
      <c r="U147" s="24"/>
      <c r="V147" s="24"/>
      <c r="W147" s="24"/>
      <c r="X147" s="24"/>
      <c r="Y147" s="24"/>
      <c r="Z147" s="24"/>
      <c r="AA147" s="115"/>
      <c r="AB147" s="115"/>
      <c r="AC147" s="307"/>
      <c r="AD147" s="307"/>
      <c r="AE147" s="307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5"/>
      <c r="AR147" s="24"/>
      <c r="AS147" s="24"/>
      <c r="AT147" s="147"/>
      <c r="AU147" s="36"/>
      <c r="AV147" s="147"/>
      <c r="AW147" s="36"/>
      <c r="AX147" s="24"/>
      <c r="AY147" s="29"/>
      <c r="AZ147" s="29"/>
      <c r="BA147" s="29"/>
      <c r="BB147" s="24"/>
      <c r="BC147" s="29"/>
      <c r="BD147" s="29"/>
      <c r="BE147" s="29"/>
      <c r="BF147" s="24"/>
      <c r="BG147" s="24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</row>
    <row r="148" spans="1:78" x14ac:dyDescent="0.3">
      <c r="B148" s="108"/>
      <c r="C148" s="119"/>
      <c r="D148" s="102"/>
      <c r="E148" s="119"/>
      <c r="F148" s="119"/>
      <c r="G148" s="119"/>
      <c r="H148" s="119"/>
      <c r="I148" s="119"/>
      <c r="J148" s="119"/>
      <c r="K148" s="119"/>
      <c r="L148" s="119"/>
      <c r="M148" s="119"/>
      <c r="N148" s="115"/>
      <c r="O148" s="115"/>
      <c r="P148" s="115"/>
      <c r="Q148" s="115"/>
      <c r="R148" s="115"/>
      <c r="AA148" s="115"/>
      <c r="AB148" s="115"/>
    </row>
    <row r="149" spans="1:78" x14ac:dyDescent="0.3">
      <c r="B149" s="108"/>
      <c r="C149" s="119"/>
      <c r="D149" s="102"/>
      <c r="E149" s="119"/>
      <c r="F149" s="119"/>
      <c r="G149" s="119"/>
      <c r="H149" s="119"/>
      <c r="I149" s="119"/>
      <c r="J149" s="119"/>
      <c r="K149" s="119"/>
      <c r="L149" s="119"/>
      <c r="M149" s="119"/>
      <c r="N149" s="115"/>
      <c r="O149" s="115"/>
      <c r="P149" s="115"/>
      <c r="Q149" s="115"/>
      <c r="R149" s="115"/>
      <c r="AA149" s="115"/>
      <c r="AB149" s="115"/>
    </row>
    <row r="150" spans="1:78" x14ac:dyDescent="0.3">
      <c r="B150" s="108"/>
      <c r="C150" s="119"/>
      <c r="D150" s="102"/>
      <c r="E150" s="119"/>
      <c r="F150" s="119"/>
      <c r="G150" s="119"/>
      <c r="H150" s="119"/>
      <c r="I150" s="119"/>
      <c r="J150" s="119"/>
      <c r="K150" s="119"/>
      <c r="L150" s="119"/>
      <c r="M150" s="119"/>
      <c r="N150" s="115"/>
      <c r="O150" s="115"/>
      <c r="P150" s="115"/>
      <c r="Q150" s="115"/>
      <c r="R150" s="115"/>
      <c r="AA150" s="115"/>
      <c r="AB150" s="115"/>
    </row>
    <row r="151" spans="1:78" x14ac:dyDescent="0.3">
      <c r="B151" s="108"/>
      <c r="C151" s="119"/>
      <c r="D151" s="102"/>
      <c r="E151" s="119"/>
      <c r="F151" s="119"/>
      <c r="G151" s="119"/>
      <c r="H151" s="119"/>
      <c r="I151" s="119"/>
      <c r="J151" s="119"/>
      <c r="K151" s="119"/>
      <c r="L151" s="119"/>
      <c r="M151" s="119"/>
      <c r="N151" s="115"/>
      <c r="O151" s="115"/>
      <c r="P151" s="115"/>
      <c r="Q151" s="115"/>
      <c r="R151" s="115"/>
      <c r="AA151" s="115"/>
      <c r="AB151" s="115"/>
    </row>
    <row r="152" spans="1:78" x14ac:dyDescent="0.3">
      <c r="B152" s="108"/>
      <c r="C152" s="119"/>
      <c r="D152" s="102"/>
      <c r="E152" s="119"/>
      <c r="F152" s="119"/>
      <c r="G152" s="119"/>
      <c r="H152" s="119"/>
      <c r="I152" s="119"/>
      <c r="J152" s="119"/>
      <c r="K152" s="119"/>
      <c r="L152" s="119"/>
      <c r="M152" s="119"/>
      <c r="N152" s="115"/>
      <c r="O152" s="115"/>
      <c r="P152" s="115"/>
      <c r="Q152" s="115"/>
      <c r="R152" s="115"/>
      <c r="AA152" s="115"/>
      <c r="AB152" s="115"/>
    </row>
    <row r="153" spans="1:78" x14ac:dyDescent="0.3">
      <c r="B153" s="108"/>
      <c r="C153" s="119"/>
      <c r="D153" s="102"/>
      <c r="E153" s="119"/>
      <c r="F153" s="119"/>
      <c r="G153" s="119"/>
      <c r="H153" s="119"/>
      <c r="I153" s="119"/>
      <c r="J153" s="119"/>
      <c r="K153" s="119"/>
      <c r="L153" s="119"/>
      <c r="M153" s="119"/>
      <c r="N153" s="115"/>
      <c r="O153" s="115"/>
      <c r="P153" s="115"/>
      <c r="Q153" s="115"/>
      <c r="R153" s="115"/>
      <c r="AA153" s="115"/>
      <c r="AB153" s="115"/>
    </row>
    <row r="154" spans="1:78" x14ac:dyDescent="0.3">
      <c r="B154" s="108"/>
      <c r="C154" s="119"/>
      <c r="D154" s="102"/>
      <c r="E154" s="119"/>
      <c r="F154" s="119"/>
      <c r="G154" s="119"/>
      <c r="H154" s="119"/>
      <c r="I154" s="119"/>
      <c r="J154" s="119"/>
      <c r="K154" s="119"/>
      <c r="L154" s="119"/>
      <c r="M154" s="119"/>
      <c r="N154" s="115"/>
      <c r="O154" s="115"/>
      <c r="P154" s="115"/>
      <c r="Q154" s="115"/>
      <c r="R154" s="115"/>
      <c r="AA154" s="115"/>
      <c r="AB154" s="115"/>
    </row>
    <row r="155" spans="1:78" x14ac:dyDescent="0.3">
      <c r="B155" s="108"/>
      <c r="C155" s="119"/>
      <c r="D155" s="102"/>
      <c r="E155" s="119"/>
      <c r="F155" s="119"/>
      <c r="G155" s="119"/>
      <c r="H155" s="119"/>
      <c r="I155" s="119"/>
      <c r="J155" s="119"/>
      <c r="K155" s="119"/>
      <c r="L155" s="119"/>
      <c r="M155" s="119"/>
      <c r="N155" s="115"/>
      <c r="O155" s="115"/>
      <c r="P155" s="115"/>
      <c r="Q155" s="115"/>
      <c r="R155" s="115"/>
      <c r="AA155" s="115"/>
      <c r="AB155" s="115"/>
    </row>
    <row r="156" spans="1:78" x14ac:dyDescent="0.3">
      <c r="B156" s="108"/>
      <c r="C156" s="119"/>
      <c r="D156" s="102"/>
      <c r="E156" s="119"/>
      <c r="F156" s="119"/>
      <c r="G156" s="119"/>
      <c r="H156" s="119"/>
      <c r="I156" s="119"/>
      <c r="J156" s="119"/>
      <c r="K156" s="119"/>
      <c r="L156" s="119"/>
      <c r="M156" s="119"/>
      <c r="N156" s="115"/>
      <c r="O156" s="115"/>
      <c r="P156" s="115"/>
      <c r="Q156" s="115"/>
      <c r="R156" s="115"/>
      <c r="AA156" s="115"/>
      <c r="AB156" s="115"/>
    </row>
    <row r="157" spans="1:78" x14ac:dyDescent="0.3">
      <c r="B157" s="108"/>
      <c r="C157" s="119"/>
      <c r="D157" s="102"/>
      <c r="E157" s="119"/>
      <c r="F157" s="119"/>
      <c r="G157" s="119"/>
      <c r="H157" s="119"/>
      <c r="I157" s="119"/>
      <c r="J157" s="119"/>
      <c r="K157" s="119"/>
      <c r="L157" s="119"/>
      <c r="M157" s="119"/>
      <c r="N157" s="115"/>
      <c r="O157" s="115"/>
      <c r="P157" s="115"/>
      <c r="Q157" s="115"/>
      <c r="R157" s="115"/>
      <c r="AA157" s="115"/>
      <c r="AB157" s="115"/>
    </row>
    <row r="158" spans="1:78" x14ac:dyDescent="0.3">
      <c r="B158" s="108"/>
      <c r="C158" s="119"/>
      <c r="D158" s="102"/>
      <c r="E158" s="119"/>
      <c r="F158" s="119"/>
      <c r="G158" s="119"/>
      <c r="H158" s="119"/>
      <c r="I158" s="119"/>
      <c r="J158" s="119"/>
      <c r="K158" s="119"/>
      <c r="L158" s="119"/>
      <c r="M158" s="119"/>
      <c r="N158" s="115"/>
      <c r="O158" s="115"/>
      <c r="P158" s="115"/>
      <c r="Q158" s="115"/>
      <c r="R158" s="115"/>
      <c r="AA158" s="115"/>
      <c r="AB158" s="115"/>
    </row>
    <row r="159" spans="1:78" x14ac:dyDescent="0.3">
      <c r="B159" s="108"/>
      <c r="C159" s="119"/>
      <c r="D159" s="102"/>
      <c r="E159" s="119"/>
      <c r="F159" s="119"/>
      <c r="G159" s="119"/>
      <c r="H159" s="119"/>
      <c r="I159" s="119"/>
      <c r="J159" s="119"/>
      <c r="K159" s="119"/>
      <c r="L159" s="119"/>
      <c r="M159" s="119"/>
      <c r="N159" s="115"/>
      <c r="O159" s="115"/>
      <c r="P159" s="115"/>
      <c r="Q159" s="115"/>
      <c r="R159" s="115"/>
      <c r="AA159" s="115"/>
      <c r="AB159" s="115"/>
    </row>
    <row r="160" spans="1:78" x14ac:dyDescent="0.3">
      <c r="B160" s="108"/>
      <c r="C160" s="119"/>
      <c r="D160" s="102"/>
      <c r="E160" s="119"/>
      <c r="F160" s="119"/>
      <c r="G160" s="119"/>
      <c r="H160" s="119"/>
      <c r="I160" s="119"/>
      <c r="J160" s="119"/>
      <c r="K160" s="119"/>
      <c r="L160" s="119"/>
      <c r="M160" s="119"/>
      <c r="N160" s="115"/>
      <c r="O160" s="115"/>
      <c r="P160" s="115"/>
      <c r="Q160" s="115"/>
      <c r="R160" s="115"/>
      <c r="AA160" s="115"/>
      <c r="AB160" s="115"/>
    </row>
    <row r="161" spans="2:28" x14ac:dyDescent="0.3">
      <c r="B161" s="108"/>
      <c r="C161" s="119"/>
      <c r="D161" s="102"/>
      <c r="E161" s="119"/>
      <c r="F161" s="119"/>
      <c r="G161" s="119"/>
      <c r="H161" s="119"/>
      <c r="I161" s="119"/>
      <c r="J161" s="119"/>
      <c r="K161" s="119"/>
      <c r="L161" s="119"/>
      <c r="M161" s="119"/>
      <c r="N161" s="115"/>
      <c r="O161" s="115"/>
      <c r="P161" s="115"/>
      <c r="Q161" s="115"/>
      <c r="R161" s="115"/>
      <c r="AA161" s="115"/>
      <c r="AB161" s="115"/>
    </row>
    <row r="162" spans="2:28" x14ac:dyDescent="0.3">
      <c r="B162" s="108"/>
      <c r="C162" s="119"/>
      <c r="D162" s="102"/>
      <c r="E162" s="119"/>
      <c r="F162" s="119"/>
      <c r="G162" s="119"/>
      <c r="H162" s="119"/>
      <c r="I162" s="119"/>
      <c r="J162" s="119"/>
      <c r="K162" s="119"/>
      <c r="L162" s="119"/>
      <c r="M162" s="119"/>
      <c r="N162" s="115"/>
      <c r="O162" s="115"/>
      <c r="P162" s="115"/>
      <c r="Q162" s="115"/>
      <c r="R162" s="115"/>
      <c r="AA162" s="115"/>
      <c r="AB162" s="115"/>
    </row>
    <row r="163" spans="2:28" x14ac:dyDescent="0.3">
      <c r="B163" s="108"/>
      <c r="C163" s="119"/>
      <c r="D163" s="102"/>
      <c r="E163" s="119"/>
      <c r="F163" s="119"/>
      <c r="G163" s="119"/>
      <c r="H163" s="119"/>
      <c r="I163" s="119"/>
      <c r="J163" s="119"/>
      <c r="K163" s="119"/>
      <c r="L163" s="119"/>
      <c r="M163" s="119"/>
      <c r="N163" s="115"/>
      <c r="O163" s="115"/>
      <c r="P163" s="115"/>
      <c r="Q163" s="115"/>
      <c r="R163" s="115"/>
      <c r="AA163" s="115"/>
      <c r="AB163" s="115"/>
    </row>
    <row r="164" spans="2:28" x14ac:dyDescent="0.3">
      <c r="B164" s="108"/>
      <c r="C164" s="119"/>
      <c r="D164" s="102"/>
      <c r="E164" s="119"/>
      <c r="F164" s="119"/>
      <c r="G164" s="119"/>
      <c r="H164" s="119"/>
      <c r="I164" s="119"/>
      <c r="J164" s="119"/>
      <c r="K164" s="119"/>
      <c r="L164" s="119"/>
      <c r="M164" s="119"/>
      <c r="N164" s="115"/>
      <c r="O164" s="115"/>
      <c r="P164" s="115"/>
      <c r="Q164" s="115"/>
      <c r="R164" s="115"/>
      <c r="AA164" s="115"/>
      <c r="AB164" s="115"/>
    </row>
    <row r="165" spans="2:28" x14ac:dyDescent="0.3">
      <c r="B165" s="108"/>
      <c r="C165" s="119"/>
      <c r="D165" s="102"/>
      <c r="E165" s="119"/>
      <c r="F165" s="119"/>
      <c r="G165" s="119"/>
      <c r="H165" s="119"/>
      <c r="I165" s="119"/>
      <c r="J165" s="119"/>
      <c r="K165" s="119"/>
      <c r="L165" s="119"/>
      <c r="M165" s="119"/>
      <c r="N165" s="115"/>
      <c r="O165" s="115"/>
      <c r="P165" s="115"/>
      <c r="Q165" s="115"/>
      <c r="R165" s="115"/>
      <c r="AA165" s="115"/>
      <c r="AB165" s="115"/>
    </row>
  </sheetData>
  <sheetProtection algorithmName="SHA-512" hashValue="opRWwDmUWdXoGmR7pTxA4rp68Ic+rx8N1BF76o233FlI4w+ORVY3Lo60TvTrKde+4xvyqmrs9ANlJSN50TQoDg==" saltValue="qk/RGBP08jJhp29Z4lOYjw==" spinCount="100000" sheet="1" objects="1" scenarios="1"/>
  <mergeCells count="26">
    <mergeCell ref="I47:K47"/>
    <mergeCell ref="L47:M47"/>
    <mergeCell ref="N47:R47"/>
    <mergeCell ref="H5:Q10"/>
    <mergeCell ref="H12:Q12"/>
    <mergeCell ref="H13:Q13"/>
    <mergeCell ref="D26:F26"/>
    <mergeCell ref="D27:F27"/>
    <mergeCell ref="B1:F1"/>
    <mergeCell ref="B47:F47"/>
    <mergeCell ref="D20:F21"/>
    <mergeCell ref="D22:F22"/>
    <mergeCell ref="D23:F23"/>
    <mergeCell ref="D28:F30"/>
    <mergeCell ref="B26:B30"/>
    <mergeCell ref="B5:B16"/>
    <mergeCell ref="B20:B23"/>
    <mergeCell ref="E3:G3"/>
    <mergeCell ref="AX74:BA74"/>
    <mergeCell ref="BB74:BE74"/>
    <mergeCell ref="AX48:BA48"/>
    <mergeCell ref="BB48:BE48"/>
    <mergeCell ref="U47:Z47"/>
    <mergeCell ref="AM48:AN48"/>
    <mergeCell ref="AT48:AU48"/>
    <mergeCell ref="AV48:AW48"/>
  </mergeCells>
  <phoneticPr fontId="5" type="noConversion"/>
  <conditionalFormatting sqref="AP4:AP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1:AP7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4:AQ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:AR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18" r:id="rId1" xr:uid="{83316919-0071-4D35-A8DA-3C048D720234}"/>
    <hyperlink ref="H13" r:id="rId2" xr:uid="{6AB3FC26-A084-4D58-82CC-61CB4042482B}"/>
    <hyperlink ref="F18" r:id="rId3" xr:uid="{E4D0238C-DB56-4795-B8D5-1183EE7FC27E}"/>
  </hyperlinks>
  <pageMargins left="0.14000000000000001" right="0.03" top="0.35" bottom="0.11811023622047245" header="0.1" footer="7.874015748031496E-2"/>
  <pageSetup paperSize="9" scale="45" fitToHeight="0" orientation="landscape" r:id="rId4"/>
  <rowBreaks count="1" manualBreakCount="1">
    <brk id="76" max="18" man="1"/>
  </rowBreaks>
  <drawing r:id="rId5"/>
  <legacy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982B-0226-4FC4-B481-9BD26DD7F965}">
  <sheetPr codeName="Tabelle1">
    <tabColor rgb="FF92D050"/>
    <pageSetUpPr fitToPage="1"/>
  </sheetPr>
  <dimension ref="A1:AL137"/>
  <sheetViews>
    <sheetView showGridLines="0" showZeros="0" zoomScaleNormal="100" workbookViewId="0">
      <pane xSplit="3" ySplit="7" topLeftCell="D8" activePane="bottomRight" state="frozen"/>
      <selection pane="topRight" activeCell="D1" sqref="D1"/>
      <selection pane="bottomLeft" activeCell="A12" sqref="A12"/>
      <selection pane="bottomRight" activeCell="B8" sqref="B8"/>
    </sheetView>
  </sheetViews>
  <sheetFormatPr baseColWidth="10" defaultRowHeight="15" outlineLevelRow="1" outlineLevelCol="1" x14ac:dyDescent="0.3"/>
  <cols>
    <col min="1" max="1" width="1.28515625" style="102" customWidth="1"/>
    <col min="2" max="2" width="18.5703125" style="92" customWidth="1"/>
    <col min="3" max="3" width="62" style="49" customWidth="1"/>
    <col min="4" max="4" width="7.28515625" style="93" bestFit="1" customWidth="1"/>
    <col min="5" max="5" width="11.5703125" style="93" bestFit="1" customWidth="1"/>
    <col min="6" max="6" width="31.5703125" style="49" customWidth="1"/>
    <col min="7" max="7" width="12.42578125" style="93" customWidth="1"/>
    <col min="8" max="10" width="18" style="93" customWidth="1"/>
    <col min="11" max="15" width="18" style="93" hidden="1" customWidth="1" outlineLevel="1"/>
    <col min="16" max="16" width="18" style="93" customWidth="1" collapsed="1"/>
    <col min="17" max="17" width="9.5703125" style="94" customWidth="1"/>
    <col min="18" max="18" width="9.5703125" style="95" customWidth="1"/>
    <col min="19" max="19" width="53.5703125" style="96" bestFit="1" customWidth="1"/>
    <col min="20" max="20" width="11.42578125" style="102"/>
    <col min="21" max="21" width="0" style="2" hidden="1" customWidth="1" outlineLevel="1"/>
    <col min="22" max="22" width="11.42578125" style="102" collapsed="1"/>
    <col min="23" max="38" width="11.42578125" style="102"/>
    <col min="39" max="16384" width="11.42578125" style="49"/>
  </cols>
  <sheetData>
    <row r="1" spans="1:38" s="102" customFormat="1" ht="24" thickBot="1" x14ac:dyDescent="0.35">
      <c r="B1" s="646" t="str">
        <f>'Übersicht &amp; Anleitung'!B1:F1</f>
        <v>Der "Ewige Suche"-Crowdfunding-Guide       von       Hinter dem Schwarzen Auge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8"/>
      <c r="U1" s="2"/>
      <c r="Z1" s="106"/>
      <c r="AA1" s="107"/>
      <c r="AB1" s="107"/>
      <c r="AC1" s="106"/>
      <c r="AD1" s="107"/>
      <c r="AE1" s="107"/>
      <c r="AF1" s="106"/>
    </row>
    <row r="2" spans="1:38" s="2" customFormat="1" ht="4.5" customHeight="1" thickBot="1" x14ac:dyDescent="0.35">
      <c r="A2" s="102"/>
      <c r="B2" s="102"/>
      <c r="C2" s="102"/>
      <c r="D2" s="119"/>
      <c r="E2" s="119"/>
      <c r="F2" s="102"/>
      <c r="G2" s="119"/>
      <c r="H2" s="120"/>
      <c r="I2" s="120"/>
      <c r="J2" s="120"/>
      <c r="K2" s="120"/>
      <c r="L2" s="120"/>
      <c r="M2" s="120"/>
      <c r="N2" s="120"/>
      <c r="O2" s="120"/>
      <c r="P2" s="120"/>
      <c r="Q2" s="102"/>
      <c r="R2" s="102"/>
      <c r="S2" s="102"/>
      <c r="T2" s="102"/>
      <c r="V2" s="102"/>
      <c r="W2" s="102"/>
      <c r="X2" s="102"/>
      <c r="Y2" s="102"/>
      <c r="Z2" s="106"/>
      <c r="AA2" s="107"/>
      <c r="AB2" s="107"/>
      <c r="AC2" s="106"/>
      <c r="AD2" s="107"/>
      <c r="AE2" s="107"/>
      <c r="AF2" s="106"/>
      <c r="AG2" s="102"/>
      <c r="AH2" s="102"/>
      <c r="AI2" s="102"/>
      <c r="AJ2" s="102"/>
      <c r="AK2" s="102"/>
      <c r="AL2" s="102"/>
    </row>
    <row r="3" spans="1:38" s="37" customFormat="1" ht="33.75" thickBot="1" x14ac:dyDescent="0.35">
      <c r="A3" s="103"/>
      <c r="B3" s="683" t="s">
        <v>219</v>
      </c>
      <c r="C3" s="684"/>
      <c r="D3" s="693"/>
      <c r="E3" s="693"/>
      <c r="F3" s="694"/>
      <c r="G3" s="701" t="s">
        <v>171</v>
      </c>
      <c r="H3" s="381" t="s">
        <v>297</v>
      </c>
      <c r="I3" s="381" t="s">
        <v>298</v>
      </c>
      <c r="J3" s="381" t="s">
        <v>299</v>
      </c>
      <c r="K3" s="381"/>
      <c r="L3" s="381"/>
      <c r="M3" s="381"/>
      <c r="N3" s="381"/>
      <c r="O3" s="381"/>
      <c r="P3" s="382" t="s">
        <v>300</v>
      </c>
      <c r="Q3" s="687" t="s">
        <v>27</v>
      </c>
      <c r="R3" s="687"/>
      <c r="S3" s="688"/>
      <c r="T3" s="103"/>
      <c r="V3" s="103"/>
      <c r="W3" s="103"/>
      <c r="X3" s="103"/>
      <c r="Y3" s="103"/>
      <c r="Z3" s="106"/>
      <c r="AA3" s="107"/>
      <c r="AB3" s="107"/>
      <c r="AC3" s="106"/>
      <c r="AD3" s="107"/>
      <c r="AE3" s="107"/>
      <c r="AF3" s="106"/>
      <c r="AG3" s="103"/>
      <c r="AH3" s="103"/>
      <c r="AI3" s="103"/>
      <c r="AJ3" s="103"/>
      <c r="AK3" s="103"/>
      <c r="AL3" s="103"/>
    </row>
    <row r="4" spans="1:38" s="2" customFormat="1" ht="33.75" customHeight="1" x14ac:dyDescent="0.3">
      <c r="A4" s="102"/>
      <c r="B4" s="685" t="s">
        <v>1</v>
      </c>
      <c r="C4" s="222"/>
      <c r="D4" s="693"/>
      <c r="E4" s="693"/>
      <c r="F4" s="694"/>
      <c r="G4" s="702"/>
      <c r="H4" s="259"/>
      <c r="I4" s="549" t="s">
        <v>344</v>
      </c>
      <c r="J4" s="259"/>
      <c r="K4" s="259"/>
      <c r="L4" s="259"/>
      <c r="M4" s="259"/>
      <c r="N4" s="259"/>
      <c r="O4" s="259"/>
      <c r="P4" s="260"/>
      <c r="Q4" s="689"/>
      <c r="R4" s="689"/>
      <c r="S4" s="690"/>
      <c r="T4" s="102"/>
      <c r="V4" s="102"/>
      <c r="W4" s="102"/>
      <c r="X4" s="102"/>
      <c r="Y4" s="102"/>
      <c r="Z4" s="106"/>
      <c r="AA4" s="107"/>
      <c r="AB4" s="107"/>
      <c r="AC4" s="106"/>
      <c r="AD4" s="107"/>
      <c r="AE4" s="107"/>
      <c r="AF4" s="106"/>
      <c r="AG4" s="102"/>
      <c r="AH4" s="102"/>
      <c r="AI4" s="102"/>
      <c r="AJ4" s="102"/>
      <c r="AK4" s="102"/>
      <c r="AL4" s="102"/>
    </row>
    <row r="5" spans="1:38" s="38" customFormat="1" ht="15.75" thickBot="1" x14ac:dyDescent="0.35">
      <c r="A5" s="104"/>
      <c r="B5" s="686"/>
      <c r="C5" s="226"/>
      <c r="D5" s="226"/>
      <c r="E5" s="226"/>
      <c r="F5" s="135" t="s">
        <v>28</v>
      </c>
      <c r="G5" s="242"/>
      <c r="H5" s="242">
        <f>'Übersicht &amp; Anleitung'!$T$15</f>
        <v>19</v>
      </c>
      <c r="I5" s="242">
        <f>'Übersicht &amp; Anleitung'!$T$16</f>
        <v>61</v>
      </c>
      <c r="J5" s="242">
        <f>'Übersicht &amp; Anleitung'!$T$17</f>
        <v>117</v>
      </c>
      <c r="K5" s="242">
        <f>'Übersicht &amp; Anleitung'!$T$18</f>
        <v>0</v>
      </c>
      <c r="L5" s="242">
        <f>'Übersicht &amp; Anleitung'!$T$19</f>
        <v>0</v>
      </c>
      <c r="M5" s="242">
        <f>'Übersicht &amp; Anleitung'!$T$20</f>
        <v>0</v>
      </c>
      <c r="N5" s="242">
        <f>'Übersicht &amp; Anleitung'!$T$21</f>
        <v>0</v>
      </c>
      <c r="O5" s="242">
        <f>'Übersicht &amp; Anleitung'!$T$22</f>
        <v>0</v>
      </c>
      <c r="P5" s="243">
        <f>'Übersicht &amp; Anleitung'!$T$23</f>
        <v>229</v>
      </c>
      <c r="Q5" s="691"/>
      <c r="R5" s="691"/>
      <c r="S5" s="692"/>
      <c r="T5" s="104"/>
      <c r="V5" s="104"/>
      <c r="W5" s="104"/>
      <c r="X5" s="104"/>
      <c r="Y5" s="104"/>
      <c r="Z5" s="106"/>
      <c r="AA5" s="107"/>
      <c r="AB5" s="107"/>
      <c r="AC5" s="106"/>
      <c r="AD5" s="107"/>
      <c r="AE5" s="107"/>
      <c r="AF5" s="106"/>
      <c r="AG5" s="104"/>
      <c r="AH5" s="104"/>
      <c r="AI5" s="104"/>
      <c r="AJ5" s="104"/>
      <c r="AK5" s="104"/>
      <c r="AL5" s="104"/>
    </row>
    <row r="6" spans="1:38" s="38" customFormat="1" ht="15.75" thickBot="1" x14ac:dyDescent="0.35">
      <c r="A6" s="104"/>
      <c r="B6" s="113"/>
      <c r="C6" s="258"/>
      <c r="D6" s="258"/>
      <c r="E6" s="258"/>
      <c r="F6" s="135" t="s">
        <v>101</v>
      </c>
      <c r="G6" s="161"/>
      <c r="H6" s="161">
        <f>H5/'Übersicht &amp; Anleitung'!$T$12</f>
        <v>4.4600938967136149E-2</v>
      </c>
      <c r="I6" s="161">
        <f>I5/'Übersicht &amp; Anleitung'!$T$12</f>
        <v>0.14319248826291081</v>
      </c>
      <c r="J6" s="161">
        <f>J5/'Übersicht &amp; Anleitung'!$T$12</f>
        <v>0.27464788732394368</v>
      </c>
      <c r="K6" s="161">
        <f>K5/'Übersicht &amp; Anleitung'!$T$12</f>
        <v>0</v>
      </c>
      <c r="L6" s="161">
        <f>L5/'Übersicht &amp; Anleitung'!$T$12</f>
        <v>0</v>
      </c>
      <c r="M6" s="161">
        <f>M5/'Übersicht &amp; Anleitung'!$T$12</f>
        <v>0</v>
      </c>
      <c r="N6" s="161">
        <f>N5/'Übersicht &amp; Anleitung'!$T$12</f>
        <v>0</v>
      </c>
      <c r="O6" s="161">
        <f>O5/'Übersicht &amp; Anleitung'!$T$12</f>
        <v>0</v>
      </c>
      <c r="P6" s="162">
        <f>P5/'Übersicht &amp; Anleitung'!$T$12</f>
        <v>0.53755868544600938</v>
      </c>
      <c r="Q6" s="104"/>
      <c r="R6" s="104"/>
      <c r="S6" s="104"/>
      <c r="T6" s="104"/>
      <c r="V6" s="104"/>
      <c r="W6" s="104"/>
      <c r="X6" s="104"/>
      <c r="Y6" s="104"/>
      <c r="Z6" s="106"/>
      <c r="AA6" s="107"/>
      <c r="AB6" s="107"/>
      <c r="AC6" s="106"/>
      <c r="AD6" s="107"/>
      <c r="AE6" s="107"/>
      <c r="AF6" s="106"/>
      <c r="AG6" s="104"/>
      <c r="AH6" s="104"/>
      <c r="AI6" s="104"/>
      <c r="AJ6" s="104"/>
      <c r="AK6" s="104"/>
      <c r="AL6" s="104"/>
    </row>
    <row r="7" spans="1:38" s="40" customFormat="1" ht="60" x14ac:dyDescent="0.3">
      <c r="A7" s="103"/>
      <c r="B7" s="323"/>
      <c r="C7" s="324" t="s">
        <v>169</v>
      </c>
      <c r="D7" s="325" t="s">
        <v>170</v>
      </c>
      <c r="E7" s="324" t="s">
        <v>115</v>
      </c>
      <c r="F7" s="326" t="s">
        <v>2</v>
      </c>
      <c r="G7" s="327" t="s">
        <v>147</v>
      </c>
      <c r="H7" s="328">
        <v>50</v>
      </c>
      <c r="I7" s="328">
        <v>75</v>
      </c>
      <c r="J7" s="329">
        <v>110</v>
      </c>
      <c r="K7" s="329"/>
      <c r="L7" s="329"/>
      <c r="M7" s="329"/>
      <c r="N7" s="329"/>
      <c r="O7" s="330"/>
      <c r="P7" s="330">
        <v>150</v>
      </c>
      <c r="Q7" s="331" t="s">
        <v>11</v>
      </c>
      <c r="R7" s="136" t="s">
        <v>3</v>
      </c>
      <c r="S7" s="155" t="s">
        <v>52</v>
      </c>
      <c r="T7" s="103"/>
      <c r="U7" s="37"/>
      <c r="V7" s="103"/>
      <c r="W7" s="103"/>
      <c r="X7" s="103"/>
      <c r="Y7" s="103"/>
      <c r="Z7" s="106"/>
      <c r="AA7" s="107"/>
      <c r="AB7" s="107"/>
      <c r="AC7" s="106"/>
      <c r="AD7" s="107"/>
      <c r="AE7" s="107"/>
      <c r="AF7" s="106"/>
      <c r="AG7" s="103"/>
      <c r="AH7" s="103"/>
      <c r="AI7" s="103"/>
      <c r="AJ7" s="103"/>
      <c r="AK7" s="103"/>
      <c r="AL7" s="103"/>
    </row>
    <row r="8" spans="1:38" ht="18" x14ac:dyDescent="0.3">
      <c r="B8" s="100"/>
      <c r="C8" s="184" t="s">
        <v>315</v>
      </c>
      <c r="D8" s="186" t="s">
        <v>334</v>
      </c>
      <c r="E8" s="186" t="s">
        <v>208</v>
      </c>
      <c r="F8" s="45" t="s">
        <v>316</v>
      </c>
      <c r="G8" s="375" t="s">
        <v>95</v>
      </c>
      <c r="H8" s="99" t="s">
        <v>4</v>
      </c>
      <c r="I8" s="375" t="s">
        <v>92</v>
      </c>
      <c r="J8" s="99" t="s">
        <v>4</v>
      </c>
      <c r="K8" s="376"/>
      <c r="L8" s="375"/>
      <c r="M8" s="375"/>
      <c r="N8" s="376"/>
      <c r="O8" s="376"/>
      <c r="P8" s="99" t="s">
        <v>4</v>
      </c>
      <c r="Q8" s="366">
        <v>50</v>
      </c>
      <c r="R8" s="47">
        <v>49.95</v>
      </c>
      <c r="S8" s="295"/>
      <c r="U8" s="553">
        <f>R8*0.6</f>
        <v>29.97</v>
      </c>
      <c r="Z8" s="106"/>
      <c r="AA8" s="107"/>
      <c r="AB8" s="107"/>
      <c r="AC8" s="106"/>
      <c r="AD8" s="107"/>
      <c r="AE8" s="107"/>
      <c r="AF8" s="106"/>
    </row>
    <row r="9" spans="1:38" s="51" customFormat="1" ht="18" customHeight="1" x14ac:dyDescent="0.3">
      <c r="A9" s="106"/>
      <c r="B9" s="101"/>
      <c r="C9" s="193" t="s">
        <v>323</v>
      </c>
      <c r="D9" s="263" t="s">
        <v>117</v>
      </c>
      <c r="E9" s="264" t="s">
        <v>102</v>
      </c>
      <c r="F9" s="265" t="s">
        <v>212</v>
      </c>
      <c r="G9" s="377" t="s">
        <v>102</v>
      </c>
      <c r="H9" s="377" t="s">
        <v>102</v>
      </c>
      <c r="I9" s="377" t="s">
        <v>102</v>
      </c>
      <c r="J9" s="377" t="s">
        <v>102</v>
      </c>
      <c r="K9" s="377"/>
      <c r="L9" s="377"/>
      <c r="M9" s="377"/>
      <c r="N9" s="376"/>
      <c r="O9" s="377"/>
      <c r="P9" s="377" t="s">
        <v>102</v>
      </c>
      <c r="Q9" s="367" t="s">
        <v>5</v>
      </c>
      <c r="R9" s="266" t="s">
        <v>5</v>
      </c>
      <c r="S9" s="267" t="s">
        <v>340</v>
      </c>
      <c r="T9" s="106"/>
      <c r="U9" s="553" t="e">
        <f t="shared" ref="U9:U24" si="0">R9*0.6</f>
        <v>#VALUE!</v>
      </c>
      <c r="V9" s="106"/>
      <c r="W9" s="106"/>
      <c r="X9" s="106"/>
      <c r="Y9" s="106"/>
      <c r="Z9" s="106"/>
      <c r="AA9" s="107"/>
      <c r="AB9" s="107"/>
      <c r="AC9" s="106"/>
      <c r="AD9" s="107"/>
      <c r="AE9" s="107"/>
      <c r="AF9" s="106"/>
      <c r="AG9" s="106"/>
      <c r="AH9" s="106"/>
      <c r="AI9" s="106"/>
      <c r="AJ9" s="106"/>
      <c r="AK9" s="106"/>
      <c r="AL9" s="106"/>
    </row>
    <row r="10" spans="1:38" s="51" customFormat="1" ht="18" x14ac:dyDescent="0.3">
      <c r="A10" s="106"/>
      <c r="B10" s="101"/>
      <c r="C10" s="193" t="s">
        <v>325</v>
      </c>
      <c r="D10" s="263" t="s">
        <v>117</v>
      </c>
      <c r="E10" s="264" t="s">
        <v>102</v>
      </c>
      <c r="F10" s="265" t="s">
        <v>212</v>
      </c>
      <c r="G10" s="377" t="s">
        <v>102</v>
      </c>
      <c r="H10" s="377" t="s">
        <v>102</v>
      </c>
      <c r="I10" s="377" t="s">
        <v>102</v>
      </c>
      <c r="J10" s="377" t="s">
        <v>102</v>
      </c>
      <c r="K10" s="377"/>
      <c r="L10" s="377"/>
      <c r="M10" s="377"/>
      <c r="N10" s="376"/>
      <c r="O10" s="377"/>
      <c r="P10" s="377" t="s">
        <v>102</v>
      </c>
      <c r="Q10" s="367" t="s">
        <v>5</v>
      </c>
      <c r="R10" s="266" t="s">
        <v>5</v>
      </c>
      <c r="S10" s="267" t="s">
        <v>340</v>
      </c>
      <c r="T10" s="106"/>
      <c r="U10" s="553" t="e">
        <f t="shared" si="0"/>
        <v>#VALUE!</v>
      </c>
      <c r="V10" s="106"/>
      <c r="W10" s="106"/>
      <c r="X10" s="106"/>
      <c r="Y10" s="106"/>
      <c r="Z10" s="106"/>
      <c r="AA10" s="107"/>
      <c r="AB10" s="107"/>
      <c r="AC10" s="106"/>
      <c r="AD10" s="107"/>
      <c r="AE10" s="107"/>
      <c r="AF10" s="106"/>
      <c r="AG10" s="106"/>
      <c r="AH10" s="106"/>
      <c r="AI10" s="106"/>
      <c r="AJ10" s="106"/>
      <c r="AK10" s="106"/>
      <c r="AL10" s="106"/>
    </row>
    <row r="11" spans="1:38" s="51" customFormat="1" ht="18" x14ac:dyDescent="0.3">
      <c r="A11" s="106"/>
      <c r="B11" s="101"/>
      <c r="C11" s="193" t="s">
        <v>432</v>
      </c>
      <c r="D11" s="263" t="s">
        <v>117</v>
      </c>
      <c r="E11" s="264" t="s">
        <v>102</v>
      </c>
      <c r="F11" s="265" t="s">
        <v>212</v>
      </c>
      <c r="G11" s="377" t="s">
        <v>102</v>
      </c>
      <c r="H11" s="377" t="s">
        <v>102</v>
      </c>
      <c r="I11" s="377" t="s">
        <v>102</v>
      </c>
      <c r="J11" s="377" t="s">
        <v>102</v>
      </c>
      <c r="K11" s="377"/>
      <c r="L11" s="377"/>
      <c r="M11" s="377"/>
      <c r="N11" s="376"/>
      <c r="O11" s="377"/>
      <c r="P11" s="377" t="s">
        <v>102</v>
      </c>
      <c r="Q11" s="367" t="s">
        <v>5</v>
      </c>
      <c r="R11" s="266" t="s">
        <v>5</v>
      </c>
      <c r="S11" s="267" t="s">
        <v>340</v>
      </c>
      <c r="T11" s="106"/>
      <c r="U11" s="553" t="e">
        <f t="shared" si="0"/>
        <v>#VALUE!</v>
      </c>
      <c r="V11" s="106"/>
      <c r="W11" s="106"/>
      <c r="X11" s="106"/>
      <c r="Y11" s="106"/>
      <c r="Z11" s="106"/>
      <c r="AA11" s="107"/>
      <c r="AB11" s="107"/>
      <c r="AC11" s="106"/>
      <c r="AD11" s="107"/>
      <c r="AE11" s="107"/>
      <c r="AF11" s="106"/>
      <c r="AG11" s="106"/>
      <c r="AH11" s="106"/>
      <c r="AI11" s="106"/>
      <c r="AJ11" s="106"/>
      <c r="AK11" s="106"/>
      <c r="AL11" s="106"/>
    </row>
    <row r="12" spans="1:38" s="40" customFormat="1" ht="18" hidden="1" customHeight="1" outlineLevel="1" x14ac:dyDescent="0.3">
      <c r="B12" s="194"/>
      <c r="C12" s="193"/>
      <c r="D12" s="263" t="s">
        <v>117</v>
      </c>
      <c r="E12" s="264" t="s">
        <v>102</v>
      </c>
      <c r="F12" s="265" t="s">
        <v>212</v>
      </c>
      <c r="G12" s="377" t="s">
        <v>102</v>
      </c>
      <c r="H12" s="377" t="s">
        <v>102</v>
      </c>
      <c r="I12" s="377" t="s">
        <v>102</v>
      </c>
      <c r="J12" s="377" t="s">
        <v>102</v>
      </c>
      <c r="K12" s="377"/>
      <c r="L12" s="377"/>
      <c r="M12" s="377"/>
      <c r="N12" s="376"/>
      <c r="O12" s="377"/>
      <c r="P12" s="377" t="s">
        <v>102</v>
      </c>
      <c r="Q12" s="367" t="s">
        <v>5</v>
      </c>
      <c r="R12" s="266" t="s">
        <v>5</v>
      </c>
      <c r="S12" s="267" t="s">
        <v>340</v>
      </c>
      <c r="T12" s="106"/>
      <c r="U12" s="553" t="e">
        <f t="shared" si="0"/>
        <v>#VALUE!</v>
      </c>
      <c r="V12" s="106"/>
      <c r="W12" s="106"/>
      <c r="X12" s="106"/>
      <c r="Y12" s="106"/>
      <c r="Z12" s="106"/>
      <c r="AA12" s="107"/>
      <c r="AB12" s="107"/>
      <c r="AC12" s="106"/>
      <c r="AD12" s="107"/>
      <c r="AE12" s="107"/>
      <c r="AF12" s="106"/>
    </row>
    <row r="13" spans="1:38" s="46" customFormat="1" ht="18" collapsed="1" x14ac:dyDescent="0.3">
      <c r="A13" s="105"/>
      <c r="B13" s="100"/>
      <c r="C13" s="44" t="s">
        <v>322</v>
      </c>
      <c r="D13" s="191" t="s">
        <v>334</v>
      </c>
      <c r="E13" s="186" t="s">
        <v>333</v>
      </c>
      <c r="F13" s="45" t="s">
        <v>327</v>
      </c>
      <c r="G13" s="375" t="s">
        <v>95</v>
      </c>
      <c r="H13" s="375" t="s">
        <v>92</v>
      </c>
      <c r="I13" s="375" t="s">
        <v>92</v>
      </c>
      <c r="J13" s="99" t="s">
        <v>4</v>
      </c>
      <c r="K13" s="375"/>
      <c r="L13" s="375"/>
      <c r="M13" s="375"/>
      <c r="N13" s="376"/>
      <c r="O13" s="376"/>
      <c r="P13" s="99" t="s">
        <v>4</v>
      </c>
      <c r="Q13" s="366">
        <v>20</v>
      </c>
      <c r="R13" s="47">
        <v>19.95</v>
      </c>
      <c r="S13" s="295" t="s">
        <v>161</v>
      </c>
      <c r="T13" s="105"/>
      <c r="U13" s="553">
        <f t="shared" si="0"/>
        <v>11.969999999999999</v>
      </c>
      <c r="V13" s="105"/>
      <c r="W13" s="105"/>
      <c r="X13" s="105"/>
      <c r="Y13" s="105"/>
      <c r="Z13" s="106"/>
      <c r="AA13" s="107"/>
      <c r="AB13" s="107"/>
      <c r="AC13" s="106"/>
      <c r="AD13" s="107"/>
      <c r="AE13" s="107"/>
      <c r="AF13" s="106"/>
      <c r="AG13" s="105"/>
      <c r="AH13" s="105"/>
      <c r="AI13" s="105"/>
      <c r="AJ13" s="105"/>
      <c r="AK13" s="105"/>
      <c r="AL13" s="105"/>
    </row>
    <row r="14" spans="1:38" s="51" customFormat="1" ht="18" customHeight="1" x14ac:dyDescent="0.3">
      <c r="A14" s="106"/>
      <c r="B14" s="101"/>
      <c r="C14" s="193" t="s">
        <v>324</v>
      </c>
      <c r="D14" s="263" t="s">
        <v>334</v>
      </c>
      <c r="E14" s="264" t="s">
        <v>102</v>
      </c>
      <c r="F14" s="265" t="s">
        <v>212</v>
      </c>
      <c r="G14" s="377" t="s">
        <v>102</v>
      </c>
      <c r="H14" s="377" t="s">
        <v>102</v>
      </c>
      <c r="I14" s="377" t="s">
        <v>102</v>
      </c>
      <c r="J14" s="377" t="s">
        <v>102</v>
      </c>
      <c r="K14" s="377"/>
      <c r="L14" s="377"/>
      <c r="M14" s="377"/>
      <c r="N14" s="376"/>
      <c r="O14" s="377"/>
      <c r="P14" s="377" t="s">
        <v>102</v>
      </c>
      <c r="Q14" s="367" t="s">
        <v>5</v>
      </c>
      <c r="R14" s="266" t="s">
        <v>5</v>
      </c>
      <c r="S14" s="267" t="s">
        <v>341</v>
      </c>
      <c r="T14" s="106"/>
      <c r="U14" s="553" t="e">
        <f t="shared" si="0"/>
        <v>#VALUE!</v>
      </c>
      <c r="V14" s="106"/>
      <c r="W14" s="106"/>
      <c r="X14" s="106"/>
      <c r="Y14" s="106"/>
      <c r="Z14" s="106"/>
      <c r="AA14" s="107"/>
      <c r="AB14" s="107"/>
      <c r="AC14" s="106"/>
      <c r="AD14" s="107"/>
      <c r="AE14" s="107"/>
      <c r="AF14" s="106"/>
      <c r="AG14" s="106"/>
      <c r="AH14" s="106"/>
      <c r="AI14" s="106"/>
      <c r="AJ14" s="106"/>
      <c r="AK14" s="106"/>
      <c r="AL14" s="106"/>
    </row>
    <row r="15" spans="1:38" s="51" customFormat="1" ht="18" customHeight="1" x14ac:dyDescent="0.3">
      <c r="A15" s="106"/>
      <c r="B15" s="101"/>
      <c r="C15" s="193" t="s">
        <v>439</v>
      </c>
      <c r="D15" s="263" t="s">
        <v>334</v>
      </c>
      <c r="E15" s="264" t="s">
        <v>102</v>
      </c>
      <c r="F15" s="265" t="s">
        <v>212</v>
      </c>
      <c r="G15" s="377" t="s">
        <v>102</v>
      </c>
      <c r="H15" s="377" t="s">
        <v>102</v>
      </c>
      <c r="I15" s="377" t="s">
        <v>102</v>
      </c>
      <c r="J15" s="377" t="s">
        <v>102</v>
      </c>
      <c r="K15" s="377"/>
      <c r="L15" s="377"/>
      <c r="M15" s="377"/>
      <c r="N15" s="376"/>
      <c r="O15" s="377"/>
      <c r="P15" s="377" t="s">
        <v>102</v>
      </c>
      <c r="Q15" s="367" t="s">
        <v>5</v>
      </c>
      <c r="R15" s="266" t="s">
        <v>5</v>
      </c>
      <c r="S15" s="267" t="s">
        <v>341</v>
      </c>
      <c r="T15" s="106"/>
      <c r="U15" s="553" t="e">
        <f t="shared" ref="U15" si="1">R15*0.6</f>
        <v>#VALUE!</v>
      </c>
      <c r="V15" s="106"/>
      <c r="W15" s="106"/>
      <c r="X15" s="106"/>
      <c r="Y15" s="106"/>
      <c r="Z15" s="106"/>
      <c r="AA15" s="107"/>
      <c r="AB15" s="107"/>
      <c r="AC15" s="106"/>
      <c r="AD15" s="107"/>
      <c r="AE15" s="107"/>
      <c r="AF15" s="106"/>
      <c r="AG15" s="106"/>
      <c r="AH15" s="106"/>
      <c r="AI15" s="106"/>
      <c r="AJ15" s="106"/>
      <c r="AK15" s="106"/>
      <c r="AL15" s="106"/>
    </row>
    <row r="16" spans="1:38" s="51" customFormat="1" ht="18" customHeight="1" x14ac:dyDescent="0.3">
      <c r="A16" s="106"/>
      <c r="B16" s="101"/>
      <c r="C16" s="193" t="s">
        <v>326</v>
      </c>
      <c r="D16" s="263" t="s">
        <v>334</v>
      </c>
      <c r="E16" s="264" t="s">
        <v>102</v>
      </c>
      <c r="F16" s="265" t="s">
        <v>212</v>
      </c>
      <c r="G16" s="377" t="s">
        <v>102</v>
      </c>
      <c r="H16" s="377" t="s">
        <v>102</v>
      </c>
      <c r="I16" s="377" t="s">
        <v>102</v>
      </c>
      <c r="J16" s="377" t="s">
        <v>102</v>
      </c>
      <c r="K16" s="377"/>
      <c r="L16" s="377"/>
      <c r="M16" s="377"/>
      <c r="N16" s="376"/>
      <c r="O16" s="377"/>
      <c r="P16" s="377" t="s">
        <v>102</v>
      </c>
      <c r="Q16" s="367" t="s">
        <v>5</v>
      </c>
      <c r="R16" s="266" t="s">
        <v>5</v>
      </c>
      <c r="S16" s="267" t="s">
        <v>341</v>
      </c>
      <c r="T16" s="106"/>
      <c r="U16" s="553" t="e">
        <f t="shared" si="0"/>
        <v>#VALUE!</v>
      </c>
      <c r="V16" s="106"/>
      <c r="W16" s="106"/>
      <c r="X16" s="106"/>
      <c r="Y16" s="106"/>
      <c r="Z16" s="106"/>
      <c r="AA16" s="107"/>
      <c r="AB16" s="107"/>
      <c r="AC16" s="106"/>
      <c r="AD16" s="107"/>
      <c r="AE16" s="107"/>
      <c r="AF16" s="106"/>
      <c r="AG16" s="106"/>
      <c r="AH16" s="106"/>
      <c r="AI16" s="106"/>
      <c r="AJ16" s="106"/>
      <c r="AK16" s="106"/>
      <c r="AL16" s="106"/>
    </row>
    <row r="17" spans="1:38" s="51" customFormat="1" ht="18" customHeight="1" x14ac:dyDescent="0.3">
      <c r="A17" s="106"/>
      <c r="B17" s="101"/>
      <c r="C17" s="193" t="s">
        <v>428</v>
      </c>
      <c r="D17" s="263" t="s">
        <v>334</v>
      </c>
      <c r="E17" s="264" t="s">
        <v>102</v>
      </c>
      <c r="F17" s="265" t="s">
        <v>212</v>
      </c>
      <c r="G17" s="377" t="s">
        <v>102</v>
      </c>
      <c r="H17" s="377" t="s">
        <v>102</v>
      </c>
      <c r="I17" s="377" t="s">
        <v>102</v>
      </c>
      <c r="J17" s="377" t="s">
        <v>102</v>
      </c>
      <c r="K17" s="377"/>
      <c r="L17" s="377"/>
      <c r="M17" s="377"/>
      <c r="N17" s="376"/>
      <c r="O17" s="377"/>
      <c r="P17" s="377" t="s">
        <v>102</v>
      </c>
      <c r="Q17" s="367" t="s">
        <v>5</v>
      </c>
      <c r="R17" s="266" t="s">
        <v>5</v>
      </c>
      <c r="S17" s="267" t="s">
        <v>341</v>
      </c>
      <c r="T17" s="106"/>
      <c r="U17" s="553" t="e">
        <f t="shared" si="0"/>
        <v>#VALUE!</v>
      </c>
      <c r="V17" s="106"/>
      <c r="W17" s="106"/>
      <c r="X17" s="106"/>
      <c r="Y17" s="106"/>
      <c r="Z17" s="106"/>
      <c r="AA17" s="107"/>
      <c r="AB17" s="107"/>
      <c r="AC17" s="106"/>
      <c r="AD17" s="107"/>
      <c r="AE17" s="107"/>
      <c r="AF17" s="106"/>
      <c r="AG17" s="106"/>
      <c r="AH17" s="106"/>
      <c r="AI17" s="106"/>
      <c r="AJ17" s="106"/>
      <c r="AK17" s="106"/>
      <c r="AL17" s="106"/>
    </row>
    <row r="18" spans="1:38" s="51" customFormat="1" ht="18" customHeight="1" x14ac:dyDescent="0.3">
      <c r="A18" s="106"/>
      <c r="B18" s="101"/>
      <c r="C18" s="193" t="s">
        <v>441</v>
      </c>
      <c r="D18" s="263" t="s">
        <v>334</v>
      </c>
      <c r="E18" s="264" t="s">
        <v>102</v>
      </c>
      <c r="F18" s="265" t="s">
        <v>212</v>
      </c>
      <c r="G18" s="377" t="s">
        <v>102</v>
      </c>
      <c r="H18" s="377" t="s">
        <v>102</v>
      </c>
      <c r="I18" s="377" t="s">
        <v>102</v>
      </c>
      <c r="J18" s="377" t="s">
        <v>102</v>
      </c>
      <c r="K18" s="377"/>
      <c r="L18" s="377"/>
      <c r="M18" s="377"/>
      <c r="N18" s="376"/>
      <c r="O18" s="377"/>
      <c r="P18" s="377" t="s">
        <v>102</v>
      </c>
      <c r="Q18" s="367" t="s">
        <v>5</v>
      </c>
      <c r="R18" s="266" t="s">
        <v>5</v>
      </c>
      <c r="S18" s="267" t="s">
        <v>341</v>
      </c>
      <c r="T18" s="106"/>
      <c r="U18" s="553" t="e">
        <f t="shared" ref="U18" si="2">R18*0.6</f>
        <v>#VALUE!</v>
      </c>
      <c r="V18" s="106"/>
      <c r="W18" s="106"/>
      <c r="X18" s="106"/>
      <c r="Y18" s="106"/>
      <c r="Z18" s="106"/>
      <c r="AA18" s="107"/>
      <c r="AB18" s="107"/>
      <c r="AC18" s="106"/>
      <c r="AD18" s="107"/>
      <c r="AE18" s="107"/>
      <c r="AF18" s="106"/>
      <c r="AG18" s="106"/>
      <c r="AH18" s="106"/>
      <c r="AI18" s="106"/>
      <c r="AJ18" s="106"/>
      <c r="AK18" s="106"/>
      <c r="AL18" s="106"/>
    </row>
    <row r="19" spans="1:38" s="51" customFormat="1" ht="18" customHeight="1" x14ac:dyDescent="0.3">
      <c r="A19" s="106"/>
      <c r="B19" s="101"/>
      <c r="C19" s="622" t="s">
        <v>444</v>
      </c>
      <c r="D19" s="623" t="s">
        <v>334</v>
      </c>
      <c r="E19" s="624" t="s">
        <v>102</v>
      </c>
      <c r="F19" s="625" t="s">
        <v>212</v>
      </c>
      <c r="G19" s="626" t="s">
        <v>102</v>
      </c>
      <c r="H19" s="626" t="s">
        <v>102</v>
      </c>
      <c r="I19" s="626" t="s">
        <v>102</v>
      </c>
      <c r="J19" s="626" t="s">
        <v>102</v>
      </c>
      <c r="K19" s="626"/>
      <c r="L19" s="626"/>
      <c r="M19" s="626"/>
      <c r="N19" s="627"/>
      <c r="O19" s="626"/>
      <c r="P19" s="626" t="s">
        <v>102</v>
      </c>
      <c r="Q19" s="628" t="s">
        <v>5</v>
      </c>
      <c r="R19" s="628" t="s">
        <v>5</v>
      </c>
      <c r="S19" s="629" t="s">
        <v>341</v>
      </c>
      <c r="T19" s="106"/>
      <c r="U19" s="553" t="e">
        <f t="shared" ref="U19" si="3">R19*0.6</f>
        <v>#VALUE!</v>
      </c>
      <c r="V19" s="106"/>
      <c r="W19" s="106"/>
      <c r="X19" s="106"/>
      <c r="Y19" s="106"/>
      <c r="Z19" s="106"/>
      <c r="AA19" s="107"/>
      <c r="AB19" s="107"/>
      <c r="AC19" s="106"/>
      <c r="AD19" s="107"/>
      <c r="AE19" s="107"/>
      <c r="AF19" s="106"/>
      <c r="AG19" s="106"/>
      <c r="AH19" s="106"/>
      <c r="AI19" s="106"/>
      <c r="AJ19" s="106"/>
      <c r="AK19" s="106"/>
      <c r="AL19" s="106"/>
    </row>
    <row r="20" spans="1:38" s="46" customFormat="1" ht="18" x14ac:dyDescent="0.3">
      <c r="A20" s="105"/>
      <c r="B20" s="100"/>
      <c r="C20" s="44" t="s">
        <v>319</v>
      </c>
      <c r="D20" s="186" t="s">
        <v>334</v>
      </c>
      <c r="E20" s="186" t="s">
        <v>328</v>
      </c>
      <c r="F20" s="45" t="s">
        <v>327</v>
      </c>
      <c r="G20" s="375" t="s">
        <v>95</v>
      </c>
      <c r="H20" s="375" t="s">
        <v>92</v>
      </c>
      <c r="I20" s="375" t="s">
        <v>92</v>
      </c>
      <c r="J20" s="99" t="s">
        <v>4</v>
      </c>
      <c r="K20" s="376"/>
      <c r="L20" s="375"/>
      <c r="M20" s="375"/>
      <c r="N20" s="376"/>
      <c r="O20" s="376"/>
      <c r="P20" s="99" t="s">
        <v>4</v>
      </c>
      <c r="Q20" s="366">
        <v>20</v>
      </c>
      <c r="R20" s="47">
        <v>19.95</v>
      </c>
      <c r="S20" s="295"/>
      <c r="T20" s="105"/>
      <c r="U20" s="553">
        <f t="shared" si="0"/>
        <v>11.969999999999999</v>
      </c>
      <c r="V20" s="105"/>
      <c r="W20" s="105"/>
      <c r="X20" s="105"/>
      <c r="Y20" s="105"/>
      <c r="Z20" s="106"/>
      <c r="AA20" s="107"/>
      <c r="AB20" s="107"/>
      <c r="AC20" s="106"/>
      <c r="AD20" s="107"/>
      <c r="AE20" s="107"/>
      <c r="AF20" s="106"/>
      <c r="AG20" s="105"/>
      <c r="AH20" s="105"/>
      <c r="AI20" s="105"/>
      <c r="AJ20" s="105"/>
      <c r="AK20" s="105"/>
      <c r="AL20" s="105"/>
    </row>
    <row r="21" spans="1:38" ht="18" x14ac:dyDescent="0.3">
      <c r="B21" s="100"/>
      <c r="C21" s="184" t="s">
        <v>317</v>
      </c>
      <c r="D21" s="186" t="s">
        <v>334</v>
      </c>
      <c r="E21" s="186" t="s">
        <v>328</v>
      </c>
      <c r="F21" s="45" t="s">
        <v>327</v>
      </c>
      <c r="G21" s="375" t="s">
        <v>95</v>
      </c>
      <c r="H21" s="375" t="s">
        <v>92</v>
      </c>
      <c r="I21" s="375" t="s">
        <v>92</v>
      </c>
      <c r="J21" s="99" t="s">
        <v>4</v>
      </c>
      <c r="K21" s="375"/>
      <c r="L21" s="375"/>
      <c r="M21" s="375"/>
      <c r="N21" s="376"/>
      <c r="O21" s="375"/>
      <c r="P21" s="99" t="s">
        <v>4</v>
      </c>
      <c r="Q21" s="366">
        <v>20</v>
      </c>
      <c r="R21" s="47">
        <v>19.95</v>
      </c>
      <c r="S21" s="295"/>
      <c r="U21" s="553">
        <f t="shared" si="0"/>
        <v>11.969999999999999</v>
      </c>
      <c r="Z21" s="106"/>
      <c r="AA21" s="107"/>
      <c r="AB21" s="107"/>
      <c r="AC21" s="106"/>
      <c r="AD21" s="107"/>
      <c r="AE21" s="107"/>
      <c r="AF21" s="106"/>
    </row>
    <row r="22" spans="1:38" s="46" customFormat="1" ht="18" x14ac:dyDescent="0.3">
      <c r="A22" s="105"/>
      <c r="B22" s="100"/>
      <c r="C22" s="44" t="s">
        <v>318</v>
      </c>
      <c r="D22" s="186" t="s">
        <v>334</v>
      </c>
      <c r="E22" s="186" t="s">
        <v>328</v>
      </c>
      <c r="F22" s="45" t="s">
        <v>327</v>
      </c>
      <c r="G22" s="375" t="s">
        <v>95</v>
      </c>
      <c r="H22" s="375" t="s">
        <v>92</v>
      </c>
      <c r="I22" s="375" t="s">
        <v>92</v>
      </c>
      <c r="J22" s="99" t="s">
        <v>4</v>
      </c>
      <c r="K22" s="376"/>
      <c r="L22" s="375"/>
      <c r="M22" s="375"/>
      <c r="N22" s="376"/>
      <c r="O22" s="376"/>
      <c r="P22" s="99" t="s">
        <v>4</v>
      </c>
      <c r="Q22" s="366">
        <v>20</v>
      </c>
      <c r="R22" s="47">
        <v>19.95</v>
      </c>
      <c r="S22" s="295"/>
      <c r="T22" s="105"/>
      <c r="U22" s="553">
        <f t="shared" si="0"/>
        <v>11.969999999999999</v>
      </c>
      <c r="V22" s="105"/>
      <c r="W22" s="105"/>
      <c r="X22" s="105"/>
      <c r="Y22" s="105"/>
      <c r="Z22" s="106"/>
      <c r="AA22" s="107"/>
      <c r="AB22" s="107"/>
      <c r="AC22" s="106"/>
      <c r="AD22" s="107"/>
      <c r="AE22" s="107"/>
      <c r="AF22" s="106"/>
      <c r="AG22" s="105"/>
      <c r="AH22" s="105"/>
      <c r="AI22" s="105"/>
      <c r="AJ22" s="105"/>
      <c r="AK22" s="105"/>
      <c r="AL22" s="105"/>
    </row>
    <row r="23" spans="1:38" s="46" customFormat="1" ht="18" x14ac:dyDescent="0.3">
      <c r="A23" s="105"/>
      <c r="B23" s="100"/>
      <c r="C23" s="44" t="s">
        <v>320</v>
      </c>
      <c r="D23" s="186" t="s">
        <v>117</v>
      </c>
      <c r="E23" s="186" t="s">
        <v>329</v>
      </c>
      <c r="F23" s="45" t="s">
        <v>330</v>
      </c>
      <c r="G23" s="375" t="s">
        <v>95</v>
      </c>
      <c r="H23" s="375" t="s">
        <v>92</v>
      </c>
      <c r="I23" s="375" t="s">
        <v>92</v>
      </c>
      <c r="J23" s="375" t="s">
        <v>92</v>
      </c>
      <c r="K23" s="376"/>
      <c r="L23" s="375"/>
      <c r="M23" s="375"/>
      <c r="N23" s="376"/>
      <c r="O23" s="376"/>
      <c r="P23" s="99" t="s">
        <v>4</v>
      </c>
      <c r="Q23" s="366">
        <v>20</v>
      </c>
      <c r="R23" s="47">
        <v>19.95</v>
      </c>
      <c r="S23" s="295"/>
      <c r="T23" s="105"/>
      <c r="U23" s="553">
        <f t="shared" si="0"/>
        <v>11.969999999999999</v>
      </c>
      <c r="V23" s="105"/>
      <c r="W23" s="105"/>
      <c r="X23" s="105"/>
      <c r="Y23" s="105"/>
      <c r="Z23" s="106"/>
      <c r="AA23" s="107"/>
      <c r="AB23" s="107"/>
      <c r="AC23" s="106"/>
      <c r="AD23" s="107"/>
      <c r="AE23" s="107"/>
      <c r="AF23" s="106"/>
      <c r="AG23" s="105"/>
      <c r="AH23" s="105"/>
      <c r="AI23" s="105"/>
      <c r="AJ23" s="105"/>
      <c r="AK23" s="105"/>
      <c r="AL23" s="105"/>
    </row>
    <row r="24" spans="1:38" s="46" customFormat="1" ht="18" x14ac:dyDescent="0.3">
      <c r="A24" s="105"/>
      <c r="B24" s="100"/>
      <c r="C24" s="44" t="s">
        <v>321</v>
      </c>
      <c r="D24" s="186" t="s">
        <v>117</v>
      </c>
      <c r="E24" s="186" t="s">
        <v>331</v>
      </c>
      <c r="F24" s="45" t="s">
        <v>332</v>
      </c>
      <c r="G24" s="375" t="s">
        <v>95</v>
      </c>
      <c r="H24" s="375" t="s">
        <v>92</v>
      </c>
      <c r="I24" s="375" t="s">
        <v>92</v>
      </c>
      <c r="J24" s="375" t="s">
        <v>92</v>
      </c>
      <c r="K24" s="376"/>
      <c r="L24" s="375"/>
      <c r="M24" s="375"/>
      <c r="N24" s="376"/>
      <c r="O24" s="376"/>
      <c r="P24" s="99" t="s">
        <v>4</v>
      </c>
      <c r="Q24" s="366">
        <v>25</v>
      </c>
      <c r="R24" s="47">
        <v>24.95</v>
      </c>
      <c r="S24" s="295" t="s">
        <v>161</v>
      </c>
      <c r="T24" s="105"/>
      <c r="U24" s="553">
        <f t="shared" si="0"/>
        <v>14.969999999999999</v>
      </c>
      <c r="V24" s="105"/>
      <c r="W24" s="105"/>
      <c r="X24" s="105"/>
      <c r="Y24" s="105"/>
      <c r="Z24" s="106"/>
      <c r="AA24" s="107"/>
      <c r="AB24" s="107"/>
      <c r="AC24" s="106"/>
      <c r="AD24" s="107"/>
      <c r="AE24" s="107"/>
      <c r="AF24" s="106"/>
      <c r="AG24" s="105"/>
      <c r="AH24" s="105"/>
      <c r="AI24" s="105"/>
      <c r="AJ24" s="105"/>
      <c r="AK24" s="105"/>
      <c r="AL24" s="105"/>
    </row>
    <row r="25" spans="1:38" s="40" customFormat="1" ht="17.25" x14ac:dyDescent="0.3">
      <c r="A25" s="103"/>
      <c r="B25" s="169"/>
      <c r="C25" s="170" t="s">
        <v>381</v>
      </c>
      <c r="D25" s="192" t="s">
        <v>162</v>
      </c>
      <c r="E25" s="192"/>
      <c r="F25" s="171" t="s">
        <v>116</v>
      </c>
      <c r="G25" s="378" t="s">
        <v>95</v>
      </c>
      <c r="H25" s="378" t="s">
        <v>92</v>
      </c>
      <c r="I25" s="378" t="s">
        <v>92</v>
      </c>
      <c r="J25" s="378" t="s">
        <v>92</v>
      </c>
      <c r="K25" s="378"/>
      <c r="L25" s="378"/>
      <c r="M25" s="378"/>
      <c r="N25" s="378"/>
      <c r="O25" s="378"/>
      <c r="P25" s="378" t="s">
        <v>92</v>
      </c>
      <c r="Q25" s="368">
        <v>29.95</v>
      </c>
      <c r="R25" s="172">
        <v>29.95</v>
      </c>
      <c r="S25" s="173" t="s">
        <v>163</v>
      </c>
      <c r="T25" s="106"/>
      <c r="U25" s="555">
        <f>1-Q25/R25</f>
        <v>0</v>
      </c>
      <c r="V25" s="106"/>
      <c r="W25" s="106"/>
      <c r="X25" s="106"/>
      <c r="Y25" s="106"/>
      <c r="Z25" s="106"/>
      <c r="AA25" s="107"/>
      <c r="AB25" s="107"/>
      <c r="AC25" s="106"/>
      <c r="AD25" s="107"/>
      <c r="AE25" s="107"/>
      <c r="AF25" s="106"/>
      <c r="AG25" s="103"/>
      <c r="AH25" s="103"/>
      <c r="AI25" s="103"/>
      <c r="AJ25" s="103"/>
      <c r="AK25" s="103"/>
      <c r="AL25" s="103"/>
    </row>
    <row r="26" spans="1:38" s="40" customFormat="1" ht="17.25" x14ac:dyDescent="0.3">
      <c r="A26" s="103"/>
      <c r="B26" s="169"/>
      <c r="C26" s="170" t="s">
        <v>394</v>
      </c>
      <c r="D26" s="192" t="s">
        <v>162</v>
      </c>
      <c r="E26" s="192"/>
      <c r="F26" s="171" t="s">
        <v>392</v>
      </c>
      <c r="G26" s="378" t="s">
        <v>95</v>
      </c>
      <c r="H26" s="378" t="s">
        <v>92</v>
      </c>
      <c r="I26" s="378" t="s">
        <v>92</v>
      </c>
      <c r="J26" s="378" t="s">
        <v>92</v>
      </c>
      <c r="K26" s="378"/>
      <c r="L26" s="378"/>
      <c r="M26" s="378"/>
      <c r="N26" s="378"/>
      <c r="O26" s="378"/>
      <c r="P26" s="378" t="s">
        <v>92</v>
      </c>
      <c r="Q26" s="368">
        <v>129.94999999999999</v>
      </c>
      <c r="R26" s="172">
        <v>129.94999999999999</v>
      </c>
      <c r="S26" s="173" t="s">
        <v>163</v>
      </c>
      <c r="T26" s="106"/>
      <c r="U26" s="555">
        <f>1-Q26/R26</f>
        <v>0</v>
      </c>
      <c r="V26" s="106"/>
      <c r="W26" s="106"/>
      <c r="X26" s="106"/>
      <c r="Y26" s="106"/>
      <c r="Z26" s="106"/>
      <c r="AA26" s="107"/>
      <c r="AB26" s="107"/>
      <c r="AC26" s="106"/>
      <c r="AD26" s="107"/>
      <c r="AE26" s="107"/>
      <c r="AF26" s="106"/>
      <c r="AG26" s="103"/>
      <c r="AH26" s="103"/>
      <c r="AI26" s="103"/>
      <c r="AJ26" s="103"/>
      <c r="AK26" s="103"/>
      <c r="AL26" s="103"/>
    </row>
    <row r="27" spans="1:38" s="40" customFormat="1" ht="17.25" x14ac:dyDescent="0.3">
      <c r="A27" s="103"/>
      <c r="B27" s="169"/>
      <c r="C27" s="552" t="s">
        <v>395</v>
      </c>
      <c r="D27" s="192" t="s">
        <v>162</v>
      </c>
      <c r="E27" s="192"/>
      <c r="F27" s="171" t="s">
        <v>391</v>
      </c>
      <c r="G27" s="378" t="s">
        <v>95</v>
      </c>
      <c r="H27" s="378" t="s">
        <v>92</v>
      </c>
      <c r="I27" s="378" t="s">
        <v>92</v>
      </c>
      <c r="J27" s="378" t="s">
        <v>92</v>
      </c>
      <c r="K27" s="378"/>
      <c r="L27" s="378"/>
      <c r="M27" s="378"/>
      <c r="N27" s="378"/>
      <c r="O27" s="378"/>
      <c r="P27" s="378" t="s">
        <v>92</v>
      </c>
      <c r="Q27" s="368">
        <v>49.95</v>
      </c>
      <c r="R27" s="172">
        <v>49.95</v>
      </c>
      <c r="S27" s="173" t="s">
        <v>163</v>
      </c>
      <c r="T27" s="106"/>
      <c r="U27" s="555">
        <f>1-Q27/R27</f>
        <v>0</v>
      </c>
      <c r="V27" s="106"/>
      <c r="W27" s="106"/>
      <c r="X27" s="106"/>
      <c r="Y27" s="106"/>
      <c r="Z27" s="106"/>
      <c r="AA27" s="107"/>
      <c r="AB27" s="107"/>
      <c r="AC27" s="106"/>
      <c r="AD27" s="107"/>
      <c r="AE27" s="107"/>
      <c r="AF27" s="106"/>
      <c r="AG27" s="103"/>
      <c r="AH27" s="103"/>
      <c r="AI27" s="103"/>
      <c r="AJ27" s="103"/>
      <c r="AK27" s="103"/>
      <c r="AL27" s="103"/>
    </row>
    <row r="28" spans="1:38" s="40" customFormat="1" ht="17.25" x14ac:dyDescent="0.3">
      <c r="A28" s="103"/>
      <c r="B28" s="169"/>
      <c r="C28" s="170" t="s">
        <v>362</v>
      </c>
      <c r="D28" s="192" t="s">
        <v>162</v>
      </c>
      <c r="E28" s="192"/>
      <c r="F28" s="171" t="s">
        <v>391</v>
      </c>
      <c r="G28" s="378" t="s">
        <v>95</v>
      </c>
      <c r="H28" s="378" t="s">
        <v>92</v>
      </c>
      <c r="I28" s="378" t="s">
        <v>92</v>
      </c>
      <c r="J28" s="378" t="s">
        <v>92</v>
      </c>
      <c r="K28" s="378"/>
      <c r="L28" s="378"/>
      <c r="M28" s="378"/>
      <c r="N28" s="378"/>
      <c r="O28" s="378"/>
      <c r="P28" s="378" t="s">
        <v>92</v>
      </c>
      <c r="Q28" s="368">
        <v>39.950000000000003</v>
      </c>
      <c r="R28" s="172">
        <v>39.950000000000003</v>
      </c>
      <c r="S28" s="173" t="s">
        <v>163</v>
      </c>
      <c r="T28" s="106"/>
      <c r="U28" s="555">
        <f>1-Q28/R28</f>
        <v>0</v>
      </c>
      <c r="V28" s="106"/>
      <c r="W28" s="106"/>
      <c r="X28" s="106"/>
      <c r="Y28" s="106"/>
      <c r="Z28" s="106"/>
      <c r="AA28" s="107"/>
      <c r="AB28" s="107"/>
      <c r="AC28" s="106"/>
      <c r="AD28" s="107"/>
      <c r="AE28" s="107"/>
      <c r="AF28" s="106"/>
      <c r="AG28" s="103"/>
      <c r="AH28" s="103"/>
      <c r="AI28" s="103"/>
      <c r="AJ28" s="103"/>
      <c r="AK28" s="103"/>
      <c r="AL28" s="103"/>
    </row>
    <row r="29" spans="1:38" s="40" customFormat="1" ht="17.25" x14ac:dyDescent="0.3">
      <c r="A29" s="103"/>
      <c r="B29" s="169"/>
      <c r="C29" s="170" t="s">
        <v>363</v>
      </c>
      <c r="D29" s="192" t="s">
        <v>162</v>
      </c>
      <c r="E29" s="192"/>
      <c r="F29" s="171" t="s">
        <v>391</v>
      </c>
      <c r="G29" s="378" t="s">
        <v>95</v>
      </c>
      <c r="H29" s="378" t="s">
        <v>92</v>
      </c>
      <c r="I29" s="378" t="s">
        <v>92</v>
      </c>
      <c r="J29" s="378" t="s">
        <v>92</v>
      </c>
      <c r="K29" s="378"/>
      <c r="L29" s="378"/>
      <c r="M29" s="378"/>
      <c r="N29" s="378"/>
      <c r="O29" s="378"/>
      <c r="P29" s="378" t="s">
        <v>92</v>
      </c>
      <c r="Q29" s="368">
        <v>39.950000000000003</v>
      </c>
      <c r="R29" s="172">
        <v>39.950000000000003</v>
      </c>
      <c r="S29" s="173" t="s">
        <v>163</v>
      </c>
      <c r="T29" s="106"/>
      <c r="U29" s="555">
        <f>1-Q29/R29</f>
        <v>0</v>
      </c>
      <c r="V29" s="106"/>
      <c r="W29" s="106"/>
      <c r="X29" s="106"/>
      <c r="Y29" s="106"/>
      <c r="Z29" s="106"/>
      <c r="AA29" s="107"/>
      <c r="AB29" s="107"/>
      <c r="AC29" s="106"/>
      <c r="AD29" s="107"/>
      <c r="AE29" s="107"/>
      <c r="AF29" s="106"/>
      <c r="AG29" s="103"/>
      <c r="AH29" s="103"/>
      <c r="AI29" s="103"/>
      <c r="AJ29" s="103"/>
      <c r="AK29" s="103"/>
      <c r="AL29" s="103"/>
    </row>
    <row r="30" spans="1:38" s="40" customFormat="1" ht="17.25" x14ac:dyDescent="0.3">
      <c r="A30" s="103"/>
      <c r="B30" s="169"/>
      <c r="C30" s="170" t="s">
        <v>349</v>
      </c>
      <c r="D30" s="192" t="s">
        <v>377</v>
      </c>
      <c r="E30" s="192"/>
      <c r="F30" s="171" t="s">
        <v>382</v>
      </c>
      <c r="G30" s="378" t="s">
        <v>95</v>
      </c>
      <c r="H30" s="378" t="s">
        <v>92</v>
      </c>
      <c r="I30" s="378" t="s">
        <v>92</v>
      </c>
      <c r="J30" s="378" t="s">
        <v>92</v>
      </c>
      <c r="K30" s="378"/>
      <c r="L30" s="378"/>
      <c r="M30" s="378"/>
      <c r="N30" s="378"/>
      <c r="O30" s="378"/>
      <c r="P30" s="378" t="s">
        <v>92</v>
      </c>
      <c r="Q30" s="368">
        <v>7.95</v>
      </c>
      <c r="R30" s="172">
        <v>7.95</v>
      </c>
      <c r="S30" s="173" t="s">
        <v>163</v>
      </c>
      <c r="T30" s="106"/>
      <c r="U30" s="555">
        <f t="shared" ref="U30:U46" si="4">1-Q30/R30</f>
        <v>0</v>
      </c>
      <c r="V30" s="106"/>
      <c r="W30" s="106"/>
      <c r="X30" s="106"/>
      <c r="Y30" s="106"/>
      <c r="Z30" s="106"/>
      <c r="AA30" s="107"/>
      <c r="AB30" s="107"/>
      <c r="AC30" s="106"/>
      <c r="AD30" s="107"/>
      <c r="AE30" s="107"/>
      <c r="AF30" s="106"/>
      <c r="AG30" s="103"/>
      <c r="AH30" s="103"/>
      <c r="AI30" s="103"/>
      <c r="AJ30" s="103"/>
      <c r="AK30" s="103"/>
      <c r="AL30" s="103"/>
    </row>
    <row r="31" spans="1:38" s="40" customFormat="1" ht="17.25" x14ac:dyDescent="0.3">
      <c r="A31" s="103"/>
      <c r="B31" s="169"/>
      <c r="C31" s="170" t="s">
        <v>360</v>
      </c>
      <c r="D31" s="192" t="s">
        <v>334</v>
      </c>
      <c r="E31" s="187"/>
      <c r="F31" s="171" t="s">
        <v>387</v>
      </c>
      <c r="G31" s="378" t="s">
        <v>95</v>
      </c>
      <c r="H31" s="378" t="s">
        <v>92</v>
      </c>
      <c r="I31" s="378" t="s">
        <v>92</v>
      </c>
      <c r="J31" s="378" t="s">
        <v>92</v>
      </c>
      <c r="K31" s="378"/>
      <c r="L31" s="378"/>
      <c r="M31" s="378"/>
      <c r="N31" s="378"/>
      <c r="O31" s="378"/>
      <c r="P31" s="378" t="s">
        <v>92</v>
      </c>
      <c r="Q31" s="368">
        <v>19.95</v>
      </c>
      <c r="R31" s="172">
        <v>19.95</v>
      </c>
      <c r="S31" s="173" t="s">
        <v>163</v>
      </c>
      <c r="T31" s="106"/>
      <c r="U31" s="555">
        <f t="shared" ref="U31:U43" si="5">1-Q31/R31</f>
        <v>0</v>
      </c>
      <c r="V31" s="106"/>
      <c r="W31" s="106"/>
      <c r="X31" s="106"/>
      <c r="Y31" s="106"/>
      <c r="Z31" s="106"/>
      <c r="AA31" s="107"/>
      <c r="AB31" s="107"/>
      <c r="AC31" s="106"/>
      <c r="AD31" s="107"/>
      <c r="AE31" s="107"/>
      <c r="AF31" s="106"/>
      <c r="AG31" s="103"/>
      <c r="AH31" s="103"/>
      <c r="AI31" s="103"/>
      <c r="AJ31" s="103"/>
      <c r="AK31" s="103"/>
      <c r="AL31" s="103"/>
    </row>
    <row r="32" spans="1:38" s="40" customFormat="1" ht="17.25" x14ac:dyDescent="0.3">
      <c r="A32" s="103"/>
      <c r="B32" s="169"/>
      <c r="C32" s="170" t="s">
        <v>352</v>
      </c>
      <c r="D32" s="192" t="s">
        <v>334</v>
      </c>
      <c r="E32" s="192"/>
      <c r="F32" s="171" t="s">
        <v>387</v>
      </c>
      <c r="G32" s="378" t="s">
        <v>95</v>
      </c>
      <c r="H32" s="378" t="s">
        <v>92</v>
      </c>
      <c r="I32" s="378" t="s">
        <v>92</v>
      </c>
      <c r="J32" s="378" t="s">
        <v>92</v>
      </c>
      <c r="K32" s="378"/>
      <c r="L32" s="378"/>
      <c r="M32" s="378"/>
      <c r="N32" s="378"/>
      <c r="O32" s="378"/>
      <c r="P32" s="378" t="s">
        <v>92</v>
      </c>
      <c r="Q32" s="368">
        <v>14.95</v>
      </c>
      <c r="R32" s="172">
        <v>14.95</v>
      </c>
      <c r="S32" s="173" t="s">
        <v>163</v>
      </c>
      <c r="T32" s="106"/>
      <c r="U32" s="555">
        <f t="shared" si="5"/>
        <v>0</v>
      </c>
      <c r="V32" s="106"/>
      <c r="W32" s="106"/>
      <c r="X32" s="106"/>
      <c r="Y32" s="106"/>
      <c r="Z32" s="106"/>
      <c r="AA32" s="107"/>
      <c r="AB32" s="107"/>
      <c r="AC32" s="106"/>
      <c r="AD32" s="107"/>
      <c r="AE32" s="107"/>
      <c r="AF32" s="106"/>
      <c r="AG32" s="103"/>
      <c r="AH32" s="103"/>
      <c r="AI32" s="103"/>
      <c r="AJ32" s="103"/>
      <c r="AK32" s="103"/>
      <c r="AL32" s="103"/>
    </row>
    <row r="33" spans="1:38" s="40" customFormat="1" ht="17.25" x14ac:dyDescent="0.3">
      <c r="A33" s="103"/>
      <c r="B33" s="169"/>
      <c r="C33" s="170" t="s">
        <v>385</v>
      </c>
      <c r="D33" s="192" t="s">
        <v>334</v>
      </c>
      <c r="E33" s="192"/>
      <c r="F33" s="171" t="s">
        <v>387</v>
      </c>
      <c r="G33" s="378" t="s">
        <v>95</v>
      </c>
      <c r="H33" s="378" t="s">
        <v>92</v>
      </c>
      <c r="I33" s="378" t="s">
        <v>92</v>
      </c>
      <c r="J33" s="378" t="s">
        <v>92</v>
      </c>
      <c r="K33" s="378"/>
      <c r="L33" s="378"/>
      <c r="M33" s="378"/>
      <c r="N33" s="378"/>
      <c r="O33" s="378"/>
      <c r="P33" s="378" t="s">
        <v>92</v>
      </c>
      <c r="Q33" s="368">
        <v>12.95</v>
      </c>
      <c r="R33" s="172">
        <v>12.95</v>
      </c>
      <c r="S33" s="173" t="s">
        <v>163</v>
      </c>
      <c r="T33" s="106"/>
      <c r="U33" s="555">
        <f t="shared" si="5"/>
        <v>0</v>
      </c>
      <c r="V33" s="106"/>
      <c r="W33" s="106"/>
      <c r="X33" s="106"/>
      <c r="Y33" s="106"/>
      <c r="Z33" s="106"/>
      <c r="AA33" s="107"/>
      <c r="AB33" s="107"/>
      <c r="AC33" s="106"/>
      <c r="AD33" s="107"/>
      <c r="AE33" s="107"/>
      <c r="AF33" s="106"/>
      <c r="AG33" s="103"/>
      <c r="AH33" s="103"/>
      <c r="AI33" s="103"/>
      <c r="AJ33" s="103"/>
      <c r="AK33" s="103"/>
      <c r="AL33" s="103"/>
    </row>
    <row r="34" spans="1:38" s="40" customFormat="1" ht="17.25" x14ac:dyDescent="0.3">
      <c r="A34" s="103"/>
      <c r="B34" s="169"/>
      <c r="C34" s="170" t="s">
        <v>356</v>
      </c>
      <c r="D34" s="192" t="s">
        <v>334</v>
      </c>
      <c r="E34" s="192"/>
      <c r="F34" s="171" t="s">
        <v>387</v>
      </c>
      <c r="G34" s="378" t="s">
        <v>95</v>
      </c>
      <c r="H34" s="378" t="s">
        <v>92</v>
      </c>
      <c r="I34" s="378" t="s">
        <v>92</v>
      </c>
      <c r="J34" s="378" t="s">
        <v>92</v>
      </c>
      <c r="K34" s="378"/>
      <c r="L34" s="378"/>
      <c r="M34" s="378"/>
      <c r="N34" s="378"/>
      <c r="O34" s="378"/>
      <c r="P34" s="378" t="s">
        <v>92</v>
      </c>
      <c r="Q34" s="368">
        <v>19.95</v>
      </c>
      <c r="R34" s="172">
        <v>19.95</v>
      </c>
      <c r="S34" s="173" t="s">
        <v>163</v>
      </c>
      <c r="T34" s="106"/>
      <c r="U34" s="555">
        <f t="shared" si="5"/>
        <v>0</v>
      </c>
      <c r="V34" s="106"/>
      <c r="W34" s="106"/>
      <c r="X34" s="106"/>
      <c r="Y34" s="106"/>
      <c r="Z34" s="106"/>
      <c r="AA34" s="107"/>
      <c r="AB34" s="107"/>
      <c r="AC34" s="106"/>
      <c r="AD34" s="107"/>
      <c r="AE34" s="107"/>
      <c r="AF34" s="106"/>
      <c r="AG34" s="103"/>
      <c r="AH34" s="103"/>
      <c r="AI34" s="103"/>
      <c r="AJ34" s="103"/>
      <c r="AK34" s="103"/>
      <c r="AL34" s="103"/>
    </row>
    <row r="35" spans="1:38" s="40" customFormat="1" ht="17.25" x14ac:dyDescent="0.3">
      <c r="A35" s="103"/>
      <c r="B35" s="169"/>
      <c r="C35" s="170" t="s">
        <v>364</v>
      </c>
      <c r="D35" s="192" t="s">
        <v>334</v>
      </c>
      <c r="E35" s="192"/>
      <c r="F35" s="171" t="s">
        <v>391</v>
      </c>
      <c r="G35" s="378" t="s">
        <v>95</v>
      </c>
      <c r="H35" s="378" t="s">
        <v>92</v>
      </c>
      <c r="I35" s="378" t="s">
        <v>92</v>
      </c>
      <c r="J35" s="378" t="s">
        <v>92</v>
      </c>
      <c r="K35" s="378"/>
      <c r="L35" s="378"/>
      <c r="M35" s="378"/>
      <c r="N35" s="378"/>
      <c r="O35" s="378"/>
      <c r="P35" s="378" t="s">
        <v>92</v>
      </c>
      <c r="Q35" s="368">
        <v>39.950000000000003</v>
      </c>
      <c r="R35" s="172">
        <v>39.950000000000003</v>
      </c>
      <c r="S35" s="173" t="s">
        <v>163</v>
      </c>
      <c r="T35" s="106"/>
      <c r="U35" s="555">
        <f t="shared" si="5"/>
        <v>0</v>
      </c>
      <c r="V35" s="106"/>
      <c r="W35" s="106"/>
      <c r="X35" s="106"/>
      <c r="Y35" s="106"/>
      <c r="Z35" s="106"/>
      <c r="AA35" s="107"/>
      <c r="AB35" s="107"/>
      <c r="AC35" s="106"/>
      <c r="AD35" s="107"/>
      <c r="AE35" s="107"/>
      <c r="AF35" s="106"/>
      <c r="AG35" s="103"/>
      <c r="AH35" s="103"/>
      <c r="AI35" s="103"/>
      <c r="AJ35" s="103"/>
      <c r="AK35" s="103"/>
      <c r="AL35" s="103"/>
    </row>
    <row r="36" spans="1:38" s="40" customFormat="1" ht="17.25" x14ac:dyDescent="0.3">
      <c r="A36" s="103"/>
      <c r="B36" s="169"/>
      <c r="C36" s="170" t="s">
        <v>361</v>
      </c>
      <c r="D36" s="192" t="s">
        <v>334</v>
      </c>
      <c r="E36" s="187"/>
      <c r="F36" s="171" t="s">
        <v>387</v>
      </c>
      <c r="G36" s="378" t="s">
        <v>95</v>
      </c>
      <c r="H36" s="378" t="s">
        <v>92</v>
      </c>
      <c r="I36" s="378" t="s">
        <v>92</v>
      </c>
      <c r="J36" s="378" t="s">
        <v>92</v>
      </c>
      <c r="K36" s="378"/>
      <c r="L36" s="378"/>
      <c r="M36" s="378"/>
      <c r="N36" s="378"/>
      <c r="O36" s="378"/>
      <c r="P36" s="378" t="s">
        <v>92</v>
      </c>
      <c r="Q36" s="368">
        <v>19.95</v>
      </c>
      <c r="R36" s="172">
        <v>19.95</v>
      </c>
      <c r="S36" s="173" t="s">
        <v>163</v>
      </c>
      <c r="T36" s="106"/>
      <c r="U36" s="555">
        <f t="shared" si="5"/>
        <v>0</v>
      </c>
      <c r="V36" s="106"/>
      <c r="W36" s="106"/>
      <c r="X36" s="106"/>
      <c r="Y36" s="106"/>
      <c r="Z36" s="106"/>
      <c r="AA36" s="107"/>
      <c r="AB36" s="107"/>
      <c r="AC36" s="106"/>
      <c r="AD36" s="107"/>
      <c r="AE36" s="107"/>
      <c r="AF36" s="106"/>
      <c r="AG36" s="103"/>
      <c r="AH36" s="103"/>
      <c r="AI36" s="103"/>
      <c r="AJ36" s="103"/>
      <c r="AK36" s="103"/>
      <c r="AL36" s="103"/>
    </row>
    <row r="37" spans="1:38" s="40" customFormat="1" ht="17.25" x14ac:dyDescent="0.3">
      <c r="A37" s="103"/>
      <c r="B37" s="169"/>
      <c r="C37" s="170" t="s">
        <v>351</v>
      </c>
      <c r="D37" s="192" t="s">
        <v>334</v>
      </c>
      <c r="E37" s="192"/>
      <c r="F37" s="171" t="s">
        <v>387</v>
      </c>
      <c r="G37" s="378" t="s">
        <v>95</v>
      </c>
      <c r="H37" s="378" t="s">
        <v>92</v>
      </c>
      <c r="I37" s="378" t="s">
        <v>92</v>
      </c>
      <c r="J37" s="378" t="s">
        <v>92</v>
      </c>
      <c r="K37" s="378"/>
      <c r="L37" s="378"/>
      <c r="M37" s="378"/>
      <c r="N37" s="378"/>
      <c r="O37" s="378"/>
      <c r="P37" s="378" t="s">
        <v>92</v>
      </c>
      <c r="Q37" s="368">
        <v>14.95</v>
      </c>
      <c r="R37" s="172">
        <v>14.95</v>
      </c>
      <c r="S37" s="173" t="s">
        <v>163</v>
      </c>
      <c r="T37" s="106"/>
      <c r="U37" s="555">
        <f t="shared" si="5"/>
        <v>0</v>
      </c>
      <c r="V37" s="106"/>
      <c r="W37" s="106"/>
      <c r="X37" s="106"/>
      <c r="Y37" s="106"/>
      <c r="Z37" s="106"/>
      <c r="AA37" s="107"/>
      <c r="AB37" s="107"/>
      <c r="AC37" s="106"/>
      <c r="AD37" s="107"/>
      <c r="AE37" s="107"/>
      <c r="AF37" s="106"/>
      <c r="AG37" s="103"/>
      <c r="AH37" s="103"/>
      <c r="AI37" s="103"/>
      <c r="AJ37" s="103"/>
      <c r="AK37" s="103"/>
      <c r="AL37" s="103"/>
    </row>
    <row r="38" spans="1:38" s="40" customFormat="1" ht="17.25" x14ac:dyDescent="0.3">
      <c r="A38" s="103"/>
      <c r="B38" s="169"/>
      <c r="C38" s="170" t="s">
        <v>357</v>
      </c>
      <c r="D38" s="192" t="s">
        <v>334</v>
      </c>
      <c r="E38" s="192"/>
      <c r="F38" s="171" t="s">
        <v>387</v>
      </c>
      <c r="G38" s="378" t="s">
        <v>95</v>
      </c>
      <c r="H38" s="378" t="s">
        <v>92</v>
      </c>
      <c r="I38" s="378" t="s">
        <v>92</v>
      </c>
      <c r="J38" s="378" t="s">
        <v>92</v>
      </c>
      <c r="K38" s="378"/>
      <c r="L38" s="378"/>
      <c r="M38" s="378"/>
      <c r="N38" s="378"/>
      <c r="O38" s="378"/>
      <c r="P38" s="378" t="s">
        <v>92</v>
      </c>
      <c r="Q38" s="368">
        <v>19.95</v>
      </c>
      <c r="R38" s="172">
        <v>19.95</v>
      </c>
      <c r="S38" s="173" t="s">
        <v>163</v>
      </c>
      <c r="T38" s="106"/>
      <c r="U38" s="555">
        <f t="shared" si="5"/>
        <v>0</v>
      </c>
      <c r="V38" s="106"/>
      <c r="W38" s="106"/>
      <c r="X38" s="106"/>
      <c r="Y38" s="106"/>
      <c r="Z38" s="106"/>
      <c r="AA38" s="107"/>
      <c r="AB38" s="107"/>
      <c r="AC38" s="106"/>
      <c r="AD38" s="107"/>
      <c r="AE38" s="107"/>
      <c r="AF38" s="106"/>
      <c r="AG38" s="103"/>
      <c r="AH38" s="103"/>
      <c r="AI38" s="103"/>
      <c r="AJ38" s="103"/>
      <c r="AK38" s="103"/>
      <c r="AL38" s="103"/>
    </row>
    <row r="39" spans="1:38" s="40" customFormat="1" ht="17.25" x14ac:dyDescent="0.3">
      <c r="A39" s="103"/>
      <c r="B39" s="169"/>
      <c r="C39" s="170" t="s">
        <v>359</v>
      </c>
      <c r="D39" s="192" t="s">
        <v>334</v>
      </c>
      <c r="E39" s="187"/>
      <c r="F39" s="171" t="s">
        <v>387</v>
      </c>
      <c r="G39" s="378" t="s">
        <v>95</v>
      </c>
      <c r="H39" s="378" t="s">
        <v>92</v>
      </c>
      <c r="I39" s="378" t="s">
        <v>92</v>
      </c>
      <c r="J39" s="378" t="s">
        <v>92</v>
      </c>
      <c r="K39" s="378"/>
      <c r="L39" s="378"/>
      <c r="M39" s="378"/>
      <c r="N39" s="378"/>
      <c r="O39" s="378"/>
      <c r="P39" s="378" t="s">
        <v>92</v>
      </c>
      <c r="Q39" s="368">
        <v>19.95</v>
      </c>
      <c r="R39" s="172">
        <v>19.95</v>
      </c>
      <c r="S39" s="173" t="s">
        <v>163</v>
      </c>
      <c r="T39" s="106"/>
      <c r="U39" s="555">
        <f t="shared" si="5"/>
        <v>0</v>
      </c>
      <c r="V39" s="106"/>
      <c r="W39" s="106"/>
      <c r="X39" s="106"/>
      <c r="Y39" s="106"/>
      <c r="Z39" s="106"/>
      <c r="AA39" s="107"/>
      <c r="AB39" s="107"/>
      <c r="AC39" s="106"/>
      <c r="AD39" s="107"/>
      <c r="AE39" s="107"/>
      <c r="AF39" s="106"/>
      <c r="AG39" s="103"/>
      <c r="AH39" s="103"/>
      <c r="AI39" s="103"/>
      <c r="AJ39" s="103"/>
      <c r="AK39" s="103"/>
      <c r="AL39" s="103"/>
    </row>
    <row r="40" spans="1:38" s="40" customFormat="1" ht="17.25" x14ac:dyDescent="0.3">
      <c r="A40" s="103"/>
      <c r="B40" s="169"/>
      <c r="C40" s="170" t="s">
        <v>371</v>
      </c>
      <c r="D40" s="187" t="s">
        <v>117</v>
      </c>
      <c r="E40" s="187" t="s">
        <v>331</v>
      </c>
      <c r="F40" s="171" t="s">
        <v>332</v>
      </c>
      <c r="G40" s="378" t="s">
        <v>95</v>
      </c>
      <c r="H40" s="378" t="s">
        <v>92</v>
      </c>
      <c r="I40" s="378" t="s">
        <v>92</v>
      </c>
      <c r="J40" s="378" t="s">
        <v>92</v>
      </c>
      <c r="K40" s="378"/>
      <c r="L40" s="378"/>
      <c r="M40" s="378"/>
      <c r="N40" s="378"/>
      <c r="O40" s="378"/>
      <c r="P40" s="378" t="s">
        <v>92</v>
      </c>
      <c r="Q40" s="368">
        <v>10</v>
      </c>
      <c r="R40" s="172">
        <v>19.95</v>
      </c>
      <c r="S40" s="173" t="s">
        <v>372</v>
      </c>
      <c r="T40" s="106"/>
      <c r="U40" s="555">
        <f t="shared" si="5"/>
        <v>0.49874686716791983</v>
      </c>
      <c r="V40" s="106"/>
      <c r="W40" s="106"/>
      <c r="X40" s="106"/>
      <c r="Y40" s="106"/>
      <c r="Z40" s="106"/>
      <c r="AA40" s="107"/>
      <c r="AB40" s="107"/>
      <c r="AC40" s="106"/>
      <c r="AD40" s="107"/>
      <c r="AE40" s="107"/>
      <c r="AF40" s="106"/>
      <c r="AG40" s="103"/>
      <c r="AH40" s="103"/>
      <c r="AI40" s="103"/>
      <c r="AJ40" s="103"/>
      <c r="AK40" s="103"/>
      <c r="AL40" s="103"/>
    </row>
    <row r="41" spans="1:38" s="40" customFormat="1" ht="17.25" x14ac:dyDescent="0.3">
      <c r="A41" s="103"/>
      <c r="B41" s="169"/>
      <c r="C41" s="170" t="s">
        <v>365</v>
      </c>
      <c r="D41" s="192" t="s">
        <v>334</v>
      </c>
      <c r="E41" s="192"/>
      <c r="F41" s="171" t="s">
        <v>391</v>
      </c>
      <c r="G41" s="378" t="s">
        <v>95</v>
      </c>
      <c r="H41" s="378" t="s">
        <v>92</v>
      </c>
      <c r="I41" s="378" t="s">
        <v>92</v>
      </c>
      <c r="J41" s="378" t="s">
        <v>92</v>
      </c>
      <c r="K41" s="378"/>
      <c r="L41" s="378"/>
      <c r="M41" s="378"/>
      <c r="N41" s="378"/>
      <c r="O41" s="378"/>
      <c r="P41" s="378" t="s">
        <v>92</v>
      </c>
      <c r="Q41" s="368">
        <v>44.95</v>
      </c>
      <c r="R41" s="172">
        <v>44.95</v>
      </c>
      <c r="S41" s="173" t="s">
        <v>163</v>
      </c>
      <c r="T41" s="106"/>
      <c r="U41" s="555">
        <f t="shared" si="5"/>
        <v>0</v>
      </c>
      <c r="V41" s="106"/>
      <c r="W41" s="106"/>
      <c r="X41" s="106"/>
      <c r="Y41" s="106"/>
      <c r="Z41" s="106"/>
      <c r="AA41" s="107"/>
      <c r="AB41" s="107"/>
      <c r="AC41" s="106"/>
      <c r="AD41" s="107"/>
      <c r="AE41" s="107"/>
      <c r="AF41" s="106"/>
      <c r="AG41" s="103"/>
      <c r="AH41" s="103"/>
      <c r="AI41" s="103"/>
      <c r="AJ41" s="103"/>
      <c r="AK41" s="103"/>
      <c r="AL41" s="103"/>
    </row>
    <row r="42" spans="1:38" s="40" customFormat="1" ht="17.25" x14ac:dyDescent="0.3">
      <c r="A42" s="103"/>
      <c r="B42" s="169"/>
      <c r="C42" s="170" t="s">
        <v>355</v>
      </c>
      <c r="D42" s="192" t="s">
        <v>334</v>
      </c>
      <c r="E42" s="192"/>
      <c r="F42" s="171" t="s">
        <v>387</v>
      </c>
      <c r="G42" s="378" t="s">
        <v>95</v>
      </c>
      <c r="H42" s="378" t="s">
        <v>92</v>
      </c>
      <c r="I42" s="378" t="s">
        <v>92</v>
      </c>
      <c r="J42" s="378" t="s">
        <v>92</v>
      </c>
      <c r="K42" s="378"/>
      <c r="L42" s="378"/>
      <c r="M42" s="378"/>
      <c r="N42" s="378"/>
      <c r="O42" s="378"/>
      <c r="P42" s="378" t="s">
        <v>92</v>
      </c>
      <c r="Q42" s="368">
        <v>17.95</v>
      </c>
      <c r="R42" s="172">
        <v>17.95</v>
      </c>
      <c r="S42" s="173" t="s">
        <v>163</v>
      </c>
      <c r="T42" s="106"/>
      <c r="U42" s="555">
        <f t="shared" si="5"/>
        <v>0</v>
      </c>
      <c r="V42" s="106"/>
      <c r="W42" s="106"/>
      <c r="X42" s="106"/>
      <c r="Y42" s="106"/>
      <c r="Z42" s="106"/>
      <c r="AA42" s="107"/>
      <c r="AB42" s="107"/>
      <c r="AC42" s="106"/>
      <c r="AD42" s="107"/>
      <c r="AE42" s="107"/>
      <c r="AF42" s="106"/>
      <c r="AG42" s="103"/>
      <c r="AH42" s="103"/>
      <c r="AI42" s="103"/>
      <c r="AJ42" s="103"/>
      <c r="AK42" s="103"/>
      <c r="AL42" s="103"/>
    </row>
    <row r="43" spans="1:38" s="40" customFormat="1" ht="17.25" x14ac:dyDescent="0.3">
      <c r="A43" s="103"/>
      <c r="B43" s="169"/>
      <c r="C43" s="170" t="s">
        <v>354</v>
      </c>
      <c r="D43" s="192" t="s">
        <v>334</v>
      </c>
      <c r="E43" s="192"/>
      <c r="F43" s="171" t="s">
        <v>387</v>
      </c>
      <c r="G43" s="378" t="s">
        <v>95</v>
      </c>
      <c r="H43" s="378" t="s">
        <v>92</v>
      </c>
      <c r="I43" s="378" t="s">
        <v>92</v>
      </c>
      <c r="J43" s="378" t="s">
        <v>92</v>
      </c>
      <c r="K43" s="378"/>
      <c r="L43" s="378"/>
      <c r="M43" s="378"/>
      <c r="N43" s="378"/>
      <c r="O43" s="378"/>
      <c r="P43" s="378" t="s">
        <v>92</v>
      </c>
      <c r="Q43" s="368">
        <v>17.95</v>
      </c>
      <c r="R43" s="172">
        <v>17.95</v>
      </c>
      <c r="S43" s="173" t="s">
        <v>163</v>
      </c>
      <c r="T43" s="106"/>
      <c r="U43" s="555">
        <f t="shared" si="5"/>
        <v>0</v>
      </c>
      <c r="V43" s="106"/>
      <c r="W43" s="106"/>
      <c r="X43" s="106"/>
      <c r="Y43" s="106"/>
      <c r="Z43" s="106"/>
      <c r="AA43" s="107"/>
      <c r="AB43" s="107"/>
      <c r="AC43" s="106"/>
      <c r="AD43" s="107"/>
      <c r="AE43" s="107"/>
      <c r="AF43" s="106"/>
      <c r="AG43" s="103"/>
      <c r="AH43" s="103"/>
      <c r="AI43" s="103"/>
      <c r="AJ43" s="103"/>
      <c r="AK43" s="103"/>
      <c r="AL43" s="103"/>
    </row>
    <row r="44" spans="1:38" s="40" customFormat="1" ht="17.25" x14ac:dyDescent="0.3">
      <c r="A44" s="103"/>
      <c r="B44" s="169"/>
      <c r="C44" s="170" t="s">
        <v>353</v>
      </c>
      <c r="D44" s="192" t="s">
        <v>334</v>
      </c>
      <c r="E44" s="192"/>
      <c r="F44" s="171" t="s">
        <v>387</v>
      </c>
      <c r="G44" s="378" t="s">
        <v>95</v>
      </c>
      <c r="H44" s="378" t="s">
        <v>92</v>
      </c>
      <c r="I44" s="378" t="s">
        <v>92</v>
      </c>
      <c r="J44" s="378" t="s">
        <v>92</v>
      </c>
      <c r="K44" s="378"/>
      <c r="L44" s="378"/>
      <c r="M44" s="378"/>
      <c r="N44" s="378"/>
      <c r="O44" s="378"/>
      <c r="P44" s="378" t="s">
        <v>92</v>
      </c>
      <c r="Q44" s="368">
        <v>17.95</v>
      </c>
      <c r="R44" s="172">
        <v>17.95</v>
      </c>
      <c r="S44" s="173" t="s">
        <v>163</v>
      </c>
      <c r="T44" s="106"/>
      <c r="U44" s="555">
        <f t="shared" si="4"/>
        <v>0</v>
      </c>
      <c r="V44" s="106"/>
      <c r="W44" s="106"/>
      <c r="X44" s="106"/>
      <c r="Y44" s="106"/>
      <c r="Z44" s="106"/>
      <c r="AA44" s="107"/>
      <c r="AB44" s="107"/>
      <c r="AC44" s="106"/>
      <c r="AD44" s="107"/>
      <c r="AE44" s="107"/>
      <c r="AF44" s="106"/>
      <c r="AG44" s="103"/>
      <c r="AH44" s="103"/>
      <c r="AI44" s="103"/>
      <c r="AJ44" s="103"/>
      <c r="AK44" s="103"/>
      <c r="AL44" s="103"/>
    </row>
    <row r="45" spans="1:38" s="40" customFormat="1" ht="17.25" x14ac:dyDescent="0.3">
      <c r="A45" s="103"/>
      <c r="B45" s="169"/>
      <c r="C45" s="170" t="s">
        <v>358</v>
      </c>
      <c r="D45" s="192" t="s">
        <v>117</v>
      </c>
      <c r="E45" s="192"/>
      <c r="F45" s="171" t="s">
        <v>387</v>
      </c>
      <c r="G45" s="378" t="s">
        <v>95</v>
      </c>
      <c r="H45" s="378" t="s">
        <v>92</v>
      </c>
      <c r="I45" s="378" t="s">
        <v>92</v>
      </c>
      <c r="J45" s="378" t="s">
        <v>92</v>
      </c>
      <c r="K45" s="378"/>
      <c r="L45" s="378"/>
      <c r="M45" s="378"/>
      <c r="N45" s="378"/>
      <c r="O45" s="378"/>
      <c r="P45" s="378" t="s">
        <v>92</v>
      </c>
      <c r="Q45" s="368">
        <v>19.95</v>
      </c>
      <c r="R45" s="172">
        <v>19.95</v>
      </c>
      <c r="S45" s="173" t="s">
        <v>163</v>
      </c>
      <c r="T45" s="106"/>
      <c r="U45" s="555">
        <f t="shared" si="4"/>
        <v>0</v>
      </c>
      <c r="V45" s="106"/>
      <c r="W45" s="106"/>
      <c r="X45" s="106"/>
      <c r="Y45" s="106"/>
      <c r="Z45" s="106"/>
      <c r="AA45" s="107"/>
      <c r="AB45" s="107"/>
      <c r="AC45" s="106"/>
      <c r="AD45" s="107"/>
      <c r="AE45" s="107"/>
      <c r="AF45" s="106"/>
      <c r="AG45" s="103"/>
      <c r="AH45" s="103"/>
      <c r="AI45" s="103"/>
      <c r="AJ45" s="103"/>
      <c r="AK45" s="103"/>
      <c r="AL45" s="103"/>
    </row>
    <row r="46" spans="1:38" s="40" customFormat="1" ht="17.25" x14ac:dyDescent="0.3">
      <c r="A46" s="103"/>
      <c r="B46" s="169"/>
      <c r="C46" s="170" t="s">
        <v>393</v>
      </c>
      <c r="D46" s="192" t="s">
        <v>334</v>
      </c>
      <c r="E46" s="192"/>
      <c r="F46" s="171" t="s">
        <v>391</v>
      </c>
      <c r="G46" s="378" t="s">
        <v>95</v>
      </c>
      <c r="H46" s="378" t="s">
        <v>92</v>
      </c>
      <c r="I46" s="378" t="s">
        <v>92</v>
      </c>
      <c r="J46" s="378" t="s">
        <v>92</v>
      </c>
      <c r="K46" s="378"/>
      <c r="L46" s="378"/>
      <c r="M46" s="378"/>
      <c r="N46" s="378"/>
      <c r="O46" s="378"/>
      <c r="P46" s="378" t="s">
        <v>92</v>
      </c>
      <c r="Q46" s="368">
        <v>29.95</v>
      </c>
      <c r="R46" s="172">
        <v>29.95</v>
      </c>
      <c r="S46" s="173" t="s">
        <v>163</v>
      </c>
      <c r="T46" s="106"/>
      <c r="U46" s="555">
        <f t="shared" si="4"/>
        <v>0</v>
      </c>
      <c r="V46" s="106"/>
      <c r="W46" s="106"/>
      <c r="X46" s="106"/>
      <c r="Y46" s="106"/>
      <c r="Z46" s="106"/>
      <c r="AA46" s="107"/>
      <c r="AB46" s="107"/>
      <c r="AC46" s="106"/>
      <c r="AD46" s="107"/>
      <c r="AE46" s="107"/>
      <c r="AF46" s="106"/>
      <c r="AG46" s="103"/>
      <c r="AH46" s="103"/>
      <c r="AI46" s="103"/>
      <c r="AJ46" s="103"/>
      <c r="AK46" s="103"/>
      <c r="AL46" s="103"/>
    </row>
    <row r="47" spans="1:38" s="40" customFormat="1" ht="17.25" x14ac:dyDescent="0.3">
      <c r="A47" s="103"/>
      <c r="B47" s="169"/>
      <c r="C47" s="170" t="s">
        <v>366</v>
      </c>
      <c r="D47" s="187" t="s">
        <v>117</v>
      </c>
      <c r="E47" s="187"/>
      <c r="F47" s="171" t="s">
        <v>390</v>
      </c>
      <c r="G47" s="378" t="s">
        <v>95</v>
      </c>
      <c r="H47" s="378" t="s">
        <v>92</v>
      </c>
      <c r="I47" s="378" t="s">
        <v>92</v>
      </c>
      <c r="J47" s="378" t="s">
        <v>92</v>
      </c>
      <c r="K47" s="378"/>
      <c r="L47" s="378"/>
      <c r="M47" s="378"/>
      <c r="N47" s="378"/>
      <c r="O47" s="378"/>
      <c r="P47" s="378" t="s">
        <v>92</v>
      </c>
      <c r="Q47" s="368">
        <v>5</v>
      </c>
      <c r="R47" s="172">
        <v>14.95</v>
      </c>
      <c r="S47" s="173" t="s">
        <v>374</v>
      </c>
      <c r="T47" s="106"/>
      <c r="U47" s="555">
        <f>1-Q47/R47</f>
        <v>0.66555183946488294</v>
      </c>
      <c r="V47" s="106"/>
      <c r="W47" s="106"/>
      <c r="X47" s="106"/>
      <c r="Y47" s="106"/>
      <c r="Z47" s="106"/>
      <c r="AA47" s="107"/>
      <c r="AB47" s="107"/>
      <c r="AC47" s="106"/>
      <c r="AD47" s="107"/>
      <c r="AE47" s="107"/>
      <c r="AF47" s="106"/>
      <c r="AG47" s="103"/>
      <c r="AH47" s="103"/>
      <c r="AI47" s="103"/>
      <c r="AJ47" s="103"/>
      <c r="AK47" s="103"/>
      <c r="AL47" s="103"/>
    </row>
    <row r="48" spans="1:38" s="40" customFormat="1" ht="17.25" x14ac:dyDescent="0.3">
      <c r="A48" s="103"/>
      <c r="B48" s="169"/>
      <c r="C48" s="170" t="s">
        <v>367</v>
      </c>
      <c r="D48" s="187" t="s">
        <v>117</v>
      </c>
      <c r="E48" s="187" t="s">
        <v>368</v>
      </c>
      <c r="F48" s="171" t="s">
        <v>369</v>
      </c>
      <c r="G48" s="378" t="s">
        <v>95</v>
      </c>
      <c r="H48" s="378" t="s">
        <v>92</v>
      </c>
      <c r="I48" s="378" t="s">
        <v>92</v>
      </c>
      <c r="J48" s="378" t="s">
        <v>92</v>
      </c>
      <c r="K48" s="378"/>
      <c r="L48" s="378"/>
      <c r="M48" s="378"/>
      <c r="N48" s="378"/>
      <c r="O48" s="378"/>
      <c r="P48" s="378" t="s">
        <v>92</v>
      </c>
      <c r="Q48" s="368">
        <v>7.5</v>
      </c>
      <c r="R48" s="172">
        <v>14.95</v>
      </c>
      <c r="S48" s="173" t="s">
        <v>372</v>
      </c>
      <c r="T48" s="106"/>
      <c r="U48" s="555">
        <f t="shared" ref="U48:U50" si="6">1-Q48/R48</f>
        <v>0.49832775919732442</v>
      </c>
      <c r="V48" s="106"/>
      <c r="W48" s="106"/>
      <c r="X48" s="106"/>
      <c r="Y48" s="106"/>
      <c r="Z48" s="106"/>
      <c r="AA48" s="107"/>
      <c r="AB48" s="107"/>
      <c r="AC48" s="106"/>
      <c r="AD48" s="107"/>
      <c r="AE48" s="107"/>
      <c r="AF48" s="106"/>
      <c r="AG48" s="103"/>
      <c r="AH48" s="103"/>
      <c r="AI48" s="103"/>
      <c r="AJ48" s="103"/>
      <c r="AK48" s="103"/>
      <c r="AL48" s="103"/>
    </row>
    <row r="49" spans="1:38" s="40" customFormat="1" ht="17.25" x14ac:dyDescent="0.3">
      <c r="A49" s="103"/>
      <c r="B49" s="169"/>
      <c r="C49" s="170" t="s">
        <v>370</v>
      </c>
      <c r="D49" s="187" t="s">
        <v>117</v>
      </c>
      <c r="E49" s="187"/>
      <c r="F49" s="171" t="s">
        <v>388</v>
      </c>
      <c r="G49" s="378" t="s">
        <v>95</v>
      </c>
      <c r="H49" s="378" t="s">
        <v>92</v>
      </c>
      <c r="I49" s="378" t="s">
        <v>92</v>
      </c>
      <c r="J49" s="378" t="s">
        <v>92</v>
      </c>
      <c r="K49" s="378"/>
      <c r="L49" s="378"/>
      <c r="M49" s="378"/>
      <c r="N49" s="378"/>
      <c r="O49" s="378"/>
      <c r="P49" s="378" t="s">
        <v>92</v>
      </c>
      <c r="Q49" s="368">
        <v>10</v>
      </c>
      <c r="R49" s="172">
        <v>17.95</v>
      </c>
      <c r="S49" s="173" t="s">
        <v>376</v>
      </c>
      <c r="T49" s="106"/>
      <c r="U49" s="555">
        <f t="shared" si="6"/>
        <v>0.44289693593314761</v>
      </c>
      <c r="V49" s="106"/>
      <c r="W49" s="106"/>
      <c r="X49" s="106"/>
      <c r="Y49" s="106"/>
      <c r="Z49" s="106"/>
      <c r="AA49" s="107"/>
      <c r="AB49" s="107"/>
      <c r="AC49" s="106"/>
      <c r="AD49" s="107"/>
      <c r="AE49" s="107"/>
      <c r="AF49" s="106"/>
      <c r="AG49" s="103"/>
      <c r="AH49" s="103"/>
      <c r="AI49" s="103"/>
      <c r="AJ49" s="103"/>
      <c r="AK49" s="103"/>
      <c r="AL49" s="103"/>
    </row>
    <row r="50" spans="1:38" s="40" customFormat="1" ht="17.25" x14ac:dyDescent="0.3">
      <c r="A50" s="103"/>
      <c r="B50" s="169"/>
      <c r="C50" s="170" t="s">
        <v>384</v>
      </c>
      <c r="D50" s="192" t="s">
        <v>378</v>
      </c>
      <c r="E50" s="187"/>
      <c r="F50" s="171" t="s">
        <v>389</v>
      </c>
      <c r="G50" s="378" t="s">
        <v>95</v>
      </c>
      <c r="H50" s="378" t="s">
        <v>92</v>
      </c>
      <c r="I50" s="378" t="s">
        <v>92</v>
      </c>
      <c r="J50" s="378" t="s">
        <v>92</v>
      </c>
      <c r="K50" s="378"/>
      <c r="L50" s="378"/>
      <c r="M50" s="378"/>
      <c r="N50" s="378"/>
      <c r="O50" s="378"/>
      <c r="P50" s="378" t="s">
        <v>92</v>
      </c>
      <c r="Q50" s="368">
        <v>10</v>
      </c>
      <c r="R50" s="172">
        <v>17.95</v>
      </c>
      <c r="S50" s="173" t="s">
        <v>375</v>
      </c>
      <c r="T50" s="106"/>
      <c r="U50" s="555">
        <f t="shared" si="6"/>
        <v>0.44289693593314761</v>
      </c>
      <c r="V50" s="106"/>
      <c r="W50" s="106"/>
      <c r="X50" s="106"/>
      <c r="Y50" s="106"/>
      <c r="Z50" s="106"/>
      <c r="AA50" s="107"/>
      <c r="AB50" s="107"/>
      <c r="AC50" s="106"/>
      <c r="AD50" s="107"/>
      <c r="AE50" s="107"/>
      <c r="AF50" s="106"/>
      <c r="AG50" s="103"/>
      <c r="AH50" s="103"/>
      <c r="AI50" s="103"/>
      <c r="AJ50" s="103"/>
      <c r="AK50" s="103"/>
      <c r="AL50" s="103"/>
    </row>
    <row r="51" spans="1:38" s="40" customFormat="1" ht="17.25" x14ac:dyDescent="0.3">
      <c r="A51" s="103"/>
      <c r="B51" s="169"/>
      <c r="C51" s="170" t="s">
        <v>350</v>
      </c>
      <c r="D51" s="192" t="s">
        <v>117</v>
      </c>
      <c r="E51" s="192"/>
      <c r="F51" s="171" t="s">
        <v>386</v>
      </c>
      <c r="G51" s="378" t="s">
        <v>95</v>
      </c>
      <c r="H51" s="378" t="s">
        <v>92</v>
      </c>
      <c r="I51" s="378" t="s">
        <v>92</v>
      </c>
      <c r="J51" s="378" t="s">
        <v>92</v>
      </c>
      <c r="K51" s="378"/>
      <c r="L51" s="378"/>
      <c r="M51" s="378"/>
      <c r="N51" s="378"/>
      <c r="O51" s="378"/>
      <c r="P51" s="378" t="s">
        <v>92</v>
      </c>
      <c r="Q51" s="368">
        <v>9.9499999999999993</v>
      </c>
      <c r="R51" s="172">
        <v>9.9499999999999993</v>
      </c>
      <c r="S51" s="173" t="s">
        <v>163</v>
      </c>
      <c r="T51" s="106"/>
      <c r="U51" s="555">
        <f>1-Q51/R51</f>
        <v>0</v>
      </c>
      <c r="V51" s="106"/>
      <c r="W51" s="106"/>
      <c r="X51" s="106"/>
      <c r="Y51" s="106"/>
      <c r="Z51" s="106"/>
      <c r="AA51" s="107"/>
      <c r="AB51" s="107"/>
      <c r="AC51" s="106"/>
      <c r="AD51" s="107"/>
      <c r="AE51" s="107"/>
      <c r="AF51" s="106"/>
      <c r="AG51" s="103"/>
      <c r="AH51" s="103"/>
      <c r="AI51" s="103"/>
      <c r="AJ51" s="103"/>
      <c r="AK51" s="103"/>
      <c r="AL51" s="103"/>
    </row>
    <row r="52" spans="1:38" s="40" customFormat="1" ht="18" thickBot="1" x14ac:dyDescent="0.35">
      <c r="A52" s="103"/>
      <c r="B52" s="216"/>
      <c r="C52" s="170" t="s">
        <v>383</v>
      </c>
      <c r="D52" s="187" t="s">
        <v>117</v>
      </c>
      <c r="E52" s="187" t="s">
        <v>379</v>
      </c>
      <c r="F52" s="171" t="s">
        <v>380</v>
      </c>
      <c r="G52" s="378" t="s">
        <v>95</v>
      </c>
      <c r="H52" s="378" t="s">
        <v>92</v>
      </c>
      <c r="I52" s="378" t="s">
        <v>92</v>
      </c>
      <c r="J52" s="378" t="s">
        <v>92</v>
      </c>
      <c r="K52" s="378"/>
      <c r="L52" s="378"/>
      <c r="M52" s="378"/>
      <c r="N52" s="378"/>
      <c r="O52" s="378"/>
      <c r="P52" s="378" t="s">
        <v>92</v>
      </c>
      <c r="Q52" s="368">
        <v>20</v>
      </c>
      <c r="R52" s="172">
        <v>34.950000000000003</v>
      </c>
      <c r="S52" s="215" t="s">
        <v>373</v>
      </c>
      <c r="T52" s="106"/>
      <c r="U52" s="555">
        <f t="shared" ref="U52" si="7">1-Q52/R52</f>
        <v>0.42775393419170249</v>
      </c>
      <c r="V52" s="106"/>
      <c r="W52" s="106"/>
      <c r="X52" s="106"/>
      <c r="Y52" s="106"/>
      <c r="Z52" s="106"/>
      <c r="AA52" s="107"/>
      <c r="AB52" s="107"/>
      <c r="AC52" s="106"/>
      <c r="AD52" s="107"/>
      <c r="AE52" s="107"/>
      <c r="AF52" s="106"/>
      <c r="AG52" s="103"/>
      <c r="AH52" s="103"/>
      <c r="AI52" s="103"/>
      <c r="AJ52" s="103"/>
      <c r="AK52" s="103"/>
      <c r="AL52" s="103"/>
    </row>
    <row r="53" spans="1:38" s="1" customFormat="1" ht="15.75" thickBot="1" x14ac:dyDescent="0.35">
      <c r="A53" s="107"/>
      <c r="B53" s="156" t="s">
        <v>98</v>
      </c>
      <c r="C53" s="706" t="s">
        <v>120</v>
      </c>
      <c r="D53" s="707"/>
      <c r="E53" s="707"/>
      <c r="F53" s="708"/>
      <c r="G53" s="157">
        <f t="shared" ref="G53:P53" si="8">SUMIF(G$8:G$52,"µ",$R$8:$R$52)</f>
        <v>0</v>
      </c>
      <c r="H53" s="157">
        <f t="shared" si="8"/>
        <v>49.95</v>
      </c>
      <c r="I53" s="157">
        <f t="shared" si="8"/>
        <v>0</v>
      </c>
      <c r="J53" s="157">
        <f t="shared" si="8"/>
        <v>129.75</v>
      </c>
      <c r="K53" s="157">
        <f t="shared" si="8"/>
        <v>0</v>
      </c>
      <c r="L53" s="157">
        <f t="shared" si="8"/>
        <v>0</v>
      </c>
      <c r="M53" s="157">
        <f t="shared" si="8"/>
        <v>0</v>
      </c>
      <c r="N53" s="157">
        <f t="shared" si="8"/>
        <v>0</v>
      </c>
      <c r="O53" s="157">
        <f t="shared" si="8"/>
        <v>0</v>
      </c>
      <c r="P53" s="158">
        <f t="shared" si="8"/>
        <v>174.64999999999998</v>
      </c>
      <c r="Q53" s="369">
        <f>SUM(Q8:Q52)</f>
        <v>876.40000000000055</v>
      </c>
      <c r="R53" s="159">
        <f>SUM(R8:R52)</f>
        <v>934.2500000000008</v>
      </c>
      <c r="S53" s="107"/>
      <c r="T53" s="106"/>
      <c r="U53" s="554"/>
      <c r="V53" s="106"/>
      <c r="W53" s="106"/>
      <c r="X53" s="106"/>
      <c r="Y53" s="106"/>
      <c r="Z53" s="106"/>
      <c r="AA53" s="107"/>
      <c r="AB53" s="107"/>
      <c r="AC53" s="106"/>
      <c r="AD53" s="107"/>
      <c r="AE53" s="107"/>
      <c r="AF53" s="106"/>
      <c r="AG53" s="107"/>
      <c r="AH53" s="107"/>
      <c r="AI53" s="107"/>
      <c r="AJ53" s="107"/>
      <c r="AK53" s="107"/>
      <c r="AL53" s="107"/>
    </row>
    <row r="54" spans="1:38" s="2" customFormat="1" ht="15.75" thickBot="1" x14ac:dyDescent="0.35">
      <c r="A54" s="102"/>
      <c r="B54" s="113"/>
      <c r="C54" s="102"/>
      <c r="D54" s="119"/>
      <c r="E54" s="119"/>
      <c r="F54" s="102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5"/>
      <c r="R54" s="116"/>
      <c r="S54" s="121"/>
      <c r="T54" s="106"/>
      <c r="U54" s="554"/>
      <c r="V54" s="106"/>
      <c r="W54" s="106"/>
      <c r="X54" s="106"/>
      <c r="Y54" s="106"/>
      <c r="Z54" s="106"/>
      <c r="AA54" s="107"/>
      <c r="AB54" s="107"/>
      <c r="AC54" s="106"/>
      <c r="AD54" s="107"/>
      <c r="AE54" s="107"/>
      <c r="AF54" s="106"/>
      <c r="AG54" s="102"/>
      <c r="AH54" s="102"/>
      <c r="AI54" s="102"/>
      <c r="AJ54" s="102"/>
      <c r="AK54" s="102"/>
      <c r="AL54" s="102"/>
    </row>
    <row r="55" spans="1:38" s="40" customFormat="1" ht="60" x14ac:dyDescent="0.3">
      <c r="A55" s="103"/>
      <c r="B55" s="323" t="s">
        <v>97</v>
      </c>
      <c r="C55" s="153" t="s">
        <v>96</v>
      </c>
      <c r="D55" s="153"/>
      <c r="E55" s="324" t="s">
        <v>115</v>
      </c>
      <c r="F55" s="154" t="s">
        <v>2</v>
      </c>
      <c r="G55" s="143" t="s">
        <v>12</v>
      </c>
      <c r="H55" s="143" t="str">
        <f t="shared" ref="H55:P55" si="9">H3</f>
        <v>Feuerläufer</v>
      </c>
      <c r="I55" s="144" t="str">
        <f t="shared" si="9"/>
        <v>Drachenzähmer</v>
      </c>
      <c r="J55" s="143" t="str">
        <f t="shared" si="9"/>
        <v>Sporenmystiker</v>
      </c>
      <c r="K55" s="144">
        <f t="shared" si="9"/>
        <v>0</v>
      </c>
      <c r="L55" s="144">
        <f t="shared" si="9"/>
        <v>0</v>
      </c>
      <c r="M55" s="143">
        <f t="shared" si="9"/>
        <v>0</v>
      </c>
      <c r="N55" s="145">
        <f t="shared" si="9"/>
        <v>0</v>
      </c>
      <c r="O55" s="145">
        <f t="shared" si="9"/>
        <v>0</v>
      </c>
      <c r="P55" s="145" t="str">
        <f t="shared" si="9"/>
        <v>Schwammkönig</v>
      </c>
      <c r="Q55" s="370" t="s">
        <v>11</v>
      </c>
      <c r="R55" s="136" t="s">
        <v>86</v>
      </c>
      <c r="S55" s="155" t="s">
        <v>52</v>
      </c>
      <c r="T55" s="106"/>
      <c r="U55" s="554"/>
      <c r="V55" s="106"/>
      <c r="W55" s="106"/>
      <c r="X55" s="106"/>
      <c r="Y55" s="106"/>
      <c r="Z55" s="106"/>
      <c r="AA55" s="107"/>
      <c r="AB55" s="107"/>
      <c r="AC55" s="106"/>
      <c r="AD55" s="107"/>
      <c r="AE55" s="107"/>
      <c r="AF55" s="106"/>
      <c r="AG55" s="103"/>
      <c r="AH55" s="103"/>
      <c r="AI55" s="103"/>
      <c r="AJ55" s="103"/>
      <c r="AK55" s="103"/>
      <c r="AL55" s="103"/>
    </row>
    <row r="56" spans="1:38" s="46" customFormat="1" ht="18" x14ac:dyDescent="0.3">
      <c r="A56" s="105"/>
      <c r="B56" s="546"/>
      <c r="C56" s="308" t="s">
        <v>336</v>
      </c>
      <c r="D56" s="545" t="s">
        <v>117</v>
      </c>
      <c r="E56" s="538" t="s">
        <v>343</v>
      </c>
      <c r="F56" s="539" t="s">
        <v>430</v>
      </c>
      <c r="G56" s="547" t="s">
        <v>342</v>
      </c>
      <c r="H56" s="540" t="s">
        <v>92</v>
      </c>
      <c r="I56" s="540" t="s">
        <v>92</v>
      </c>
      <c r="J56" s="540" t="s">
        <v>92</v>
      </c>
      <c r="K56" s="540"/>
      <c r="L56" s="540"/>
      <c r="M56" s="541"/>
      <c r="N56" s="542"/>
      <c r="O56" s="540"/>
      <c r="P56" s="540" t="s">
        <v>92</v>
      </c>
      <c r="Q56" s="543">
        <v>250</v>
      </c>
      <c r="R56" s="548">
        <v>250</v>
      </c>
      <c r="S56" s="544" t="s">
        <v>337</v>
      </c>
      <c r="T56" s="106"/>
      <c r="U56" s="554"/>
      <c r="V56" s="106"/>
      <c r="W56" s="106"/>
      <c r="X56" s="106"/>
      <c r="Y56" s="106"/>
      <c r="Z56" s="106"/>
      <c r="AA56" s="107"/>
      <c r="AB56" s="107"/>
      <c r="AC56" s="106"/>
      <c r="AD56" s="107"/>
      <c r="AE56" s="107"/>
      <c r="AF56" s="106"/>
      <c r="AG56" s="105"/>
      <c r="AH56" s="105"/>
      <c r="AI56" s="105"/>
      <c r="AJ56" s="105"/>
      <c r="AK56" s="105"/>
      <c r="AL56" s="105"/>
    </row>
    <row r="57" spans="1:38" ht="18" x14ac:dyDescent="0.3">
      <c r="B57" s="100"/>
      <c r="C57" s="184" t="s">
        <v>315</v>
      </c>
      <c r="D57" s="186" t="s">
        <v>117</v>
      </c>
      <c r="E57" s="186" t="s">
        <v>208</v>
      </c>
      <c r="F57" s="45" t="s">
        <v>77</v>
      </c>
      <c r="G57" s="375" t="s">
        <v>95</v>
      </c>
      <c r="H57" s="99" t="s">
        <v>4</v>
      </c>
      <c r="I57" s="99" t="s">
        <v>4</v>
      </c>
      <c r="J57" s="99" t="s">
        <v>4</v>
      </c>
      <c r="K57" s="376"/>
      <c r="L57" s="375"/>
      <c r="M57" s="375"/>
      <c r="N57" s="376"/>
      <c r="O57" s="376"/>
      <c r="P57" s="99" t="s">
        <v>4</v>
      </c>
      <c r="Q57" s="366" t="s">
        <v>5</v>
      </c>
      <c r="R57" s="47">
        <v>29.99</v>
      </c>
      <c r="S57" s="48" t="s">
        <v>211</v>
      </c>
      <c r="Z57" s="106"/>
      <c r="AA57" s="107"/>
      <c r="AB57" s="107"/>
      <c r="AC57" s="106"/>
      <c r="AD57" s="107"/>
      <c r="AE57" s="107"/>
      <c r="AF57" s="106"/>
    </row>
    <row r="58" spans="1:38" s="51" customFormat="1" ht="18" customHeight="1" x14ac:dyDescent="0.3">
      <c r="A58" s="106"/>
      <c r="B58" s="101"/>
      <c r="C58" s="193" t="s">
        <v>323</v>
      </c>
      <c r="D58" s="263" t="s">
        <v>117</v>
      </c>
      <c r="E58" s="264" t="s">
        <v>102</v>
      </c>
      <c r="F58" s="265" t="s">
        <v>213</v>
      </c>
      <c r="G58" s="377" t="s">
        <v>102</v>
      </c>
      <c r="H58" s="377" t="s">
        <v>102</v>
      </c>
      <c r="I58" s="377" t="s">
        <v>102</v>
      </c>
      <c r="J58" s="377" t="s">
        <v>102</v>
      </c>
      <c r="K58" s="377"/>
      <c r="L58" s="377"/>
      <c r="M58" s="377"/>
      <c r="N58" s="376"/>
      <c r="O58" s="377"/>
      <c r="P58" s="377" t="s">
        <v>102</v>
      </c>
      <c r="Q58" s="367" t="s">
        <v>5</v>
      </c>
      <c r="R58" s="266" t="s">
        <v>5</v>
      </c>
      <c r="S58" s="267" t="s">
        <v>340</v>
      </c>
      <c r="T58" s="106"/>
      <c r="U58" s="554"/>
      <c r="V58" s="106"/>
      <c r="W58" s="106"/>
      <c r="X58" s="106"/>
      <c r="Y58" s="106"/>
      <c r="Z58" s="106"/>
      <c r="AA58" s="107"/>
      <c r="AB58" s="107"/>
      <c r="AC58" s="106"/>
      <c r="AD58" s="107"/>
      <c r="AE58" s="107"/>
      <c r="AF58" s="106"/>
      <c r="AG58" s="106"/>
      <c r="AH58" s="106"/>
      <c r="AI58" s="106"/>
      <c r="AJ58" s="106"/>
      <c r="AK58" s="106"/>
      <c r="AL58" s="106"/>
    </row>
    <row r="59" spans="1:38" s="51" customFormat="1" ht="18" x14ac:dyDescent="0.3">
      <c r="A59" s="106"/>
      <c r="B59" s="101"/>
      <c r="C59" s="193" t="s">
        <v>325</v>
      </c>
      <c r="D59" s="263" t="s">
        <v>117</v>
      </c>
      <c r="E59" s="264" t="s">
        <v>102</v>
      </c>
      <c r="F59" s="265" t="s">
        <v>213</v>
      </c>
      <c r="G59" s="377" t="s">
        <v>102</v>
      </c>
      <c r="H59" s="377" t="s">
        <v>102</v>
      </c>
      <c r="I59" s="377" t="s">
        <v>102</v>
      </c>
      <c r="J59" s="377" t="s">
        <v>102</v>
      </c>
      <c r="K59" s="377"/>
      <c r="L59" s="377"/>
      <c r="M59" s="377"/>
      <c r="N59" s="376"/>
      <c r="O59" s="377"/>
      <c r="P59" s="377" t="s">
        <v>102</v>
      </c>
      <c r="Q59" s="367" t="s">
        <v>5</v>
      </c>
      <c r="R59" s="266" t="s">
        <v>5</v>
      </c>
      <c r="S59" s="267" t="s">
        <v>340</v>
      </c>
      <c r="T59" s="106"/>
      <c r="U59" s="554"/>
      <c r="V59" s="106"/>
      <c r="W59" s="106"/>
      <c r="X59" s="106"/>
      <c r="Y59" s="106"/>
      <c r="Z59" s="106"/>
      <c r="AA59" s="107"/>
      <c r="AB59" s="107"/>
      <c r="AC59" s="106"/>
      <c r="AD59" s="107"/>
      <c r="AE59" s="107"/>
      <c r="AF59" s="106"/>
      <c r="AG59" s="106"/>
      <c r="AH59" s="106"/>
      <c r="AI59" s="106"/>
      <c r="AJ59" s="106"/>
      <c r="AK59" s="106"/>
      <c r="AL59" s="106"/>
    </row>
    <row r="60" spans="1:38" s="51" customFormat="1" ht="18" x14ac:dyDescent="0.3">
      <c r="A60" s="106"/>
      <c r="B60" s="101"/>
      <c r="C60" s="193" t="s">
        <v>432</v>
      </c>
      <c r="D60" s="263" t="s">
        <v>117</v>
      </c>
      <c r="E60" s="264" t="s">
        <v>102</v>
      </c>
      <c r="F60" s="265" t="s">
        <v>212</v>
      </c>
      <c r="G60" s="377" t="s">
        <v>102</v>
      </c>
      <c r="H60" s="377" t="s">
        <v>102</v>
      </c>
      <c r="I60" s="377" t="s">
        <v>102</v>
      </c>
      <c r="J60" s="377" t="s">
        <v>102</v>
      </c>
      <c r="K60" s="377"/>
      <c r="L60" s="377"/>
      <c r="M60" s="377"/>
      <c r="N60" s="376"/>
      <c r="O60" s="377"/>
      <c r="P60" s="377" t="s">
        <v>102</v>
      </c>
      <c r="Q60" s="367" t="s">
        <v>5</v>
      </c>
      <c r="R60" s="266" t="s">
        <v>5</v>
      </c>
      <c r="S60" s="267" t="s">
        <v>340</v>
      </c>
      <c r="T60" s="106"/>
      <c r="U60" s="553" t="e">
        <f t="shared" ref="U60" si="10">R60*0.6</f>
        <v>#VALUE!</v>
      </c>
      <c r="V60" s="106"/>
      <c r="W60" s="106"/>
      <c r="X60" s="106"/>
      <c r="Y60" s="106"/>
      <c r="Z60" s="106"/>
      <c r="AA60" s="107"/>
      <c r="AB60" s="107"/>
      <c r="AC60" s="106"/>
      <c r="AD60" s="107"/>
      <c r="AE60" s="107"/>
      <c r="AF60" s="106"/>
      <c r="AG60" s="106"/>
      <c r="AH60" s="106"/>
      <c r="AI60" s="106"/>
      <c r="AJ60" s="106"/>
      <c r="AK60" s="106"/>
      <c r="AL60" s="106"/>
    </row>
    <row r="61" spans="1:38" s="40" customFormat="1" ht="18" hidden="1" customHeight="1" outlineLevel="1" x14ac:dyDescent="0.3">
      <c r="B61" s="194"/>
      <c r="C61" s="193"/>
      <c r="D61" s="263" t="s">
        <v>117</v>
      </c>
      <c r="E61" s="264" t="s">
        <v>102</v>
      </c>
      <c r="F61" s="265" t="s">
        <v>213</v>
      </c>
      <c r="G61" s="377" t="s">
        <v>102</v>
      </c>
      <c r="H61" s="377" t="s">
        <v>102</v>
      </c>
      <c r="I61" s="377" t="s">
        <v>102</v>
      </c>
      <c r="J61" s="377" t="s">
        <v>102</v>
      </c>
      <c r="K61" s="377"/>
      <c r="L61" s="377"/>
      <c r="M61" s="377"/>
      <c r="N61" s="376"/>
      <c r="O61" s="377"/>
      <c r="P61" s="377" t="s">
        <v>102</v>
      </c>
      <c r="Q61" s="367" t="s">
        <v>5</v>
      </c>
      <c r="R61" s="266" t="s">
        <v>5</v>
      </c>
      <c r="S61" s="267" t="s">
        <v>340</v>
      </c>
      <c r="T61" s="106"/>
      <c r="U61" s="554"/>
      <c r="V61" s="106"/>
      <c r="W61" s="106"/>
      <c r="X61" s="106"/>
      <c r="Y61" s="106"/>
      <c r="Z61" s="106"/>
      <c r="AA61" s="107"/>
      <c r="AB61" s="107"/>
      <c r="AC61" s="106"/>
      <c r="AD61" s="107"/>
      <c r="AE61" s="107"/>
      <c r="AF61" s="106"/>
    </row>
    <row r="62" spans="1:38" s="46" customFormat="1" ht="18" collapsed="1" x14ac:dyDescent="0.3">
      <c r="A62" s="105"/>
      <c r="B62" s="100"/>
      <c r="C62" s="44" t="s">
        <v>322</v>
      </c>
      <c r="D62" s="191" t="s">
        <v>334</v>
      </c>
      <c r="E62" s="186" t="s">
        <v>328</v>
      </c>
      <c r="F62" s="45" t="s">
        <v>77</v>
      </c>
      <c r="G62" s="375" t="s">
        <v>95</v>
      </c>
      <c r="H62" s="99" t="s">
        <v>4</v>
      </c>
      <c r="I62" s="99" t="s">
        <v>4</v>
      </c>
      <c r="J62" s="99" t="s">
        <v>4</v>
      </c>
      <c r="K62" s="375"/>
      <c r="L62" s="375"/>
      <c r="M62" s="375"/>
      <c r="N62" s="376"/>
      <c r="O62" s="376"/>
      <c r="P62" s="99" t="s">
        <v>4</v>
      </c>
      <c r="Q62" s="367" t="s">
        <v>5</v>
      </c>
      <c r="R62" s="47">
        <v>11.99</v>
      </c>
      <c r="S62" s="295"/>
      <c r="T62" s="105"/>
      <c r="U62" s="556"/>
      <c r="V62" s="105"/>
      <c r="W62" s="105"/>
      <c r="X62" s="105"/>
      <c r="Y62" s="105"/>
      <c r="Z62" s="106"/>
      <c r="AA62" s="107"/>
      <c r="AB62" s="107"/>
      <c r="AC62" s="106"/>
      <c r="AD62" s="107"/>
      <c r="AE62" s="107"/>
      <c r="AF62" s="106"/>
      <c r="AG62" s="105"/>
      <c r="AH62" s="105"/>
      <c r="AI62" s="105"/>
      <c r="AJ62" s="105"/>
      <c r="AK62" s="105"/>
      <c r="AL62" s="105"/>
    </row>
    <row r="63" spans="1:38" s="51" customFormat="1" ht="18" customHeight="1" x14ac:dyDescent="0.3">
      <c r="A63" s="106"/>
      <c r="B63" s="101"/>
      <c r="C63" s="193" t="s">
        <v>324</v>
      </c>
      <c r="D63" s="263" t="s">
        <v>334</v>
      </c>
      <c r="E63" s="264" t="s">
        <v>102</v>
      </c>
      <c r="F63" s="265" t="s">
        <v>213</v>
      </c>
      <c r="G63" s="377" t="s">
        <v>102</v>
      </c>
      <c r="H63" s="377" t="s">
        <v>102</v>
      </c>
      <c r="I63" s="377" t="s">
        <v>102</v>
      </c>
      <c r="J63" s="377" t="s">
        <v>102</v>
      </c>
      <c r="K63" s="377"/>
      <c r="L63" s="377"/>
      <c r="M63" s="377"/>
      <c r="N63" s="376"/>
      <c r="O63" s="377"/>
      <c r="P63" s="377" t="s">
        <v>102</v>
      </c>
      <c r="Q63" s="367" t="s">
        <v>5</v>
      </c>
      <c r="R63" s="266" t="s">
        <v>5</v>
      </c>
      <c r="S63" s="267" t="s">
        <v>341</v>
      </c>
      <c r="T63" s="106"/>
      <c r="U63" s="554"/>
      <c r="V63" s="106"/>
      <c r="W63" s="106"/>
      <c r="X63" s="106"/>
      <c r="Y63" s="106"/>
      <c r="Z63" s="106"/>
      <c r="AA63" s="107"/>
      <c r="AB63" s="107"/>
      <c r="AC63" s="106"/>
      <c r="AD63" s="107"/>
      <c r="AE63" s="107"/>
      <c r="AF63" s="106"/>
      <c r="AG63" s="106"/>
      <c r="AH63" s="106"/>
      <c r="AI63" s="106"/>
      <c r="AJ63" s="106"/>
      <c r="AK63" s="106"/>
      <c r="AL63" s="106"/>
    </row>
    <row r="64" spans="1:38" s="51" customFormat="1" ht="18" customHeight="1" x14ac:dyDescent="0.3">
      <c r="A64" s="106"/>
      <c r="B64" s="101"/>
      <c r="C64" s="193" t="s">
        <v>439</v>
      </c>
      <c r="D64" s="263" t="s">
        <v>334</v>
      </c>
      <c r="E64" s="264" t="s">
        <v>102</v>
      </c>
      <c r="F64" s="265" t="s">
        <v>213</v>
      </c>
      <c r="G64" s="377" t="s">
        <v>102</v>
      </c>
      <c r="H64" s="377" t="s">
        <v>102</v>
      </c>
      <c r="I64" s="377" t="s">
        <v>102</v>
      </c>
      <c r="J64" s="377" t="s">
        <v>102</v>
      </c>
      <c r="K64" s="377"/>
      <c r="L64" s="377"/>
      <c r="M64" s="377"/>
      <c r="N64" s="376"/>
      <c r="O64" s="377"/>
      <c r="P64" s="377" t="s">
        <v>102</v>
      </c>
      <c r="Q64" s="367" t="s">
        <v>5</v>
      </c>
      <c r="R64" s="266" t="s">
        <v>5</v>
      </c>
      <c r="S64" s="267" t="s">
        <v>341</v>
      </c>
      <c r="T64" s="106"/>
      <c r="U64" s="553" t="e">
        <f t="shared" ref="U64" si="11">R64*0.6</f>
        <v>#VALUE!</v>
      </c>
      <c r="V64" s="106"/>
      <c r="W64" s="106"/>
      <c r="X64" s="106"/>
      <c r="Y64" s="106"/>
      <c r="Z64" s="106"/>
      <c r="AA64" s="107"/>
      <c r="AB64" s="107"/>
      <c r="AC64" s="106"/>
      <c r="AD64" s="107"/>
      <c r="AE64" s="107"/>
      <c r="AF64" s="106"/>
      <c r="AG64" s="106"/>
      <c r="AH64" s="106"/>
      <c r="AI64" s="106"/>
      <c r="AJ64" s="106"/>
      <c r="AK64" s="106"/>
      <c r="AL64" s="106"/>
    </row>
    <row r="65" spans="1:38" s="51" customFormat="1" ht="18" customHeight="1" x14ac:dyDescent="0.3">
      <c r="A65" s="106"/>
      <c r="B65" s="101"/>
      <c r="C65" s="193" t="s">
        <v>326</v>
      </c>
      <c r="D65" s="263" t="s">
        <v>334</v>
      </c>
      <c r="E65" s="264" t="s">
        <v>102</v>
      </c>
      <c r="F65" s="265" t="s">
        <v>213</v>
      </c>
      <c r="G65" s="377" t="s">
        <v>102</v>
      </c>
      <c r="H65" s="377" t="s">
        <v>102</v>
      </c>
      <c r="I65" s="377" t="s">
        <v>102</v>
      </c>
      <c r="J65" s="377" t="s">
        <v>102</v>
      </c>
      <c r="K65" s="377"/>
      <c r="L65" s="377"/>
      <c r="M65" s="377"/>
      <c r="N65" s="376"/>
      <c r="O65" s="377"/>
      <c r="P65" s="377" t="s">
        <v>102</v>
      </c>
      <c r="Q65" s="367" t="s">
        <v>5</v>
      </c>
      <c r="R65" s="266" t="s">
        <v>5</v>
      </c>
      <c r="S65" s="267" t="s">
        <v>341</v>
      </c>
      <c r="T65" s="106"/>
      <c r="U65" s="554"/>
      <c r="V65" s="106"/>
      <c r="W65" s="106"/>
      <c r="X65" s="106"/>
      <c r="Y65" s="106"/>
      <c r="Z65" s="106"/>
      <c r="AA65" s="107"/>
      <c r="AB65" s="107"/>
      <c r="AC65" s="106"/>
      <c r="AD65" s="107"/>
      <c r="AE65" s="107"/>
      <c r="AF65" s="106"/>
      <c r="AG65" s="106"/>
      <c r="AH65" s="106"/>
      <c r="AI65" s="106"/>
      <c r="AJ65" s="106"/>
      <c r="AK65" s="106"/>
      <c r="AL65" s="106"/>
    </row>
    <row r="66" spans="1:38" s="51" customFormat="1" ht="18" customHeight="1" x14ac:dyDescent="0.3">
      <c r="A66" s="106"/>
      <c r="B66" s="101"/>
      <c r="C66" s="193" t="s">
        <v>428</v>
      </c>
      <c r="D66" s="263" t="s">
        <v>334</v>
      </c>
      <c r="E66" s="264" t="s">
        <v>102</v>
      </c>
      <c r="F66" s="265" t="s">
        <v>213</v>
      </c>
      <c r="G66" s="377" t="s">
        <v>102</v>
      </c>
      <c r="H66" s="377" t="s">
        <v>102</v>
      </c>
      <c r="I66" s="377" t="s">
        <v>102</v>
      </c>
      <c r="J66" s="377" t="s">
        <v>102</v>
      </c>
      <c r="K66" s="377"/>
      <c r="L66" s="377"/>
      <c r="M66" s="377"/>
      <c r="N66" s="376"/>
      <c r="O66" s="377"/>
      <c r="P66" s="377" t="s">
        <v>102</v>
      </c>
      <c r="Q66" s="367" t="s">
        <v>5</v>
      </c>
      <c r="R66" s="266" t="s">
        <v>5</v>
      </c>
      <c r="S66" s="267" t="s">
        <v>341</v>
      </c>
      <c r="T66" s="106"/>
      <c r="U66" s="553" t="e">
        <f t="shared" ref="U66:U68" si="12">R66*0.6</f>
        <v>#VALUE!</v>
      </c>
      <c r="V66" s="106"/>
      <c r="W66" s="106"/>
      <c r="X66" s="106"/>
      <c r="Y66" s="106"/>
      <c r="Z66" s="106"/>
      <c r="AA66" s="107"/>
      <c r="AB66" s="107"/>
      <c r="AC66" s="106"/>
      <c r="AD66" s="107"/>
      <c r="AE66" s="107"/>
      <c r="AF66" s="106"/>
      <c r="AG66" s="106"/>
      <c r="AH66" s="106"/>
      <c r="AI66" s="106"/>
      <c r="AJ66" s="106"/>
      <c r="AK66" s="106"/>
      <c r="AL66" s="106"/>
    </row>
    <row r="67" spans="1:38" s="51" customFormat="1" ht="18" customHeight="1" x14ac:dyDescent="0.3">
      <c r="A67" s="106"/>
      <c r="B67" s="101"/>
      <c r="C67" s="193" t="s">
        <v>441</v>
      </c>
      <c r="D67" s="263" t="s">
        <v>334</v>
      </c>
      <c r="E67" s="264" t="s">
        <v>102</v>
      </c>
      <c r="F67" s="265" t="s">
        <v>213</v>
      </c>
      <c r="G67" s="377" t="s">
        <v>102</v>
      </c>
      <c r="H67" s="377" t="s">
        <v>102</v>
      </c>
      <c r="I67" s="377" t="s">
        <v>102</v>
      </c>
      <c r="J67" s="377" t="s">
        <v>102</v>
      </c>
      <c r="K67" s="377"/>
      <c r="L67" s="377"/>
      <c r="M67" s="377"/>
      <c r="N67" s="376"/>
      <c r="O67" s="377"/>
      <c r="P67" s="377" t="s">
        <v>102</v>
      </c>
      <c r="Q67" s="367" t="s">
        <v>5</v>
      </c>
      <c r="R67" s="266" t="s">
        <v>5</v>
      </c>
      <c r="S67" s="267" t="s">
        <v>341</v>
      </c>
      <c r="T67" s="106"/>
      <c r="U67" s="553" t="e">
        <f t="shared" si="12"/>
        <v>#VALUE!</v>
      </c>
      <c r="V67" s="106"/>
      <c r="W67" s="106"/>
      <c r="X67" s="106"/>
      <c r="Y67" s="106"/>
      <c r="Z67" s="106"/>
      <c r="AA67" s="107"/>
      <c r="AB67" s="107"/>
      <c r="AC67" s="106"/>
      <c r="AD67" s="107"/>
      <c r="AE67" s="107"/>
      <c r="AF67" s="106"/>
      <c r="AG67" s="106"/>
      <c r="AH67" s="106"/>
      <c r="AI67" s="106"/>
      <c r="AJ67" s="106"/>
      <c r="AK67" s="106"/>
      <c r="AL67" s="106"/>
    </row>
    <row r="68" spans="1:38" s="51" customFormat="1" ht="18" customHeight="1" x14ac:dyDescent="0.3">
      <c r="A68" s="106"/>
      <c r="B68" s="101"/>
      <c r="C68" s="622" t="s">
        <v>444</v>
      </c>
      <c r="D68" s="623" t="s">
        <v>334</v>
      </c>
      <c r="E68" s="624" t="s">
        <v>102</v>
      </c>
      <c r="F68" s="625" t="s">
        <v>213</v>
      </c>
      <c r="G68" s="626" t="s">
        <v>102</v>
      </c>
      <c r="H68" s="626" t="s">
        <v>102</v>
      </c>
      <c r="I68" s="626" t="s">
        <v>102</v>
      </c>
      <c r="J68" s="626" t="s">
        <v>102</v>
      </c>
      <c r="K68" s="626"/>
      <c r="L68" s="626"/>
      <c r="M68" s="626"/>
      <c r="N68" s="627"/>
      <c r="O68" s="626"/>
      <c r="P68" s="626" t="s">
        <v>102</v>
      </c>
      <c r="Q68" s="628" t="s">
        <v>5</v>
      </c>
      <c r="R68" s="628" t="s">
        <v>5</v>
      </c>
      <c r="S68" s="629" t="s">
        <v>341</v>
      </c>
      <c r="T68" s="106"/>
      <c r="U68" s="553" t="e">
        <f t="shared" si="12"/>
        <v>#VALUE!</v>
      </c>
      <c r="V68" s="106"/>
      <c r="W68" s="106"/>
      <c r="X68" s="106"/>
      <c r="Y68" s="106"/>
      <c r="Z68" s="106"/>
      <c r="AA68" s="107"/>
      <c r="AB68" s="107"/>
      <c r="AC68" s="106"/>
      <c r="AD68" s="107"/>
      <c r="AE68" s="107"/>
      <c r="AF68" s="106"/>
      <c r="AG68" s="106"/>
      <c r="AH68" s="106"/>
      <c r="AI68" s="106"/>
      <c r="AJ68" s="106"/>
      <c r="AK68" s="106"/>
      <c r="AL68" s="106"/>
    </row>
    <row r="69" spans="1:38" s="46" customFormat="1" ht="18" x14ac:dyDescent="0.3">
      <c r="A69" s="105"/>
      <c r="B69" s="100"/>
      <c r="C69" s="44" t="s">
        <v>319</v>
      </c>
      <c r="D69" s="186" t="s">
        <v>117</v>
      </c>
      <c r="E69" s="186" t="s">
        <v>328</v>
      </c>
      <c r="F69" s="45" t="s">
        <v>77</v>
      </c>
      <c r="G69" s="375" t="s">
        <v>95</v>
      </c>
      <c r="H69" s="375" t="str">
        <f>IF(B20="x","enthalten","Kauf nach CF")</f>
        <v>Kauf nach CF</v>
      </c>
      <c r="I69" s="99" t="s">
        <v>4</v>
      </c>
      <c r="J69" s="99" t="s">
        <v>4</v>
      </c>
      <c r="K69" s="376"/>
      <c r="L69" s="375"/>
      <c r="M69" s="375"/>
      <c r="N69" s="376"/>
      <c r="O69" s="376"/>
      <c r="P69" s="99" t="s">
        <v>4</v>
      </c>
      <c r="Q69" s="367" t="s">
        <v>5</v>
      </c>
      <c r="R69" s="47">
        <v>11.99</v>
      </c>
      <c r="S69" s="295"/>
      <c r="T69" s="105"/>
      <c r="U69" s="556"/>
      <c r="V69" s="105"/>
      <c r="W69" s="105"/>
      <c r="X69" s="105"/>
      <c r="Y69" s="105"/>
      <c r="Z69" s="106"/>
      <c r="AA69" s="107"/>
      <c r="AB69" s="107"/>
      <c r="AC69" s="106"/>
      <c r="AD69" s="107"/>
      <c r="AE69" s="107"/>
      <c r="AF69" s="106"/>
      <c r="AG69" s="105"/>
      <c r="AH69" s="105"/>
      <c r="AI69" s="105"/>
      <c r="AJ69" s="105"/>
      <c r="AK69" s="105"/>
      <c r="AL69" s="105"/>
    </row>
    <row r="70" spans="1:38" ht="18" x14ac:dyDescent="0.3">
      <c r="B70" s="100"/>
      <c r="C70" s="184" t="s">
        <v>317</v>
      </c>
      <c r="D70" s="186" t="s">
        <v>117</v>
      </c>
      <c r="E70" s="186" t="s">
        <v>328</v>
      </c>
      <c r="F70" s="45" t="s">
        <v>77</v>
      </c>
      <c r="G70" s="375" t="s">
        <v>95</v>
      </c>
      <c r="H70" s="375" t="str">
        <f>IF(B21="x","enthalten","Kauf nach CF")</f>
        <v>Kauf nach CF</v>
      </c>
      <c r="I70" s="99" t="s">
        <v>4</v>
      </c>
      <c r="J70" s="99" t="s">
        <v>4</v>
      </c>
      <c r="K70" s="375"/>
      <c r="L70" s="375"/>
      <c r="M70" s="375"/>
      <c r="N70" s="376"/>
      <c r="O70" s="375"/>
      <c r="P70" s="99" t="s">
        <v>4</v>
      </c>
      <c r="Q70" s="367" t="s">
        <v>5</v>
      </c>
      <c r="R70" s="47">
        <v>11.99</v>
      </c>
      <c r="S70" s="295"/>
      <c r="Z70" s="106"/>
      <c r="AA70" s="107"/>
      <c r="AB70" s="107"/>
      <c r="AC70" s="106"/>
      <c r="AD70" s="107"/>
      <c r="AE70" s="107"/>
      <c r="AF70" s="106"/>
    </row>
    <row r="71" spans="1:38" s="46" customFormat="1" ht="18" x14ac:dyDescent="0.3">
      <c r="A71" s="105"/>
      <c r="B71" s="100"/>
      <c r="C71" s="44" t="s">
        <v>318</v>
      </c>
      <c r="D71" s="186" t="s">
        <v>117</v>
      </c>
      <c r="E71" s="186" t="s">
        <v>328</v>
      </c>
      <c r="F71" s="45" t="s">
        <v>77</v>
      </c>
      <c r="G71" s="375" t="s">
        <v>95</v>
      </c>
      <c r="H71" s="375" t="str">
        <f>IF(B22="x","enthalten","Kauf nach CF")</f>
        <v>Kauf nach CF</v>
      </c>
      <c r="I71" s="99" t="s">
        <v>4</v>
      </c>
      <c r="J71" s="99" t="s">
        <v>4</v>
      </c>
      <c r="K71" s="376"/>
      <c r="L71" s="375"/>
      <c r="M71" s="375"/>
      <c r="N71" s="376"/>
      <c r="O71" s="376"/>
      <c r="P71" s="99" t="s">
        <v>4</v>
      </c>
      <c r="Q71" s="367" t="s">
        <v>5</v>
      </c>
      <c r="R71" s="47">
        <v>11.99</v>
      </c>
      <c r="S71" s="295"/>
      <c r="T71" s="105"/>
      <c r="U71" s="556"/>
      <c r="V71" s="105"/>
      <c r="W71" s="105"/>
      <c r="X71" s="105"/>
      <c r="Y71" s="105"/>
      <c r="Z71" s="106"/>
      <c r="AA71" s="107"/>
      <c r="AB71" s="107"/>
      <c r="AC71" s="106"/>
      <c r="AD71" s="107"/>
      <c r="AE71" s="107"/>
      <c r="AF71" s="106"/>
      <c r="AG71" s="105"/>
      <c r="AH71" s="105"/>
      <c r="AI71" s="105"/>
      <c r="AJ71" s="105"/>
      <c r="AK71" s="105"/>
      <c r="AL71" s="105"/>
    </row>
    <row r="72" spans="1:38" s="46" customFormat="1" ht="18" x14ac:dyDescent="0.3">
      <c r="A72" s="105"/>
      <c r="B72" s="100"/>
      <c r="C72" s="44" t="s">
        <v>320</v>
      </c>
      <c r="D72" s="186" t="s">
        <v>117</v>
      </c>
      <c r="E72" s="186" t="s">
        <v>329</v>
      </c>
      <c r="F72" s="45" t="s">
        <v>335</v>
      </c>
      <c r="G72" s="375" t="s">
        <v>95</v>
      </c>
      <c r="H72" s="375" t="str">
        <f>IF(B23="x","enthalten","Kauf nach CF")</f>
        <v>Kauf nach CF</v>
      </c>
      <c r="I72" s="99" t="s">
        <v>4</v>
      </c>
      <c r="J72" s="375" t="str">
        <f>IF(B23="x","enthalten","Kauf nach CF")</f>
        <v>Kauf nach CF</v>
      </c>
      <c r="K72" s="376"/>
      <c r="L72" s="375"/>
      <c r="M72" s="375"/>
      <c r="N72" s="376"/>
      <c r="O72" s="376"/>
      <c r="P72" s="99" t="s">
        <v>4</v>
      </c>
      <c r="Q72" s="367" t="s">
        <v>5</v>
      </c>
      <c r="R72" s="47">
        <v>11.99</v>
      </c>
      <c r="S72" s="295"/>
      <c r="T72" s="105"/>
      <c r="U72" s="556"/>
      <c r="V72" s="105"/>
      <c r="W72" s="105"/>
      <c r="X72" s="105"/>
      <c r="Y72" s="105"/>
      <c r="Z72" s="106"/>
      <c r="AA72" s="107"/>
      <c r="AB72" s="107"/>
      <c r="AC72" s="106"/>
      <c r="AD72" s="107"/>
      <c r="AE72" s="107"/>
      <c r="AF72" s="106"/>
      <c r="AG72" s="105"/>
      <c r="AH72" s="105"/>
      <c r="AI72" s="105"/>
      <c r="AJ72" s="105"/>
      <c r="AK72" s="105"/>
      <c r="AL72" s="105"/>
    </row>
    <row r="73" spans="1:38" s="46" customFormat="1" ht="18" x14ac:dyDescent="0.3">
      <c r="A73" s="105"/>
      <c r="B73" s="100"/>
      <c r="C73" s="44" t="s">
        <v>345</v>
      </c>
      <c r="D73" s="191" t="s">
        <v>117</v>
      </c>
      <c r="E73" s="186" t="s">
        <v>209</v>
      </c>
      <c r="F73" s="45" t="s">
        <v>77</v>
      </c>
      <c r="G73" s="375" t="s">
        <v>95</v>
      </c>
      <c r="H73" s="99" t="s">
        <v>4</v>
      </c>
      <c r="I73" s="99" t="s">
        <v>4</v>
      </c>
      <c r="J73" s="99" t="s">
        <v>4</v>
      </c>
      <c r="K73" s="375"/>
      <c r="L73" s="375"/>
      <c r="M73" s="375"/>
      <c r="N73" s="376"/>
      <c r="O73" s="376"/>
      <c r="P73" s="99" t="s">
        <v>4</v>
      </c>
      <c r="Q73" s="366" t="s">
        <v>5</v>
      </c>
      <c r="R73" s="47">
        <v>5.99</v>
      </c>
      <c r="S73" s="48" t="s">
        <v>339</v>
      </c>
      <c r="T73" s="105"/>
      <c r="U73" s="556"/>
      <c r="V73" s="105"/>
      <c r="W73" s="105"/>
      <c r="X73" s="105"/>
      <c r="Y73" s="105"/>
      <c r="Z73" s="106"/>
      <c r="AA73" s="107"/>
      <c r="AB73" s="107"/>
      <c r="AC73" s="106"/>
      <c r="AD73" s="107"/>
      <c r="AE73" s="107"/>
      <c r="AF73" s="106"/>
      <c r="AG73" s="105"/>
      <c r="AH73" s="105"/>
      <c r="AI73" s="105"/>
      <c r="AJ73" s="105"/>
      <c r="AK73" s="105"/>
      <c r="AL73" s="105"/>
    </row>
    <row r="74" spans="1:38" s="51" customFormat="1" ht="18" customHeight="1" x14ac:dyDescent="0.3">
      <c r="A74" s="106"/>
      <c r="B74" s="101"/>
      <c r="C74" s="193" t="s">
        <v>431</v>
      </c>
      <c r="D74" s="263" t="s">
        <v>117</v>
      </c>
      <c r="E74" s="264" t="s">
        <v>338</v>
      </c>
      <c r="F74" s="265" t="s">
        <v>77</v>
      </c>
      <c r="G74" s="377" t="s">
        <v>102</v>
      </c>
      <c r="H74" s="377" t="s">
        <v>102</v>
      </c>
      <c r="I74" s="377" t="s">
        <v>102</v>
      </c>
      <c r="J74" s="377" t="s">
        <v>102</v>
      </c>
      <c r="K74" s="377"/>
      <c r="L74" s="377"/>
      <c r="M74" s="377"/>
      <c r="N74" s="376"/>
      <c r="O74" s="377"/>
      <c r="P74" s="377" t="s">
        <v>102</v>
      </c>
      <c r="Q74" s="367" t="s">
        <v>5</v>
      </c>
      <c r="R74" s="266" t="s">
        <v>5</v>
      </c>
      <c r="S74" s="267" t="s">
        <v>210</v>
      </c>
      <c r="T74" s="106"/>
      <c r="U74" s="554"/>
      <c r="V74" s="106"/>
      <c r="W74" s="106"/>
      <c r="X74" s="106"/>
      <c r="Y74" s="106"/>
      <c r="Z74" s="106"/>
      <c r="AA74" s="107"/>
      <c r="AB74" s="107"/>
      <c r="AC74" s="106"/>
      <c r="AD74" s="107"/>
      <c r="AE74" s="107"/>
      <c r="AF74" s="106"/>
      <c r="AG74" s="106"/>
      <c r="AH74" s="106"/>
      <c r="AI74" s="106"/>
      <c r="AJ74" s="106"/>
      <c r="AK74" s="106"/>
      <c r="AL74" s="106"/>
    </row>
    <row r="75" spans="1:38" s="51" customFormat="1" ht="18" customHeight="1" thickBot="1" x14ac:dyDescent="0.35">
      <c r="A75" s="106"/>
      <c r="B75" s="101"/>
      <c r="C75" s="193" t="s">
        <v>436</v>
      </c>
      <c r="D75" s="263" t="s">
        <v>117</v>
      </c>
      <c r="E75" s="264" t="s">
        <v>338</v>
      </c>
      <c r="F75" s="265" t="s">
        <v>77</v>
      </c>
      <c r="G75" s="377" t="s">
        <v>102</v>
      </c>
      <c r="H75" s="377" t="s">
        <v>102</v>
      </c>
      <c r="I75" s="377" t="s">
        <v>102</v>
      </c>
      <c r="J75" s="377" t="s">
        <v>102</v>
      </c>
      <c r="K75" s="377"/>
      <c r="L75" s="377"/>
      <c r="M75" s="377"/>
      <c r="N75" s="376"/>
      <c r="O75" s="377"/>
      <c r="P75" s="377" t="s">
        <v>102</v>
      </c>
      <c r="Q75" s="367" t="s">
        <v>5</v>
      </c>
      <c r="R75" s="266" t="s">
        <v>5</v>
      </c>
      <c r="S75" s="267" t="s">
        <v>210</v>
      </c>
      <c r="T75" s="106"/>
      <c r="U75" s="554"/>
      <c r="V75" s="106"/>
      <c r="W75" s="106"/>
      <c r="X75" s="106"/>
      <c r="Y75" s="106"/>
      <c r="Z75" s="106"/>
      <c r="AA75" s="107"/>
      <c r="AB75" s="107"/>
      <c r="AC75" s="106"/>
      <c r="AD75" s="107"/>
      <c r="AE75" s="107"/>
      <c r="AF75" s="106"/>
      <c r="AG75" s="106"/>
      <c r="AH75" s="106"/>
      <c r="AI75" s="106"/>
      <c r="AJ75" s="106"/>
      <c r="AK75" s="106"/>
      <c r="AL75" s="106"/>
    </row>
    <row r="76" spans="1:38" s="46" customFormat="1" ht="18.75" hidden="1" outlineLevel="1" thickBot="1" x14ac:dyDescent="0.35">
      <c r="A76" s="105"/>
      <c r="B76" s="194"/>
      <c r="C76" s="44"/>
      <c r="D76" s="358" t="s">
        <v>117</v>
      </c>
      <c r="E76" s="359"/>
      <c r="F76" s="360" t="s">
        <v>77</v>
      </c>
      <c r="G76" s="379" t="s">
        <v>102</v>
      </c>
      <c r="H76" s="379" t="s">
        <v>102</v>
      </c>
      <c r="I76" s="379" t="s">
        <v>102</v>
      </c>
      <c r="J76" s="379" t="s">
        <v>102</v>
      </c>
      <c r="K76" s="380"/>
      <c r="L76" s="380"/>
      <c r="M76" s="380"/>
      <c r="N76" s="380"/>
      <c r="O76" s="380"/>
      <c r="P76" s="380" t="s">
        <v>102</v>
      </c>
      <c r="Q76" s="371" t="s">
        <v>5</v>
      </c>
      <c r="R76" s="361" t="s">
        <v>5</v>
      </c>
      <c r="S76" s="362" t="s">
        <v>210</v>
      </c>
      <c r="T76" s="102"/>
      <c r="U76" s="2"/>
      <c r="V76" s="102"/>
      <c r="W76" s="102"/>
      <c r="X76" s="102"/>
      <c r="Y76" s="102"/>
      <c r="Z76" s="102"/>
      <c r="AA76" s="357"/>
      <c r="AB76" s="357"/>
      <c r="AC76" s="102"/>
      <c r="AD76" s="357"/>
      <c r="AE76" s="357"/>
      <c r="AF76" s="102"/>
      <c r="AG76" s="105"/>
      <c r="AH76" s="105"/>
      <c r="AI76" s="105"/>
      <c r="AJ76" s="105"/>
      <c r="AK76" s="105"/>
      <c r="AL76" s="105"/>
    </row>
    <row r="77" spans="1:38" s="1" customFormat="1" ht="15.75" collapsed="1" thickBot="1" x14ac:dyDescent="0.35">
      <c r="A77" s="107"/>
      <c r="B77" s="217" t="s">
        <v>99</v>
      </c>
      <c r="C77" s="706" t="s">
        <v>121</v>
      </c>
      <c r="D77" s="707"/>
      <c r="E77" s="707"/>
      <c r="F77" s="708"/>
      <c r="G77" s="157">
        <f t="shared" ref="G77:P77" si="13">SUMIF(G$56:G$76,"µ",$R$56:$R$76)</f>
        <v>0</v>
      </c>
      <c r="H77" s="157">
        <f t="shared" si="13"/>
        <v>47.97</v>
      </c>
      <c r="I77" s="157">
        <f t="shared" si="13"/>
        <v>95.929999999999978</v>
      </c>
      <c r="J77" s="157">
        <f t="shared" si="13"/>
        <v>83.939999999999984</v>
      </c>
      <c r="K77" s="157">
        <f t="shared" si="13"/>
        <v>0</v>
      </c>
      <c r="L77" s="157">
        <f t="shared" si="13"/>
        <v>0</v>
      </c>
      <c r="M77" s="157">
        <f t="shared" si="13"/>
        <v>0</v>
      </c>
      <c r="N77" s="157">
        <f t="shared" si="13"/>
        <v>0</v>
      </c>
      <c r="O77" s="157">
        <f t="shared" si="13"/>
        <v>0</v>
      </c>
      <c r="P77" s="158">
        <f t="shared" si="13"/>
        <v>95.929999999999978</v>
      </c>
      <c r="Q77" s="369">
        <f>SUM(Q56:Q76)</f>
        <v>250</v>
      </c>
      <c r="R77" s="159">
        <f>SUM(R56:R76)</f>
        <v>345.93000000000006</v>
      </c>
      <c r="S77" s="223"/>
      <c r="T77" s="106"/>
      <c r="U77" s="554"/>
      <c r="V77" s="106"/>
      <c r="W77" s="106"/>
      <c r="X77" s="106"/>
      <c r="Y77" s="106"/>
      <c r="Z77" s="106"/>
      <c r="AA77" s="107"/>
      <c r="AB77" s="107"/>
      <c r="AC77" s="106"/>
      <c r="AD77" s="107"/>
      <c r="AE77" s="107"/>
      <c r="AF77" s="106"/>
      <c r="AG77" s="107"/>
      <c r="AH77" s="107"/>
      <c r="AI77" s="107"/>
      <c r="AJ77" s="107"/>
      <c r="AK77" s="107"/>
      <c r="AL77" s="107"/>
    </row>
    <row r="78" spans="1:38" s="1" customFormat="1" ht="15.75" thickBot="1" x14ac:dyDescent="0.35">
      <c r="A78" s="107"/>
      <c r="B78" s="156" t="s">
        <v>100</v>
      </c>
      <c r="C78" s="706" t="s">
        <v>218</v>
      </c>
      <c r="D78" s="707"/>
      <c r="E78" s="707"/>
      <c r="F78" s="708"/>
      <c r="G78" s="157">
        <f t="shared" ref="G78:R78" si="14">G53+G77</f>
        <v>0</v>
      </c>
      <c r="H78" s="157">
        <f t="shared" si="14"/>
        <v>97.92</v>
      </c>
      <c r="I78" s="157">
        <f t="shared" si="14"/>
        <v>95.929999999999978</v>
      </c>
      <c r="J78" s="157">
        <f t="shared" si="14"/>
        <v>213.69</v>
      </c>
      <c r="K78" s="157">
        <f t="shared" si="14"/>
        <v>0</v>
      </c>
      <c r="L78" s="157">
        <f t="shared" si="14"/>
        <v>0</v>
      </c>
      <c r="M78" s="157">
        <f t="shared" si="14"/>
        <v>0</v>
      </c>
      <c r="N78" s="157">
        <f t="shared" si="14"/>
        <v>0</v>
      </c>
      <c r="O78" s="157">
        <f t="shared" si="14"/>
        <v>0</v>
      </c>
      <c r="P78" s="158">
        <f t="shared" si="14"/>
        <v>270.57999999999993</v>
      </c>
      <c r="Q78" s="369">
        <f t="shared" si="14"/>
        <v>1126.4000000000005</v>
      </c>
      <c r="R78" s="159">
        <f t="shared" si="14"/>
        <v>1280.1800000000007</v>
      </c>
      <c r="S78" s="107"/>
      <c r="T78" s="106"/>
      <c r="U78" s="554"/>
      <c r="V78" s="106"/>
      <c r="W78" s="106"/>
      <c r="X78" s="106"/>
      <c r="Y78" s="106"/>
      <c r="Z78" s="106"/>
      <c r="AA78" s="107"/>
      <c r="AB78" s="107"/>
      <c r="AC78" s="106"/>
      <c r="AD78" s="107"/>
      <c r="AE78" s="107"/>
      <c r="AF78" s="106"/>
      <c r="AG78" s="107"/>
      <c r="AH78" s="107"/>
      <c r="AI78" s="107"/>
      <c r="AJ78" s="107"/>
      <c r="AK78" s="107"/>
      <c r="AL78" s="107"/>
    </row>
    <row r="79" spans="1:38" s="1" customFormat="1" ht="6.75" customHeight="1" thickBot="1" x14ac:dyDescent="0.35">
      <c r="A79" s="107"/>
      <c r="B79" s="122"/>
      <c r="C79" s="123"/>
      <c r="D79" s="188"/>
      <c r="E79" s="188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5"/>
      <c r="R79" s="126"/>
      <c r="S79" s="107"/>
      <c r="T79" s="106"/>
      <c r="U79" s="554"/>
      <c r="V79" s="106"/>
      <c r="W79" s="106"/>
      <c r="X79" s="106"/>
      <c r="Y79" s="106"/>
      <c r="Z79" s="106"/>
      <c r="AA79" s="107"/>
      <c r="AB79" s="107"/>
      <c r="AC79" s="106"/>
      <c r="AD79" s="107"/>
      <c r="AE79" s="107"/>
      <c r="AF79" s="106"/>
      <c r="AG79" s="107"/>
      <c r="AH79" s="107"/>
      <c r="AI79" s="107"/>
      <c r="AJ79" s="107"/>
      <c r="AK79" s="107"/>
      <c r="AL79" s="107"/>
    </row>
    <row r="80" spans="1:38" s="1" customFormat="1" ht="15.75" thickBot="1" x14ac:dyDescent="0.35">
      <c r="A80" s="107"/>
      <c r="B80" s="160" t="s">
        <v>6</v>
      </c>
      <c r="C80" s="703" t="s">
        <v>348</v>
      </c>
      <c r="D80" s="704"/>
      <c r="E80" s="704"/>
      <c r="F80" s="705"/>
      <c r="G80" s="137">
        <f>G$7+SUMIFS($Q$8:$Q$76,$B$8:$B$76,"x",G$8:G$76,"Zusatzprodukt")+SUMIFS($R$8:$R$76,$B$8:$B$76,"x",G$8:G$76,"Kauf nach CF")+SUMIFS($R$8:$R$76,$B$8:$B$76,"x",G$8:G$76,"nicht erhältlich")</f>
        <v>0</v>
      </c>
      <c r="H80" s="137">
        <f>H$7+SUMIFS($Q$8:$Q$76,$B$8:$B$76,"x",H$8:H$76,"Zusatzprodukt")+SUMIFS($R$8:$R$76,$B$8:$B$76,"x",H$8:H$76,"Kauf nach CF")</f>
        <v>50</v>
      </c>
      <c r="I80" s="137">
        <f>I$7+SUMIFS($Q$8:$Q$76,$B$8:$B$76,"x",I$8:I$76,"Zusatzprodukt")+SUMIFS($R$8:$R$76,$B$8:$B$76,"x",I$8:I$76,"Kauf nach CF")</f>
        <v>75</v>
      </c>
      <c r="J80" s="137">
        <f>J$7+SUMIFS($Q$8:$Q$76,$B$8:$B$76,"x",J$8:J$76,"Zusatzprodukt")+SUMIFS($R$8:$R$76,$B$8:$B$76,"x",J$8:J$76,"Kauf nach CF")</f>
        <v>110</v>
      </c>
      <c r="K80" s="137"/>
      <c r="L80" s="137"/>
      <c r="M80" s="137"/>
      <c r="N80" s="137"/>
      <c r="O80" s="137"/>
      <c r="P80" s="138">
        <f>P$7+SUMIFS($Q$8:$Q$76,$B$8:$B$76,"x",P$8:P$76,"Zusatzprodukt")+SUMIFS($R$8:$R$76,$B$8:$B$76,"x",P$8:P$76,"Kauf nach CF")</f>
        <v>150</v>
      </c>
      <c r="Q80" s="125"/>
      <c r="R80" s="126"/>
      <c r="S80" s="107"/>
      <c r="T80" s="106"/>
      <c r="U80" s="554"/>
      <c r="V80" s="106"/>
      <c r="W80" s="106"/>
      <c r="X80" s="106"/>
      <c r="Y80" s="106"/>
      <c r="Z80" s="106"/>
      <c r="AA80" s="107"/>
      <c r="AB80" s="107"/>
      <c r="AC80" s="106"/>
      <c r="AD80" s="107"/>
      <c r="AE80" s="107"/>
      <c r="AF80" s="106"/>
      <c r="AG80" s="107"/>
      <c r="AH80" s="107"/>
      <c r="AI80" s="107"/>
      <c r="AJ80" s="107"/>
      <c r="AK80" s="107"/>
      <c r="AL80" s="107"/>
    </row>
    <row r="81" spans="1:38" s="1" customFormat="1" ht="28.5" customHeight="1" x14ac:dyDescent="0.3">
      <c r="A81" s="107"/>
      <c r="B81" s="122"/>
      <c r="C81" s="695" t="s">
        <v>346</v>
      </c>
      <c r="D81" s="696"/>
      <c r="E81" s="696"/>
      <c r="F81" s="177" t="s">
        <v>138</v>
      </c>
      <c r="G81" s="178" t="s">
        <v>7</v>
      </c>
      <c r="H81" s="372">
        <f>$G$80-H$80</f>
        <v>-50</v>
      </c>
      <c r="I81" s="372">
        <f>$G$80-I$80</f>
        <v>-75</v>
      </c>
      <c r="J81" s="372">
        <f>$G$80-J$80</f>
        <v>-110</v>
      </c>
      <c r="K81" s="372">
        <f>$G$80-K$80</f>
        <v>0</v>
      </c>
      <c r="L81" s="372">
        <f>$G$80-L$80</f>
        <v>0</v>
      </c>
      <c r="M81" s="372"/>
      <c r="N81" s="372"/>
      <c r="O81" s="372">
        <f>$G$80-O$80</f>
        <v>0</v>
      </c>
      <c r="P81" s="373">
        <f>$G$80-P$80</f>
        <v>-150</v>
      </c>
      <c r="Q81" s="125"/>
      <c r="R81" s="126"/>
      <c r="S81" s="107"/>
      <c r="T81" s="106"/>
      <c r="U81" s="554"/>
      <c r="V81" s="106"/>
      <c r="W81" s="106"/>
      <c r="X81" s="106"/>
      <c r="Y81" s="106"/>
      <c r="Z81" s="106"/>
      <c r="AA81" s="107"/>
      <c r="AB81" s="107"/>
      <c r="AC81" s="106"/>
      <c r="AD81" s="107"/>
      <c r="AE81" s="107"/>
      <c r="AF81" s="106"/>
      <c r="AG81" s="107"/>
      <c r="AH81" s="107"/>
      <c r="AI81" s="107"/>
      <c r="AJ81" s="107"/>
      <c r="AK81" s="107"/>
      <c r="AL81" s="107"/>
    </row>
    <row r="82" spans="1:38" s="1" customFormat="1" ht="28.5" customHeight="1" x14ac:dyDescent="0.3">
      <c r="A82" s="107"/>
      <c r="B82" s="122"/>
      <c r="C82" s="697"/>
      <c r="D82" s="698"/>
      <c r="E82" s="698"/>
      <c r="F82" s="177" t="str">
        <f>H3</f>
        <v>Feuerläufer</v>
      </c>
      <c r="G82" s="372">
        <f>$H$80-G$80</f>
        <v>50</v>
      </c>
      <c r="H82" s="178" t="s">
        <v>7</v>
      </c>
      <c r="I82" s="372">
        <f>$H$80-I$80</f>
        <v>-25</v>
      </c>
      <c r="J82" s="372">
        <f>$H$80-J$80</f>
        <v>-60</v>
      </c>
      <c r="K82" s="372">
        <f>$H$80-K$80</f>
        <v>50</v>
      </c>
      <c r="L82" s="372">
        <f>$H$80-L$80</f>
        <v>50</v>
      </c>
      <c r="M82" s="372"/>
      <c r="N82" s="372"/>
      <c r="O82" s="372">
        <f>$H$80-O$80</f>
        <v>50</v>
      </c>
      <c r="P82" s="373">
        <f>$H$80-P$80</f>
        <v>-100</v>
      </c>
      <c r="Q82" s="125"/>
      <c r="R82" s="126"/>
      <c r="S82" s="107"/>
      <c r="T82" s="106"/>
      <c r="U82" s="554"/>
      <c r="V82" s="106"/>
      <c r="W82" s="106"/>
      <c r="X82" s="106"/>
      <c r="Y82" s="106"/>
      <c r="Z82" s="106"/>
      <c r="AA82" s="107"/>
      <c r="AB82" s="107"/>
      <c r="AC82" s="106"/>
      <c r="AD82" s="107"/>
      <c r="AE82" s="107"/>
      <c r="AF82" s="106"/>
      <c r="AG82" s="107"/>
      <c r="AH82" s="107"/>
      <c r="AI82" s="107"/>
      <c r="AJ82" s="107"/>
      <c r="AK82" s="107"/>
      <c r="AL82" s="107"/>
    </row>
    <row r="83" spans="1:38" s="1" customFormat="1" ht="28.5" customHeight="1" x14ac:dyDescent="0.3">
      <c r="A83" s="107"/>
      <c r="B83" s="122"/>
      <c r="C83" s="697"/>
      <c r="D83" s="698"/>
      <c r="E83" s="698"/>
      <c r="F83" s="177" t="str">
        <f>I3</f>
        <v>Drachenzähmer</v>
      </c>
      <c r="G83" s="372">
        <f>$I$80-G$80</f>
        <v>75</v>
      </c>
      <c r="H83" s="372">
        <f>$I$80-H$80</f>
        <v>25</v>
      </c>
      <c r="I83" s="178" t="s">
        <v>7</v>
      </c>
      <c r="J83" s="372">
        <f>$I$80-J$80</f>
        <v>-35</v>
      </c>
      <c r="K83" s="372">
        <f>$I$80-K$80</f>
        <v>75</v>
      </c>
      <c r="L83" s="372">
        <f>$I$80-L$80</f>
        <v>75</v>
      </c>
      <c r="M83" s="372"/>
      <c r="N83" s="372"/>
      <c r="O83" s="372">
        <f>$I$80-O$80</f>
        <v>75</v>
      </c>
      <c r="P83" s="373">
        <f>$I$80-P$80</f>
        <v>-75</v>
      </c>
      <c r="Q83" s="125"/>
      <c r="R83" s="126"/>
      <c r="S83" s="107"/>
      <c r="T83" s="106"/>
      <c r="U83" s="554"/>
      <c r="V83" s="106"/>
      <c r="W83" s="106"/>
      <c r="X83" s="106"/>
      <c r="Y83" s="106"/>
      <c r="Z83" s="106"/>
      <c r="AA83" s="107"/>
      <c r="AB83" s="107"/>
      <c r="AC83" s="106"/>
      <c r="AD83" s="107"/>
      <c r="AE83" s="107"/>
      <c r="AF83" s="106"/>
      <c r="AG83" s="107"/>
      <c r="AH83" s="107"/>
      <c r="AI83" s="107"/>
      <c r="AJ83" s="107"/>
      <c r="AK83" s="107"/>
      <c r="AL83" s="107"/>
    </row>
    <row r="84" spans="1:38" s="1" customFormat="1" ht="28.5" customHeight="1" x14ac:dyDescent="0.25">
      <c r="A84" s="107"/>
      <c r="B84" s="122"/>
      <c r="C84" s="697"/>
      <c r="D84" s="698"/>
      <c r="E84" s="698"/>
      <c r="F84" s="177" t="str">
        <f>J3</f>
        <v>Sporenmystiker</v>
      </c>
      <c r="G84" s="372">
        <f>$J$80-G$80</f>
        <v>110</v>
      </c>
      <c r="H84" s="372">
        <f>$J$80-H$80</f>
        <v>60</v>
      </c>
      <c r="I84" s="372">
        <f>$J$80-I$80</f>
        <v>35</v>
      </c>
      <c r="J84" s="178" t="s">
        <v>7</v>
      </c>
      <c r="K84" s="372">
        <f>$J$80-K$80</f>
        <v>110</v>
      </c>
      <c r="L84" s="372">
        <f>$J$80-L$80</f>
        <v>110</v>
      </c>
      <c r="M84" s="372"/>
      <c r="N84" s="372"/>
      <c r="O84" s="372">
        <f>$J$80-O$80</f>
        <v>110</v>
      </c>
      <c r="P84" s="373">
        <f>$J$80-P$80</f>
        <v>-40</v>
      </c>
      <c r="Q84" s="125"/>
      <c r="R84" s="126"/>
      <c r="S84" s="107"/>
      <c r="T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</row>
    <row r="85" spans="1:38" s="1" customFormat="1" ht="28.5" hidden="1" customHeight="1" outlineLevel="1" x14ac:dyDescent="0.25">
      <c r="A85" s="107"/>
      <c r="B85" s="122"/>
      <c r="C85" s="697"/>
      <c r="D85" s="698"/>
      <c r="E85" s="698"/>
      <c r="F85" s="177">
        <f>K3</f>
        <v>0</v>
      </c>
      <c r="G85" s="372">
        <f>$K$80-G$80</f>
        <v>0</v>
      </c>
      <c r="H85" s="372">
        <f>$K$80-H$80</f>
        <v>-50</v>
      </c>
      <c r="I85" s="372">
        <f>$K$80-I$80</f>
        <v>-75</v>
      </c>
      <c r="J85" s="372">
        <f>$K$80-J$80</f>
        <v>-110</v>
      </c>
      <c r="K85" s="178" t="s">
        <v>7</v>
      </c>
      <c r="L85" s="372">
        <f>$K$80-L$80</f>
        <v>0</v>
      </c>
      <c r="M85" s="372"/>
      <c r="N85" s="372"/>
      <c r="O85" s="372">
        <f>$K$80-O$80</f>
        <v>0</v>
      </c>
      <c r="P85" s="373">
        <f>$K$80-P$80</f>
        <v>-150</v>
      </c>
      <c r="Q85" s="125"/>
      <c r="R85" s="126"/>
      <c r="S85" s="107"/>
      <c r="T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</row>
    <row r="86" spans="1:38" s="1" customFormat="1" ht="28.5" hidden="1" customHeight="1" outlineLevel="1" x14ac:dyDescent="0.25">
      <c r="A86" s="107"/>
      <c r="B86" s="122"/>
      <c r="C86" s="697"/>
      <c r="D86" s="698"/>
      <c r="E86" s="698"/>
      <c r="F86" s="177">
        <f>L3</f>
        <v>0</v>
      </c>
      <c r="G86" s="372">
        <f>$L$80-G$80</f>
        <v>0</v>
      </c>
      <c r="H86" s="372">
        <f>$L$80-H$80</f>
        <v>-50</v>
      </c>
      <c r="I86" s="372">
        <f>$L$80-I$80</f>
        <v>-75</v>
      </c>
      <c r="J86" s="372">
        <f>$L$80-J$80</f>
        <v>-110</v>
      </c>
      <c r="K86" s="372">
        <f>$L$80-K$80</f>
        <v>0</v>
      </c>
      <c r="L86" s="178" t="s">
        <v>7</v>
      </c>
      <c r="M86" s="372"/>
      <c r="N86" s="372"/>
      <c r="O86" s="372">
        <f>$L$80-O$80</f>
        <v>0</v>
      </c>
      <c r="P86" s="373">
        <f>$L$80-P$80</f>
        <v>-150</v>
      </c>
      <c r="Q86" s="125"/>
      <c r="R86" s="126"/>
      <c r="S86" s="107"/>
      <c r="T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</row>
    <row r="87" spans="1:38" s="1" customFormat="1" ht="28.5" hidden="1" customHeight="1" outlineLevel="1" x14ac:dyDescent="0.25">
      <c r="A87" s="107"/>
      <c r="B87" s="122"/>
      <c r="C87" s="697"/>
      <c r="D87" s="698"/>
      <c r="E87" s="698"/>
      <c r="F87" s="177">
        <f>M3</f>
        <v>0</v>
      </c>
      <c r="G87" s="372">
        <f t="shared" ref="G87:L87" si="15">$M$80-G$80</f>
        <v>0</v>
      </c>
      <c r="H87" s="372">
        <f t="shared" si="15"/>
        <v>-50</v>
      </c>
      <c r="I87" s="372">
        <f t="shared" si="15"/>
        <v>-75</v>
      </c>
      <c r="J87" s="372">
        <f t="shared" si="15"/>
        <v>-110</v>
      </c>
      <c r="K87" s="372">
        <f t="shared" si="15"/>
        <v>0</v>
      </c>
      <c r="L87" s="372">
        <f t="shared" si="15"/>
        <v>0</v>
      </c>
      <c r="M87" s="178" t="s">
        <v>7</v>
      </c>
      <c r="N87" s="372"/>
      <c r="O87" s="372">
        <f>$M$80-O$80</f>
        <v>0</v>
      </c>
      <c r="P87" s="373">
        <f>$M$80-P$80</f>
        <v>-150</v>
      </c>
      <c r="Q87" s="125"/>
      <c r="R87" s="126"/>
      <c r="S87" s="107"/>
      <c r="T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</row>
    <row r="88" spans="1:38" s="1" customFormat="1" ht="28.5" hidden="1" customHeight="1" outlineLevel="1" x14ac:dyDescent="0.25">
      <c r="A88" s="107"/>
      <c r="B88" s="122"/>
      <c r="C88" s="697"/>
      <c r="D88" s="698"/>
      <c r="E88" s="698"/>
      <c r="F88" s="177">
        <f>N3</f>
        <v>0</v>
      </c>
      <c r="G88" s="372">
        <f t="shared" ref="G88:L88" si="16">$N$80-G$80</f>
        <v>0</v>
      </c>
      <c r="H88" s="372">
        <f t="shared" si="16"/>
        <v>-50</v>
      </c>
      <c r="I88" s="372">
        <f t="shared" si="16"/>
        <v>-75</v>
      </c>
      <c r="J88" s="372">
        <f t="shared" si="16"/>
        <v>-110</v>
      </c>
      <c r="K88" s="372">
        <f t="shared" si="16"/>
        <v>0</v>
      </c>
      <c r="L88" s="372">
        <f t="shared" si="16"/>
        <v>0</v>
      </c>
      <c r="M88" s="372"/>
      <c r="N88" s="178" t="s">
        <v>7</v>
      </c>
      <c r="O88" s="372">
        <f>$N$80-O$80</f>
        <v>0</v>
      </c>
      <c r="P88" s="373">
        <f>$N$80-P$80</f>
        <v>-150</v>
      </c>
      <c r="Q88" s="125"/>
      <c r="R88" s="126"/>
      <c r="S88" s="107"/>
      <c r="T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</row>
    <row r="89" spans="1:38" s="1" customFormat="1" ht="28.5" hidden="1" customHeight="1" outlineLevel="1" collapsed="1" x14ac:dyDescent="0.25">
      <c r="A89" s="107"/>
      <c r="B89" s="122"/>
      <c r="C89" s="697"/>
      <c r="D89" s="698"/>
      <c r="E89" s="698"/>
      <c r="F89" s="177">
        <f>O3</f>
        <v>0</v>
      </c>
      <c r="G89" s="372">
        <f t="shared" ref="G89:L89" si="17">$O$80-G$80</f>
        <v>0</v>
      </c>
      <c r="H89" s="372">
        <f t="shared" si="17"/>
        <v>-50</v>
      </c>
      <c r="I89" s="372">
        <f t="shared" si="17"/>
        <v>-75</v>
      </c>
      <c r="J89" s="372">
        <f t="shared" si="17"/>
        <v>-110</v>
      </c>
      <c r="K89" s="372">
        <f t="shared" si="17"/>
        <v>0</v>
      </c>
      <c r="L89" s="372">
        <f t="shared" si="17"/>
        <v>0</v>
      </c>
      <c r="M89" s="372"/>
      <c r="N89" s="372"/>
      <c r="O89" s="178" t="s">
        <v>7</v>
      </c>
      <c r="P89" s="373">
        <f>$O$80-P$80</f>
        <v>-150</v>
      </c>
      <c r="Q89" s="125"/>
      <c r="R89" s="126"/>
      <c r="S89" s="107"/>
      <c r="T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</row>
    <row r="90" spans="1:38" s="1" customFormat="1" ht="28.5" customHeight="1" collapsed="1" thickBot="1" x14ac:dyDescent="0.3">
      <c r="A90" s="107"/>
      <c r="B90" s="122"/>
      <c r="C90" s="699"/>
      <c r="D90" s="700"/>
      <c r="E90" s="700"/>
      <c r="F90" s="179" t="str">
        <f>P3</f>
        <v>Schwammkönig</v>
      </c>
      <c r="G90" s="374">
        <f t="shared" ref="G90:L90" si="18">$P$80-G$80</f>
        <v>150</v>
      </c>
      <c r="H90" s="374">
        <f t="shared" si="18"/>
        <v>100</v>
      </c>
      <c r="I90" s="374">
        <f t="shared" si="18"/>
        <v>75</v>
      </c>
      <c r="J90" s="374">
        <f t="shared" si="18"/>
        <v>40</v>
      </c>
      <c r="K90" s="374">
        <f t="shared" si="18"/>
        <v>150</v>
      </c>
      <c r="L90" s="374">
        <f t="shared" si="18"/>
        <v>150</v>
      </c>
      <c r="M90" s="374"/>
      <c r="N90" s="374"/>
      <c r="O90" s="374">
        <f>$P$80-O$80</f>
        <v>150</v>
      </c>
      <c r="P90" s="180" t="s">
        <v>7</v>
      </c>
      <c r="Q90" s="125"/>
      <c r="R90" s="126"/>
      <c r="S90" s="107"/>
      <c r="T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</row>
    <row r="91" spans="1:38" s="1" customFormat="1" ht="15.75" thickBot="1" x14ac:dyDescent="0.3">
      <c r="A91" s="107"/>
      <c r="B91" s="122"/>
      <c r="C91" s="363"/>
      <c r="D91" s="364"/>
      <c r="E91" s="364"/>
      <c r="F91" s="363"/>
      <c r="G91" s="365"/>
      <c r="H91" s="365"/>
      <c r="I91" s="365"/>
      <c r="J91" s="365"/>
      <c r="K91" s="124"/>
      <c r="L91" s="124"/>
      <c r="M91" s="124"/>
      <c r="N91" s="124"/>
      <c r="O91" s="124"/>
      <c r="P91" s="124"/>
      <c r="Q91" s="125"/>
      <c r="R91" s="126"/>
      <c r="S91" s="107"/>
      <c r="T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</row>
    <row r="92" spans="1:38" s="1" customFormat="1" x14ac:dyDescent="0.3">
      <c r="A92" s="107"/>
      <c r="B92" s="709" t="s">
        <v>8</v>
      </c>
      <c r="C92" s="717" t="s">
        <v>214</v>
      </c>
      <c r="D92" s="718"/>
      <c r="E92" s="718"/>
      <c r="F92" s="719"/>
      <c r="G92" s="714">
        <f>SUMIF($B$8:$B$76,"x",$R$8:$R$76)</f>
        <v>0</v>
      </c>
      <c r="H92" s="715"/>
      <c r="I92" s="715"/>
      <c r="J92" s="715"/>
      <c r="K92" s="715"/>
      <c r="L92" s="715"/>
      <c r="M92" s="715"/>
      <c r="N92" s="715"/>
      <c r="O92" s="715"/>
      <c r="P92" s="716"/>
      <c r="Q92" s="127"/>
      <c r="R92" s="128"/>
      <c r="S92" s="107"/>
      <c r="T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</row>
    <row r="93" spans="1:38" s="1" customFormat="1" x14ac:dyDescent="0.3">
      <c r="A93" s="107"/>
      <c r="B93" s="710"/>
      <c r="C93" s="726" t="s">
        <v>347</v>
      </c>
      <c r="D93" s="727"/>
      <c r="E93" s="727"/>
      <c r="F93" s="728"/>
      <c r="G93" s="151">
        <f t="shared" ref="G93:I93" si="19">$G$92-G80</f>
        <v>0</v>
      </c>
      <c r="H93" s="151">
        <f t="shared" si="19"/>
        <v>-50</v>
      </c>
      <c r="I93" s="151">
        <f t="shared" si="19"/>
        <v>-75</v>
      </c>
      <c r="J93" s="151">
        <f t="shared" ref="J93" si="20">$G$92-J80</f>
        <v>-110</v>
      </c>
      <c r="K93" s="151"/>
      <c r="L93" s="151"/>
      <c r="M93" s="151"/>
      <c r="N93" s="151"/>
      <c r="O93" s="151"/>
      <c r="P93" s="152">
        <f>$G$92-P80</f>
        <v>-150</v>
      </c>
      <c r="Q93" s="127"/>
      <c r="R93" s="128"/>
      <c r="S93" s="107"/>
      <c r="T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</row>
    <row r="94" spans="1:38" s="1" customFormat="1" ht="15.75" thickBot="1" x14ac:dyDescent="0.35">
      <c r="A94" s="107"/>
      <c r="B94" s="711"/>
      <c r="C94" s="729" t="s">
        <v>93</v>
      </c>
      <c r="D94" s="730"/>
      <c r="E94" s="730"/>
      <c r="F94" s="731"/>
      <c r="G94" s="149">
        <f>IFERROR(G93/$G$92,)</f>
        <v>0</v>
      </c>
      <c r="H94" s="149">
        <f t="shared" ref="H94:I94" si="21">IFERROR(H93/$G$92,)</f>
        <v>0</v>
      </c>
      <c r="I94" s="149">
        <f t="shared" si="21"/>
        <v>0</v>
      </c>
      <c r="J94" s="149">
        <f t="shared" ref="J94" si="22">IFERROR(J93/$G$92,)</f>
        <v>0</v>
      </c>
      <c r="K94" s="149"/>
      <c r="L94" s="149"/>
      <c r="M94" s="149"/>
      <c r="N94" s="149"/>
      <c r="O94" s="149"/>
      <c r="P94" s="150">
        <f>IFERROR(P93/$G$92,)</f>
        <v>0</v>
      </c>
      <c r="Q94" s="127"/>
      <c r="R94" s="128"/>
      <c r="S94" s="107"/>
      <c r="T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</row>
    <row r="95" spans="1:38" s="2" customFormat="1" ht="15.75" thickBot="1" x14ac:dyDescent="0.35">
      <c r="A95" s="102"/>
      <c r="B95" s="131"/>
      <c r="C95" s="102"/>
      <c r="D95" s="119"/>
      <c r="E95" s="119"/>
      <c r="F95" s="102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5"/>
      <c r="R95" s="116"/>
      <c r="S95" s="102"/>
      <c r="T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</row>
    <row r="96" spans="1:38" s="1" customFormat="1" ht="18" customHeight="1" x14ac:dyDescent="0.3">
      <c r="A96" s="107"/>
      <c r="B96" s="712" t="s">
        <v>9</v>
      </c>
      <c r="C96" s="723" t="s">
        <v>217</v>
      </c>
      <c r="D96" s="724"/>
      <c r="E96" s="724"/>
      <c r="F96" s="725"/>
      <c r="G96" s="550">
        <f>SUMIFS($R$8:$R$76,$B$8:$B$76,"",G$8:G$76,"µ")</f>
        <v>0</v>
      </c>
      <c r="H96" s="550">
        <f>SUMIFS($R$8:$R$76,$B$8:$B$76,"",H$8:H$76,"µ")</f>
        <v>97.919999999999987</v>
      </c>
      <c r="I96" s="550">
        <f>SUMIFS($R$8:$R$76,$B$8:$B$76,"",I$8:I$76,"µ")</f>
        <v>95.929999999999978</v>
      </c>
      <c r="J96" s="550">
        <f>SUMIFS($R$8:$R$76,$B$8:$B$76,"",J$8:J$76,"µ")</f>
        <v>213.69000000000005</v>
      </c>
      <c r="K96" s="550"/>
      <c r="L96" s="550"/>
      <c r="M96" s="550"/>
      <c r="N96" s="550"/>
      <c r="O96" s="550"/>
      <c r="P96" s="551">
        <f>SUMIFS($R$8:$R$76,$B$8:$B$76,"",P$8:P$76,"µ")</f>
        <v>270.58000000000004</v>
      </c>
      <c r="Q96" s="127"/>
      <c r="R96" s="128"/>
      <c r="S96" s="107"/>
      <c r="T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</row>
    <row r="97" spans="1:38" s="1" customFormat="1" ht="15.75" thickBot="1" x14ac:dyDescent="0.35">
      <c r="A97" s="107"/>
      <c r="B97" s="713"/>
      <c r="C97" s="720" t="s">
        <v>215</v>
      </c>
      <c r="D97" s="721"/>
      <c r="E97" s="721"/>
      <c r="F97" s="722"/>
      <c r="G97" s="195">
        <f t="shared" ref="G97:I97" si="23">$G$92+G96</f>
        <v>0</v>
      </c>
      <c r="H97" s="195">
        <f t="shared" si="23"/>
        <v>97.919999999999987</v>
      </c>
      <c r="I97" s="195">
        <f t="shared" si="23"/>
        <v>95.929999999999978</v>
      </c>
      <c r="J97" s="195">
        <f t="shared" ref="J97" si="24">$G$92+J96</f>
        <v>213.69000000000005</v>
      </c>
      <c r="K97" s="195"/>
      <c r="L97" s="195"/>
      <c r="M97" s="195"/>
      <c r="N97" s="195"/>
      <c r="O97" s="195"/>
      <c r="P97" s="196">
        <f>$G$92+P96</f>
        <v>270.58000000000004</v>
      </c>
      <c r="Q97" s="127"/>
      <c r="R97" s="128"/>
      <c r="S97" s="107"/>
      <c r="T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</row>
    <row r="98" spans="1:38" s="1" customFormat="1" x14ac:dyDescent="0.3">
      <c r="A98" s="107"/>
      <c r="B98" s="712" t="s">
        <v>94</v>
      </c>
      <c r="C98" s="723" t="s">
        <v>216</v>
      </c>
      <c r="D98" s="724"/>
      <c r="E98" s="724"/>
      <c r="F98" s="725"/>
      <c r="G98" s="197">
        <f t="shared" ref="G98:P98" si="25">G97-G80</f>
        <v>0</v>
      </c>
      <c r="H98" s="197">
        <f t="shared" si="25"/>
        <v>47.919999999999987</v>
      </c>
      <c r="I98" s="197">
        <f t="shared" si="25"/>
        <v>20.929999999999978</v>
      </c>
      <c r="J98" s="197">
        <f t="shared" ref="J98" si="26">J97-J80</f>
        <v>103.69000000000005</v>
      </c>
      <c r="K98" s="197"/>
      <c r="L98" s="197"/>
      <c r="M98" s="197"/>
      <c r="N98" s="197"/>
      <c r="O98" s="197"/>
      <c r="P98" s="198">
        <f t="shared" si="25"/>
        <v>120.58000000000004</v>
      </c>
      <c r="Q98" s="127"/>
      <c r="R98" s="128"/>
      <c r="S98" s="107"/>
      <c r="T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</row>
    <row r="99" spans="1:38" s="1" customFormat="1" ht="15.75" thickBot="1" x14ac:dyDescent="0.35">
      <c r="A99" s="107"/>
      <c r="B99" s="713"/>
      <c r="C99" s="720" t="s">
        <v>93</v>
      </c>
      <c r="D99" s="721"/>
      <c r="E99" s="721"/>
      <c r="F99" s="722"/>
      <c r="G99" s="199">
        <f>IFERROR(G98/G97,)</f>
        <v>0</v>
      </c>
      <c r="H99" s="199">
        <f t="shared" ref="H99:I99" si="27">IFERROR(H98/H97,)</f>
        <v>0.48937908496732019</v>
      </c>
      <c r="I99" s="199">
        <f t="shared" si="27"/>
        <v>0.21817992286041887</v>
      </c>
      <c r="J99" s="199">
        <f t="shared" ref="J99" si="28">IFERROR(J98/J97,)</f>
        <v>0.48523562169497886</v>
      </c>
      <c r="K99" s="199"/>
      <c r="L99" s="199"/>
      <c r="M99" s="199"/>
      <c r="N99" s="199"/>
      <c r="O99" s="199"/>
      <c r="P99" s="200">
        <f t="shared" ref="P99" si="29">IFERROR(P98/P97,)</f>
        <v>0.44563530194397227</v>
      </c>
      <c r="Q99" s="127"/>
      <c r="R99" s="128"/>
      <c r="S99" s="107"/>
      <c r="T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</row>
    <row r="100" spans="1:38" s="2" customFormat="1" ht="13.5" x14ac:dyDescent="0.25">
      <c r="A100" s="102"/>
      <c r="B100" s="131"/>
      <c r="C100" s="102"/>
      <c r="D100" s="119"/>
      <c r="E100" s="119"/>
      <c r="F100" s="102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6"/>
      <c r="S100" s="102"/>
      <c r="T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</row>
    <row r="101" spans="1:38" s="2" customFormat="1" collapsed="1" x14ac:dyDescent="0.3">
      <c r="A101" s="108"/>
      <c r="B101" s="102"/>
      <c r="C101" s="102"/>
      <c r="D101" s="119"/>
      <c r="E101" s="119"/>
      <c r="F101" s="102"/>
      <c r="G101" s="119"/>
      <c r="H101" s="119"/>
      <c r="I101" s="119"/>
      <c r="J101" s="119"/>
      <c r="K101" s="119"/>
      <c r="M101" s="132"/>
      <c r="N101" s="129"/>
      <c r="O101" s="117"/>
      <c r="P101" s="119"/>
      <c r="Q101" s="119"/>
      <c r="R101" s="130"/>
      <c r="S101" s="102"/>
      <c r="T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</row>
    <row r="102" spans="1:38" s="2" customFormat="1" ht="19.5" hidden="1" customHeight="1" outlineLevel="1" thickBot="1" x14ac:dyDescent="0.35">
      <c r="A102" s="102"/>
      <c r="B102" s="134" t="s">
        <v>10</v>
      </c>
      <c r="C102" s="102"/>
      <c r="D102" s="119"/>
      <c r="E102" s="119"/>
      <c r="F102" s="102"/>
      <c r="G102" s="119"/>
      <c r="H102" s="119"/>
      <c r="I102" s="119"/>
      <c r="J102" s="119"/>
      <c r="K102" s="119"/>
      <c r="L102" s="119"/>
      <c r="M102" s="119"/>
      <c r="N102" s="132"/>
      <c r="O102" s="119"/>
      <c r="P102" s="119"/>
      <c r="Q102" s="115"/>
      <c r="R102" s="102"/>
      <c r="S102" s="102"/>
      <c r="T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</row>
    <row r="103" spans="1:38" s="2" customFormat="1" ht="19.5" hidden="1" customHeight="1" outlineLevel="1" thickBot="1" x14ac:dyDescent="0.35">
      <c r="A103" s="102"/>
      <c r="B103" s="134"/>
      <c r="C103" s="102"/>
      <c r="D103" s="119"/>
      <c r="E103" s="119"/>
      <c r="F103" s="102"/>
      <c r="G103" s="119"/>
      <c r="H103" s="119"/>
      <c r="I103" s="119"/>
      <c r="J103" s="119"/>
      <c r="K103" s="119"/>
      <c r="L103" s="119"/>
      <c r="M103" s="119"/>
      <c r="N103" s="132"/>
      <c r="O103" s="119"/>
      <c r="P103" s="119"/>
      <c r="Q103" s="115"/>
      <c r="R103" s="102"/>
      <c r="S103" s="102"/>
      <c r="T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</row>
    <row r="104" spans="1:38" s="2" customFormat="1" collapsed="1" x14ac:dyDescent="0.3">
      <c r="A104" s="102"/>
      <c r="B104" s="108"/>
      <c r="C104" s="102"/>
      <c r="D104" s="119"/>
      <c r="E104" s="119"/>
      <c r="F104" s="102"/>
      <c r="G104" s="119"/>
      <c r="H104" s="119"/>
      <c r="I104" s="119"/>
      <c r="J104" s="119"/>
      <c r="K104" s="119"/>
      <c r="L104" s="119"/>
      <c r="M104" s="119"/>
      <c r="N104" s="132"/>
      <c r="O104" s="119"/>
      <c r="P104" s="119"/>
      <c r="Q104" s="115"/>
      <c r="R104" s="102"/>
      <c r="S104" s="102"/>
      <c r="T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</row>
    <row r="105" spans="1:38" s="2" customFormat="1" x14ac:dyDescent="0.3">
      <c r="A105" s="102"/>
      <c r="B105" s="108"/>
      <c r="C105" s="102"/>
      <c r="D105" s="119"/>
      <c r="E105" s="119"/>
      <c r="F105" s="102"/>
      <c r="G105" s="119"/>
      <c r="H105" s="119"/>
      <c r="I105" s="119"/>
      <c r="J105" s="119"/>
      <c r="K105" s="119"/>
      <c r="L105" s="119"/>
      <c r="M105" s="119"/>
      <c r="N105" s="132"/>
      <c r="O105" s="119"/>
      <c r="P105" s="119"/>
      <c r="Q105" s="115"/>
      <c r="R105" s="102"/>
      <c r="S105" s="102"/>
      <c r="T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</row>
    <row r="106" spans="1:38" s="2" customFormat="1" x14ac:dyDescent="0.3">
      <c r="A106" s="102"/>
      <c r="B106" s="108"/>
      <c r="C106" s="102"/>
      <c r="D106" s="119"/>
      <c r="E106" s="119"/>
      <c r="F106" s="102"/>
      <c r="G106" s="119"/>
      <c r="H106" s="119"/>
      <c r="I106" s="119"/>
      <c r="J106" s="119"/>
      <c r="K106" s="119"/>
      <c r="L106" s="119"/>
      <c r="M106" s="119"/>
      <c r="N106" s="132"/>
      <c r="O106" s="119"/>
      <c r="P106" s="119"/>
      <c r="Q106" s="115"/>
      <c r="R106" s="102"/>
      <c r="S106" s="102"/>
      <c r="T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</row>
    <row r="107" spans="1:38" s="2" customFormat="1" x14ac:dyDescent="0.3">
      <c r="A107" s="102"/>
      <c r="B107" s="108"/>
      <c r="C107" s="102"/>
      <c r="D107" s="119"/>
      <c r="E107" s="119"/>
      <c r="F107" s="102"/>
      <c r="G107" s="119"/>
      <c r="H107" s="119"/>
      <c r="I107" s="119"/>
      <c r="J107" s="119"/>
      <c r="K107" s="119"/>
      <c r="L107" s="119"/>
      <c r="M107" s="119"/>
      <c r="N107" s="132"/>
      <c r="O107" s="119"/>
      <c r="P107" s="119"/>
      <c r="Q107" s="115"/>
      <c r="R107" s="102"/>
      <c r="S107" s="102"/>
      <c r="T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</row>
    <row r="108" spans="1:38" s="2" customFormat="1" x14ac:dyDescent="0.3">
      <c r="A108" s="102"/>
      <c r="B108" s="108"/>
      <c r="C108" s="102"/>
      <c r="D108" s="119"/>
      <c r="E108" s="119"/>
      <c r="F108" s="102"/>
      <c r="G108" s="119"/>
      <c r="H108" s="119"/>
      <c r="I108" s="119"/>
      <c r="J108" s="119"/>
      <c r="K108" s="119"/>
      <c r="L108" s="119"/>
      <c r="M108" s="119"/>
      <c r="N108" s="132"/>
      <c r="O108" s="119"/>
      <c r="P108" s="119"/>
      <c r="Q108" s="115"/>
      <c r="R108" s="102"/>
      <c r="S108" s="102"/>
      <c r="T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</row>
    <row r="109" spans="1:38" s="2" customFormat="1" x14ac:dyDescent="0.3">
      <c r="A109" s="102"/>
      <c r="B109" s="108"/>
      <c r="C109" s="102"/>
      <c r="D109" s="119"/>
      <c r="E109" s="119"/>
      <c r="F109" s="102"/>
      <c r="G109" s="119"/>
      <c r="H109" s="119"/>
      <c r="I109" s="119"/>
      <c r="J109" s="119"/>
      <c r="K109" s="119"/>
      <c r="L109" s="119"/>
      <c r="M109" s="119"/>
      <c r="N109" s="132"/>
      <c r="O109" s="119"/>
      <c r="P109" s="119"/>
      <c r="Q109" s="115"/>
      <c r="R109" s="102"/>
      <c r="S109" s="102"/>
      <c r="T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</row>
    <row r="110" spans="1:38" s="2" customFormat="1" x14ac:dyDescent="0.3">
      <c r="A110" s="102"/>
      <c r="B110" s="108"/>
      <c r="C110" s="102"/>
      <c r="D110" s="119"/>
      <c r="E110" s="119"/>
      <c r="F110" s="102"/>
      <c r="G110" s="119"/>
      <c r="H110" s="119"/>
      <c r="I110" s="119"/>
      <c r="J110" s="119"/>
      <c r="K110" s="119"/>
      <c r="L110" s="119"/>
      <c r="M110" s="119"/>
      <c r="N110" s="132"/>
      <c r="O110" s="119"/>
      <c r="P110" s="119"/>
      <c r="Q110" s="115"/>
      <c r="R110" s="102"/>
      <c r="S110" s="102"/>
      <c r="T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</row>
    <row r="111" spans="1:38" s="2" customFormat="1" x14ac:dyDescent="0.3">
      <c r="A111" s="102"/>
      <c r="B111" s="108"/>
      <c r="C111" s="102"/>
      <c r="D111" s="119"/>
      <c r="E111" s="119"/>
      <c r="F111" s="102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5"/>
      <c r="R111" s="102"/>
      <c r="S111" s="102"/>
      <c r="T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</row>
    <row r="112" spans="1:38" s="2" customFormat="1" x14ac:dyDescent="0.3">
      <c r="A112" s="102"/>
      <c r="B112" s="108"/>
      <c r="C112" s="102"/>
      <c r="D112" s="119"/>
      <c r="E112" s="119"/>
      <c r="F112" s="102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5"/>
      <c r="R112" s="102"/>
      <c r="S112" s="102"/>
      <c r="T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</row>
    <row r="113" spans="1:38" s="2" customFormat="1" x14ac:dyDescent="0.3">
      <c r="A113" s="102"/>
      <c r="B113" s="108"/>
      <c r="C113" s="102"/>
      <c r="D113" s="119"/>
      <c r="E113" s="119"/>
      <c r="F113" s="102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5"/>
      <c r="R113" s="102"/>
      <c r="S113" s="102"/>
      <c r="T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</row>
    <row r="114" spans="1:38" s="2" customFormat="1" x14ac:dyDescent="0.3">
      <c r="A114" s="102"/>
      <c r="B114" s="108"/>
      <c r="C114" s="102"/>
      <c r="D114" s="119"/>
      <c r="E114" s="119"/>
      <c r="F114" s="102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5"/>
      <c r="R114" s="102"/>
      <c r="S114" s="102"/>
      <c r="T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</row>
    <row r="115" spans="1:38" s="2" customFormat="1" x14ac:dyDescent="0.3">
      <c r="A115" s="102"/>
      <c r="B115" s="108"/>
      <c r="C115" s="102"/>
      <c r="D115" s="119"/>
      <c r="E115" s="119"/>
      <c r="F115" s="102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5"/>
      <c r="R115" s="102"/>
      <c r="S115" s="102"/>
      <c r="T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</row>
    <row r="116" spans="1:38" s="2" customFormat="1" x14ac:dyDescent="0.3">
      <c r="A116" s="102"/>
      <c r="B116" s="108"/>
      <c r="C116" s="102"/>
      <c r="D116" s="119"/>
      <c r="E116" s="119"/>
      <c r="F116" s="102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5"/>
      <c r="R116" s="102"/>
      <c r="S116" s="102"/>
      <c r="T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</row>
    <row r="117" spans="1:38" s="2" customFormat="1" x14ac:dyDescent="0.3">
      <c r="A117" s="102"/>
      <c r="B117" s="108"/>
      <c r="C117" s="102"/>
      <c r="D117" s="119"/>
      <c r="E117" s="119"/>
      <c r="F117" s="102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5"/>
      <c r="R117" s="102"/>
      <c r="S117" s="102"/>
      <c r="T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</row>
    <row r="118" spans="1:38" s="2" customFormat="1" x14ac:dyDescent="0.3">
      <c r="A118" s="102"/>
      <c r="B118" s="108"/>
      <c r="C118" s="102"/>
      <c r="D118" s="119"/>
      <c r="E118" s="119"/>
      <c r="F118" s="102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5"/>
      <c r="R118" s="116"/>
      <c r="S118" s="102"/>
      <c r="T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</row>
    <row r="119" spans="1:38" s="2" customFormat="1" x14ac:dyDescent="0.3">
      <c r="A119" s="102"/>
      <c r="B119" s="108"/>
      <c r="C119" s="102"/>
      <c r="D119" s="119"/>
      <c r="E119" s="119"/>
      <c r="F119" s="102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5"/>
      <c r="R119" s="116"/>
      <c r="S119" s="102"/>
      <c r="T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</row>
    <row r="120" spans="1:38" s="2" customFormat="1" x14ac:dyDescent="0.3">
      <c r="A120" s="102"/>
      <c r="B120" s="108"/>
      <c r="C120" s="102"/>
      <c r="D120" s="119"/>
      <c r="E120" s="119"/>
      <c r="F120" s="102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5"/>
      <c r="R120" s="116"/>
      <c r="S120" s="102"/>
      <c r="T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</row>
    <row r="121" spans="1:38" s="2" customFormat="1" x14ac:dyDescent="0.3">
      <c r="A121" s="102"/>
      <c r="B121" s="108"/>
      <c r="C121" s="102"/>
      <c r="D121" s="119"/>
      <c r="E121" s="119"/>
      <c r="F121" s="102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5"/>
      <c r="R121" s="116"/>
      <c r="S121" s="102"/>
      <c r="T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</row>
    <row r="122" spans="1:38" s="2" customFormat="1" x14ac:dyDescent="0.3">
      <c r="A122" s="102"/>
      <c r="B122" s="108"/>
      <c r="C122" s="102"/>
      <c r="D122" s="119"/>
      <c r="E122" s="119"/>
      <c r="F122" s="102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5"/>
      <c r="R122" s="116"/>
      <c r="S122" s="102"/>
      <c r="T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</row>
    <row r="123" spans="1:38" s="2" customFormat="1" x14ac:dyDescent="0.3">
      <c r="A123" s="102"/>
      <c r="B123" s="108"/>
      <c r="C123" s="102"/>
      <c r="D123" s="119"/>
      <c r="E123" s="119"/>
      <c r="F123" s="102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5"/>
      <c r="R123" s="116"/>
      <c r="S123" s="102"/>
      <c r="T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</row>
    <row r="124" spans="1:38" s="2" customFormat="1" x14ac:dyDescent="0.3">
      <c r="A124" s="102"/>
      <c r="B124" s="108"/>
      <c r="C124" s="102"/>
      <c r="D124" s="119"/>
      <c r="E124" s="119"/>
      <c r="F124" s="102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5"/>
      <c r="R124" s="116"/>
      <c r="S124" s="102"/>
      <c r="T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</row>
    <row r="125" spans="1:38" s="2" customFormat="1" x14ac:dyDescent="0.3">
      <c r="A125" s="102"/>
      <c r="B125" s="108"/>
      <c r="C125" s="102"/>
      <c r="D125" s="119"/>
      <c r="E125" s="119"/>
      <c r="F125" s="102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5"/>
      <c r="R125" s="116"/>
      <c r="S125" s="102"/>
      <c r="T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</row>
    <row r="126" spans="1:38" s="2" customFormat="1" x14ac:dyDescent="0.3">
      <c r="A126" s="102"/>
      <c r="B126" s="108"/>
      <c r="C126" s="102"/>
      <c r="D126" s="119"/>
      <c r="E126" s="119"/>
      <c r="F126" s="102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5"/>
      <c r="R126" s="116"/>
      <c r="S126" s="102"/>
      <c r="T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</row>
    <row r="127" spans="1:38" s="2" customFormat="1" x14ac:dyDescent="0.3">
      <c r="A127" s="102"/>
      <c r="B127" s="108"/>
      <c r="C127" s="102"/>
      <c r="D127" s="119"/>
      <c r="E127" s="119"/>
      <c r="F127" s="102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5"/>
      <c r="R127" s="116"/>
      <c r="S127" s="102"/>
      <c r="T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</row>
    <row r="128" spans="1:38" s="2" customFormat="1" x14ac:dyDescent="0.3">
      <c r="A128" s="102"/>
      <c r="B128" s="108"/>
      <c r="C128" s="102"/>
      <c r="D128" s="119"/>
      <c r="E128" s="119"/>
      <c r="F128" s="102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5"/>
      <c r="R128" s="116"/>
      <c r="S128" s="102"/>
      <c r="T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</row>
    <row r="129" spans="1:38" s="2" customFormat="1" x14ac:dyDescent="0.3">
      <c r="A129" s="102"/>
      <c r="B129" s="108"/>
      <c r="C129" s="102"/>
      <c r="D129" s="119"/>
      <c r="E129" s="119"/>
      <c r="F129" s="102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5"/>
      <c r="R129" s="116"/>
      <c r="S129" s="102"/>
      <c r="T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</row>
    <row r="130" spans="1:38" s="2" customFormat="1" x14ac:dyDescent="0.3">
      <c r="A130" s="102"/>
      <c r="B130" s="108"/>
      <c r="C130" s="102"/>
      <c r="D130" s="119"/>
      <c r="E130" s="119"/>
      <c r="F130" s="102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5"/>
      <c r="R130" s="116"/>
      <c r="S130" s="102"/>
      <c r="T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</row>
    <row r="131" spans="1:38" s="2" customFormat="1" x14ac:dyDescent="0.3">
      <c r="A131" s="102"/>
      <c r="B131" s="108"/>
      <c r="C131" s="102"/>
      <c r="D131" s="119"/>
      <c r="E131" s="119"/>
      <c r="F131" s="102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5"/>
      <c r="R131" s="116"/>
      <c r="S131" s="102"/>
      <c r="T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</row>
    <row r="132" spans="1:38" s="2" customFormat="1" x14ac:dyDescent="0.3">
      <c r="A132" s="102"/>
      <c r="B132" s="108"/>
      <c r="C132" s="102"/>
      <c r="D132" s="119"/>
      <c r="E132" s="119"/>
      <c r="F132" s="102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5"/>
      <c r="R132" s="116"/>
      <c r="S132" s="102"/>
      <c r="T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</row>
    <row r="133" spans="1:38" s="2" customFormat="1" x14ac:dyDescent="0.3">
      <c r="A133" s="102"/>
      <c r="B133" s="108"/>
      <c r="C133" s="102"/>
      <c r="D133" s="119"/>
      <c r="E133" s="119"/>
      <c r="F133" s="102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5"/>
      <c r="R133" s="116"/>
      <c r="S133" s="102"/>
      <c r="T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</row>
    <row r="134" spans="1:38" s="2" customFormat="1" x14ac:dyDescent="0.3">
      <c r="A134" s="102"/>
      <c r="B134" s="108"/>
      <c r="C134" s="102"/>
      <c r="D134" s="119"/>
      <c r="E134" s="119"/>
      <c r="F134" s="102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5"/>
      <c r="R134" s="116"/>
      <c r="S134" s="102"/>
      <c r="T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</row>
    <row r="135" spans="1:38" s="2" customFormat="1" x14ac:dyDescent="0.3">
      <c r="A135" s="102"/>
      <c r="B135" s="108"/>
      <c r="C135" s="102"/>
      <c r="D135" s="119"/>
      <c r="E135" s="119"/>
      <c r="F135" s="102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5"/>
      <c r="R135" s="116"/>
      <c r="S135" s="102"/>
      <c r="T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</row>
    <row r="136" spans="1:38" s="2" customFormat="1" x14ac:dyDescent="0.3">
      <c r="A136" s="102"/>
      <c r="B136" s="108"/>
      <c r="C136" s="102"/>
      <c r="D136" s="119"/>
      <c r="E136" s="119"/>
      <c r="F136" s="102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5"/>
      <c r="R136" s="116"/>
      <c r="S136" s="102"/>
      <c r="T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</row>
    <row r="137" spans="1:38" x14ac:dyDescent="0.3">
      <c r="B137" s="108"/>
      <c r="C137" s="102"/>
      <c r="D137" s="119"/>
      <c r="E137" s="119"/>
      <c r="F137" s="102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5"/>
      <c r="R137" s="116"/>
      <c r="S137" s="102"/>
    </row>
  </sheetData>
  <sheetProtection algorithmName="SHA-512" hashValue="GWXDY7UBC2H6LItkVlMEMijhssLiiUSjWMGEV61K5rnMG55OS9FsbTMt4Q0JmTh28Ct1PcrA47ah8l/IKPdrLw==" saltValue="SBFsx4A0xYmGjVG2+0uMog==" spinCount="100000" sheet="1" objects="1" scenarios="1"/>
  <protectedRanges>
    <protectedRange sqref="B8 B56:B57 B62 B13 B69:B73 B20:B52" name="Auswahlfelder"/>
  </protectedRanges>
  <mergeCells count="22">
    <mergeCell ref="B92:B94"/>
    <mergeCell ref="B96:B97"/>
    <mergeCell ref="B98:B99"/>
    <mergeCell ref="G92:P92"/>
    <mergeCell ref="C92:F92"/>
    <mergeCell ref="C97:F97"/>
    <mergeCell ref="C98:F98"/>
    <mergeCell ref="C99:F99"/>
    <mergeCell ref="C93:F93"/>
    <mergeCell ref="C94:F94"/>
    <mergeCell ref="C96:F96"/>
    <mergeCell ref="C81:E90"/>
    <mergeCell ref="G3:G4"/>
    <mergeCell ref="C80:F80"/>
    <mergeCell ref="C78:F78"/>
    <mergeCell ref="C77:F77"/>
    <mergeCell ref="C53:F53"/>
    <mergeCell ref="B1:S1"/>
    <mergeCell ref="B3:C3"/>
    <mergeCell ref="B4:B5"/>
    <mergeCell ref="Q3:S5"/>
    <mergeCell ref="D3:F4"/>
  </mergeCells>
  <phoneticPr fontId="5" type="noConversion"/>
  <conditionalFormatting sqref="G8:P76">
    <cfRule type="expression" dxfId="4" priority="1">
      <formula>OR(AND($B8="x",G8="µ"),AND($B8="x",G8="enthalten"))</formula>
    </cfRule>
    <cfRule type="expression" dxfId="3" priority="2">
      <formula>OR(AND($B8="x",G8="Zusatzprodukt"),AND($B8="x",G8="Kauf nach CF"))</formula>
    </cfRule>
    <cfRule type="expression" dxfId="2" priority="3">
      <formula>AND($B8="x",G8="enthalten")</formula>
    </cfRule>
  </conditionalFormatting>
  <conditionalFormatting sqref="G80:P80">
    <cfRule type="top10" dxfId="1" priority="203" bottom="1" rank="1"/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1:P90">
    <cfRule type="cellIs" dxfId="0" priority="583" operator="lessThan">
      <formula>0</formula>
    </cfRule>
  </conditionalFormatting>
  <conditionalFormatting sqref="G93:P93">
    <cfRule type="colorScale" priority="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4:P94">
    <cfRule type="colorScale" priority="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8:P98">
    <cfRule type="colorScale" priority="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9:P99">
    <cfRule type="colorScale" priority="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69:B73 B20:B52 B8 B13 B56:B59 B61:B62" xr:uid="{D30EEA0A-86A0-48D5-A10D-3ABC9F2C4A3A}">
      <formula1>$B$102:$B$103</formula1>
    </dataValidation>
  </dataValidations>
  <pageMargins left="0.15748031496062992" right="3.937007874015748E-2" top="0.18" bottom="0.11811023622047245" header="0.1" footer="7.874015748031496E-2"/>
  <pageSetup paperSize="9" scale="50" fitToHeight="0" orientation="landscape" r:id="rId1"/>
  <rowBreaks count="1" manualBreakCount="1">
    <brk id="54" max="18" man="1"/>
  </rowBreaks>
  <ignoredErrors>
    <ignoredError sqref="G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6489-48CB-4CB3-A14C-D94BAC65D341}">
  <sheetPr codeName="Tabelle3">
    <tabColor rgb="FFFF0000"/>
  </sheetPr>
  <dimension ref="A1:DP203"/>
  <sheetViews>
    <sheetView showGridLines="0" workbookViewId="0">
      <pane xSplit="1" ySplit="4" topLeftCell="B5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5" outlineLevelRow="2" x14ac:dyDescent="0.25"/>
  <cols>
    <col min="1" max="1" width="16.85546875" style="13" bestFit="1" customWidth="1"/>
    <col min="2" max="3" width="11.5703125" style="3" customWidth="1"/>
    <col min="4" max="4" width="11.5703125" style="21" customWidth="1"/>
    <col min="5" max="5" width="12.140625" style="13" bestFit="1" customWidth="1"/>
    <col min="6" max="6" width="11.5703125" style="13" bestFit="1" customWidth="1"/>
    <col min="7" max="7" width="11.5703125" style="21" customWidth="1"/>
    <col min="8" max="8" width="12.140625" style="13" bestFit="1" customWidth="1"/>
    <col min="9" max="9" width="11.5703125" style="13" bestFit="1" customWidth="1"/>
    <col min="10" max="10" width="11.5703125" style="13" customWidth="1"/>
    <col min="11" max="12" width="11.5703125" style="13" bestFit="1" customWidth="1"/>
    <col min="13" max="13" width="11.5703125" style="13" customWidth="1"/>
    <col min="14" max="14" width="12.140625" style="13" bestFit="1" customWidth="1"/>
    <col min="15" max="15" width="11.5703125" style="13" bestFit="1" customWidth="1"/>
    <col min="16" max="16" width="11.5703125" style="13" customWidth="1"/>
    <col min="17" max="17" width="12.140625" style="13" bestFit="1" customWidth="1"/>
    <col min="18" max="18" width="11.5703125" style="13" bestFit="1" customWidth="1"/>
    <col min="19" max="19" width="11.5703125" style="13" customWidth="1"/>
    <col min="20" max="20" width="12.140625" style="13" bestFit="1" customWidth="1"/>
    <col min="21" max="21" width="11.5703125" style="13" bestFit="1" customWidth="1"/>
    <col min="22" max="22" width="11.5703125" style="13" customWidth="1"/>
    <col min="23" max="23" width="12.140625" style="13" bestFit="1" customWidth="1"/>
    <col min="24" max="24" width="11.5703125" style="13" bestFit="1" customWidth="1"/>
    <col min="25" max="25" width="11.5703125" style="13" customWidth="1"/>
    <col min="26" max="26" width="12.140625" style="13" bestFit="1" customWidth="1"/>
    <col min="27" max="27" width="11.5703125" style="13" bestFit="1" customWidth="1"/>
    <col min="28" max="28" width="11.5703125" style="13" customWidth="1"/>
    <col min="29" max="30" width="11.5703125" style="13" bestFit="1" customWidth="1"/>
    <col min="31" max="31" width="11.5703125" style="13" customWidth="1"/>
    <col min="32" max="32" width="12.140625" style="13" bestFit="1" customWidth="1"/>
    <col min="33" max="33" width="11.5703125" style="13" bestFit="1" customWidth="1"/>
    <col min="34" max="37" width="11.5703125" style="13" customWidth="1"/>
    <col min="38" max="40" width="11.42578125" style="13"/>
    <col min="50" max="50" width="11.42578125" style="202"/>
    <col min="51" max="51" width="6.42578125" style="202" bestFit="1" customWidth="1"/>
    <col min="52" max="63" width="8.7109375" style="202" customWidth="1"/>
    <col min="64" max="64" width="6.140625" style="202" customWidth="1"/>
    <col min="65" max="65" width="6.42578125" style="202" bestFit="1" customWidth="1"/>
    <col min="66" max="66" width="5.5703125" bestFit="1" customWidth="1"/>
    <col min="67" max="67" width="5.28515625" bestFit="1" customWidth="1"/>
    <col min="68" max="71" width="5.28515625" customWidth="1"/>
    <col min="72" max="72" width="11.42578125" style="4"/>
    <col min="73" max="73" width="11.42578125" style="5"/>
    <col min="74" max="74" width="11.42578125" style="11"/>
    <col min="75" max="75" width="11.42578125" style="14"/>
    <col min="76" max="76" width="11.42578125" style="4"/>
    <col min="77" max="77" width="11.42578125" style="5"/>
    <col min="78" max="78" width="11.42578125" style="4"/>
    <col min="79" max="79" width="11.42578125" style="5"/>
    <col min="80" max="80" width="11.42578125" style="4"/>
    <col min="81" max="81" width="11.42578125" style="5"/>
    <col min="82" max="82" width="11.42578125" style="4"/>
    <col min="83" max="83" width="11.42578125" style="5"/>
    <col min="84" max="84" width="11.42578125" style="4"/>
    <col min="85" max="85" width="11.42578125" style="5"/>
    <col min="86" max="86" width="11.42578125" style="4"/>
    <col min="87" max="87" width="11.42578125" style="5"/>
    <col min="88" max="88" width="11.42578125" style="4"/>
    <col min="89" max="89" width="11.42578125" style="5"/>
    <col min="90" max="90" width="11.42578125" style="4"/>
    <col min="91" max="91" width="11.42578125" style="5"/>
    <col min="92" max="92" width="11.42578125" style="4"/>
    <col min="93" max="93" width="11.42578125" style="5"/>
    <col min="94" max="94" width="11.42578125" style="4"/>
    <col min="95" max="95" width="11.42578125" style="5"/>
    <col min="96" max="96" width="2.85546875" customWidth="1"/>
    <col min="97" max="97" width="6.85546875" customWidth="1"/>
    <col min="98" max="98" width="2.85546875" customWidth="1"/>
    <col min="99" max="99" width="6.85546875" customWidth="1"/>
    <col min="100" max="100" width="2.85546875" customWidth="1"/>
    <col min="101" max="101" width="6.85546875" customWidth="1"/>
    <col min="102" max="102" width="2.85546875" customWidth="1"/>
    <col min="103" max="103" width="6.85546875" customWidth="1"/>
    <col min="104" max="104" width="2.85546875" customWidth="1"/>
    <col min="105" max="105" width="6.85546875" customWidth="1"/>
    <col min="106" max="106" width="2.85546875" customWidth="1"/>
    <col min="107" max="107" width="6.85546875" customWidth="1"/>
    <col min="108" max="108" width="2.85546875" customWidth="1"/>
    <col min="109" max="109" width="6.85546875" customWidth="1"/>
    <col min="110" max="110" width="2.85546875" customWidth="1"/>
    <col min="111" max="111" width="6.85546875" customWidth="1"/>
    <col min="112" max="112" width="2.85546875" customWidth="1"/>
    <col min="113" max="113" width="6.85546875" customWidth="1"/>
    <col min="114" max="114" width="2.85546875" customWidth="1"/>
    <col min="115" max="115" width="6.85546875" customWidth="1"/>
    <col min="116" max="116" width="2.85546875" customWidth="1"/>
    <col min="117" max="117" width="6.85546875" customWidth="1"/>
    <col min="118" max="118" width="2.85546875" customWidth="1"/>
    <col min="119" max="119" width="6.85546875" customWidth="1"/>
  </cols>
  <sheetData>
    <row r="1" spans="1:119" x14ac:dyDescent="0.25">
      <c r="A1" s="13" t="s">
        <v>289</v>
      </c>
      <c r="E1" s="3"/>
      <c r="F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BN1" s="334"/>
      <c r="BO1" s="334"/>
      <c r="BP1" s="334"/>
      <c r="BQ1" s="334"/>
      <c r="BR1" s="334"/>
      <c r="BS1" s="334"/>
      <c r="BT1" s="750" t="s">
        <v>421</v>
      </c>
      <c r="BU1" s="750"/>
      <c r="BV1" s="348"/>
      <c r="BW1" s="349"/>
      <c r="BX1" s="750" t="s">
        <v>421</v>
      </c>
      <c r="BY1" s="750"/>
      <c r="BZ1" s="346"/>
      <c r="CA1" s="347"/>
      <c r="CB1" s="750" t="s">
        <v>421</v>
      </c>
      <c r="CC1" s="750"/>
      <c r="CD1" s="346"/>
      <c r="CE1" s="347"/>
      <c r="CF1" s="346"/>
      <c r="CG1" s="347"/>
      <c r="CH1" s="346"/>
      <c r="CI1" s="347"/>
      <c r="CJ1" s="346"/>
      <c r="CK1" s="347"/>
      <c r="CL1" s="346"/>
      <c r="CM1" s="347"/>
      <c r="CN1" s="750" t="s">
        <v>422</v>
      </c>
      <c r="CO1" s="750"/>
      <c r="CP1" s="750"/>
      <c r="CQ1" s="750"/>
      <c r="CR1" s="750" t="s">
        <v>204</v>
      </c>
      <c r="CS1" s="750"/>
      <c r="CT1" s="334"/>
      <c r="CU1" s="334"/>
      <c r="CV1" s="334"/>
      <c r="CW1" s="334"/>
      <c r="CX1" s="750" t="s">
        <v>205</v>
      </c>
      <c r="CY1" s="750"/>
      <c r="CZ1" s="750" t="s">
        <v>425</v>
      </c>
      <c r="DA1" s="750"/>
      <c r="DB1" s="346"/>
      <c r="DC1" s="347"/>
      <c r="DD1" s="346"/>
      <c r="DE1" s="347"/>
      <c r="DF1" s="750" t="s">
        <v>204</v>
      </c>
      <c r="DG1" s="750"/>
      <c r="DH1" s="346"/>
      <c r="DI1" s="347"/>
      <c r="DJ1" s="750" t="s">
        <v>205</v>
      </c>
      <c r="DK1" s="750"/>
      <c r="DL1" s="750"/>
      <c r="DM1" s="750"/>
      <c r="DN1" s="750"/>
      <c r="DO1" s="750"/>
    </row>
    <row r="2" spans="1:119" ht="15.75" hidden="1" outlineLevel="1" thickBot="1" x14ac:dyDescent="0.3">
      <c r="A2" s="479" t="s">
        <v>413</v>
      </c>
      <c r="E2" s="3"/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BN2" s="334"/>
      <c r="BO2" s="334"/>
      <c r="BP2" s="334"/>
      <c r="BQ2" s="334"/>
      <c r="BR2" s="334"/>
      <c r="BS2" s="334"/>
      <c r="BT2" s="750" t="s">
        <v>420</v>
      </c>
      <c r="BU2" s="750"/>
      <c r="BV2" s="348"/>
      <c r="BW2" s="349"/>
      <c r="BX2" s="750" t="s">
        <v>420</v>
      </c>
      <c r="BY2" s="750"/>
      <c r="BZ2" s="346"/>
      <c r="CA2" s="347"/>
      <c r="CB2" s="750" t="s">
        <v>420</v>
      </c>
      <c r="CC2" s="750"/>
      <c r="CD2" s="346"/>
      <c r="CE2" s="347"/>
      <c r="CF2" s="346"/>
      <c r="CG2" s="347"/>
      <c r="CH2" s="346"/>
      <c r="CI2" s="347"/>
      <c r="CJ2" s="346"/>
      <c r="CK2" s="347"/>
      <c r="CL2" s="346"/>
      <c r="CM2" s="347"/>
      <c r="CN2" s="779" t="s">
        <v>423</v>
      </c>
      <c r="CO2" s="779"/>
      <c r="CP2" s="346"/>
      <c r="CQ2" s="346"/>
      <c r="CR2" s="346"/>
      <c r="CS2" s="346"/>
      <c r="CT2" s="334"/>
      <c r="CU2" s="334"/>
      <c r="CV2" s="334"/>
      <c r="CW2" s="334"/>
      <c r="CX2" s="346"/>
      <c r="CY2" s="346"/>
      <c r="CZ2" s="346"/>
      <c r="DA2" s="346"/>
      <c r="DB2" s="346"/>
      <c r="DC2" s="347"/>
      <c r="DD2" s="346"/>
      <c r="DE2" s="347"/>
      <c r="DF2" s="346"/>
      <c r="DG2" s="346"/>
      <c r="DH2" s="346"/>
      <c r="DI2" s="347"/>
      <c r="DJ2" s="346"/>
      <c r="DK2" s="346"/>
      <c r="DL2" s="346"/>
      <c r="DM2" s="346"/>
      <c r="DN2" s="346"/>
      <c r="DO2" s="346"/>
    </row>
    <row r="3" spans="1:119" ht="15.75" hidden="1" outlineLevel="1" thickBot="1" x14ac:dyDescent="0.3">
      <c r="B3" s="732" t="s">
        <v>400</v>
      </c>
      <c r="C3" s="733"/>
      <c r="D3" s="733"/>
      <c r="E3" s="741" t="s">
        <v>397</v>
      </c>
      <c r="F3" s="742"/>
      <c r="G3" s="742"/>
      <c r="H3" s="743" t="s">
        <v>398</v>
      </c>
      <c r="I3" s="744"/>
      <c r="J3" s="744"/>
      <c r="K3" s="732" t="s">
        <v>399</v>
      </c>
      <c r="L3" s="733"/>
      <c r="M3" s="733"/>
      <c r="N3" s="746" t="s">
        <v>401</v>
      </c>
      <c r="O3" s="747"/>
      <c r="P3" s="747"/>
      <c r="Q3" s="748" t="s">
        <v>91</v>
      </c>
      <c r="R3" s="749"/>
      <c r="S3" s="749"/>
      <c r="T3" s="748" t="s">
        <v>402</v>
      </c>
      <c r="U3" s="749"/>
      <c r="V3" s="749"/>
      <c r="W3" s="743" t="s">
        <v>403</v>
      </c>
      <c r="X3" s="744"/>
      <c r="Y3" s="744"/>
      <c r="Z3" s="746" t="s">
        <v>405</v>
      </c>
      <c r="AA3" s="747"/>
      <c r="AB3" s="747"/>
      <c r="AC3" s="743" t="s">
        <v>404</v>
      </c>
      <c r="AD3" s="744"/>
      <c r="AE3" s="744"/>
      <c r="AF3" s="748" t="s">
        <v>406</v>
      </c>
      <c r="AG3" s="749"/>
      <c r="AH3" s="749"/>
      <c r="AI3" s="748" t="s">
        <v>302</v>
      </c>
      <c r="AJ3" s="749"/>
      <c r="AK3" s="749"/>
      <c r="AL3" s="743" t="s">
        <v>407</v>
      </c>
      <c r="AM3" s="744"/>
      <c r="AN3" s="744"/>
      <c r="AZ3" s="355" t="s">
        <v>203</v>
      </c>
      <c r="BN3" s="773" t="s">
        <v>225</v>
      </c>
      <c r="BO3" s="773"/>
      <c r="BP3" s="773"/>
      <c r="BQ3" s="773"/>
      <c r="BR3" s="773"/>
      <c r="BS3" s="773"/>
      <c r="BT3" s="758" t="s">
        <v>191</v>
      </c>
      <c r="BU3" s="758" t="s">
        <v>129</v>
      </c>
      <c r="BV3" s="759" t="s">
        <v>192</v>
      </c>
      <c r="BW3" s="759" t="s">
        <v>133</v>
      </c>
      <c r="BX3" s="760" t="s">
        <v>193</v>
      </c>
      <c r="BY3" s="754" t="s">
        <v>131</v>
      </c>
      <c r="BZ3" s="757" t="s">
        <v>194</v>
      </c>
      <c r="CA3" s="771" t="s">
        <v>79</v>
      </c>
      <c r="CB3" s="755" t="s">
        <v>195</v>
      </c>
      <c r="CC3" s="756" t="s">
        <v>90</v>
      </c>
      <c r="CD3" s="751" t="s">
        <v>196</v>
      </c>
      <c r="CE3" s="752" t="s">
        <v>105</v>
      </c>
      <c r="CF3" s="751" t="s">
        <v>197</v>
      </c>
      <c r="CG3" s="752" t="s">
        <v>135</v>
      </c>
      <c r="CH3" s="753" t="s">
        <v>198</v>
      </c>
      <c r="CI3" s="754" t="s">
        <v>137</v>
      </c>
      <c r="CJ3" s="755" t="s">
        <v>199</v>
      </c>
      <c r="CK3" s="756" t="s">
        <v>146</v>
      </c>
      <c r="CL3" s="753" t="s">
        <v>200</v>
      </c>
      <c r="CM3" s="754" t="s">
        <v>160</v>
      </c>
      <c r="CN3" s="751" t="s">
        <v>201</v>
      </c>
      <c r="CO3" s="752" t="s">
        <v>175</v>
      </c>
      <c r="CP3" s="751" t="s">
        <v>408</v>
      </c>
      <c r="CQ3" s="752" t="s">
        <v>175</v>
      </c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</row>
    <row r="4" spans="1:119" hidden="1" outlineLevel="1" x14ac:dyDescent="0.25">
      <c r="A4" s="13" t="s">
        <v>31</v>
      </c>
      <c r="B4" s="207" t="s">
        <v>284</v>
      </c>
      <c r="C4" s="208" t="s">
        <v>285</v>
      </c>
      <c r="D4" s="492" t="s">
        <v>286</v>
      </c>
      <c r="E4" s="211" t="s">
        <v>48</v>
      </c>
      <c r="F4" s="212" t="s">
        <v>49</v>
      </c>
      <c r="G4" s="212" t="s">
        <v>287</v>
      </c>
      <c r="H4" s="213" t="s">
        <v>126</v>
      </c>
      <c r="I4" s="214" t="s">
        <v>127</v>
      </c>
      <c r="J4" s="214" t="s">
        <v>288</v>
      </c>
      <c r="K4" s="207" t="s">
        <v>67</v>
      </c>
      <c r="L4" s="208" t="s">
        <v>68</v>
      </c>
      <c r="M4" s="208" t="s">
        <v>303</v>
      </c>
      <c r="N4" s="209" t="s">
        <v>80</v>
      </c>
      <c r="O4" s="210" t="s">
        <v>81</v>
      </c>
      <c r="P4" s="210" t="s">
        <v>304</v>
      </c>
      <c r="Q4" s="3" t="s">
        <v>87</v>
      </c>
      <c r="R4" s="3" t="s">
        <v>88</v>
      </c>
      <c r="S4" s="3" t="s">
        <v>305</v>
      </c>
      <c r="T4" s="3" t="s">
        <v>103</v>
      </c>
      <c r="U4" s="3" t="s">
        <v>106</v>
      </c>
      <c r="V4" s="3" t="s">
        <v>306</v>
      </c>
      <c r="W4" s="213" t="s">
        <v>122</v>
      </c>
      <c r="X4" s="214" t="s">
        <v>123</v>
      </c>
      <c r="Y4" s="507" t="s">
        <v>307</v>
      </c>
      <c r="Z4" s="209" t="s">
        <v>124</v>
      </c>
      <c r="AA4" s="210" t="s">
        <v>125</v>
      </c>
      <c r="AB4" s="210" t="s">
        <v>308</v>
      </c>
      <c r="AC4" s="213" t="s">
        <v>144</v>
      </c>
      <c r="AD4" s="214" t="s">
        <v>143</v>
      </c>
      <c r="AE4" s="507" t="s">
        <v>309</v>
      </c>
      <c r="AF4" s="3" t="s">
        <v>157</v>
      </c>
      <c r="AG4" s="3" t="s">
        <v>158</v>
      </c>
      <c r="AH4" s="3" t="s">
        <v>310</v>
      </c>
      <c r="AI4" s="3" t="s">
        <v>172</v>
      </c>
      <c r="AJ4" s="3" t="s">
        <v>173</v>
      </c>
      <c r="AK4" s="3" t="s">
        <v>311</v>
      </c>
      <c r="AL4" s="574" t="s">
        <v>312</v>
      </c>
      <c r="AM4" s="574" t="s">
        <v>314</v>
      </c>
      <c r="AN4" s="574" t="s">
        <v>313</v>
      </c>
      <c r="AZ4" s="774" t="s">
        <v>139</v>
      </c>
      <c r="BA4" s="775"/>
      <c r="BB4" s="776"/>
      <c r="BC4" s="774" t="s">
        <v>140</v>
      </c>
      <c r="BD4" s="775"/>
      <c r="BE4" s="776"/>
      <c r="BF4" s="773" t="s">
        <v>409</v>
      </c>
      <c r="BG4" s="773"/>
      <c r="BH4" s="773"/>
      <c r="BI4" s="773" t="s">
        <v>410</v>
      </c>
      <c r="BJ4" s="773"/>
      <c r="BK4" s="773"/>
      <c r="BN4" s="773" t="s">
        <v>139</v>
      </c>
      <c r="BO4" s="773"/>
      <c r="BP4" s="773" t="s">
        <v>140</v>
      </c>
      <c r="BQ4" s="773"/>
      <c r="BR4" s="773" t="s">
        <v>76</v>
      </c>
      <c r="BS4" s="773"/>
      <c r="BT4" s="758" t="s">
        <v>47</v>
      </c>
      <c r="BU4" s="758"/>
      <c r="BV4" s="759" t="s">
        <v>47</v>
      </c>
      <c r="BW4" s="759"/>
      <c r="BX4" s="760" t="s">
        <v>47</v>
      </c>
      <c r="BY4" s="754"/>
      <c r="BZ4" s="757" t="s">
        <v>47</v>
      </c>
      <c r="CA4" s="771"/>
      <c r="CB4" s="755" t="s">
        <v>47</v>
      </c>
      <c r="CC4" s="756"/>
      <c r="CD4" s="751" t="s">
        <v>47</v>
      </c>
      <c r="CE4" s="752"/>
      <c r="CF4" s="751" t="s">
        <v>47</v>
      </c>
      <c r="CG4" s="752"/>
      <c r="CH4" s="753" t="s">
        <v>47</v>
      </c>
      <c r="CI4" s="754"/>
      <c r="CJ4" s="755" t="s">
        <v>47</v>
      </c>
      <c r="CK4" s="756"/>
      <c r="CL4" s="753" t="s">
        <v>47</v>
      </c>
      <c r="CM4" s="754"/>
      <c r="CN4" s="751" t="s">
        <v>47</v>
      </c>
      <c r="CO4" s="752"/>
      <c r="CP4" s="751" t="s">
        <v>47</v>
      </c>
      <c r="CQ4" s="752"/>
      <c r="CR4" s="757" t="s">
        <v>190</v>
      </c>
      <c r="CS4" s="758"/>
      <c r="CT4" s="759" t="s">
        <v>190</v>
      </c>
      <c r="CU4" s="759"/>
      <c r="CV4" s="760" t="s">
        <v>190</v>
      </c>
      <c r="CW4" s="754"/>
      <c r="CX4" s="757" t="s">
        <v>190</v>
      </c>
      <c r="CY4" s="771"/>
      <c r="CZ4" s="755" t="s">
        <v>190</v>
      </c>
      <c r="DA4" s="756"/>
      <c r="DB4" s="751" t="s">
        <v>190</v>
      </c>
      <c r="DC4" s="752"/>
      <c r="DD4" s="751" t="s">
        <v>190</v>
      </c>
      <c r="DE4" s="752"/>
      <c r="DF4" s="753" t="s">
        <v>190</v>
      </c>
      <c r="DG4" s="754"/>
      <c r="DH4" s="755" t="s">
        <v>190</v>
      </c>
      <c r="DI4" s="756"/>
      <c r="DJ4" s="753" t="s">
        <v>190</v>
      </c>
      <c r="DK4" s="754"/>
      <c r="DL4" s="751" t="s">
        <v>190</v>
      </c>
      <c r="DM4" s="752"/>
      <c r="DN4" s="751" t="s">
        <v>190</v>
      </c>
      <c r="DO4" s="752"/>
    </row>
    <row r="5" spans="1:119" hidden="1" outlineLevel="1" x14ac:dyDescent="0.25">
      <c r="A5" s="515">
        <v>0</v>
      </c>
      <c r="B5" s="3">
        <v>0</v>
      </c>
      <c r="C5" s="3">
        <v>0</v>
      </c>
      <c r="D5" s="21" t="str">
        <f>IFERROR(Tabelle3[[#This Row],[Ned (€)]]/Tabelle3[[#This Row],[Ned (Backer)]],"")</f>
        <v/>
      </c>
      <c r="E5" s="3">
        <v>0</v>
      </c>
      <c r="F5" s="3">
        <v>0</v>
      </c>
      <c r="H5" s="3">
        <v>0</v>
      </c>
      <c r="I5" s="3">
        <v>0</v>
      </c>
      <c r="J5" s="21"/>
      <c r="K5" s="3">
        <v>0</v>
      </c>
      <c r="L5" s="3">
        <v>0</v>
      </c>
      <c r="M5" s="21"/>
      <c r="N5" s="3">
        <v>0</v>
      </c>
      <c r="O5" s="3">
        <v>0</v>
      </c>
      <c r="P5" s="21"/>
      <c r="Q5" s="3">
        <v>0</v>
      </c>
      <c r="R5" s="3">
        <v>0</v>
      </c>
      <c r="S5" s="21"/>
      <c r="T5" s="3">
        <v>0</v>
      </c>
      <c r="U5" s="3">
        <v>0</v>
      </c>
      <c r="V5" s="21"/>
      <c r="W5" s="3">
        <v>0</v>
      </c>
      <c r="X5" s="3">
        <v>0</v>
      </c>
      <c r="Y5" s="21"/>
      <c r="Z5" s="3">
        <v>0</v>
      </c>
      <c r="AA5" s="3">
        <v>0</v>
      </c>
      <c r="AB5" s="21"/>
      <c r="AC5" s="3">
        <v>0</v>
      </c>
      <c r="AD5" s="3">
        <v>0</v>
      </c>
      <c r="AE5" s="21"/>
      <c r="AF5" s="3">
        <v>0</v>
      </c>
      <c r="AG5" s="3">
        <v>0</v>
      </c>
      <c r="AH5" s="21"/>
      <c r="AI5" s="3">
        <v>0</v>
      </c>
      <c r="AJ5" s="3">
        <v>0</v>
      </c>
      <c r="AK5" s="21"/>
      <c r="AL5" s="174">
        <v>0</v>
      </c>
      <c r="AM5" s="174">
        <v>0</v>
      </c>
      <c r="AN5" s="21"/>
      <c r="AX5" s="203"/>
      <c r="AY5" s="203"/>
      <c r="AZ5" s="353" t="s">
        <v>16</v>
      </c>
      <c r="BA5" s="353" t="s">
        <v>50</v>
      </c>
      <c r="BB5" s="354" t="s">
        <v>202</v>
      </c>
      <c r="BC5" s="354" t="s">
        <v>16</v>
      </c>
      <c r="BD5" s="353" t="s">
        <v>50</v>
      </c>
      <c r="BE5" s="354" t="s">
        <v>202</v>
      </c>
      <c r="BF5" s="354" t="s">
        <v>16</v>
      </c>
      <c r="BG5" s="353" t="s">
        <v>50</v>
      </c>
      <c r="BH5" s="354" t="s">
        <v>202</v>
      </c>
      <c r="BI5" s="354" t="s">
        <v>16</v>
      </c>
      <c r="BJ5" s="353" t="s">
        <v>50</v>
      </c>
      <c r="BK5" s="354" t="s">
        <v>202</v>
      </c>
      <c r="BL5" s="203"/>
      <c r="BM5" s="203"/>
      <c r="BN5" s="350" t="s">
        <v>16</v>
      </c>
      <c r="BO5" s="350" t="s">
        <v>50</v>
      </c>
      <c r="BP5" s="351" t="s">
        <v>16</v>
      </c>
      <c r="BQ5" s="350" t="s">
        <v>50</v>
      </c>
      <c r="BR5" s="351" t="s">
        <v>16</v>
      </c>
      <c r="BS5" s="350" t="s">
        <v>50</v>
      </c>
      <c r="BT5" s="336" t="s">
        <v>128</v>
      </c>
      <c r="BU5" s="335" t="s">
        <v>129</v>
      </c>
      <c r="BV5" s="338" t="s">
        <v>132</v>
      </c>
      <c r="BW5" s="339" t="s">
        <v>133</v>
      </c>
      <c r="BX5" s="340" t="s">
        <v>130</v>
      </c>
      <c r="BY5" s="341" t="s">
        <v>131</v>
      </c>
      <c r="BZ5" s="336" t="s">
        <v>78</v>
      </c>
      <c r="CA5" s="342" t="s">
        <v>79</v>
      </c>
      <c r="CB5" s="337" t="s">
        <v>89</v>
      </c>
      <c r="CC5" s="343" t="s">
        <v>90</v>
      </c>
      <c r="CD5" s="344" t="s">
        <v>104</v>
      </c>
      <c r="CE5" s="345" t="s">
        <v>105</v>
      </c>
      <c r="CF5" s="344" t="s">
        <v>134</v>
      </c>
      <c r="CG5" s="345" t="s">
        <v>135</v>
      </c>
      <c r="CH5" s="340" t="s">
        <v>136</v>
      </c>
      <c r="CI5" s="341" t="s">
        <v>137</v>
      </c>
      <c r="CJ5" s="337" t="s">
        <v>145</v>
      </c>
      <c r="CK5" s="343" t="s">
        <v>146</v>
      </c>
      <c r="CL5" s="340" t="s">
        <v>159</v>
      </c>
      <c r="CM5" s="341" t="s">
        <v>160</v>
      </c>
      <c r="CN5" s="344" t="s">
        <v>174</v>
      </c>
      <c r="CO5" s="345" t="s">
        <v>175</v>
      </c>
      <c r="CP5" s="344" t="s">
        <v>174</v>
      </c>
      <c r="CQ5" s="345" t="s">
        <v>175</v>
      </c>
      <c r="CR5" s="769" t="s">
        <v>191</v>
      </c>
      <c r="CS5" s="772"/>
      <c r="CT5" s="767" t="s">
        <v>192</v>
      </c>
      <c r="CU5" s="767"/>
      <c r="CV5" s="768" t="s">
        <v>193</v>
      </c>
      <c r="CW5" s="764"/>
      <c r="CX5" s="769" t="s">
        <v>194</v>
      </c>
      <c r="CY5" s="770"/>
      <c r="CZ5" s="761" t="s">
        <v>195</v>
      </c>
      <c r="DA5" s="762"/>
      <c r="DB5" s="765" t="s">
        <v>196</v>
      </c>
      <c r="DC5" s="766"/>
      <c r="DD5" s="765" t="s">
        <v>197</v>
      </c>
      <c r="DE5" s="766"/>
      <c r="DF5" s="763" t="s">
        <v>198</v>
      </c>
      <c r="DG5" s="764"/>
      <c r="DH5" s="761" t="s">
        <v>199</v>
      </c>
      <c r="DI5" s="762"/>
      <c r="DJ5" s="763" t="s">
        <v>200</v>
      </c>
      <c r="DK5" s="764"/>
      <c r="DL5" s="765" t="s">
        <v>201</v>
      </c>
      <c r="DM5" s="766"/>
      <c r="DN5" s="765" t="s">
        <v>408</v>
      </c>
      <c r="DO5" s="766"/>
    </row>
    <row r="6" spans="1:119" ht="15.75" hidden="1" outlineLevel="1" thickBot="1" x14ac:dyDescent="0.3">
      <c r="A6" s="515">
        <v>1</v>
      </c>
      <c r="B6" s="3">
        <v>14771</v>
      </c>
      <c r="C6" s="3">
        <v>73</v>
      </c>
      <c r="D6" s="21">
        <f>IFERROR(Tabelle3[[#This Row],[Ned (€)]]/Tabelle3[[#This Row],[Ned (Backer)]],"")</f>
        <v>202.34246575342465</v>
      </c>
      <c r="E6" s="3">
        <v>43437</v>
      </c>
      <c r="F6" s="3">
        <v>179</v>
      </c>
      <c r="G6" s="21">
        <f>Tabelle3[[#This Row],[Werkzeuge (€)]]/Tabelle3[[#This Row],[Werkzeuge (Backer)]]</f>
        <v>242.66480446927375</v>
      </c>
      <c r="H6" s="3">
        <v>36402</v>
      </c>
      <c r="I6" s="3">
        <v>195</v>
      </c>
      <c r="J6" s="21">
        <f>Tabelle3[[#This Row],[DSK Fasar (€)]]/Tabelle3[[#This Row],[DSK Fasar (Backer)]]</f>
        <v>186.67692307692309</v>
      </c>
      <c r="K6" s="3">
        <v>19612</v>
      </c>
      <c r="L6" s="3">
        <v>115</v>
      </c>
      <c r="M6" s="21">
        <f>Tabelle3[[#This Row],[Mythen (€)]]/Tabelle3[[#This Row],[Mythen (Backer)]]</f>
        <v>170.53913043478261</v>
      </c>
      <c r="N6" s="3">
        <v>89735</v>
      </c>
      <c r="O6" s="3">
        <v>625</v>
      </c>
      <c r="P6" s="21">
        <f>Tabelle3[[#This Row],[SOK (€)]]/Tabelle3[[#This Row],[SOK (Backer)]]</f>
        <v>143.57599999999999</v>
      </c>
      <c r="Q6" s="3">
        <v>82966</v>
      </c>
      <c r="R6" s="3">
        <v>341</v>
      </c>
      <c r="S6" s="21">
        <f>Tabelle3[[#This Row],[RE (€)]]/Tabelle3[[#This Row],[RE (Backer)]]</f>
        <v>243.30205278592376</v>
      </c>
      <c r="T6" s="3">
        <v>76466</v>
      </c>
      <c r="U6" s="3">
        <v>317</v>
      </c>
      <c r="V6" s="21">
        <f>Tabelle3[[#This Row],[DGG (€)]]/Tabelle3[[#This Row],[DGG (Backer)]]</f>
        <v>241.21766561514195</v>
      </c>
      <c r="W6" s="3">
        <v>26725</v>
      </c>
      <c r="X6" s="3">
        <v>136</v>
      </c>
      <c r="Y6" s="21">
        <f>Tabelle3[[#This Row],[DSK SV (€)]]/Tabelle3[[#This Row],[DSK SV (Backer)]]</f>
        <v>196.50735294117646</v>
      </c>
      <c r="Z6" s="3">
        <v>97183</v>
      </c>
      <c r="AA6" s="3">
        <v>489</v>
      </c>
      <c r="AB6" s="21">
        <f>Tabelle3[[#This Row],[WW (€)]]/Tabelle3[[#This Row],[WW (Backer)]]</f>
        <v>198.73824130879345</v>
      </c>
      <c r="AC6" s="3">
        <v>8357</v>
      </c>
      <c r="AD6" s="3">
        <v>67</v>
      </c>
      <c r="AE6" s="21">
        <f>Tabelle3[[#This Row],[DSK R (€)]]/Tabelle3[[#This Row],[DSK R (Backer)]]</f>
        <v>124.73134328358209</v>
      </c>
      <c r="AF6" s="3">
        <v>39596</v>
      </c>
      <c r="AG6" s="3">
        <v>180</v>
      </c>
      <c r="AH6" s="21">
        <f>Tabelle3[[#This Row],[Ära (€)]]/Tabelle3[[#This Row],[Ära (Backer)]]</f>
        <v>219.97777777777779</v>
      </c>
      <c r="AI6" s="3">
        <v>25960</v>
      </c>
      <c r="AJ6" s="3">
        <v>347</v>
      </c>
      <c r="AK6" s="21">
        <f>Tabelle3[[#This Row],[Mosaik (€)]]/Tabelle3[[#This Row],[Mosaik (Backer)]]</f>
        <v>74.812680115273778</v>
      </c>
      <c r="AL6" s="8">
        <f>'Übersicht &amp; Anleitung'!AM51</f>
        <v>17251</v>
      </c>
      <c r="AM6" s="8">
        <f>'Übersicht &amp; Anleitung'!AN51</f>
        <v>121</v>
      </c>
      <c r="AN6" s="21">
        <f>Tabelle3[[#This Row],[DSK ES (€)]]/Tabelle3[[#This Row],[DSK ES (Backer)]]</f>
        <v>142.5702479338843</v>
      </c>
      <c r="AY6" s="576" t="s">
        <v>69</v>
      </c>
      <c r="AZ6" s="6">
        <f>$AL6*$BN6</f>
        <v>45961.077918315044</v>
      </c>
      <c r="BA6" s="6">
        <f>$AM6*$BO6</f>
        <v>322.15039999999999</v>
      </c>
      <c r="BB6" s="22">
        <f>AZ6/BA6</f>
        <v>142.66962859060564</v>
      </c>
      <c r="BC6" s="6">
        <f>$AL6*$BP6</f>
        <v>108578.56775936963</v>
      </c>
      <c r="BD6" s="6">
        <f>$AM6*$BQ6</f>
        <v>763.64444444444439</v>
      </c>
      <c r="BE6" s="22">
        <f>BC6/BD6</f>
        <v>142.18471508472919</v>
      </c>
      <c r="BF6" s="3">
        <f t="shared" ref="BF6:BF16" si="0">AVERAGE(AZ6,BC6)</f>
        <v>77269.822838842345</v>
      </c>
      <c r="BG6" s="3">
        <f t="shared" ref="BG6:BG16" si="1">AVERAGE(BA6,BD6)</f>
        <v>542.89742222222219</v>
      </c>
      <c r="BH6" s="22">
        <f>BF6/BG6</f>
        <v>142.32858672004116</v>
      </c>
      <c r="BI6" s="3">
        <f>$AL6*$BR6</f>
        <v>70277.511095177659</v>
      </c>
      <c r="BJ6" s="3">
        <f>$AM6*$BS6</f>
        <v>477.54370100521521</v>
      </c>
      <c r="BK6" s="22">
        <f>BI6/BJ6</f>
        <v>147.16456514292955</v>
      </c>
      <c r="BM6" s="576" t="s">
        <v>69</v>
      </c>
      <c r="BN6" s="15">
        <f>MIN(BT6,BV6,BX6,BZ6,CB6,CD6,CF6,CH6,CJ6,CL6,CN6,CP6)</f>
        <v>2.664255864489887</v>
      </c>
      <c r="BO6" s="15">
        <f t="shared" ref="BO6:BO26" si="2">MIN(BU6,BW6,BY6,CA6,CC6,CE6,CG6,CI6,CK6,CM6,CO6,CQ6)</f>
        <v>2.6623999999999999</v>
      </c>
      <c r="BP6" s="352">
        <f>MAX(BT6,BV6,BX6,BZ6,CB6,CD6,CF6,CH6,CJ6,CL6,CN6,CP6)</f>
        <v>6.294044853015456</v>
      </c>
      <c r="BQ6" s="352">
        <f t="shared" ref="BQ6:BQ26" si="3">MAX(BU6,BW6,BY6,CA6,CC6,CE6,CG6,CI6,CK6,CM6,CO6,CQ6)</f>
        <v>6.3111111111111109</v>
      </c>
      <c r="BR6" s="352">
        <f t="shared" ref="BR6:BR26" si="4">AVERAGE(BT6,BV6,BX6,BZ6,CB6,CD6,CF6,CH6,CJ6,CL6,CN6)</f>
        <v>4.0738224505928731</v>
      </c>
      <c r="BS6" s="352">
        <f t="shared" ref="BS6:BS26" si="5">AVERAGE(BU6,BW6,BY6,CA6,CC6,CE6,CG6,CI6,CK6,CM6)</f>
        <v>3.9466421570678945</v>
      </c>
      <c r="BT6" s="16">
        <f t="shared" ref="BT6:BT26" si="6">B$26/B6</f>
        <v>4.2207704285424139</v>
      </c>
      <c r="BU6" s="7">
        <f t="shared" ref="BU6:BU26" si="7">C$26/C6</f>
        <v>4.7534246575342465</v>
      </c>
      <c r="BV6" s="4">
        <f t="shared" ref="BV6:BV26" si="8">E$26/E6</f>
        <v>3.9298524299560285</v>
      </c>
      <c r="BW6" s="7">
        <f t="shared" ref="BW6:BW26" si="9">F$26/F6</f>
        <v>4.2234636871508382</v>
      </c>
      <c r="BX6" s="11">
        <f t="shared" ref="BX6:BX26" si="10">H$26/H6</f>
        <v>3.3980001098840722</v>
      </c>
      <c r="BY6" s="26">
        <f t="shared" ref="BY6:BY26" si="11">I$26/I6</f>
        <v>3.3743589743589744</v>
      </c>
      <c r="BZ6" s="11">
        <f t="shared" ref="BZ6:BZ26" si="12">K$26/K6</f>
        <v>4.5885682235366101</v>
      </c>
      <c r="CA6" s="26">
        <f t="shared" ref="CA6:CA26" si="13">L$26/L6</f>
        <v>4.321739130434783</v>
      </c>
      <c r="CB6" s="11">
        <f t="shared" ref="CB6:CB26" si="14">N$26/N6</f>
        <v>2.664255864489887</v>
      </c>
      <c r="CC6" s="26">
        <f t="shared" ref="CC6:CC26" si="15">O$26/O6</f>
        <v>2.6623999999999999</v>
      </c>
      <c r="CD6" s="11">
        <f t="shared" ref="CD6:CD26" si="16">Q$26/Q6</f>
        <v>4.7068317141961771</v>
      </c>
      <c r="CE6" s="26">
        <f t="shared" ref="CE6:CE26" si="17">R$26/R6</f>
        <v>4.8621700879765397</v>
      </c>
      <c r="CF6" s="11">
        <f t="shared" ref="CF6:CF26" si="18">T$26/T6</f>
        <v>3.0265739021264353</v>
      </c>
      <c r="CG6" s="26">
        <f t="shared" ref="CG6:CG26" si="19">U$26/U6</f>
        <v>3.0757097791798107</v>
      </c>
      <c r="CH6" s="11">
        <f t="shared" ref="CH6:CH26" si="20">W$26/W6</f>
        <v>4.3073152478952288</v>
      </c>
      <c r="CI6" s="26">
        <f t="shared" ref="CI6:CI26" si="21">X$26/X6</f>
        <v>4.742647058823529</v>
      </c>
      <c r="CJ6" s="11">
        <f t="shared" ref="CJ6:CJ26" si="22">Z$26/Z6</f>
        <v>3.3383925172098001</v>
      </c>
      <c r="CK6" s="26">
        <f t="shared" ref="CK6:CK26" si="23">AA$26/AA6</f>
        <v>3.4355828220858897</v>
      </c>
      <c r="CL6" s="11">
        <f t="shared" ref="CL6:CL26" si="24">AC$26/AC6</f>
        <v>4.3374416656694983</v>
      </c>
      <c r="CM6" s="26">
        <f t="shared" ref="CM6:CM26" si="25">AD$26/AD6</f>
        <v>4.0149253731343286</v>
      </c>
      <c r="CN6" s="11">
        <f t="shared" ref="CN6:CN26" si="26">AF$26/AF6</f>
        <v>6.294044853015456</v>
      </c>
      <c r="CO6" s="26">
        <f t="shared" ref="CO6:CO26" si="27">AG$26/AG6</f>
        <v>6.3111111111111109</v>
      </c>
      <c r="CP6" s="11">
        <f t="shared" ref="CP6:CP26" si="28">AI$26/AI6</f>
        <v>3.2375577812018488</v>
      </c>
      <c r="CQ6" s="26">
        <f t="shared" ref="CQ6:CQ26" si="29">AJ$26/AJ6</f>
        <v>3.3342939481268012</v>
      </c>
      <c r="CR6" s="17"/>
      <c r="CS6" s="19">
        <f t="shared" ref="CS6:CS26" si="30">BT6-BU6</f>
        <v>-0.53265422899183257</v>
      </c>
      <c r="CT6" s="20"/>
      <c r="CU6" s="19">
        <f t="shared" ref="CU6:CU26" si="31">BV6-BW6</f>
        <v>-0.29361125719480974</v>
      </c>
      <c r="CV6" s="20"/>
      <c r="CW6" s="18">
        <f t="shared" ref="CW6:CW26" si="32">BX6-BY6</f>
        <v>2.3641135525097834E-2</v>
      </c>
      <c r="CX6" s="20"/>
      <c r="CY6" s="18">
        <f t="shared" ref="CY6:CY26" si="33">BZ6-CA6</f>
        <v>0.26682909310182712</v>
      </c>
      <c r="CZ6" s="20"/>
      <c r="DA6" s="18">
        <f t="shared" ref="DA6:DA26" si="34">CB6-CC6</f>
        <v>1.8558644898871712E-3</v>
      </c>
      <c r="DB6" s="20"/>
      <c r="DC6" s="18">
        <f t="shared" ref="DC6:DC26" si="35">CD6-CE6</f>
        <v>-0.15533837378036264</v>
      </c>
      <c r="DD6" s="20"/>
      <c r="DE6" s="18">
        <f t="shared" ref="DE6:DE26" si="36">CF6-CG6</f>
        <v>-4.913587705337541E-2</v>
      </c>
      <c r="DF6" s="20"/>
      <c r="DG6" s="18">
        <f t="shared" ref="DG6:DG26" si="37">CH6-CI6</f>
        <v>-0.4353318109283002</v>
      </c>
      <c r="DH6" s="20"/>
      <c r="DI6" s="18">
        <f t="shared" ref="DI6:DI26" si="38">CJ6-CK6</f>
        <v>-9.7190304876089595E-2</v>
      </c>
      <c r="DJ6" s="20"/>
      <c r="DK6" s="18">
        <f t="shared" ref="DK6:DK26" si="39">CL6-CM6</f>
        <v>0.32251629253516967</v>
      </c>
      <c r="DL6" s="20"/>
      <c r="DM6" s="18">
        <f t="shared" ref="DM6:DM26" si="40">CN6-CO6</f>
        <v>-1.7066258095654874E-2</v>
      </c>
      <c r="DN6" s="20"/>
      <c r="DO6" s="18">
        <f t="shared" ref="DO6:DO26" si="41">CP6-CQ6</f>
        <v>-9.673616692495246E-2</v>
      </c>
    </row>
    <row r="7" spans="1:119" ht="15.75" hidden="1" outlineLevel="1" thickBot="1" x14ac:dyDescent="0.3">
      <c r="A7" s="515">
        <v>2</v>
      </c>
      <c r="B7" s="3">
        <v>16764</v>
      </c>
      <c r="C7" s="3">
        <v>82</v>
      </c>
      <c r="D7" s="21">
        <f>IFERROR(Tabelle3[[#This Row],[Ned (€)]]/Tabelle3[[#This Row],[Ned (Backer)]],"")</f>
        <v>204.4390243902439</v>
      </c>
      <c r="E7" s="3">
        <v>49522</v>
      </c>
      <c r="F7" s="3">
        <v>206</v>
      </c>
      <c r="G7" s="21">
        <f>Tabelle3[[#This Row],[Werkzeuge (€)]]/Tabelle3[[#This Row],[Werkzeuge (Backer)]]</f>
        <v>240.39805825242718</v>
      </c>
      <c r="H7" s="3">
        <v>42659</v>
      </c>
      <c r="I7" s="3">
        <v>233</v>
      </c>
      <c r="J7" s="21">
        <f>Tabelle3[[#This Row],[DSK Fasar (€)]]/Tabelle3[[#This Row],[DSK Fasar (Backer)]]</f>
        <v>183.08583690987123</v>
      </c>
      <c r="K7" s="3">
        <v>24532</v>
      </c>
      <c r="L7" s="3">
        <v>145</v>
      </c>
      <c r="M7" s="21">
        <f>Tabelle3[[#This Row],[Mythen (€)]]/Tabelle3[[#This Row],[Mythen (Backer)]]</f>
        <v>169.18620689655174</v>
      </c>
      <c r="N7" s="3">
        <v>114003</v>
      </c>
      <c r="O7" s="3">
        <v>789</v>
      </c>
      <c r="P7" s="514">
        <f>Tabelle3[[#This Row],[SOK (€)]]/Tabelle3[[#This Row],[SOK (Backer)]]</f>
        <v>144.49049429657794</v>
      </c>
      <c r="Q7" s="3">
        <v>96328</v>
      </c>
      <c r="R7" s="3">
        <v>404</v>
      </c>
      <c r="S7" s="21">
        <f>Tabelle3[[#This Row],[RE (€)]]/Tabelle3[[#This Row],[RE (Backer)]]</f>
        <v>238.43564356435644</v>
      </c>
      <c r="T7" s="3">
        <v>100197</v>
      </c>
      <c r="U7" s="3">
        <v>417</v>
      </c>
      <c r="V7" s="21">
        <f>Tabelle3[[#This Row],[DGG (€)]]/Tabelle3[[#This Row],[DGG (Backer)]]</f>
        <v>240.28057553956833</v>
      </c>
      <c r="W7" s="3">
        <v>32416</v>
      </c>
      <c r="X7" s="3">
        <v>172</v>
      </c>
      <c r="Y7" s="21">
        <f>Tabelle3[[#This Row],[DSK SV (€)]]/Tabelle3[[#This Row],[DSK SV (Backer)]]</f>
        <v>188.46511627906978</v>
      </c>
      <c r="Z7" s="3">
        <v>121393</v>
      </c>
      <c r="AA7" s="3">
        <v>618</v>
      </c>
      <c r="AB7" s="21">
        <f>Tabelle3[[#This Row],[WW (€)]]/Tabelle3[[#This Row],[WW (Backer)]]</f>
        <v>196.42880258899677</v>
      </c>
      <c r="AC7" s="3">
        <v>11433</v>
      </c>
      <c r="AD7" s="3">
        <v>89</v>
      </c>
      <c r="AE7" s="514">
        <f>Tabelle3[[#This Row],[DSK R (€)]]/Tabelle3[[#This Row],[DSK R (Backer)]]</f>
        <v>128.46067415730337</v>
      </c>
      <c r="AF7" s="3">
        <v>55623</v>
      </c>
      <c r="AG7" s="3">
        <v>256</v>
      </c>
      <c r="AH7" s="21">
        <f>Tabelle3[[#This Row],[Ära (€)]]/Tabelle3[[#This Row],[Ära (Backer)]]</f>
        <v>217.27734375</v>
      </c>
      <c r="AI7" s="3">
        <v>35712</v>
      </c>
      <c r="AJ7" s="3">
        <v>483</v>
      </c>
      <c r="AK7" s="21">
        <f>Tabelle3[[#This Row],[Mosaik (€)]]/Tabelle3[[#This Row],[Mosaik (Backer)]]</f>
        <v>73.937888198757761</v>
      </c>
      <c r="AL7" s="8"/>
      <c r="AM7" s="8"/>
      <c r="AN7" s="21" t="e">
        <f>Tabelle3[[#This Row],[DSK ES (€)]]/Tabelle3[[#This Row],[DSK ES (Backer)]]</f>
        <v>#DIV/0!</v>
      </c>
      <c r="AY7" s="576" t="s">
        <v>70</v>
      </c>
      <c r="AZ7" s="578"/>
      <c r="BA7" s="578"/>
      <c r="BB7" s="579"/>
      <c r="BC7" s="578"/>
      <c r="BD7" s="578"/>
      <c r="BE7" s="579"/>
      <c r="BF7" s="580"/>
      <c r="BG7" s="580"/>
      <c r="BH7" s="579"/>
      <c r="BI7" s="580"/>
      <c r="BJ7" s="580"/>
      <c r="BK7" s="579"/>
      <c r="BM7" s="576" t="s">
        <v>70</v>
      </c>
      <c r="BN7" s="15">
        <f t="shared" ref="BN7:BN26" si="42">MIN(BT7,BV7,BX7,BZ7,CB7,CD7,CF7,CH7,CJ7,CL7,CN7,CP7)</f>
        <v>2.0971114795224688</v>
      </c>
      <c r="BO7" s="15">
        <f t="shared" si="2"/>
        <v>2.1089987325728772</v>
      </c>
      <c r="BP7" s="352">
        <f t="shared" ref="BP7:BP26" si="43">MAX(BT7,BV7,BX7,BZ7,CB7,CD7,CF7,CH7,CJ7,CL7,CN7,CP7)</f>
        <v>4.4805026697589128</v>
      </c>
      <c r="BQ7" s="352">
        <f t="shared" si="3"/>
        <v>4.4375</v>
      </c>
      <c r="BR7" s="352">
        <f t="shared" si="4"/>
        <v>3.2790315579308085</v>
      </c>
      <c r="BS7" s="352">
        <f t="shared" si="5"/>
        <v>3.2195237908424494</v>
      </c>
      <c r="BT7" s="16">
        <f t="shared" si="6"/>
        <v>3.7189811500835122</v>
      </c>
      <c r="BU7" s="7">
        <f t="shared" si="7"/>
        <v>4.2317073170731705</v>
      </c>
      <c r="BV7" s="11">
        <f t="shared" si="8"/>
        <v>3.4469730624772827</v>
      </c>
      <c r="BW7" s="12">
        <f t="shared" si="9"/>
        <v>3.6699029126213594</v>
      </c>
      <c r="BX7" s="11">
        <f t="shared" si="10"/>
        <v>2.8995991467216764</v>
      </c>
      <c r="BY7" s="26">
        <f t="shared" si="11"/>
        <v>2.8240343347639487</v>
      </c>
      <c r="BZ7" s="11">
        <f t="shared" si="12"/>
        <v>3.6683107777596606</v>
      </c>
      <c r="CA7" s="26">
        <f t="shared" si="13"/>
        <v>3.4275862068965517</v>
      </c>
      <c r="CB7" s="11">
        <f t="shared" si="14"/>
        <v>2.0971114795224688</v>
      </c>
      <c r="CC7" s="26">
        <f t="shared" si="15"/>
        <v>2.1089987325728772</v>
      </c>
      <c r="CD7" s="11">
        <f t="shared" si="16"/>
        <v>4.0539303214018769</v>
      </c>
      <c r="CE7" s="26">
        <f t="shared" si="17"/>
        <v>4.1039603960396036</v>
      </c>
      <c r="CF7" s="11">
        <f t="shared" si="18"/>
        <v>2.3097497929079713</v>
      </c>
      <c r="CG7" s="26">
        <f t="shared" si="19"/>
        <v>2.3381294964028778</v>
      </c>
      <c r="CH7" s="11">
        <f t="shared" si="20"/>
        <v>3.5511167324777886</v>
      </c>
      <c r="CI7" s="26">
        <f t="shared" si="21"/>
        <v>3.75</v>
      </c>
      <c r="CJ7" s="11">
        <f t="shared" si="22"/>
        <v>2.6726005618116364</v>
      </c>
      <c r="CK7" s="26">
        <f t="shared" si="23"/>
        <v>2.7184466019417477</v>
      </c>
      <c r="CL7" s="11">
        <f t="shared" si="24"/>
        <v>3.1704714423161025</v>
      </c>
      <c r="CM7" s="26">
        <f t="shared" si="25"/>
        <v>3.0224719101123596</v>
      </c>
      <c r="CN7" s="11">
        <f t="shared" si="26"/>
        <v>4.4805026697589128</v>
      </c>
      <c r="CO7" s="26">
        <f t="shared" si="27"/>
        <v>4.4375</v>
      </c>
      <c r="CP7" s="11">
        <f t="shared" si="28"/>
        <v>2.3534666218637992</v>
      </c>
      <c r="CQ7" s="26">
        <f t="shared" si="29"/>
        <v>2.3954451345755694</v>
      </c>
      <c r="CR7" s="17"/>
      <c r="CS7" s="19">
        <f t="shared" si="30"/>
        <v>-0.51272616698965834</v>
      </c>
      <c r="CT7" s="27"/>
      <c r="CU7" s="28">
        <f t="shared" si="31"/>
        <v>-0.22292985014407662</v>
      </c>
      <c r="CV7" s="20"/>
      <c r="CW7" s="18">
        <f t="shared" si="32"/>
        <v>7.5564811957727684E-2</v>
      </c>
      <c r="CX7" s="20"/>
      <c r="CY7" s="18">
        <f t="shared" si="33"/>
        <v>0.24072457086310894</v>
      </c>
      <c r="CZ7" s="20"/>
      <c r="DA7" s="18">
        <f t="shared" si="34"/>
        <v>-1.1887253050408386E-2</v>
      </c>
      <c r="DB7" s="20"/>
      <c r="DC7" s="18">
        <f t="shared" si="35"/>
        <v>-5.0030074637726685E-2</v>
      </c>
      <c r="DD7" s="20"/>
      <c r="DE7" s="18">
        <f t="shared" si="36"/>
        <v>-2.8379703494906483E-2</v>
      </c>
      <c r="DF7" s="20"/>
      <c r="DG7" s="18">
        <f t="shared" si="37"/>
        <v>-0.19888326752221142</v>
      </c>
      <c r="DH7" s="20"/>
      <c r="DI7" s="18">
        <f t="shared" si="38"/>
        <v>-4.5846040130111287E-2</v>
      </c>
      <c r="DJ7" s="20"/>
      <c r="DK7" s="18">
        <f t="shared" si="39"/>
        <v>0.14799953220374285</v>
      </c>
      <c r="DL7" s="20"/>
      <c r="DM7" s="18">
        <f t="shared" si="40"/>
        <v>4.3002669758912759E-2</v>
      </c>
      <c r="DN7" s="20"/>
      <c r="DO7" s="18">
        <f t="shared" si="41"/>
        <v>-4.1978512711770222E-2</v>
      </c>
    </row>
    <row r="8" spans="1:119" ht="15.75" hidden="1" outlineLevel="1" thickBot="1" x14ac:dyDescent="0.3">
      <c r="A8" s="515">
        <v>3</v>
      </c>
      <c r="B8" s="3">
        <v>17674</v>
      </c>
      <c r="C8" s="3">
        <v>90</v>
      </c>
      <c r="D8" s="21">
        <f>IFERROR(Tabelle3[[#This Row],[Ned (€)]]/Tabelle3[[#This Row],[Ned (Backer)]],"")</f>
        <v>196.37777777777777</v>
      </c>
      <c r="E8" s="3">
        <v>53901</v>
      </c>
      <c r="F8" s="3">
        <v>224</v>
      </c>
      <c r="G8" s="21">
        <f>Tabelle3[[#This Row],[Werkzeuge (€)]]/Tabelle3[[#This Row],[Werkzeuge (Backer)]]</f>
        <v>240.62946428571428</v>
      </c>
      <c r="H8" s="3">
        <v>45273</v>
      </c>
      <c r="I8" s="3">
        <v>248</v>
      </c>
      <c r="J8" s="21">
        <f>Tabelle3[[#This Row],[DSK Fasar (€)]]/Tabelle3[[#This Row],[DSK Fasar (Backer)]]</f>
        <v>182.55241935483872</v>
      </c>
      <c r="K8" s="3">
        <v>27671</v>
      </c>
      <c r="L8" s="3">
        <v>162</v>
      </c>
      <c r="M8" s="21">
        <f>Tabelle3[[#This Row],[Mythen (€)]]/Tabelle3[[#This Row],[Mythen (Backer)]]</f>
        <v>170.80864197530863</v>
      </c>
      <c r="N8" s="3">
        <v>122519</v>
      </c>
      <c r="O8" s="3">
        <v>852</v>
      </c>
      <c r="P8" s="21">
        <f>Tabelle3[[#This Row],[SOK (€)]]/Tabelle3[[#This Row],[SOK (Backer)]]</f>
        <v>143.80164319248826</v>
      </c>
      <c r="Q8" s="3">
        <v>115147</v>
      </c>
      <c r="R8" s="3">
        <v>480</v>
      </c>
      <c r="S8" s="514">
        <f>Tabelle3[[#This Row],[RE (€)]]/Tabelle3[[#This Row],[RE (Backer)]]</f>
        <v>239.88958333333332</v>
      </c>
      <c r="T8" s="3">
        <v>110488</v>
      </c>
      <c r="U8" s="3">
        <v>458</v>
      </c>
      <c r="V8" s="514">
        <f>Tabelle3[[#This Row],[DGG (€)]]/Tabelle3[[#This Row],[DGG (Backer)]]</f>
        <v>241.24017467248908</v>
      </c>
      <c r="W8" s="3">
        <v>38191</v>
      </c>
      <c r="X8" s="3">
        <v>199</v>
      </c>
      <c r="Y8" s="514">
        <f>Tabelle3[[#This Row],[DSK SV (€)]]/Tabelle3[[#This Row],[DSK SV (Backer)]]</f>
        <v>191.9145728643216</v>
      </c>
      <c r="Z8" s="3">
        <v>143837</v>
      </c>
      <c r="AA8" s="3">
        <v>731</v>
      </c>
      <c r="AB8" s="21">
        <f>Tabelle3[[#This Row],[WW (€)]]/Tabelle3[[#This Row],[WW (Backer)]]</f>
        <v>196.76744186046511</v>
      </c>
      <c r="AC8" s="3">
        <v>13158</v>
      </c>
      <c r="AD8" s="3">
        <v>101</v>
      </c>
      <c r="AE8" s="21">
        <f>Tabelle3[[#This Row],[DSK R (€)]]/Tabelle3[[#This Row],[DSK R (Backer)]]</f>
        <v>130.27722772277227</v>
      </c>
      <c r="AF8" s="3">
        <v>65490</v>
      </c>
      <c r="AG8" s="3">
        <v>301</v>
      </c>
      <c r="AH8" s="21">
        <f>Tabelle3[[#This Row],[Ära (€)]]/Tabelle3[[#This Row],[Ära (Backer)]]</f>
        <v>217.5747508305648</v>
      </c>
      <c r="AI8" s="3">
        <v>39341</v>
      </c>
      <c r="AJ8" s="3">
        <v>536</v>
      </c>
      <c r="AK8" s="21">
        <f>Tabelle3[[#This Row],[Mosaik (€)]]/Tabelle3[[#This Row],[Mosaik (Backer)]]</f>
        <v>73.397388059701498</v>
      </c>
      <c r="AL8" s="8"/>
      <c r="AM8" s="8"/>
      <c r="AN8" s="21" t="e">
        <f>Tabelle3[[#This Row],[DSK ES (€)]]/Tabelle3[[#This Row],[DSK ES (Backer)]]</f>
        <v>#DIV/0!</v>
      </c>
      <c r="AY8" s="576" t="s">
        <v>75</v>
      </c>
      <c r="AZ8" s="578"/>
      <c r="BA8" s="578"/>
      <c r="BB8" s="579"/>
      <c r="BC8" s="578"/>
      <c r="BD8" s="578"/>
      <c r="BE8" s="579"/>
      <c r="BF8" s="580"/>
      <c r="BG8" s="580"/>
      <c r="BH8" s="579"/>
      <c r="BI8" s="580"/>
      <c r="BJ8" s="580"/>
      <c r="BK8" s="579"/>
      <c r="BM8" s="576" t="s">
        <v>75</v>
      </c>
      <c r="BN8" s="15">
        <f t="shared" si="42"/>
        <v>1.9513463217949869</v>
      </c>
      <c r="BO8" s="15">
        <f t="shared" si="2"/>
        <v>1.9530516431924883</v>
      </c>
      <c r="BP8" s="352">
        <f t="shared" si="43"/>
        <v>3.8054512139257901</v>
      </c>
      <c r="BQ8" s="352">
        <f t="shared" si="3"/>
        <v>3.8555555555555556</v>
      </c>
      <c r="BR8" s="352">
        <f t="shared" si="4"/>
        <v>2.90419299596662</v>
      </c>
      <c r="BS8" s="352">
        <f t="shared" si="5"/>
        <v>2.869051584814442</v>
      </c>
      <c r="BT8" s="16">
        <f t="shared" si="6"/>
        <v>3.5274980196899399</v>
      </c>
      <c r="BU8" s="7">
        <f t="shared" si="7"/>
        <v>3.8555555555555556</v>
      </c>
      <c r="BV8" s="11">
        <f t="shared" si="8"/>
        <v>3.166935678373314</v>
      </c>
      <c r="BW8" s="12">
        <f t="shared" si="9"/>
        <v>3.375</v>
      </c>
      <c r="BX8" s="11">
        <f t="shared" si="10"/>
        <v>2.7321803282309545</v>
      </c>
      <c r="BY8" s="26">
        <f t="shared" si="11"/>
        <v>2.653225806451613</v>
      </c>
      <c r="BZ8" s="11">
        <f t="shared" si="12"/>
        <v>3.252177369809548</v>
      </c>
      <c r="CA8" s="26">
        <f t="shared" si="13"/>
        <v>3.0679012345679011</v>
      </c>
      <c r="CB8" s="11">
        <f t="shared" si="14"/>
        <v>1.9513463217949869</v>
      </c>
      <c r="CC8" s="26">
        <f t="shared" si="15"/>
        <v>1.9530516431924883</v>
      </c>
      <c r="CD8" s="11">
        <f t="shared" si="16"/>
        <v>3.3913779777154418</v>
      </c>
      <c r="CE8" s="26">
        <f t="shared" si="17"/>
        <v>3.4541666666666666</v>
      </c>
      <c r="CF8" s="11">
        <f t="shared" si="18"/>
        <v>2.0946166099485919</v>
      </c>
      <c r="CG8" s="26">
        <f t="shared" si="19"/>
        <v>2.1288209606986901</v>
      </c>
      <c r="CH8" s="11">
        <f t="shared" si="20"/>
        <v>3.014139456940117</v>
      </c>
      <c r="CI8" s="26">
        <f t="shared" si="21"/>
        <v>3.2412060301507539</v>
      </c>
      <c r="CJ8" s="11">
        <f t="shared" si="22"/>
        <v>2.2555740178118286</v>
      </c>
      <c r="CK8" s="26">
        <f t="shared" si="23"/>
        <v>2.2982216142270864</v>
      </c>
      <c r="CL8" s="11">
        <f t="shared" si="24"/>
        <v>2.7548259613923087</v>
      </c>
      <c r="CM8" s="26">
        <f t="shared" si="25"/>
        <v>2.6633663366336635</v>
      </c>
      <c r="CN8" s="11">
        <f t="shared" si="26"/>
        <v>3.8054512139257901</v>
      </c>
      <c r="CO8" s="26">
        <f t="shared" si="27"/>
        <v>3.7740863787375414</v>
      </c>
      <c r="CP8" s="11">
        <f t="shared" si="28"/>
        <v>2.1363717241554614</v>
      </c>
      <c r="CQ8" s="26">
        <f t="shared" si="29"/>
        <v>2.158582089552239</v>
      </c>
      <c r="CR8" s="17"/>
      <c r="CS8" s="19">
        <f t="shared" si="30"/>
        <v>-0.3280575358656157</v>
      </c>
      <c r="CT8" s="27"/>
      <c r="CU8" s="28">
        <f t="shared" si="31"/>
        <v>-0.20806432162668598</v>
      </c>
      <c r="CV8" s="20"/>
      <c r="CW8" s="18">
        <f t="shared" si="32"/>
        <v>7.895452177934148E-2</v>
      </c>
      <c r="CX8" s="20"/>
      <c r="CY8" s="18">
        <f t="shared" si="33"/>
        <v>0.18427613524164688</v>
      </c>
      <c r="CZ8" s="20"/>
      <c r="DA8" s="18">
        <f t="shared" si="34"/>
        <v>-1.705321397501347E-3</v>
      </c>
      <c r="DB8" s="20"/>
      <c r="DC8" s="18">
        <f t="shared" si="35"/>
        <v>-6.2788688951224803E-2</v>
      </c>
      <c r="DD8" s="20"/>
      <c r="DE8" s="18">
        <f t="shared" si="36"/>
        <v>-3.42043507500982E-2</v>
      </c>
      <c r="DF8" s="20"/>
      <c r="DG8" s="18">
        <f t="shared" si="37"/>
        <v>-0.22706657321063695</v>
      </c>
      <c r="DH8" s="20"/>
      <c r="DI8" s="18">
        <f t="shared" si="38"/>
        <v>-4.2647596415257727E-2</v>
      </c>
      <c r="DJ8" s="20"/>
      <c r="DK8" s="18">
        <f t="shared" si="39"/>
        <v>9.1459624758645219E-2</v>
      </c>
      <c r="DL8" s="20"/>
      <c r="DM8" s="18">
        <f t="shared" si="40"/>
        <v>3.136483518824873E-2</v>
      </c>
      <c r="DN8" s="20"/>
      <c r="DO8" s="18">
        <f t="shared" si="41"/>
        <v>-2.2210365396777565E-2</v>
      </c>
    </row>
    <row r="9" spans="1:119" ht="15.75" hidden="1" outlineLevel="1" thickBot="1" x14ac:dyDescent="0.3">
      <c r="A9" s="515">
        <v>4</v>
      </c>
      <c r="B9" s="3">
        <v>18881</v>
      </c>
      <c r="C9" s="3">
        <v>95</v>
      </c>
      <c r="D9" s="514">
        <f>IFERROR(Tabelle3[[#This Row],[Ned (€)]]/Tabelle3[[#This Row],[Ned (Backer)]],"")</f>
        <v>198.74736842105264</v>
      </c>
      <c r="E9" s="3">
        <v>59963</v>
      </c>
      <c r="F9" s="3">
        <v>247</v>
      </c>
      <c r="G9" s="514">
        <f>Tabelle3[[#This Row],[Werkzeuge (€)]]/Tabelle3[[#This Row],[Werkzeuge (Backer)]]</f>
        <v>242.76518218623482</v>
      </c>
      <c r="H9" s="3">
        <v>47957</v>
      </c>
      <c r="I9" s="3">
        <v>264</v>
      </c>
      <c r="J9" s="21">
        <f>Tabelle3[[#This Row],[DSK Fasar (€)]]/Tabelle3[[#This Row],[DSK Fasar (Backer)]]</f>
        <v>181.65530303030303</v>
      </c>
      <c r="K9" s="3">
        <v>30324</v>
      </c>
      <c r="L9" s="3">
        <v>178</v>
      </c>
      <c r="M9" s="21">
        <f>Tabelle3[[#This Row],[Mythen (€)]]/Tabelle3[[#This Row],[Mythen (Backer)]]</f>
        <v>170.35955056179776</v>
      </c>
      <c r="N9" s="3">
        <v>127604</v>
      </c>
      <c r="O9" s="3">
        <v>891</v>
      </c>
      <c r="P9" s="21">
        <f>Tabelle3[[#This Row],[SOK (€)]]/Tabelle3[[#This Row],[SOK (Backer)]]</f>
        <v>143.21436588103253</v>
      </c>
      <c r="Q9" s="3">
        <v>123834</v>
      </c>
      <c r="R9" s="3">
        <v>520</v>
      </c>
      <c r="S9" s="21">
        <f>Tabelle3[[#This Row],[RE (€)]]/Tabelle3[[#This Row],[RE (Backer)]]</f>
        <v>238.1423076923077</v>
      </c>
      <c r="T9" s="3">
        <v>117325</v>
      </c>
      <c r="U9" s="3">
        <v>486</v>
      </c>
      <c r="V9" s="21">
        <f>Tabelle3[[#This Row],[DGG (€)]]/Tabelle3[[#This Row],[DGG (Backer)]]</f>
        <v>241.40946502057614</v>
      </c>
      <c r="W9" s="3">
        <v>41597</v>
      </c>
      <c r="X9" s="3">
        <v>218</v>
      </c>
      <c r="Y9" s="21">
        <f>Tabelle3[[#This Row],[DSK SV (€)]]/Tabelle3[[#This Row],[DSK SV (Backer)]]</f>
        <v>190.8119266055046</v>
      </c>
      <c r="Z9" s="3">
        <v>156839</v>
      </c>
      <c r="AA9" s="3">
        <v>797</v>
      </c>
      <c r="AB9" s="21">
        <f>Tabelle3[[#This Row],[WW (€)]]/Tabelle3[[#This Row],[WW (Backer)]]</f>
        <v>196.7867001254705</v>
      </c>
      <c r="AC9" s="3">
        <v>14235</v>
      </c>
      <c r="AD9" s="3">
        <v>110</v>
      </c>
      <c r="AE9" s="21">
        <f>Tabelle3[[#This Row],[DSK R (€)]]/Tabelle3[[#This Row],[DSK R (Backer)]]</f>
        <v>129.40909090909091</v>
      </c>
      <c r="AF9" s="3">
        <v>69834</v>
      </c>
      <c r="AG9" s="3">
        <v>323</v>
      </c>
      <c r="AH9" s="21">
        <f>Tabelle3[[#This Row],[Ära (€)]]/Tabelle3[[#This Row],[Ära (Backer)]]</f>
        <v>216.20433436532508</v>
      </c>
      <c r="AI9" s="3">
        <v>43256</v>
      </c>
      <c r="AJ9" s="3">
        <v>585</v>
      </c>
      <c r="AK9" s="21">
        <f>Tabelle3[[#This Row],[Mosaik (€)]]/Tabelle3[[#This Row],[Mosaik (Backer)]]</f>
        <v>73.941880341880335</v>
      </c>
      <c r="AL9" s="8"/>
      <c r="AM9" s="8"/>
      <c r="AN9" s="21" t="e">
        <f>Tabelle3[[#This Row],[DSK ES (€)]]/Tabelle3[[#This Row],[DSK ES (Backer)]]</f>
        <v>#DIV/0!</v>
      </c>
      <c r="AY9" s="576" t="s">
        <v>82</v>
      </c>
      <c r="AZ9" s="578"/>
      <c r="BA9" s="578"/>
      <c r="BB9" s="579"/>
      <c r="BC9" s="578"/>
      <c r="BD9" s="578"/>
      <c r="BE9" s="579"/>
      <c r="BF9" s="580"/>
      <c r="BG9" s="580"/>
      <c r="BH9" s="579"/>
      <c r="BI9" s="580"/>
      <c r="BJ9" s="580"/>
      <c r="BK9" s="579"/>
      <c r="BM9" s="576" t="s">
        <v>82</v>
      </c>
      <c r="BN9" s="15">
        <f t="shared" si="42"/>
        <v>1.8735854675402026</v>
      </c>
      <c r="BO9" s="15">
        <f t="shared" si="2"/>
        <v>1.8675645342312008</v>
      </c>
      <c r="BP9" s="352">
        <f t="shared" si="43"/>
        <v>3.568734427356302</v>
      </c>
      <c r="BQ9" s="352">
        <f t="shared" si="3"/>
        <v>3.6526315789473682</v>
      </c>
      <c r="BR9" s="352">
        <f t="shared" si="4"/>
        <v>2.6951235019369064</v>
      </c>
      <c r="BS9" s="352">
        <f t="shared" si="5"/>
        <v>2.6572193094164325</v>
      </c>
      <c r="BT9" s="16">
        <f t="shared" si="6"/>
        <v>3.301996716275621</v>
      </c>
      <c r="BU9" s="7">
        <f t="shared" si="7"/>
        <v>3.6526315789473682</v>
      </c>
      <c r="BV9" s="11">
        <f t="shared" si="8"/>
        <v>2.8467721761753082</v>
      </c>
      <c r="BW9" s="12">
        <f t="shared" si="9"/>
        <v>3.0607287449392713</v>
      </c>
      <c r="BX9" s="11">
        <f t="shared" si="10"/>
        <v>2.5792689284150385</v>
      </c>
      <c r="BY9" s="26">
        <f t="shared" si="11"/>
        <v>2.4924242424242422</v>
      </c>
      <c r="BZ9" s="11">
        <f t="shared" si="12"/>
        <v>2.9676493866244558</v>
      </c>
      <c r="CA9" s="26">
        <f t="shared" si="13"/>
        <v>2.792134831460674</v>
      </c>
      <c r="CB9" s="11">
        <f t="shared" si="14"/>
        <v>1.8735854675402026</v>
      </c>
      <c r="CC9" s="26">
        <f t="shared" si="15"/>
        <v>1.8675645342312008</v>
      </c>
      <c r="CD9" s="11">
        <f t="shared" si="16"/>
        <v>3.1534715829255293</v>
      </c>
      <c r="CE9" s="26">
        <f t="shared" si="17"/>
        <v>3.1884615384615387</v>
      </c>
      <c r="CF9" s="11">
        <f t="shared" si="18"/>
        <v>1.9725548689537609</v>
      </c>
      <c r="CG9" s="26">
        <f t="shared" si="19"/>
        <v>2.0061728395061729</v>
      </c>
      <c r="CH9" s="11">
        <f t="shared" si="20"/>
        <v>2.7673389907926054</v>
      </c>
      <c r="CI9" s="26">
        <f t="shared" si="21"/>
        <v>2.9587155963302751</v>
      </c>
      <c r="CJ9" s="11">
        <f t="shared" si="22"/>
        <v>2.0685862572446903</v>
      </c>
      <c r="CK9" s="26">
        <f t="shared" si="23"/>
        <v>2.107904642409034</v>
      </c>
      <c r="CL9" s="11">
        <f t="shared" si="24"/>
        <v>2.5463997190024585</v>
      </c>
      <c r="CM9" s="26">
        <f t="shared" si="25"/>
        <v>2.4454545454545453</v>
      </c>
      <c r="CN9" s="11">
        <f t="shared" si="26"/>
        <v>3.568734427356302</v>
      </c>
      <c r="CO9" s="26">
        <f t="shared" si="27"/>
        <v>3.51702786377709</v>
      </c>
      <c r="CP9" s="11">
        <f t="shared" si="28"/>
        <v>1.943013685962641</v>
      </c>
      <c r="CQ9" s="26">
        <f t="shared" si="29"/>
        <v>1.9777777777777779</v>
      </c>
      <c r="CR9" s="17"/>
      <c r="CS9" s="19">
        <f t="shared" si="30"/>
        <v>-0.35063486267174726</v>
      </c>
      <c r="CT9" s="27"/>
      <c r="CU9" s="28">
        <f t="shared" si="31"/>
        <v>-0.21395656876396307</v>
      </c>
      <c r="CV9" s="20"/>
      <c r="CW9" s="18">
        <f t="shared" si="32"/>
        <v>8.6844685990796311E-2</v>
      </c>
      <c r="CX9" s="20"/>
      <c r="CY9" s="18">
        <f t="shared" si="33"/>
        <v>0.17551455516378178</v>
      </c>
      <c r="CZ9" s="20"/>
      <c r="DA9" s="18">
        <f t="shared" si="34"/>
        <v>6.0209333090017747E-3</v>
      </c>
      <c r="DB9" s="20"/>
      <c r="DC9" s="18">
        <f t="shared" si="35"/>
        <v>-3.4989955536009365E-2</v>
      </c>
      <c r="DD9" s="20"/>
      <c r="DE9" s="18">
        <f t="shared" si="36"/>
        <v>-3.3617970552412002E-2</v>
      </c>
      <c r="DF9" s="20"/>
      <c r="DG9" s="18">
        <f t="shared" si="37"/>
        <v>-0.19137660553766978</v>
      </c>
      <c r="DH9" s="20"/>
      <c r="DI9" s="18">
        <f t="shared" si="38"/>
        <v>-3.9318385164343717E-2</v>
      </c>
      <c r="DJ9" s="20"/>
      <c r="DK9" s="18">
        <f t="shared" si="39"/>
        <v>0.10094517354791321</v>
      </c>
      <c r="DL9" s="20"/>
      <c r="DM9" s="18">
        <f t="shared" si="40"/>
        <v>5.1706563579211995E-2</v>
      </c>
      <c r="DN9" s="20"/>
      <c r="DO9" s="18">
        <f t="shared" si="41"/>
        <v>-3.4764091815136844E-2</v>
      </c>
    </row>
    <row r="10" spans="1:119" ht="15.75" hidden="1" outlineLevel="1" thickBot="1" x14ac:dyDescent="0.3">
      <c r="A10" s="515">
        <v>5</v>
      </c>
      <c r="B10" s="3">
        <v>21886</v>
      </c>
      <c r="C10" s="3">
        <v>111</v>
      </c>
      <c r="D10" s="21">
        <f>IFERROR(Tabelle3[[#This Row],[Ned (€)]]/Tabelle3[[#This Row],[Ned (Backer)]],"")</f>
        <v>197.17117117117118</v>
      </c>
      <c r="E10" s="3">
        <v>63115</v>
      </c>
      <c r="F10" s="3">
        <v>264</v>
      </c>
      <c r="G10" s="21">
        <f>Tabelle3[[#This Row],[Werkzeuge (€)]]/Tabelle3[[#This Row],[Werkzeuge (Backer)]]</f>
        <v>239.07196969696969</v>
      </c>
      <c r="H10" s="3">
        <v>50763</v>
      </c>
      <c r="I10" s="3">
        <v>280</v>
      </c>
      <c r="J10" s="21">
        <f>Tabelle3[[#This Row],[DSK Fasar (€)]]/Tabelle3[[#This Row],[DSK Fasar (Backer)]]</f>
        <v>181.29642857142858</v>
      </c>
      <c r="K10" s="3">
        <v>32621</v>
      </c>
      <c r="L10" s="3">
        <v>191</v>
      </c>
      <c r="M10" s="21">
        <f>Tabelle3[[#This Row],[Mythen (€)]]/Tabelle3[[#This Row],[Mythen (Backer)]]</f>
        <v>170.79057591623035</v>
      </c>
      <c r="N10" s="3">
        <v>131274</v>
      </c>
      <c r="O10" s="3">
        <v>918</v>
      </c>
      <c r="P10" s="21">
        <f>Tabelle3[[#This Row],[SOK (€)]]/Tabelle3[[#This Row],[SOK (Backer)]]</f>
        <v>143</v>
      </c>
      <c r="Q10" s="3">
        <v>132002</v>
      </c>
      <c r="R10" s="3">
        <v>564</v>
      </c>
      <c r="S10" s="21">
        <f>Tabelle3[[#This Row],[RE (€)]]/Tabelle3[[#This Row],[RE (Backer)]]</f>
        <v>234.04609929078015</v>
      </c>
      <c r="T10" s="3">
        <v>120368</v>
      </c>
      <c r="U10" s="3">
        <v>497</v>
      </c>
      <c r="V10" s="21">
        <f>Tabelle3[[#This Row],[DGG (€)]]/Tabelle3[[#This Row],[DGG (Backer)]]</f>
        <v>242.18913480885311</v>
      </c>
      <c r="W10" s="3">
        <v>44358</v>
      </c>
      <c r="X10" s="3">
        <v>235</v>
      </c>
      <c r="Y10" s="21">
        <f>Tabelle3[[#This Row],[DSK SV (€)]]/Tabelle3[[#This Row],[DSK SV (Backer)]]</f>
        <v>188.75744680851065</v>
      </c>
      <c r="Z10" s="3">
        <v>166947</v>
      </c>
      <c r="AA10" s="3">
        <v>847</v>
      </c>
      <c r="AB10" s="21">
        <f>Tabelle3[[#This Row],[WW (€)]]/Tabelle3[[#This Row],[WW (Backer)]]</f>
        <v>197.10389610389609</v>
      </c>
      <c r="AC10" s="3">
        <v>15015</v>
      </c>
      <c r="AD10" s="3">
        <v>116</v>
      </c>
      <c r="AE10" s="21">
        <f>Tabelle3[[#This Row],[DSK R (€)]]/Tabelle3[[#This Row],[DSK R (Backer)]]</f>
        <v>129.43965517241378</v>
      </c>
      <c r="AF10" s="3">
        <v>75551</v>
      </c>
      <c r="AG10" s="3">
        <v>351</v>
      </c>
      <c r="AH10" s="21">
        <f>Tabelle3[[#This Row],[Ära (€)]]/Tabelle3[[#This Row],[Ära (Backer)]]</f>
        <v>215.24501424501423</v>
      </c>
      <c r="AI10" s="3">
        <v>44966</v>
      </c>
      <c r="AJ10" s="3">
        <v>611</v>
      </c>
      <c r="AK10" s="21">
        <f>Tabelle3[[#This Row],[Mosaik (€)]]/Tabelle3[[#This Row],[Mosaik (Backer)]]</f>
        <v>73.594108019639933</v>
      </c>
      <c r="AL10" s="8"/>
      <c r="AM10" s="8"/>
      <c r="AN10" s="21" t="e">
        <f>Tabelle3[[#This Row],[DSK ES (€)]]/Tabelle3[[#This Row],[DSK ES (Backer)]]</f>
        <v>#DIV/0!</v>
      </c>
      <c r="AX10" s="203"/>
      <c r="AY10" s="576" t="s">
        <v>83</v>
      </c>
      <c r="AZ10" s="578"/>
      <c r="BA10" s="578"/>
      <c r="BB10" s="579"/>
      <c r="BC10" s="578"/>
      <c r="BD10" s="578"/>
      <c r="BE10" s="579"/>
      <c r="BF10" s="580"/>
      <c r="BG10" s="580"/>
      <c r="BH10" s="579"/>
      <c r="BI10" s="580"/>
      <c r="BJ10" s="580"/>
      <c r="BK10" s="579"/>
      <c r="BL10" s="203"/>
      <c r="BM10" s="576" t="s">
        <v>83</v>
      </c>
      <c r="BN10" s="15">
        <f t="shared" si="42"/>
        <v>1.8212060270883801</v>
      </c>
      <c r="BO10" s="15">
        <f t="shared" si="2"/>
        <v>1.812636165577342</v>
      </c>
      <c r="BP10" s="352">
        <f t="shared" si="43"/>
        <v>3.2986856560469087</v>
      </c>
      <c r="BQ10" s="352">
        <f t="shared" si="3"/>
        <v>3.2364672364672367</v>
      </c>
      <c r="BR10" s="352">
        <f t="shared" si="4"/>
        <v>2.5183706597217745</v>
      </c>
      <c r="BS10" s="352">
        <f t="shared" si="5"/>
        <v>2.4703097274662098</v>
      </c>
      <c r="BT10" s="16">
        <f t="shared" si="6"/>
        <v>2.8486246915836606</v>
      </c>
      <c r="BU10" s="7">
        <f t="shared" si="7"/>
        <v>3.1261261261261262</v>
      </c>
      <c r="BV10" s="11">
        <f t="shared" si="8"/>
        <v>2.7046027093400933</v>
      </c>
      <c r="BW10" s="12">
        <f t="shared" si="9"/>
        <v>2.8636363636363638</v>
      </c>
      <c r="BX10" s="11">
        <f t="shared" si="10"/>
        <v>2.4366960187538167</v>
      </c>
      <c r="BY10" s="26">
        <f t="shared" si="11"/>
        <v>2.35</v>
      </c>
      <c r="BZ10" s="11">
        <f t="shared" si="12"/>
        <v>2.7586830569265199</v>
      </c>
      <c r="CA10" s="26">
        <f t="shared" si="13"/>
        <v>2.6020942408376961</v>
      </c>
      <c r="CB10" s="11">
        <f t="shared" si="14"/>
        <v>1.8212060270883801</v>
      </c>
      <c r="CC10" s="26">
        <f t="shared" si="15"/>
        <v>1.812636165577342</v>
      </c>
      <c r="CD10" s="11">
        <f t="shared" si="16"/>
        <v>2.9583415402796929</v>
      </c>
      <c r="CE10" s="26">
        <f t="shared" si="17"/>
        <v>2.9397163120567376</v>
      </c>
      <c r="CF10" s="11">
        <f t="shared" si="18"/>
        <v>1.9226870929150606</v>
      </c>
      <c r="CG10" s="26">
        <f t="shared" si="19"/>
        <v>1.9617706237424548</v>
      </c>
      <c r="CH10" s="11">
        <f t="shared" si="20"/>
        <v>2.5950899499526581</v>
      </c>
      <c r="CI10" s="26">
        <f t="shared" si="21"/>
        <v>2.7446808510638299</v>
      </c>
      <c r="CJ10" s="11">
        <f t="shared" si="22"/>
        <v>1.9433412999335118</v>
      </c>
      <c r="CK10" s="26">
        <f t="shared" si="23"/>
        <v>1.9834710743801653</v>
      </c>
      <c r="CL10" s="11">
        <f t="shared" si="24"/>
        <v>2.4141192141192143</v>
      </c>
      <c r="CM10" s="26">
        <f t="shared" si="25"/>
        <v>2.3189655172413794</v>
      </c>
      <c r="CN10" s="11">
        <f t="shared" si="26"/>
        <v>3.2986856560469087</v>
      </c>
      <c r="CO10" s="26">
        <f t="shared" si="27"/>
        <v>3.2364672364672367</v>
      </c>
      <c r="CP10" s="11">
        <f t="shared" si="28"/>
        <v>1.8691233376328782</v>
      </c>
      <c r="CQ10" s="26">
        <f t="shared" si="29"/>
        <v>1.8936170212765957</v>
      </c>
      <c r="CR10" s="17"/>
      <c r="CS10" s="19">
        <f t="shared" si="30"/>
        <v>-0.27750143454246556</v>
      </c>
      <c r="CT10" s="27"/>
      <c r="CU10" s="28">
        <f t="shared" si="31"/>
        <v>-0.15903365429627048</v>
      </c>
      <c r="CV10" s="20"/>
      <c r="CW10" s="18">
        <f t="shared" si="32"/>
        <v>8.6696018753816606E-2</v>
      </c>
      <c r="CX10" s="20"/>
      <c r="CY10" s="18">
        <f t="shared" si="33"/>
        <v>0.1565888160888238</v>
      </c>
      <c r="CZ10" s="20"/>
      <c r="DA10" s="18">
        <f t="shared" si="34"/>
        <v>8.5698615110381127E-3</v>
      </c>
      <c r="DB10" s="20"/>
      <c r="DC10" s="18">
        <f t="shared" si="35"/>
        <v>1.8625228222955315E-2</v>
      </c>
      <c r="DD10" s="20"/>
      <c r="DE10" s="18">
        <f t="shared" si="36"/>
        <v>-3.9083530827394242E-2</v>
      </c>
      <c r="DF10" s="20"/>
      <c r="DG10" s="18">
        <f t="shared" si="37"/>
        <v>-0.14959090111117179</v>
      </c>
      <c r="DH10" s="20"/>
      <c r="DI10" s="18">
        <f t="shared" si="38"/>
        <v>-4.0129774446653554E-2</v>
      </c>
      <c r="DJ10" s="20"/>
      <c r="DK10" s="18">
        <f t="shared" si="39"/>
        <v>9.5153696877834815E-2</v>
      </c>
      <c r="DL10" s="20"/>
      <c r="DM10" s="18">
        <f t="shared" si="40"/>
        <v>6.2218419579672002E-2</v>
      </c>
      <c r="DN10" s="20"/>
      <c r="DO10" s="18">
        <f t="shared" si="41"/>
        <v>-2.4493683643717512E-2</v>
      </c>
    </row>
    <row r="11" spans="1:119" ht="15.75" hidden="1" outlineLevel="1" thickBot="1" x14ac:dyDescent="0.3">
      <c r="A11" s="515">
        <v>6</v>
      </c>
      <c r="B11" s="3">
        <v>22571</v>
      </c>
      <c r="C11" s="3">
        <v>114.99999999999999</v>
      </c>
      <c r="D11" s="21">
        <f>IFERROR(Tabelle3[[#This Row],[Ned (€)]]/Tabelle3[[#This Row],[Ned (Backer)]],"")</f>
        <v>196.26956521739132</v>
      </c>
      <c r="E11" s="3">
        <v>65148</v>
      </c>
      <c r="F11" s="3">
        <v>274</v>
      </c>
      <c r="G11" s="21">
        <f>Tabelle3[[#This Row],[Werkzeuge (€)]]/Tabelle3[[#This Row],[Werkzeuge (Backer)]]</f>
        <v>237.76642335766422</v>
      </c>
      <c r="H11" s="3">
        <v>53829</v>
      </c>
      <c r="I11" s="3">
        <v>294</v>
      </c>
      <c r="J11" s="514">
        <f>Tabelle3[[#This Row],[DSK Fasar (€)]]/Tabelle3[[#This Row],[DSK Fasar (Backer)]]</f>
        <v>183.09183673469389</v>
      </c>
      <c r="K11" s="3">
        <v>37481</v>
      </c>
      <c r="L11" s="3">
        <v>220</v>
      </c>
      <c r="M11" s="21">
        <f>Tabelle3[[#This Row],[Mythen (€)]]/Tabelle3[[#This Row],[Mythen (Backer)]]</f>
        <v>170.36818181818182</v>
      </c>
      <c r="N11" s="3">
        <v>135593</v>
      </c>
      <c r="O11" s="3">
        <v>953</v>
      </c>
      <c r="P11" s="21">
        <f>Tabelle3[[#This Row],[SOK (€)]]/Tabelle3[[#This Row],[SOK (Backer)]]</f>
        <v>142.28016789087093</v>
      </c>
      <c r="Q11" s="3">
        <v>150957</v>
      </c>
      <c r="R11" s="3">
        <v>652</v>
      </c>
      <c r="S11" s="21">
        <f>Tabelle3[[#This Row],[RE (€)]]/Tabelle3[[#This Row],[RE (Backer)]]</f>
        <v>231.52914110429447</v>
      </c>
      <c r="T11" s="3">
        <v>123198</v>
      </c>
      <c r="U11" s="3">
        <v>508</v>
      </c>
      <c r="V11" s="21">
        <f>Tabelle3[[#This Row],[DGG (€)]]/Tabelle3[[#This Row],[DGG (Backer)]]</f>
        <v>242.51574803149606</v>
      </c>
      <c r="W11" s="3">
        <v>45558</v>
      </c>
      <c r="X11" s="3">
        <v>241</v>
      </c>
      <c r="Y11" s="21">
        <f>Tabelle3[[#This Row],[DSK SV (€)]]/Tabelle3[[#This Row],[DSK SV (Backer)]]</f>
        <v>189.03734439834025</v>
      </c>
      <c r="Z11" s="3">
        <v>175946</v>
      </c>
      <c r="AA11" s="3">
        <v>901</v>
      </c>
      <c r="AB11" s="21">
        <f>Tabelle3[[#This Row],[WW (€)]]/Tabelle3[[#This Row],[WW (Backer)]]</f>
        <v>195.2785793562708</v>
      </c>
      <c r="AC11" s="3">
        <v>16237</v>
      </c>
      <c r="AD11" s="3">
        <v>123</v>
      </c>
      <c r="AE11" s="514">
        <f>Tabelle3[[#This Row],[DSK R (€)]]/Tabelle3[[#This Row],[DSK R (Backer)]]</f>
        <v>132.00813008130081</v>
      </c>
      <c r="AF11" s="3">
        <v>85403</v>
      </c>
      <c r="AG11" s="3">
        <v>395</v>
      </c>
      <c r="AH11" s="514">
        <f>Tabelle3[[#This Row],[Ära (€)]]/Tabelle3[[#This Row],[Ära (Backer)]]</f>
        <v>216.21012658227849</v>
      </c>
      <c r="AI11" s="3">
        <v>46520</v>
      </c>
      <c r="AJ11" s="3">
        <v>633</v>
      </c>
      <c r="AK11" s="21">
        <f>Tabelle3[[#This Row],[Mosaik (€)]]/Tabelle3[[#This Row],[Mosaik (Backer)]]</f>
        <v>73.491311216429693</v>
      </c>
      <c r="AL11" s="8"/>
      <c r="AM11" s="8"/>
      <c r="AN11" s="21" t="e">
        <f>Tabelle3[[#This Row],[DSK ES (€)]]/Tabelle3[[#This Row],[DSK ES (Backer)]]</f>
        <v>#DIV/0!</v>
      </c>
      <c r="AY11" s="576" t="s">
        <v>84</v>
      </c>
      <c r="AZ11" s="578"/>
      <c r="BA11" s="578"/>
      <c r="BB11" s="579"/>
      <c r="BC11" s="578"/>
      <c r="BD11" s="578"/>
      <c r="BE11" s="579"/>
      <c r="BF11" s="580"/>
      <c r="BG11" s="580"/>
      <c r="BH11" s="579"/>
      <c r="BI11" s="580"/>
      <c r="BJ11" s="580"/>
      <c r="BK11" s="579"/>
      <c r="BM11" s="576" t="s">
        <v>84</v>
      </c>
      <c r="BN11" s="15">
        <f t="shared" si="42"/>
        <v>1.7631957401930778</v>
      </c>
      <c r="BO11" s="15">
        <f t="shared" si="2"/>
        <v>1.746065057712487</v>
      </c>
      <c r="BP11" s="352">
        <f t="shared" si="43"/>
        <v>2.9181527580998328</v>
      </c>
      <c r="BQ11" s="352">
        <f t="shared" si="3"/>
        <v>3.0173913043478264</v>
      </c>
      <c r="BR11" s="352">
        <f t="shared" si="4"/>
        <v>2.3482834028713544</v>
      </c>
      <c r="BS11" s="352">
        <f t="shared" si="5"/>
        <v>2.3209938032894595</v>
      </c>
      <c r="BT11" s="16">
        <f t="shared" si="6"/>
        <v>2.7621726994816358</v>
      </c>
      <c r="BU11" s="7">
        <f t="shared" si="7"/>
        <v>3.0173913043478264</v>
      </c>
      <c r="BV11" s="11">
        <f t="shared" si="8"/>
        <v>2.6202032295695954</v>
      </c>
      <c r="BW11" s="12">
        <f t="shared" si="9"/>
        <v>2.7591240875912408</v>
      </c>
      <c r="BX11" s="11">
        <f t="shared" si="10"/>
        <v>2.2979063330175182</v>
      </c>
      <c r="BY11" s="26">
        <f t="shared" si="11"/>
        <v>2.2380952380952381</v>
      </c>
      <c r="BZ11" s="11">
        <f t="shared" si="12"/>
        <v>2.4009764947573435</v>
      </c>
      <c r="CA11" s="26">
        <f t="shared" si="13"/>
        <v>2.2590909090909093</v>
      </c>
      <c r="CB11" s="11">
        <f t="shared" si="14"/>
        <v>1.7631957401930778</v>
      </c>
      <c r="CC11" s="26">
        <f t="shared" si="15"/>
        <v>1.746065057712487</v>
      </c>
      <c r="CD11" s="11">
        <f t="shared" si="16"/>
        <v>2.5868757328245793</v>
      </c>
      <c r="CE11" s="26">
        <f t="shared" si="17"/>
        <v>2.5429447852760738</v>
      </c>
      <c r="CF11" s="11">
        <f t="shared" si="18"/>
        <v>1.8785207552070651</v>
      </c>
      <c r="CG11" s="26">
        <f t="shared" si="19"/>
        <v>1.9192913385826771</v>
      </c>
      <c r="CH11" s="11">
        <f t="shared" si="20"/>
        <v>2.5267351507967866</v>
      </c>
      <c r="CI11" s="26">
        <f t="shared" si="21"/>
        <v>2.6763485477178421</v>
      </c>
      <c r="CJ11" s="11">
        <f t="shared" si="22"/>
        <v>1.8439464381116935</v>
      </c>
      <c r="CK11" s="26">
        <f t="shared" si="23"/>
        <v>1.8645948945615982</v>
      </c>
      <c r="CL11" s="11">
        <f t="shared" si="24"/>
        <v>2.2324320995257745</v>
      </c>
      <c r="CM11" s="26">
        <f t="shared" si="25"/>
        <v>2.1869918699186992</v>
      </c>
      <c r="CN11" s="11">
        <f t="shared" si="26"/>
        <v>2.9181527580998328</v>
      </c>
      <c r="CO11" s="26">
        <f t="shared" si="27"/>
        <v>2.8759493670886074</v>
      </c>
      <c r="CP11" s="11">
        <f t="shared" si="28"/>
        <v>1.8066852966466036</v>
      </c>
      <c r="CQ11" s="26">
        <f t="shared" si="29"/>
        <v>1.8278041074249605</v>
      </c>
      <c r="CR11" s="17"/>
      <c r="CS11" s="19">
        <f t="shared" si="30"/>
        <v>-0.25521860486619063</v>
      </c>
      <c r="CT11" s="27"/>
      <c r="CU11" s="28">
        <f t="shared" si="31"/>
        <v>-0.13892085802164544</v>
      </c>
      <c r="CV11" s="20"/>
      <c r="CW11" s="18">
        <f t="shared" si="32"/>
        <v>5.9811094922280095E-2</v>
      </c>
      <c r="CX11" s="20"/>
      <c r="CY11" s="18">
        <f t="shared" si="33"/>
        <v>0.14188558566643428</v>
      </c>
      <c r="CZ11" s="20"/>
      <c r="DA11" s="18">
        <f t="shared" si="34"/>
        <v>1.7130682480590798E-2</v>
      </c>
      <c r="DB11" s="20"/>
      <c r="DC11" s="18">
        <f t="shared" si="35"/>
        <v>4.3930947548505461E-2</v>
      </c>
      <c r="DD11" s="20"/>
      <c r="DE11" s="18">
        <f t="shared" si="36"/>
        <v>-4.0770583375612013E-2</v>
      </c>
      <c r="DF11" s="20"/>
      <c r="DG11" s="18">
        <f t="shared" si="37"/>
        <v>-0.14961339692105557</v>
      </c>
      <c r="DH11" s="20"/>
      <c r="DI11" s="18">
        <f t="shared" si="38"/>
        <v>-2.0648456449904762E-2</v>
      </c>
      <c r="DJ11" s="20"/>
      <c r="DK11" s="18">
        <f t="shared" si="39"/>
        <v>4.5440229607075278E-2</v>
      </c>
      <c r="DL11" s="20"/>
      <c r="DM11" s="18">
        <f t="shared" si="40"/>
        <v>4.2203391011225388E-2</v>
      </c>
      <c r="DN11" s="20"/>
      <c r="DO11" s="18">
        <f t="shared" si="41"/>
        <v>-2.1118810778356867E-2</v>
      </c>
    </row>
    <row r="12" spans="1:119" ht="15.75" hidden="1" outlineLevel="1" thickBot="1" x14ac:dyDescent="0.3">
      <c r="A12" s="515">
        <v>7</v>
      </c>
      <c r="B12" s="3">
        <v>24180</v>
      </c>
      <c r="C12" s="3">
        <v>124</v>
      </c>
      <c r="D12" s="21">
        <f>IFERROR(Tabelle3[[#This Row],[Ned (€)]]/Tabelle3[[#This Row],[Ned (Backer)]],"")</f>
        <v>195</v>
      </c>
      <c r="E12" s="3">
        <v>69623</v>
      </c>
      <c r="F12" s="3">
        <v>295</v>
      </c>
      <c r="G12" s="21">
        <f>Tabelle3[[#This Row],[Werkzeuge (€)]]/Tabelle3[[#This Row],[Werkzeuge (Backer)]]</f>
        <v>236.01016949152543</v>
      </c>
      <c r="H12" s="3">
        <v>55981</v>
      </c>
      <c r="I12" s="3">
        <v>308</v>
      </c>
      <c r="J12" s="21">
        <f>Tabelle3[[#This Row],[DSK Fasar (€)]]/Tabelle3[[#This Row],[DSK Fasar (Backer)]]</f>
        <v>181.75649350649351</v>
      </c>
      <c r="K12" s="3">
        <v>40223</v>
      </c>
      <c r="L12" s="3">
        <v>236</v>
      </c>
      <c r="M12" s="21">
        <f>Tabelle3[[#This Row],[Mythen (€)]]/Tabelle3[[#This Row],[Mythen (Backer)]]</f>
        <v>170.43644067796609</v>
      </c>
      <c r="N12" s="3">
        <v>147297</v>
      </c>
      <c r="O12" s="3">
        <v>1044</v>
      </c>
      <c r="P12" s="21">
        <f>Tabelle3[[#This Row],[SOK (€)]]/Tabelle3[[#This Row],[SOK (Backer)]]</f>
        <v>141.08908045977012</v>
      </c>
      <c r="Q12" s="3">
        <v>164491</v>
      </c>
      <c r="R12" s="3">
        <v>709</v>
      </c>
      <c r="S12" s="21">
        <f>Tabelle3[[#This Row],[RE (€)]]/Tabelle3[[#This Row],[RE (Backer)]]</f>
        <v>232.00423131170663</v>
      </c>
      <c r="T12" s="3">
        <v>126713</v>
      </c>
      <c r="U12" s="3">
        <v>523</v>
      </c>
      <c r="V12" s="21">
        <f>Tabelle3[[#This Row],[DGG (€)]]/Tabelle3[[#This Row],[DGG (Backer)]]</f>
        <v>242.28107074569789</v>
      </c>
      <c r="W12" s="3">
        <v>50019</v>
      </c>
      <c r="X12" s="3">
        <v>262</v>
      </c>
      <c r="Y12" s="514">
        <f>Tabelle3[[#This Row],[DSK SV (€)]]/Tabelle3[[#This Row],[DSK SV (Backer)]]</f>
        <v>190.91221374045801</v>
      </c>
      <c r="Z12" s="3">
        <v>184883</v>
      </c>
      <c r="AA12" s="3">
        <v>953</v>
      </c>
      <c r="AB12" s="21">
        <f>Tabelle3[[#This Row],[WW (€)]]/Tabelle3[[#This Row],[WW (Backer)]]</f>
        <v>194.00104931794334</v>
      </c>
      <c r="AC12" s="3">
        <v>16727</v>
      </c>
      <c r="AD12" s="3">
        <v>127</v>
      </c>
      <c r="AE12" s="21">
        <f>Tabelle3[[#This Row],[DSK R (€)]]/Tabelle3[[#This Row],[DSK R (Backer)]]</f>
        <v>131.70866141732284</v>
      </c>
      <c r="AF12" s="3">
        <v>94449</v>
      </c>
      <c r="AG12" s="3">
        <v>435</v>
      </c>
      <c r="AH12" s="21">
        <f>Tabelle3[[#This Row],[Ära (€)]]/Tabelle3[[#This Row],[Ära (Backer)]]</f>
        <v>217.12413793103448</v>
      </c>
      <c r="AI12" s="3">
        <v>48572</v>
      </c>
      <c r="AJ12" s="3">
        <v>661</v>
      </c>
      <c r="AK12" s="21">
        <f>Tabelle3[[#This Row],[Mosaik (€)]]/Tabelle3[[#This Row],[Mosaik (Backer)]]</f>
        <v>73.48260211800303</v>
      </c>
      <c r="AL12" s="8">
        <f>'Übersicht &amp; Anleitung'!AM57</f>
        <v>31356</v>
      </c>
      <c r="AM12" s="8">
        <f>'Übersicht &amp; Anleitung'!AN57</f>
        <v>220</v>
      </c>
      <c r="AN12" s="21">
        <f>Tabelle3[[#This Row],[DSK ES (€)]]/Tabelle3[[#This Row],[DSK ES (Backer)]]</f>
        <v>142.52727272727273</v>
      </c>
      <c r="AY12" s="576" t="s">
        <v>85</v>
      </c>
      <c r="AZ12" s="6">
        <f>$AL12*$BN12</f>
        <v>50893.761665207028</v>
      </c>
      <c r="BA12" s="6">
        <f>$AM12*$BO12</f>
        <v>350.65134099616859</v>
      </c>
      <c r="BB12" s="22">
        <f t="shared" ref="BB12:BB16" si="44">AZ12/BA12</f>
        <v>145.14064460903666</v>
      </c>
      <c r="BC12" s="6">
        <f>$AL12*$BP12</f>
        <v>82737.889908839687</v>
      </c>
      <c r="BD12" s="6">
        <f>$AM12*$BQ12</f>
        <v>615.64516129032256</v>
      </c>
      <c r="BE12" s="22">
        <f t="shared" ref="BE12:BE16" si="45">BC12/BD12</f>
        <v>134.3921711906749</v>
      </c>
      <c r="BF12" s="3">
        <f t="shared" si="0"/>
        <v>66815.82578702335</v>
      </c>
      <c r="BG12" s="3">
        <f t="shared" si="1"/>
        <v>483.1482511432456</v>
      </c>
      <c r="BH12" s="22">
        <f t="shared" ref="BH12:BH16" si="46">BF12/BG12</f>
        <v>138.29259575900554</v>
      </c>
      <c r="BI12" s="3">
        <f>$AL12*$BR12</f>
        <v>68876.212823865528</v>
      </c>
      <c r="BJ12" s="3">
        <f>$AM12*$BS12</f>
        <v>478.34183437115655</v>
      </c>
      <c r="BK12" s="22">
        <f t="shared" ref="BK12:BK16" si="47">BI12/BJ12</f>
        <v>143.98952354734433</v>
      </c>
      <c r="BM12" s="576" t="s">
        <v>85</v>
      </c>
      <c r="BN12" s="15">
        <f t="shared" si="42"/>
        <v>1.6230948356042554</v>
      </c>
      <c r="BO12" s="15">
        <f t="shared" si="2"/>
        <v>1.5938697318007662</v>
      </c>
      <c r="BP12" s="352">
        <f t="shared" si="43"/>
        <v>2.638662135120541</v>
      </c>
      <c r="BQ12" s="352">
        <f t="shared" si="3"/>
        <v>2.7983870967741935</v>
      </c>
      <c r="BR12" s="352">
        <f t="shared" si="4"/>
        <v>2.1965879839222326</v>
      </c>
      <c r="BS12" s="352">
        <f t="shared" si="5"/>
        <v>2.1742810653234388</v>
      </c>
      <c r="BT12" s="16">
        <f t="shared" si="6"/>
        <v>2.5783705541770057</v>
      </c>
      <c r="BU12" s="7">
        <f t="shared" si="7"/>
        <v>2.7983870967741935</v>
      </c>
      <c r="BV12" s="11">
        <f t="shared" si="8"/>
        <v>2.4517903566350201</v>
      </c>
      <c r="BW12" s="12">
        <f t="shared" si="9"/>
        <v>2.5627118644067797</v>
      </c>
      <c r="BX12" s="11">
        <f t="shared" si="10"/>
        <v>2.2095711044818778</v>
      </c>
      <c r="BY12" s="26">
        <f t="shared" si="11"/>
        <v>2.1363636363636362</v>
      </c>
      <c r="BZ12" s="11">
        <f t="shared" si="12"/>
        <v>2.2373020411207518</v>
      </c>
      <c r="CA12" s="26">
        <f t="shared" si="13"/>
        <v>2.1059322033898304</v>
      </c>
      <c r="CB12" s="11">
        <f t="shared" si="14"/>
        <v>1.6230948356042554</v>
      </c>
      <c r="CC12" s="26">
        <f t="shared" si="15"/>
        <v>1.5938697318007662</v>
      </c>
      <c r="CD12" s="11">
        <f t="shared" si="16"/>
        <v>2.3740326218455721</v>
      </c>
      <c r="CE12" s="26">
        <f t="shared" si="17"/>
        <v>2.3385049365303243</v>
      </c>
      <c r="CF12" s="11">
        <f t="shared" si="18"/>
        <v>1.8264108654991991</v>
      </c>
      <c r="CG12" s="26">
        <f t="shared" si="19"/>
        <v>1.8642447418738051</v>
      </c>
      <c r="CH12" s="11">
        <f t="shared" si="20"/>
        <v>2.3013854735200625</v>
      </c>
      <c r="CI12" s="26">
        <f t="shared" si="21"/>
        <v>2.4618320610687023</v>
      </c>
      <c r="CJ12" s="11">
        <f t="shared" si="22"/>
        <v>1.7548125030424646</v>
      </c>
      <c r="CK12" s="26">
        <f t="shared" si="23"/>
        <v>1.7628541448058761</v>
      </c>
      <c r="CL12" s="11">
        <f t="shared" si="24"/>
        <v>2.167035332097806</v>
      </c>
      <c r="CM12" s="26">
        <f t="shared" si="25"/>
        <v>2.1181102362204722</v>
      </c>
      <c r="CN12" s="11">
        <f t="shared" si="26"/>
        <v>2.638662135120541</v>
      </c>
      <c r="CO12" s="26">
        <f t="shared" si="27"/>
        <v>2.6114942528735634</v>
      </c>
      <c r="CP12" s="11">
        <f t="shared" si="28"/>
        <v>1.7303590545993577</v>
      </c>
      <c r="CQ12" s="26">
        <f t="shared" si="29"/>
        <v>1.7503782148260212</v>
      </c>
      <c r="CR12" s="17"/>
      <c r="CS12" s="19">
        <f t="shared" si="30"/>
        <v>-0.22001654259718784</v>
      </c>
      <c r="CT12" s="27"/>
      <c r="CU12" s="28">
        <f t="shared" si="31"/>
        <v>-0.11092150777175958</v>
      </c>
      <c r="CV12" s="20"/>
      <c r="CW12" s="18">
        <f t="shared" si="32"/>
        <v>7.3207468118241525E-2</v>
      </c>
      <c r="CX12" s="20"/>
      <c r="CY12" s="18">
        <f t="shared" si="33"/>
        <v>0.13136983773092137</v>
      </c>
      <c r="CZ12" s="20"/>
      <c r="DA12" s="18">
        <f t="shared" si="34"/>
        <v>2.9225103803489194E-2</v>
      </c>
      <c r="DB12" s="20"/>
      <c r="DC12" s="18">
        <f t="shared" si="35"/>
        <v>3.5527685315247748E-2</v>
      </c>
      <c r="DD12" s="20"/>
      <c r="DE12" s="18">
        <f t="shared" si="36"/>
        <v>-3.7833876374606001E-2</v>
      </c>
      <c r="DF12" s="20"/>
      <c r="DG12" s="18">
        <f t="shared" si="37"/>
        <v>-0.16044658754863983</v>
      </c>
      <c r="DH12" s="20"/>
      <c r="DI12" s="18">
        <f t="shared" si="38"/>
        <v>-8.041641763411489E-3</v>
      </c>
      <c r="DJ12" s="20"/>
      <c r="DK12" s="18">
        <f t="shared" si="39"/>
        <v>4.8925095877333735E-2</v>
      </c>
      <c r="DL12" s="20"/>
      <c r="DM12" s="18">
        <f t="shared" si="40"/>
        <v>2.7167882246977637E-2</v>
      </c>
      <c r="DN12" s="20"/>
      <c r="DO12" s="18">
        <f t="shared" si="41"/>
        <v>-2.0019160226663502E-2</v>
      </c>
    </row>
    <row r="13" spans="1:119" ht="15.75" hidden="1" outlineLevel="1" thickBot="1" x14ac:dyDescent="0.3">
      <c r="A13" s="515">
        <v>8</v>
      </c>
      <c r="B13" s="3">
        <v>26679</v>
      </c>
      <c r="C13" s="3">
        <v>136</v>
      </c>
      <c r="D13" s="514">
        <f>IFERROR(Tabelle3[[#This Row],[Ned (€)]]/Tabelle3[[#This Row],[Ned (Backer)]],"")</f>
        <v>196.16911764705881</v>
      </c>
      <c r="E13" s="3">
        <v>72783</v>
      </c>
      <c r="F13" s="3">
        <v>308</v>
      </c>
      <c r="G13" s="21">
        <f>Tabelle3[[#This Row],[Werkzeuge (€)]]/Tabelle3[[#This Row],[Werkzeuge (Backer)]]</f>
        <v>236.30844155844156</v>
      </c>
      <c r="H13" s="3">
        <v>58795</v>
      </c>
      <c r="I13" s="3">
        <v>325</v>
      </c>
      <c r="J13" s="21">
        <f>Tabelle3[[#This Row],[DSK Fasar (€)]]/Tabelle3[[#This Row],[DSK Fasar (Backer)]]</f>
        <v>180.90769230769232</v>
      </c>
      <c r="K13" s="3">
        <v>43766</v>
      </c>
      <c r="L13" s="3">
        <v>253</v>
      </c>
      <c r="M13" s="514">
        <f>Tabelle3[[#This Row],[Mythen (€)]]/Tabelle3[[#This Row],[Mythen (Backer)]]</f>
        <v>172.98814229249012</v>
      </c>
      <c r="N13" s="3">
        <v>154154</v>
      </c>
      <c r="O13" s="3">
        <v>1084</v>
      </c>
      <c r="P13" s="514">
        <f>Tabelle3[[#This Row],[SOK (€)]]/Tabelle3[[#This Row],[SOK (Backer)]]</f>
        <v>142.20848708487085</v>
      </c>
      <c r="Q13" s="3">
        <v>182858</v>
      </c>
      <c r="R13" s="3">
        <v>792</v>
      </c>
      <c r="S13" s="21">
        <f>Tabelle3[[#This Row],[RE (€)]]/Tabelle3[[#This Row],[RE (Backer)]]</f>
        <v>230.88131313131314</v>
      </c>
      <c r="T13" s="3">
        <v>130050</v>
      </c>
      <c r="U13" s="3">
        <v>539</v>
      </c>
      <c r="V13" s="21">
        <f>Tabelle3[[#This Row],[DGG (€)]]/Tabelle3[[#This Row],[DGG (Backer)]]</f>
        <v>241.28014842300556</v>
      </c>
      <c r="W13" s="3">
        <v>54482</v>
      </c>
      <c r="X13" s="3">
        <v>287</v>
      </c>
      <c r="Y13" s="21">
        <f>Tabelle3[[#This Row],[DSK SV (€)]]/Tabelle3[[#This Row],[DSK SV (Backer)]]</f>
        <v>189.83275261324042</v>
      </c>
      <c r="Z13" s="3">
        <v>193287</v>
      </c>
      <c r="AA13" s="3">
        <v>994</v>
      </c>
      <c r="AB13" s="21">
        <f>Tabelle3[[#This Row],[WW (€)]]/Tabelle3[[#This Row],[WW (Backer)]]</f>
        <v>194.45372233400403</v>
      </c>
      <c r="AC13" s="3">
        <v>17672</v>
      </c>
      <c r="AD13" s="3">
        <v>134</v>
      </c>
      <c r="AE13" s="21">
        <f>Tabelle3[[#This Row],[DSK R (€)]]/Tabelle3[[#This Row],[DSK R (Backer)]]</f>
        <v>131.88059701492537</v>
      </c>
      <c r="AF13" s="3">
        <v>103073</v>
      </c>
      <c r="AG13" s="3">
        <v>476</v>
      </c>
      <c r="AH13" s="21">
        <f>Tabelle3[[#This Row],[Ära (€)]]/Tabelle3[[#This Row],[Ära (Backer)]]</f>
        <v>216.53991596638656</v>
      </c>
      <c r="AI13" s="3">
        <v>50335</v>
      </c>
      <c r="AJ13" s="3">
        <v>687</v>
      </c>
      <c r="AK13" s="21">
        <f>Tabelle3[[#This Row],[Mosaik (€)]]/Tabelle3[[#This Row],[Mosaik (Backer)]]</f>
        <v>73.267831149927218</v>
      </c>
      <c r="AL13" s="174">
        <f>'Übersicht &amp; Anleitung'!AM58</f>
        <v>33362</v>
      </c>
      <c r="AM13" s="174">
        <f>'Übersicht &amp; Anleitung'!AN58</f>
        <v>234</v>
      </c>
      <c r="AN13" s="21">
        <f>Tabelle3[[#This Row],[DSK ES (€)]]/Tabelle3[[#This Row],[DSK ES (Backer)]]</f>
        <v>142.57264957264957</v>
      </c>
      <c r="AY13" s="576" t="s">
        <v>176</v>
      </c>
      <c r="AZ13" s="6">
        <f>$AL13*$BN13</f>
        <v>51741.030878212696</v>
      </c>
      <c r="BA13" s="6">
        <f>$AM13*$BO13</f>
        <v>359.2029520295203</v>
      </c>
      <c r="BB13" s="22">
        <f t="shared" si="44"/>
        <v>144.04400238325567</v>
      </c>
      <c r="BC13" s="6">
        <f>$AL13*$BP13</f>
        <v>80665.589223171919</v>
      </c>
      <c r="BD13" s="6">
        <f>$AM13*$BQ13</f>
        <v>597.04411764705878</v>
      </c>
      <c r="BE13" s="22">
        <f t="shared" si="45"/>
        <v>135.10825555249369</v>
      </c>
      <c r="BF13" s="3">
        <f t="shared" si="0"/>
        <v>66203.310050692307</v>
      </c>
      <c r="BG13" s="3">
        <f t="shared" si="1"/>
        <v>478.12353483828952</v>
      </c>
      <c r="BH13" s="22">
        <f t="shared" si="46"/>
        <v>138.46486363212287</v>
      </c>
      <c r="BI13" s="3">
        <f>$AL13*$BR13</f>
        <v>68448.634765592389</v>
      </c>
      <c r="BJ13" s="3">
        <f>$AM13*$BS13</f>
        <v>476.83218188754148</v>
      </c>
      <c r="BK13" s="22">
        <f t="shared" si="47"/>
        <v>143.54868938299904</v>
      </c>
      <c r="BM13" s="576" t="s">
        <v>176</v>
      </c>
      <c r="BN13" s="15">
        <f t="shared" si="42"/>
        <v>1.5508971547932586</v>
      </c>
      <c r="BO13" s="15">
        <f t="shared" si="2"/>
        <v>1.5350553505535056</v>
      </c>
      <c r="BP13" s="352">
        <f t="shared" si="43"/>
        <v>2.4178882927633811</v>
      </c>
      <c r="BQ13" s="352">
        <f t="shared" si="3"/>
        <v>2.5514705882352939</v>
      </c>
      <c r="BR13" s="352">
        <f t="shared" si="4"/>
        <v>2.0516945856241349</v>
      </c>
      <c r="BS13" s="352">
        <f t="shared" si="5"/>
        <v>2.0377443670407756</v>
      </c>
      <c r="BT13" s="16">
        <f t="shared" si="6"/>
        <v>2.3368567037745045</v>
      </c>
      <c r="BU13" s="7">
        <f t="shared" si="7"/>
        <v>2.5514705882352939</v>
      </c>
      <c r="BV13" s="11">
        <f t="shared" si="8"/>
        <v>2.3453416319744997</v>
      </c>
      <c r="BW13" s="12">
        <f t="shared" si="9"/>
        <v>2.4545454545454546</v>
      </c>
      <c r="BX13" s="11">
        <f t="shared" si="10"/>
        <v>2.1038183519006717</v>
      </c>
      <c r="BY13" s="26">
        <f t="shared" si="11"/>
        <v>2.0246153846153847</v>
      </c>
      <c r="BZ13" s="11">
        <f t="shared" si="12"/>
        <v>2.0561851665676554</v>
      </c>
      <c r="CA13" s="26">
        <f t="shared" si="13"/>
        <v>1.9644268774703557</v>
      </c>
      <c r="CB13" s="11">
        <f t="shared" si="14"/>
        <v>1.5508971547932586</v>
      </c>
      <c r="CC13" s="26">
        <f t="shared" si="15"/>
        <v>1.5350553505535056</v>
      </c>
      <c r="CD13" s="11">
        <f t="shared" si="16"/>
        <v>2.1355751457415044</v>
      </c>
      <c r="CE13" s="26">
        <f t="shared" si="17"/>
        <v>2.0934343434343434</v>
      </c>
      <c r="CF13" s="11">
        <f t="shared" si="18"/>
        <v>1.7795463283352557</v>
      </c>
      <c r="CG13" s="26">
        <f t="shared" si="19"/>
        <v>1.8089053803339519</v>
      </c>
      <c r="CH13" s="11">
        <f t="shared" si="20"/>
        <v>2.1128629639146874</v>
      </c>
      <c r="CI13" s="26">
        <f t="shared" si="21"/>
        <v>2.2473867595818815</v>
      </c>
      <c r="CJ13" s="11">
        <f t="shared" si="22"/>
        <v>1.678514333607537</v>
      </c>
      <c r="CK13" s="26">
        <f t="shared" si="23"/>
        <v>1.6901408450704225</v>
      </c>
      <c r="CL13" s="11">
        <f t="shared" si="24"/>
        <v>2.0511543684925306</v>
      </c>
      <c r="CM13" s="26">
        <f t="shared" si="25"/>
        <v>2.0074626865671643</v>
      </c>
      <c r="CN13" s="11">
        <f t="shared" si="26"/>
        <v>2.4178882927633811</v>
      </c>
      <c r="CO13" s="26">
        <f t="shared" si="27"/>
        <v>2.3865546218487395</v>
      </c>
      <c r="CP13" s="11">
        <f t="shared" si="28"/>
        <v>1.6697526571967816</v>
      </c>
      <c r="CQ13" s="26">
        <f t="shared" si="29"/>
        <v>1.6841339155749635</v>
      </c>
      <c r="CR13" s="17"/>
      <c r="CS13" s="19">
        <f t="shared" si="30"/>
        <v>-0.21461388446078944</v>
      </c>
      <c r="CT13" s="27"/>
      <c r="CU13" s="28">
        <f t="shared" si="31"/>
        <v>-0.10920382257095484</v>
      </c>
      <c r="CV13" s="20"/>
      <c r="CW13" s="18">
        <f t="shared" si="32"/>
        <v>7.9202967285286974E-2</v>
      </c>
      <c r="CX13" s="20"/>
      <c r="CY13" s="18">
        <f t="shared" si="33"/>
        <v>9.1758289097299661E-2</v>
      </c>
      <c r="CZ13" s="20"/>
      <c r="DA13" s="18">
        <f t="shared" si="34"/>
        <v>1.584180423975301E-2</v>
      </c>
      <c r="DB13" s="20"/>
      <c r="DC13" s="18">
        <f t="shared" si="35"/>
        <v>4.2140802307160996E-2</v>
      </c>
      <c r="DD13" s="20"/>
      <c r="DE13" s="18">
        <f t="shared" si="36"/>
        <v>-2.9359051998696151E-2</v>
      </c>
      <c r="DF13" s="20"/>
      <c r="DG13" s="18">
        <f t="shared" si="37"/>
        <v>-0.13452379566719408</v>
      </c>
      <c r="DH13" s="20"/>
      <c r="DI13" s="18">
        <f t="shared" si="38"/>
        <v>-1.1626511462885514E-2</v>
      </c>
      <c r="DJ13" s="20"/>
      <c r="DK13" s="18">
        <f t="shared" si="39"/>
        <v>4.3691681925366321E-2</v>
      </c>
      <c r="DL13" s="20"/>
      <c r="DM13" s="18">
        <f t="shared" si="40"/>
        <v>3.1333670914641676E-2</v>
      </c>
      <c r="DN13" s="20"/>
      <c r="DO13" s="18">
        <f t="shared" si="41"/>
        <v>-1.4381258378181938E-2</v>
      </c>
    </row>
    <row r="14" spans="1:119" ht="15.75" hidden="1" outlineLevel="1" thickBot="1" x14ac:dyDescent="0.3">
      <c r="A14" s="515">
        <v>9</v>
      </c>
      <c r="B14" s="3">
        <v>27868</v>
      </c>
      <c r="C14" s="3">
        <v>142</v>
      </c>
      <c r="D14" s="21">
        <f>IFERROR(Tabelle3[[#This Row],[Ned (€)]]/Tabelle3[[#This Row],[Ned (Backer)]],"")</f>
        <v>196.25352112676057</v>
      </c>
      <c r="E14" s="3">
        <v>76597</v>
      </c>
      <c r="F14" s="3">
        <v>329</v>
      </c>
      <c r="G14" s="21">
        <f>Tabelle3[[#This Row],[Werkzeuge (€)]]/Tabelle3[[#This Row],[Werkzeuge (Backer)]]</f>
        <v>232.81762917933131</v>
      </c>
      <c r="H14" s="3">
        <v>63300</v>
      </c>
      <c r="I14" s="3">
        <v>350</v>
      </c>
      <c r="J14" s="21">
        <f>Tabelle3[[#This Row],[DSK Fasar (€)]]/Tabelle3[[#This Row],[DSK Fasar (Backer)]]</f>
        <v>180.85714285714286</v>
      </c>
      <c r="K14" s="3">
        <v>45971</v>
      </c>
      <c r="L14" s="3">
        <v>267</v>
      </c>
      <c r="M14" s="21">
        <f>Tabelle3[[#This Row],[Mythen (€)]]/Tabelle3[[#This Row],[Mythen (Backer)]]</f>
        <v>172.17602996254681</v>
      </c>
      <c r="N14" s="3">
        <v>158642</v>
      </c>
      <c r="O14" s="3">
        <v>1112</v>
      </c>
      <c r="P14" s="21">
        <f>Tabelle3[[#This Row],[SOK (€)]]/Tabelle3[[#This Row],[SOK (Backer)]]</f>
        <v>142.66366906474821</v>
      </c>
      <c r="Q14" s="3">
        <v>195000</v>
      </c>
      <c r="R14" s="3">
        <v>851</v>
      </c>
      <c r="S14" s="21">
        <f>Tabelle3[[#This Row],[RE (€)]]/Tabelle3[[#This Row],[RE (Backer)]]</f>
        <v>229.14218566392481</v>
      </c>
      <c r="T14" s="3">
        <v>133215</v>
      </c>
      <c r="U14" s="3">
        <v>551</v>
      </c>
      <c r="V14" s="514">
        <f>Tabelle3[[#This Row],[DGG (€)]]/Tabelle3[[#This Row],[DGG (Backer)]]</f>
        <v>241.76950998185117</v>
      </c>
      <c r="W14" s="3">
        <v>60464</v>
      </c>
      <c r="X14" s="3">
        <v>324</v>
      </c>
      <c r="Y14" s="21">
        <f>Tabelle3[[#This Row],[DSK SV (€)]]/Tabelle3[[#This Row],[DSK SV (Backer)]]</f>
        <v>186.61728395061729</v>
      </c>
      <c r="Z14" s="3">
        <v>202015</v>
      </c>
      <c r="AA14" s="3">
        <v>1040</v>
      </c>
      <c r="AB14" s="21">
        <f>Tabelle3[[#This Row],[WW (€)]]/Tabelle3[[#This Row],[WW (Backer)]]</f>
        <v>194.24519230769232</v>
      </c>
      <c r="AC14" s="3">
        <v>17982</v>
      </c>
      <c r="AD14" s="3">
        <v>138</v>
      </c>
      <c r="AE14" s="21">
        <f>Tabelle3[[#This Row],[DSK R (€)]]/Tabelle3[[#This Row],[DSK R (Backer)]]</f>
        <v>130.30434782608697</v>
      </c>
      <c r="AF14" s="3">
        <v>113149</v>
      </c>
      <c r="AG14" s="3">
        <v>524</v>
      </c>
      <c r="AH14" s="21">
        <f>Tabelle3[[#This Row],[Ära (€)]]/Tabelle3[[#This Row],[Ära (Backer)]]</f>
        <v>215.93320610687022</v>
      </c>
      <c r="AI14" s="3">
        <v>51635</v>
      </c>
      <c r="AJ14" s="3">
        <v>705</v>
      </c>
      <c r="AK14" s="21">
        <f>Tabelle3[[#This Row],[Mosaik (€)]]/Tabelle3[[#This Row],[Mosaik (Backer)]]</f>
        <v>73.241134751773046</v>
      </c>
      <c r="AL14" s="174">
        <f>'Übersicht &amp; Anleitung'!AM59</f>
        <v>35984</v>
      </c>
      <c r="AM14" s="174">
        <f>'Übersicht &amp; Anleitung'!AN59</f>
        <v>240</v>
      </c>
      <c r="AN14" s="514">
        <f>Tabelle3[[#This Row],[DSK ES (€)]]/Tabelle3[[#This Row],[DSK ES (Backer)]]</f>
        <v>149.93333333333334</v>
      </c>
      <c r="AY14" s="576" t="s">
        <v>177</v>
      </c>
      <c r="AZ14" s="6">
        <f>$AL14*$BN14</f>
        <v>54228.683249076537</v>
      </c>
      <c r="BA14" s="6">
        <f>$AM14*$BO14</f>
        <v>359.136690647482</v>
      </c>
      <c r="BB14" s="22">
        <f t="shared" si="44"/>
        <v>150.9973351687027</v>
      </c>
      <c r="BC14" s="6">
        <f>$AL14*$BP14</f>
        <v>80501.739629682794</v>
      </c>
      <c r="BD14" s="6">
        <f>$AM14*$BQ14</f>
        <v>586.47887323943667</v>
      </c>
      <c r="BE14" s="22">
        <f t="shared" si="45"/>
        <v>137.26281252899804</v>
      </c>
      <c r="BF14" s="3">
        <f t="shared" si="0"/>
        <v>67365.211439379666</v>
      </c>
      <c r="BG14" s="3">
        <f t="shared" si="1"/>
        <v>472.8077819434593</v>
      </c>
      <c r="BH14" s="22">
        <f t="shared" si="46"/>
        <v>142.47906657220699</v>
      </c>
      <c r="BI14" s="3">
        <f>$AL14*$BR14</f>
        <v>69849.665056735495</v>
      </c>
      <c r="BJ14" s="3">
        <f>$AM14*$BS14</f>
        <v>462.06161360238445</v>
      </c>
      <c r="BK14" s="22">
        <f t="shared" si="47"/>
        <v>151.16959080881986</v>
      </c>
      <c r="BM14" s="576" t="s">
        <v>177</v>
      </c>
      <c r="BN14" s="15">
        <f t="shared" si="42"/>
        <v>1.5070221000743813</v>
      </c>
      <c r="BO14" s="15">
        <f t="shared" si="2"/>
        <v>1.4964028776978417</v>
      </c>
      <c r="BP14" s="352">
        <f t="shared" si="43"/>
        <v>2.2371537247021673</v>
      </c>
      <c r="BQ14" s="352">
        <f t="shared" si="3"/>
        <v>2.443661971830986</v>
      </c>
      <c r="BR14" s="352">
        <f t="shared" si="4"/>
        <v>1.9411311987754416</v>
      </c>
      <c r="BS14" s="352">
        <f t="shared" si="5"/>
        <v>1.9252567233432685</v>
      </c>
      <c r="BT14" s="16">
        <f t="shared" si="6"/>
        <v>2.2371537247021673</v>
      </c>
      <c r="BU14" s="7">
        <f t="shared" si="7"/>
        <v>2.443661971830986</v>
      </c>
      <c r="BV14" s="11">
        <f t="shared" si="8"/>
        <v>2.228559865268875</v>
      </c>
      <c r="BW14" s="12">
        <f t="shared" si="9"/>
        <v>2.2978723404255321</v>
      </c>
      <c r="BX14" s="11">
        <f t="shared" si="10"/>
        <v>1.954091627172196</v>
      </c>
      <c r="BY14" s="26">
        <f t="shared" si="11"/>
        <v>1.88</v>
      </c>
      <c r="BZ14" s="11">
        <f t="shared" si="12"/>
        <v>1.9575602009962803</v>
      </c>
      <c r="CA14" s="26">
        <f t="shared" si="13"/>
        <v>1.8614232209737829</v>
      </c>
      <c r="CB14" s="11">
        <f t="shared" si="14"/>
        <v>1.5070221000743813</v>
      </c>
      <c r="CC14" s="26">
        <f t="shared" si="15"/>
        <v>1.4964028776978417</v>
      </c>
      <c r="CD14" s="11">
        <f t="shared" si="16"/>
        <v>2.0026000000000002</v>
      </c>
      <c r="CE14" s="26">
        <f t="shared" si="17"/>
        <v>1.9482961222091657</v>
      </c>
      <c r="CF14" s="11">
        <f t="shared" si="18"/>
        <v>1.7372668243065721</v>
      </c>
      <c r="CG14" s="26">
        <f t="shared" si="19"/>
        <v>1.7695099818511797</v>
      </c>
      <c r="CH14" s="11">
        <f t="shared" si="20"/>
        <v>1.903827070653612</v>
      </c>
      <c r="CI14" s="26">
        <f t="shared" si="21"/>
        <v>1.9907407407407407</v>
      </c>
      <c r="CJ14" s="11">
        <f t="shared" si="22"/>
        <v>1.6059946043610622</v>
      </c>
      <c r="CK14" s="26">
        <f t="shared" si="23"/>
        <v>1.6153846153846154</v>
      </c>
      <c r="CL14" s="11">
        <f t="shared" si="24"/>
        <v>2.0157935713491271</v>
      </c>
      <c r="CM14" s="26">
        <f t="shared" si="25"/>
        <v>1.9492753623188406</v>
      </c>
      <c r="CN14" s="11">
        <f t="shared" si="26"/>
        <v>2.2025735976455825</v>
      </c>
      <c r="CO14" s="26">
        <f t="shared" si="27"/>
        <v>2.16793893129771</v>
      </c>
      <c r="CP14" s="11">
        <f t="shared" si="28"/>
        <v>1.6277137600464802</v>
      </c>
      <c r="CQ14" s="26">
        <f t="shared" si="29"/>
        <v>1.6411347517730497</v>
      </c>
      <c r="CR14" s="17"/>
      <c r="CS14" s="19">
        <f t="shared" si="30"/>
        <v>-0.20650824712881866</v>
      </c>
      <c r="CT14" s="27"/>
      <c r="CU14" s="28">
        <f t="shared" si="31"/>
        <v>-6.9312475156657172E-2</v>
      </c>
      <c r="CV14" s="20"/>
      <c r="CW14" s="18">
        <f t="shared" si="32"/>
        <v>7.4091627172196084E-2</v>
      </c>
      <c r="CX14" s="20"/>
      <c r="CY14" s="18">
        <f t="shared" si="33"/>
        <v>9.6136980022497376E-2</v>
      </c>
      <c r="CZ14" s="20"/>
      <c r="DA14" s="18">
        <f t="shared" si="34"/>
        <v>1.0619222376539561E-2</v>
      </c>
      <c r="DB14" s="20"/>
      <c r="DC14" s="18">
        <f t="shared" si="35"/>
        <v>5.4303877790834454E-2</v>
      </c>
      <c r="DD14" s="20"/>
      <c r="DE14" s="18">
        <f t="shared" si="36"/>
        <v>-3.2243157544607604E-2</v>
      </c>
      <c r="DF14" s="20"/>
      <c r="DG14" s="18">
        <f t="shared" si="37"/>
        <v>-8.6913670087128692E-2</v>
      </c>
      <c r="DH14" s="20"/>
      <c r="DI14" s="18">
        <f t="shared" si="38"/>
        <v>-9.3900110235531908E-3</v>
      </c>
      <c r="DJ14" s="20"/>
      <c r="DK14" s="18">
        <f t="shared" si="39"/>
        <v>6.651820903028649E-2</v>
      </c>
      <c r="DL14" s="20"/>
      <c r="DM14" s="18">
        <f t="shared" si="40"/>
        <v>3.4634666347872489E-2</v>
      </c>
      <c r="DN14" s="20"/>
      <c r="DO14" s="18">
        <f t="shared" si="41"/>
        <v>-1.342099172656952E-2</v>
      </c>
    </row>
    <row r="15" spans="1:119" ht="15.75" hidden="1" outlineLevel="1" thickBot="1" x14ac:dyDescent="0.3">
      <c r="A15" s="515">
        <v>10</v>
      </c>
      <c r="B15" s="3">
        <v>31587</v>
      </c>
      <c r="C15" s="3">
        <v>161</v>
      </c>
      <c r="D15" s="21">
        <f>IFERROR(Tabelle3[[#This Row],[Ned (€)]]/Tabelle3[[#This Row],[Ned (Backer)]],"")</f>
        <v>196.19254658385094</v>
      </c>
      <c r="E15" s="3">
        <v>81327</v>
      </c>
      <c r="F15" s="3">
        <v>350</v>
      </c>
      <c r="G15" s="21">
        <f>Tabelle3[[#This Row],[Werkzeuge (€)]]/Tabelle3[[#This Row],[Werkzeuge (Backer)]]</f>
        <v>232.36285714285714</v>
      </c>
      <c r="H15" s="3">
        <v>66650</v>
      </c>
      <c r="I15" s="3">
        <v>369</v>
      </c>
      <c r="J15" s="21">
        <f>Tabelle3[[#This Row],[DSK Fasar (€)]]/Tabelle3[[#This Row],[DSK Fasar (Backer)]]</f>
        <v>180.62330623306232</v>
      </c>
      <c r="K15" s="3">
        <v>48853</v>
      </c>
      <c r="L15" s="3">
        <v>282</v>
      </c>
      <c r="M15" s="514">
        <f>Tabelle3[[#This Row],[Mythen (€)]]/Tabelle3[[#This Row],[Mythen (Backer)]]</f>
        <v>173.23758865248226</v>
      </c>
      <c r="N15" s="3">
        <v>163194</v>
      </c>
      <c r="O15" s="3">
        <v>1140</v>
      </c>
      <c r="P15" s="21">
        <f>Tabelle3[[#This Row],[SOK (€)]]/Tabelle3[[#This Row],[SOK (Backer)]]</f>
        <v>143.15263157894736</v>
      </c>
      <c r="Q15" s="3">
        <v>203877</v>
      </c>
      <c r="R15" s="3">
        <v>893</v>
      </c>
      <c r="S15" s="21">
        <f>Tabelle3[[#This Row],[RE (€)]]/Tabelle3[[#This Row],[RE (Backer)]]</f>
        <v>228.30571108622621</v>
      </c>
      <c r="T15" s="3">
        <v>136715</v>
      </c>
      <c r="U15" s="3">
        <v>565</v>
      </c>
      <c r="V15" s="21">
        <f>Tabelle3[[#This Row],[DGG (€)]]/Tabelle3[[#This Row],[DGG (Backer)]]</f>
        <v>241.97345132743362</v>
      </c>
      <c r="W15" s="3">
        <v>62608</v>
      </c>
      <c r="X15" s="3">
        <v>336</v>
      </c>
      <c r="Y15" s="21">
        <f>Tabelle3[[#This Row],[DSK SV (€)]]/Tabelle3[[#This Row],[DSK SV (Backer)]]</f>
        <v>186.33333333333334</v>
      </c>
      <c r="Z15" s="3">
        <v>209016</v>
      </c>
      <c r="AA15" s="3">
        <v>1073</v>
      </c>
      <c r="AB15" s="21">
        <f>Tabelle3[[#This Row],[WW (€)]]/Tabelle3[[#This Row],[WW (Backer)]]</f>
        <v>194.79589934762348</v>
      </c>
      <c r="AC15" s="3">
        <v>18530</v>
      </c>
      <c r="AD15" s="3">
        <v>143</v>
      </c>
      <c r="AE15" s="21">
        <f>Tabelle3[[#This Row],[DSK R (€)]]/Tabelle3[[#This Row],[DSK R (Backer)]]</f>
        <v>129.58041958041957</v>
      </c>
      <c r="AF15" s="3">
        <v>120667</v>
      </c>
      <c r="AG15" s="3">
        <v>564</v>
      </c>
      <c r="AH15" s="21">
        <f>Tabelle3[[#This Row],[Ära (€)]]/Tabelle3[[#This Row],[Ära (Backer)]]</f>
        <v>213.94858156028369</v>
      </c>
      <c r="AI15" s="3">
        <v>53657</v>
      </c>
      <c r="AJ15" s="3">
        <v>727</v>
      </c>
      <c r="AK15" s="21">
        <f>Tabelle3[[#This Row],[Mosaik (€)]]/Tabelle3[[#This Row],[Mosaik (Backer)]]</f>
        <v>73.806052269601096</v>
      </c>
      <c r="AL15" s="174">
        <f>'Übersicht &amp; Anleitung'!AM60</f>
        <v>37454</v>
      </c>
      <c r="AM15" s="174">
        <f>'Übersicht &amp; Anleitung'!AN60</f>
        <v>250</v>
      </c>
      <c r="AN15" s="21">
        <f>Tabelle3[[#This Row],[DSK ES (€)]]/Tabelle3[[#This Row],[DSK ES (Backer)]]</f>
        <v>149.816</v>
      </c>
      <c r="AX15" s="203"/>
      <c r="AY15" s="576" t="s">
        <v>178</v>
      </c>
      <c r="AZ15" s="6">
        <f>$AL15*$BN15</f>
        <v>54869.602791769306</v>
      </c>
      <c r="BA15" s="6">
        <f>$AM15*$BO15</f>
        <v>364.91228070175441</v>
      </c>
      <c r="BB15" s="22">
        <f t="shared" si="44"/>
        <v>150.36381534282933</v>
      </c>
      <c r="BC15" s="6">
        <f>$AL15*$BP15</f>
        <v>78613.932076678102</v>
      </c>
      <c r="BD15" s="6">
        <f>$AM15*$BQ15</f>
        <v>540</v>
      </c>
      <c r="BE15" s="22">
        <f t="shared" si="45"/>
        <v>145.58135569755203</v>
      </c>
      <c r="BF15" s="3">
        <f t="shared" si="0"/>
        <v>66741.767434223701</v>
      </c>
      <c r="BG15" s="3">
        <f t="shared" si="1"/>
        <v>452.45614035087721</v>
      </c>
      <c r="BH15" s="22">
        <f t="shared" si="46"/>
        <v>147.50991639204153</v>
      </c>
      <c r="BI15" s="3">
        <f>$AL15*$BR15</f>
        <v>68970.493198422904</v>
      </c>
      <c r="BJ15" s="3">
        <f>$AM15*$BS15</f>
        <v>456.73324572710692</v>
      </c>
      <c r="BK15" s="22">
        <f t="shared" si="47"/>
        <v>151.0082610444172</v>
      </c>
      <c r="BL15" s="203"/>
      <c r="BM15" s="576" t="s">
        <v>178</v>
      </c>
      <c r="BN15" s="15">
        <f t="shared" si="42"/>
        <v>1.4649864578354597</v>
      </c>
      <c r="BO15" s="15">
        <f t="shared" si="2"/>
        <v>1.4596491228070176</v>
      </c>
      <c r="BP15" s="352">
        <f t="shared" si="43"/>
        <v>2.098946229419504</v>
      </c>
      <c r="BQ15" s="352">
        <f t="shared" si="3"/>
        <v>2.16</v>
      </c>
      <c r="BR15" s="352">
        <f t="shared" si="4"/>
        <v>1.8414720243077616</v>
      </c>
      <c r="BS15" s="352">
        <f t="shared" si="5"/>
        <v>1.8269329829084278</v>
      </c>
      <c r="BT15" s="16">
        <f t="shared" si="6"/>
        <v>1.973755025801754</v>
      </c>
      <c r="BU15" s="7">
        <f t="shared" si="7"/>
        <v>2.1552795031055902</v>
      </c>
      <c r="BV15" s="11">
        <f t="shared" si="8"/>
        <v>2.098946229419504</v>
      </c>
      <c r="BW15" s="12">
        <f t="shared" si="9"/>
        <v>2.16</v>
      </c>
      <c r="BX15" s="11">
        <f t="shared" si="10"/>
        <v>1.855873968492123</v>
      </c>
      <c r="BY15" s="26">
        <f t="shared" si="11"/>
        <v>1.7831978319783197</v>
      </c>
      <c r="BZ15" s="11">
        <f t="shared" si="12"/>
        <v>1.8420772521646573</v>
      </c>
      <c r="CA15" s="26">
        <f t="shared" si="13"/>
        <v>1.7624113475177305</v>
      </c>
      <c r="CB15" s="11">
        <f t="shared" si="14"/>
        <v>1.4649864578354597</v>
      </c>
      <c r="CC15" s="26">
        <f t="shared" si="15"/>
        <v>1.4596491228070176</v>
      </c>
      <c r="CD15" s="11">
        <f t="shared" si="16"/>
        <v>1.9154048764696361</v>
      </c>
      <c r="CE15" s="26">
        <f t="shared" si="17"/>
        <v>1.8566629339305711</v>
      </c>
      <c r="CF15" s="11">
        <f t="shared" si="18"/>
        <v>1.6927915737117361</v>
      </c>
      <c r="CG15" s="26">
        <f t="shared" si="19"/>
        <v>1.7256637168141593</v>
      </c>
      <c r="CH15" s="11">
        <f t="shared" si="20"/>
        <v>1.8386308458982878</v>
      </c>
      <c r="CI15" s="26">
        <f t="shared" si="21"/>
        <v>1.9196428571428572</v>
      </c>
      <c r="CJ15" s="11">
        <f t="shared" si="22"/>
        <v>1.5522017453209325</v>
      </c>
      <c r="CK15" s="26">
        <f t="shared" si="23"/>
        <v>1.565703634669152</v>
      </c>
      <c r="CL15" s="11">
        <f t="shared" si="24"/>
        <v>1.9561791689152725</v>
      </c>
      <c r="CM15" s="26">
        <f t="shared" si="25"/>
        <v>1.881118881118881</v>
      </c>
      <c r="CN15" s="11">
        <f t="shared" si="26"/>
        <v>2.0653451233560127</v>
      </c>
      <c r="CO15" s="26">
        <f t="shared" si="27"/>
        <v>2.0141843971631204</v>
      </c>
      <c r="CP15" s="11">
        <f t="shared" si="28"/>
        <v>1.5663753098384181</v>
      </c>
      <c r="CQ15" s="26">
        <f t="shared" si="29"/>
        <v>1.5914718019257221</v>
      </c>
      <c r="CR15" s="17"/>
      <c r="CS15" s="19">
        <f t="shared" si="30"/>
        <v>-0.18152447730383625</v>
      </c>
      <c r="CT15" s="27"/>
      <c r="CU15" s="28">
        <f t="shared" si="31"/>
        <v>-6.1053770580496103E-2</v>
      </c>
      <c r="CV15" s="20"/>
      <c r="CW15" s="18">
        <f t="shared" si="32"/>
        <v>7.2676136513803336E-2</v>
      </c>
      <c r="CX15" s="20"/>
      <c r="CY15" s="18">
        <f t="shared" si="33"/>
        <v>7.96659046469268E-2</v>
      </c>
      <c r="CZ15" s="20"/>
      <c r="DA15" s="18">
        <f t="shared" si="34"/>
        <v>5.3373350284420251E-3</v>
      </c>
      <c r="DB15" s="20"/>
      <c r="DC15" s="18">
        <f t="shared" si="35"/>
        <v>5.8741942539064951E-2</v>
      </c>
      <c r="DD15" s="20"/>
      <c r="DE15" s="18">
        <f t="shared" si="36"/>
        <v>-3.2872143102423257E-2</v>
      </c>
      <c r="DF15" s="20"/>
      <c r="DG15" s="18">
        <f t="shared" si="37"/>
        <v>-8.101201124456936E-2</v>
      </c>
      <c r="DH15" s="20"/>
      <c r="DI15" s="18">
        <f t="shared" si="38"/>
        <v>-1.3501889348219498E-2</v>
      </c>
      <c r="DJ15" s="20"/>
      <c r="DK15" s="18">
        <f t="shared" si="39"/>
        <v>7.5060287796391512E-2</v>
      </c>
      <c r="DL15" s="20"/>
      <c r="DM15" s="18">
        <f t="shared" si="40"/>
        <v>5.1160726192892358E-2</v>
      </c>
      <c r="DN15" s="20"/>
      <c r="DO15" s="18">
        <f t="shared" si="41"/>
        <v>-2.5096492087304023E-2</v>
      </c>
    </row>
    <row r="16" spans="1:119" ht="15.75" hidden="1" outlineLevel="1" thickBot="1" x14ac:dyDescent="0.3">
      <c r="A16" s="515">
        <v>11</v>
      </c>
      <c r="B16" s="3">
        <v>34703</v>
      </c>
      <c r="C16" s="3">
        <v>178</v>
      </c>
      <c r="D16" s="21">
        <f>IFERROR(Tabelle3[[#This Row],[Ned (€)]]/Tabelle3[[#This Row],[Ned (Backer)]],"")</f>
        <v>194.96067415730337</v>
      </c>
      <c r="E16" s="3">
        <v>83062</v>
      </c>
      <c r="F16" s="3">
        <v>356</v>
      </c>
      <c r="G16" s="514">
        <f>Tabelle3[[#This Row],[Werkzeuge (€)]]/Tabelle3[[#This Row],[Werkzeuge (Backer)]]</f>
        <v>233.32022471910113</v>
      </c>
      <c r="H16" s="3">
        <v>69668</v>
      </c>
      <c r="I16" s="3">
        <v>386</v>
      </c>
      <c r="J16" s="21">
        <f>Tabelle3[[#This Row],[DSK Fasar (€)]]/Tabelle3[[#This Row],[DSK Fasar (Backer)]]</f>
        <v>180.48704663212436</v>
      </c>
      <c r="K16" s="3">
        <v>50284</v>
      </c>
      <c r="L16" s="3">
        <v>291</v>
      </c>
      <c r="M16" s="21">
        <f>Tabelle3[[#This Row],[Mythen (€)]]/Tabelle3[[#This Row],[Mythen (Backer)]]</f>
        <v>172.79725085910653</v>
      </c>
      <c r="N16" s="3">
        <v>166405</v>
      </c>
      <c r="O16" s="3">
        <v>1163</v>
      </c>
      <c r="P16" s="21">
        <f>Tabelle3[[#This Row],[SOK (€)]]/Tabelle3[[#This Row],[SOK (Backer)]]</f>
        <v>143.08254514187448</v>
      </c>
      <c r="Q16" s="3">
        <v>212794</v>
      </c>
      <c r="R16" s="3">
        <v>935</v>
      </c>
      <c r="S16" s="21">
        <f>Tabelle3[[#This Row],[RE (€)]]/Tabelle3[[#This Row],[RE (Backer)]]</f>
        <v>227.58716577540108</v>
      </c>
      <c r="T16" s="3">
        <v>139670</v>
      </c>
      <c r="U16" s="3">
        <v>582</v>
      </c>
      <c r="V16" s="21">
        <f>Tabelle3[[#This Row],[DGG (€)]]/Tabelle3[[#This Row],[DGG (Backer)]]</f>
        <v>239.98281786941581</v>
      </c>
      <c r="W16" s="3">
        <v>63707</v>
      </c>
      <c r="X16" s="3">
        <v>345</v>
      </c>
      <c r="Y16" s="21">
        <f>Tabelle3[[#This Row],[DSK SV (€)]]/Tabelle3[[#This Row],[DSK SV (Backer)]]</f>
        <v>184.65797101449274</v>
      </c>
      <c r="Z16" s="3">
        <v>214911</v>
      </c>
      <c r="AA16" s="3">
        <v>1104</v>
      </c>
      <c r="AB16" s="21">
        <f>Tabelle3[[#This Row],[WW (€)]]/Tabelle3[[#This Row],[WW (Backer)]]</f>
        <v>194.66576086956522</v>
      </c>
      <c r="AC16" s="3">
        <v>19542</v>
      </c>
      <c r="AD16" s="3">
        <v>150</v>
      </c>
      <c r="AE16" s="21">
        <f>Tabelle3[[#This Row],[DSK R (€)]]/Tabelle3[[#This Row],[DSK R (Backer)]]</f>
        <v>130.28</v>
      </c>
      <c r="AF16" s="3">
        <v>127353</v>
      </c>
      <c r="AG16" s="3">
        <v>596</v>
      </c>
      <c r="AH16" s="21">
        <f>Tabelle3[[#This Row],[Ära (€)]]/Tabelle3[[#This Row],[Ära (Backer)]]</f>
        <v>213.67953020134229</v>
      </c>
      <c r="AI16" s="3">
        <v>55502</v>
      </c>
      <c r="AJ16" s="3">
        <v>753</v>
      </c>
      <c r="AK16" s="21">
        <f>Tabelle3[[#This Row],[Mosaik (€)]]/Tabelle3[[#This Row],[Mosaik (Backer)]]</f>
        <v>73.70783532536521</v>
      </c>
      <c r="AL16" s="174">
        <f>'Übersicht &amp; Anleitung'!AM61</f>
        <v>38542</v>
      </c>
      <c r="AM16" s="174">
        <f>'Übersicht &amp; Anleitung'!AN61</f>
        <v>256</v>
      </c>
      <c r="AN16" s="21">
        <f>Tabelle3[[#This Row],[DSK ES (€)]]/Tabelle3[[#This Row],[DSK ES (Backer)]]</f>
        <v>150.5546875</v>
      </c>
      <c r="AY16" s="576" t="s">
        <v>179</v>
      </c>
      <c r="AZ16" s="6">
        <f>$AL16*$BN16</f>
        <v>55373.971539316728</v>
      </c>
      <c r="BA16" s="6">
        <f>$AM16*$BO16</f>
        <v>366.28030954428203</v>
      </c>
      <c r="BB16" s="22">
        <f t="shared" si="44"/>
        <v>151.1792201120825</v>
      </c>
      <c r="BC16" s="6">
        <f>$AL16*$BP16</f>
        <v>79207.795887409418</v>
      </c>
      <c r="BD16" s="6">
        <f>$AM16*$BQ16</f>
        <v>543.64044943820227</v>
      </c>
      <c r="BE16" s="22">
        <f t="shared" si="45"/>
        <v>145.69886396286867</v>
      </c>
      <c r="BF16" s="3">
        <f t="shared" si="0"/>
        <v>67290.883713363073</v>
      </c>
      <c r="BG16" s="3">
        <f t="shared" si="1"/>
        <v>454.96037949124218</v>
      </c>
      <c r="BH16" s="22">
        <f t="shared" si="46"/>
        <v>147.9049313889945</v>
      </c>
      <c r="BI16" s="3">
        <f>$AL16*$BR16</f>
        <v>68233.117271627489</v>
      </c>
      <c r="BJ16" s="3">
        <f>$AM16*$BS16</f>
        <v>449.26823948109387</v>
      </c>
      <c r="BK16" s="22">
        <f t="shared" si="47"/>
        <v>151.87612048970331</v>
      </c>
      <c r="BM16" s="576" t="s">
        <v>179</v>
      </c>
      <c r="BN16" s="15">
        <f t="shared" si="42"/>
        <v>1.4367176467053273</v>
      </c>
      <c r="BO16" s="15">
        <f t="shared" si="2"/>
        <v>1.4307824591573517</v>
      </c>
      <c r="BP16" s="352">
        <f t="shared" si="43"/>
        <v>2.0551034167248563</v>
      </c>
      <c r="BQ16" s="352">
        <f t="shared" si="3"/>
        <v>2.1235955056179776</v>
      </c>
      <c r="BR16" s="352">
        <f t="shared" si="4"/>
        <v>1.7703574612533728</v>
      </c>
      <c r="BS16" s="352">
        <f t="shared" si="5"/>
        <v>1.7549540604730229</v>
      </c>
      <c r="BT16" s="16">
        <f t="shared" si="6"/>
        <v>1.7965305593176382</v>
      </c>
      <c r="BU16" s="7">
        <f t="shared" si="7"/>
        <v>1.949438202247191</v>
      </c>
      <c r="BV16" s="11">
        <f t="shared" si="8"/>
        <v>2.0551034167248563</v>
      </c>
      <c r="BW16" s="12">
        <f t="shared" si="9"/>
        <v>2.1235955056179776</v>
      </c>
      <c r="BX16" s="11">
        <f t="shared" si="10"/>
        <v>1.7754779812826549</v>
      </c>
      <c r="BY16" s="26">
        <f t="shared" si="11"/>
        <v>1.7046632124352332</v>
      </c>
      <c r="BZ16" s="11">
        <f t="shared" si="12"/>
        <v>1.78965476095776</v>
      </c>
      <c r="CA16" s="26">
        <f t="shared" si="13"/>
        <v>1.7079037800687284</v>
      </c>
      <c r="CB16" s="11">
        <f t="shared" si="14"/>
        <v>1.4367176467053273</v>
      </c>
      <c r="CC16" s="26">
        <f t="shared" si="15"/>
        <v>1.4307824591573517</v>
      </c>
      <c r="CD16" s="11">
        <f t="shared" si="16"/>
        <v>1.8351410284124552</v>
      </c>
      <c r="CE16" s="26">
        <f t="shared" si="17"/>
        <v>1.7732620320855614</v>
      </c>
      <c r="CF16" s="11">
        <f t="shared" si="18"/>
        <v>1.6569771604496313</v>
      </c>
      <c r="CG16" s="26">
        <f t="shared" si="19"/>
        <v>1.6752577319587629</v>
      </c>
      <c r="CH16" s="11">
        <f t="shared" si="20"/>
        <v>1.8069128981116676</v>
      </c>
      <c r="CI16" s="26">
        <f t="shared" si="21"/>
        <v>1.8695652173913044</v>
      </c>
      <c r="CJ16" s="11">
        <f t="shared" si="22"/>
        <v>1.5096249144994904</v>
      </c>
      <c r="CK16" s="26">
        <f t="shared" si="23"/>
        <v>1.5217391304347827</v>
      </c>
      <c r="CL16" s="11">
        <f t="shared" si="24"/>
        <v>1.854876675877597</v>
      </c>
      <c r="CM16" s="26">
        <f t="shared" si="25"/>
        <v>1.7933333333333332</v>
      </c>
      <c r="CN16" s="11">
        <f t="shared" si="26"/>
        <v>1.9569150314480224</v>
      </c>
      <c r="CO16" s="26">
        <f t="shared" si="27"/>
        <v>1.9060402684563758</v>
      </c>
      <c r="CP16" s="11">
        <f t="shared" si="28"/>
        <v>1.5143057907823141</v>
      </c>
      <c r="CQ16" s="26">
        <f t="shared" si="29"/>
        <v>1.5365205843293492</v>
      </c>
      <c r="CR16" s="17"/>
      <c r="CS16" s="19">
        <f t="shared" si="30"/>
        <v>-0.15290764292955283</v>
      </c>
      <c r="CT16" s="27"/>
      <c r="CU16" s="28">
        <f t="shared" si="31"/>
        <v>-6.8492088893121306E-2</v>
      </c>
      <c r="CV16" s="20"/>
      <c r="CW16" s="18">
        <f t="shared" si="32"/>
        <v>7.0814768847421661E-2</v>
      </c>
      <c r="CX16" s="20"/>
      <c r="CY16" s="18">
        <f t="shared" si="33"/>
        <v>8.1750980889031544E-2</v>
      </c>
      <c r="CZ16" s="20"/>
      <c r="DA16" s="18">
        <f t="shared" si="34"/>
        <v>5.9351875479756178E-3</v>
      </c>
      <c r="DB16" s="20"/>
      <c r="DC16" s="18">
        <f t="shared" si="35"/>
        <v>6.1878996326893754E-2</v>
      </c>
      <c r="DD16" s="20"/>
      <c r="DE16" s="18">
        <f t="shared" si="36"/>
        <v>-1.8280571509131649E-2</v>
      </c>
      <c r="DF16" s="20"/>
      <c r="DG16" s="18">
        <f t="shared" si="37"/>
        <v>-6.2652319279636881E-2</v>
      </c>
      <c r="DH16" s="20"/>
      <c r="DI16" s="18">
        <f t="shared" si="38"/>
        <v>-1.2114215935292272E-2</v>
      </c>
      <c r="DJ16" s="20"/>
      <c r="DK16" s="18">
        <f t="shared" si="39"/>
        <v>6.1543342544263746E-2</v>
      </c>
      <c r="DL16" s="20"/>
      <c r="DM16" s="18">
        <f t="shared" si="40"/>
        <v>5.0874762991646616E-2</v>
      </c>
      <c r="DN16" s="20"/>
      <c r="DO16" s="18">
        <f t="shared" si="41"/>
        <v>-2.221479354703515E-2</v>
      </c>
    </row>
    <row r="17" spans="1:120" ht="15.75" hidden="1" outlineLevel="1" thickBot="1" x14ac:dyDescent="0.3">
      <c r="A17" s="515">
        <v>12</v>
      </c>
      <c r="B17" s="3">
        <v>36986</v>
      </c>
      <c r="C17" s="3">
        <v>193</v>
      </c>
      <c r="D17" s="21">
        <f>IFERROR(Tabelle3[[#This Row],[Ned (€)]]/Tabelle3[[#This Row],[Ned (Backer)]],"")</f>
        <v>191.63730569948186</v>
      </c>
      <c r="E17" s="3">
        <v>86154</v>
      </c>
      <c r="F17" s="3">
        <v>371</v>
      </c>
      <c r="G17" s="21">
        <f>Tabelle3[[#This Row],[Werkzeuge (€)]]/Tabelle3[[#This Row],[Werkzeuge (Backer)]]</f>
        <v>232.22102425876011</v>
      </c>
      <c r="H17" s="3">
        <v>71286</v>
      </c>
      <c r="I17" s="3">
        <v>395</v>
      </c>
      <c r="J17" s="21">
        <f>Tabelle3[[#This Row],[DSK Fasar (€)]]/Tabelle3[[#This Row],[DSK Fasar (Backer)]]</f>
        <v>180.47088607594938</v>
      </c>
      <c r="K17" s="3">
        <v>54218</v>
      </c>
      <c r="L17" s="3">
        <v>311</v>
      </c>
      <c r="M17" s="514">
        <f>Tabelle3[[#This Row],[Mythen (€)]]/Tabelle3[[#This Row],[Mythen (Backer)]]</f>
        <v>174.33440514469453</v>
      </c>
      <c r="N17" s="3">
        <v>169780</v>
      </c>
      <c r="O17" s="3">
        <v>1189</v>
      </c>
      <c r="P17" s="21">
        <f>Tabelle3[[#This Row],[SOK (€)]]/Tabelle3[[#This Row],[SOK (Backer)]]</f>
        <v>142.79226240538267</v>
      </c>
      <c r="Q17" s="3">
        <v>221864</v>
      </c>
      <c r="R17" s="3">
        <v>976</v>
      </c>
      <c r="S17" s="21">
        <f>Tabelle3[[#This Row],[RE (€)]]/Tabelle3[[#This Row],[RE (Backer)]]</f>
        <v>227.31967213114754</v>
      </c>
      <c r="T17" s="3">
        <v>143057</v>
      </c>
      <c r="U17" s="3">
        <v>598</v>
      </c>
      <c r="V17" s="21">
        <f>Tabelle3[[#This Row],[DGG (€)]]/Tabelle3[[#This Row],[DGG (Backer)]]</f>
        <v>239.22575250836121</v>
      </c>
      <c r="W17" s="3">
        <v>66094</v>
      </c>
      <c r="X17" s="3">
        <v>361</v>
      </c>
      <c r="Y17" s="21">
        <f>Tabelle3[[#This Row],[DSK SV (€)]]/Tabelle3[[#This Row],[DSK SV (Backer)]]</f>
        <v>183.08587257617728</v>
      </c>
      <c r="Z17" s="3">
        <v>220698</v>
      </c>
      <c r="AA17" s="3">
        <v>1137</v>
      </c>
      <c r="AB17" s="21">
        <f>Tabelle3[[#This Row],[WW (€)]]/Tabelle3[[#This Row],[WW (Backer)]]</f>
        <v>194.10554089709763</v>
      </c>
      <c r="AC17" s="3">
        <v>20594</v>
      </c>
      <c r="AD17" s="3">
        <v>154</v>
      </c>
      <c r="AE17" s="514">
        <f>Tabelle3[[#This Row],[DSK R (€)]]/Tabelle3[[#This Row],[DSK R (Backer)]]</f>
        <v>133.72727272727272</v>
      </c>
      <c r="AF17" s="3">
        <v>134068</v>
      </c>
      <c r="AG17" s="3">
        <v>624</v>
      </c>
      <c r="AH17" s="514">
        <f>Tabelle3[[#This Row],[Ära (€)]]/Tabelle3[[#This Row],[Ära (Backer)]]</f>
        <v>214.85256410256412</v>
      </c>
      <c r="AI17" s="3">
        <v>57013</v>
      </c>
      <c r="AJ17" s="3">
        <v>775</v>
      </c>
      <c r="AK17" s="21">
        <f>Tabelle3[[#This Row],[Mosaik (€)]]/Tabelle3[[#This Row],[Mosaik (Backer)]]</f>
        <v>73.565161290322578</v>
      </c>
      <c r="AL17" s="174">
        <f>'Übersicht &amp; Anleitung'!AM62</f>
        <v>40462</v>
      </c>
      <c r="AM17" s="174">
        <f>'Übersicht &amp; Anleitung'!AN62</f>
        <v>270</v>
      </c>
      <c r="AN17" s="21">
        <f>Tabelle3[[#This Row],[DSK ES (€)]]/Tabelle3[[#This Row],[DSK ES (Backer)]]</f>
        <v>149.85925925925926</v>
      </c>
      <c r="AY17" s="203" t="s">
        <v>180</v>
      </c>
      <c r="AZ17" s="6"/>
      <c r="BA17" s="6"/>
      <c r="BB17" s="22"/>
      <c r="BC17" s="6"/>
      <c r="BD17" s="6"/>
      <c r="BE17" s="22"/>
      <c r="BF17" s="3"/>
      <c r="BG17" s="3"/>
      <c r="BH17" s="22"/>
      <c r="BI17" s="3"/>
      <c r="BJ17" s="3"/>
      <c r="BK17" s="22"/>
      <c r="BM17" s="203" t="s">
        <v>180</v>
      </c>
      <c r="BN17" s="15">
        <f t="shared" si="42"/>
        <v>1.4081576157380138</v>
      </c>
      <c r="BO17" s="15">
        <f t="shared" si="2"/>
        <v>1.3994953742640874</v>
      </c>
      <c r="BP17" s="352">
        <f t="shared" si="43"/>
        <v>1.9813473547368665</v>
      </c>
      <c r="BQ17" s="352">
        <f t="shared" si="3"/>
        <v>2.0377358490566038</v>
      </c>
      <c r="BR17" s="352">
        <f t="shared" si="4"/>
        <v>1.6980643373229187</v>
      </c>
      <c r="BS17" s="352">
        <f t="shared" si="5"/>
        <v>1.6839286890460561</v>
      </c>
      <c r="BT17" s="16">
        <f t="shared" si="6"/>
        <v>1.6856378089006652</v>
      </c>
      <c r="BU17" s="7">
        <f t="shared" si="7"/>
        <v>1.7979274611398963</v>
      </c>
      <c r="BV17" s="11">
        <f t="shared" si="8"/>
        <v>1.9813473547368665</v>
      </c>
      <c r="BW17" s="12">
        <f t="shared" si="9"/>
        <v>2.0377358490566038</v>
      </c>
      <c r="BX17" s="11">
        <f t="shared" si="10"/>
        <v>1.7351794181185647</v>
      </c>
      <c r="BY17" s="26">
        <f t="shared" si="11"/>
        <v>1.6658227848101266</v>
      </c>
      <c r="BZ17" s="11">
        <f t="shared" si="12"/>
        <v>1.6597993286362462</v>
      </c>
      <c r="CA17" s="26">
        <f t="shared" si="13"/>
        <v>1.5980707395498392</v>
      </c>
      <c r="CB17" s="11">
        <f t="shared" si="14"/>
        <v>1.4081576157380138</v>
      </c>
      <c r="CC17" s="26">
        <f t="shared" si="15"/>
        <v>1.3994953742640874</v>
      </c>
      <c r="CD17" s="11">
        <f t="shared" si="16"/>
        <v>1.760118811524177</v>
      </c>
      <c r="CE17" s="26">
        <f t="shared" si="17"/>
        <v>1.6987704918032787</v>
      </c>
      <c r="CF17" s="11">
        <f t="shared" si="18"/>
        <v>1.6177467722656005</v>
      </c>
      <c r="CG17" s="26">
        <f t="shared" si="19"/>
        <v>1.6304347826086956</v>
      </c>
      <c r="CH17" s="11">
        <f t="shared" si="20"/>
        <v>1.7416558235240718</v>
      </c>
      <c r="CI17" s="26">
        <f t="shared" si="21"/>
        <v>1.7867036011080333</v>
      </c>
      <c r="CJ17" s="11">
        <f t="shared" si="22"/>
        <v>1.4700405078432972</v>
      </c>
      <c r="CK17" s="26">
        <f t="shared" si="23"/>
        <v>1.4775725593667546</v>
      </c>
      <c r="CL17" s="11">
        <f t="shared" si="24"/>
        <v>1.7601243080508886</v>
      </c>
      <c r="CM17" s="26">
        <f t="shared" si="25"/>
        <v>1.7467532467532467</v>
      </c>
      <c r="CN17" s="11">
        <f t="shared" si="26"/>
        <v>1.8588999612137125</v>
      </c>
      <c r="CO17" s="26">
        <f t="shared" si="27"/>
        <v>1.8205128205128205</v>
      </c>
      <c r="CP17" s="11">
        <f t="shared" si="28"/>
        <v>1.4741725571360917</v>
      </c>
      <c r="CQ17" s="26">
        <f t="shared" si="29"/>
        <v>1.4929032258064516</v>
      </c>
      <c r="CR17" s="17"/>
      <c r="CS17" s="19">
        <f t="shared" si="30"/>
        <v>-0.11228965223923115</v>
      </c>
      <c r="CT17" s="27"/>
      <c r="CU17" s="28">
        <f t="shared" si="31"/>
        <v>-5.6388494319737248E-2</v>
      </c>
      <c r="CV17" s="20"/>
      <c r="CW17" s="18">
        <f t="shared" si="32"/>
        <v>6.9356633308438109E-2</v>
      </c>
      <c r="CX17" s="20"/>
      <c r="CY17" s="18">
        <f t="shared" si="33"/>
        <v>6.1728589086406993E-2</v>
      </c>
      <c r="CZ17" s="20"/>
      <c r="DA17" s="18">
        <f t="shared" si="34"/>
        <v>8.6622414739263576E-3</v>
      </c>
      <c r="DB17" s="20"/>
      <c r="DC17" s="18">
        <f t="shared" si="35"/>
        <v>6.1348319720898381E-2</v>
      </c>
      <c r="DD17" s="20"/>
      <c r="DE17" s="18">
        <f t="shared" si="36"/>
        <v>-1.268801034309508E-2</v>
      </c>
      <c r="DF17" s="20"/>
      <c r="DG17" s="18">
        <f t="shared" si="37"/>
        <v>-4.5047777583961501E-2</v>
      </c>
      <c r="DH17" s="20"/>
      <c r="DI17" s="18">
        <f t="shared" si="38"/>
        <v>-7.5320515234573726E-3</v>
      </c>
      <c r="DJ17" s="20"/>
      <c r="DK17" s="18">
        <f t="shared" si="39"/>
        <v>1.3371061297641873E-2</v>
      </c>
      <c r="DL17" s="20"/>
      <c r="DM17" s="18">
        <f t="shared" si="40"/>
        <v>3.8387140700891997E-2</v>
      </c>
      <c r="DN17" s="20"/>
      <c r="DO17" s="18">
        <f t="shared" si="41"/>
        <v>-1.8730668670359885E-2</v>
      </c>
    </row>
    <row r="18" spans="1:120" ht="15.75" hidden="1" outlineLevel="1" thickBot="1" x14ac:dyDescent="0.3">
      <c r="A18" s="515">
        <v>13</v>
      </c>
      <c r="B18" s="3">
        <v>37704</v>
      </c>
      <c r="C18" s="3">
        <v>197</v>
      </c>
      <c r="D18" s="21">
        <f>IFERROR(Tabelle3[[#This Row],[Ned (€)]]/Tabelle3[[#This Row],[Ned (Backer)]],"")</f>
        <v>191.39086294416245</v>
      </c>
      <c r="E18" s="3">
        <v>89062</v>
      </c>
      <c r="F18" s="3">
        <v>386</v>
      </c>
      <c r="G18" s="21">
        <f>Tabelle3[[#This Row],[Werkzeuge (€)]]/Tabelle3[[#This Row],[Werkzeuge (Backer)]]</f>
        <v>230.73056994818654</v>
      </c>
      <c r="H18" s="3">
        <v>74079</v>
      </c>
      <c r="I18" s="3">
        <v>410</v>
      </c>
      <c r="J18" s="21">
        <f>Tabelle3[[#This Row],[DSK Fasar (€)]]/Tabelle3[[#This Row],[DSK Fasar (Backer)]]</f>
        <v>180.68048780487806</v>
      </c>
      <c r="K18" s="3">
        <v>55585</v>
      </c>
      <c r="L18" s="3">
        <v>319</v>
      </c>
      <c r="M18" s="21">
        <f>Tabelle3[[#This Row],[Mythen (€)]]/Tabelle3[[#This Row],[Mythen (Backer)]]</f>
        <v>174.24764890282131</v>
      </c>
      <c r="N18" s="3">
        <v>172436</v>
      </c>
      <c r="O18" s="3">
        <v>1205</v>
      </c>
      <c r="P18" s="514">
        <f>Tabelle3[[#This Row],[SOK (€)]]/Tabelle3[[#This Row],[SOK (Backer)]]</f>
        <v>143.10041493775933</v>
      </c>
      <c r="Q18" s="3">
        <v>229701</v>
      </c>
      <c r="R18" s="3">
        <v>1011</v>
      </c>
      <c r="S18" s="21">
        <f>Tabelle3[[#This Row],[RE (€)]]/Tabelle3[[#This Row],[RE (Backer)]]</f>
        <v>227.20178041543028</v>
      </c>
      <c r="T18" s="3">
        <v>149744</v>
      </c>
      <c r="U18" s="3">
        <v>624</v>
      </c>
      <c r="V18" s="21">
        <f>Tabelle3[[#This Row],[DGG (€)]]/Tabelle3[[#This Row],[DGG (Backer)]]</f>
        <v>239.97435897435898</v>
      </c>
      <c r="W18" s="3">
        <v>68288</v>
      </c>
      <c r="X18" s="3">
        <v>375</v>
      </c>
      <c r="Y18" s="21">
        <f>Tabelle3[[#This Row],[DSK SV (€)]]/Tabelle3[[#This Row],[DSK SV (Backer)]]</f>
        <v>182.10133333333334</v>
      </c>
      <c r="Z18" s="3">
        <v>224732</v>
      </c>
      <c r="AA18" s="3">
        <v>1159</v>
      </c>
      <c r="AB18" s="21">
        <f>Tabelle3[[#This Row],[WW (€)]]/Tabelle3[[#This Row],[WW (Backer)]]</f>
        <v>193.90163934426229</v>
      </c>
      <c r="AC18" s="3">
        <v>20809</v>
      </c>
      <c r="AD18" s="3">
        <v>155</v>
      </c>
      <c r="AE18" s="21">
        <f>Tabelle3[[#This Row],[DSK R (€)]]/Tabelle3[[#This Row],[DSK R (Backer)]]</f>
        <v>134.2516129032258</v>
      </c>
      <c r="AF18" s="3">
        <v>139930</v>
      </c>
      <c r="AG18" s="3">
        <v>656</v>
      </c>
      <c r="AH18" s="21">
        <f>Tabelle3[[#This Row],[Ära (€)]]/Tabelle3[[#This Row],[Ära (Backer)]]</f>
        <v>213.3079268292683</v>
      </c>
      <c r="AI18" s="3">
        <v>57853</v>
      </c>
      <c r="AJ18" s="3">
        <v>789</v>
      </c>
      <c r="AK18" s="21">
        <f>Tabelle3[[#This Row],[Mosaik (€)]]/Tabelle3[[#This Row],[Mosaik (Backer)]]</f>
        <v>73.324461343472748</v>
      </c>
      <c r="AL18" s="174">
        <f>'Übersicht &amp; Anleitung'!AM63</f>
        <v>42073</v>
      </c>
      <c r="AM18" s="174">
        <f>'Übersicht &amp; Anleitung'!AN63</f>
        <v>282</v>
      </c>
      <c r="AN18" s="21">
        <f>Tabelle3[[#This Row],[DSK ES (€)]]/Tabelle3[[#This Row],[DSK ES (Backer)]]</f>
        <v>149.1950354609929</v>
      </c>
      <c r="AY18" s="203" t="s">
        <v>181</v>
      </c>
      <c r="AZ18" s="6"/>
      <c r="BA18" s="6"/>
      <c r="BB18" s="22"/>
      <c r="BC18" s="6"/>
      <c r="BD18" s="6"/>
      <c r="BE18" s="22"/>
      <c r="BF18" s="3"/>
      <c r="BG18" s="3"/>
      <c r="BH18" s="22"/>
      <c r="BI18" s="3"/>
      <c r="BJ18" s="3"/>
      <c r="BK18" s="22"/>
      <c r="BM18" s="203" t="s">
        <v>181</v>
      </c>
      <c r="BN18" s="15">
        <f t="shared" si="42"/>
        <v>1.3864680229186481</v>
      </c>
      <c r="BO18" s="15">
        <f t="shared" si="2"/>
        <v>1.3809128630705394</v>
      </c>
      <c r="BP18" s="352">
        <f t="shared" si="43"/>
        <v>1.916653567177921</v>
      </c>
      <c r="BQ18" s="352">
        <f t="shared" si="3"/>
        <v>1.9585492227979275</v>
      </c>
      <c r="BR18" s="352">
        <f t="shared" si="4"/>
        <v>1.6493895467940809</v>
      </c>
      <c r="BS18" s="352">
        <f t="shared" si="5"/>
        <v>1.6371224944010538</v>
      </c>
      <c r="BT18" s="16">
        <f t="shared" si="6"/>
        <v>1.6535380861447062</v>
      </c>
      <c r="BU18" s="7">
        <f t="shared" si="7"/>
        <v>1.7614213197969544</v>
      </c>
      <c r="BV18" s="11">
        <f t="shared" si="8"/>
        <v>1.916653567177921</v>
      </c>
      <c r="BW18" s="12">
        <f t="shared" si="9"/>
        <v>1.9585492227979275</v>
      </c>
      <c r="BX18" s="11">
        <f t="shared" si="10"/>
        <v>1.6697579610955871</v>
      </c>
      <c r="BY18" s="26">
        <f t="shared" si="11"/>
        <v>1.6048780487804879</v>
      </c>
      <c r="BZ18" s="11">
        <f t="shared" si="12"/>
        <v>1.6189799406314653</v>
      </c>
      <c r="CA18" s="26">
        <f t="shared" si="13"/>
        <v>1.5579937304075235</v>
      </c>
      <c r="CB18" s="11">
        <f t="shared" si="14"/>
        <v>1.3864680229186481</v>
      </c>
      <c r="CC18" s="26">
        <f t="shared" si="15"/>
        <v>1.3809128630705394</v>
      </c>
      <c r="CD18" s="11">
        <f t="shared" si="16"/>
        <v>1.7000666083299594</v>
      </c>
      <c r="CE18" s="26">
        <f t="shared" si="17"/>
        <v>1.6399604352126607</v>
      </c>
      <c r="CF18" s="11">
        <f t="shared" si="18"/>
        <v>1.5455043273854043</v>
      </c>
      <c r="CG18" s="26">
        <f t="shared" si="19"/>
        <v>1.5625</v>
      </c>
      <c r="CH18" s="11">
        <f t="shared" si="20"/>
        <v>1.6856988050609185</v>
      </c>
      <c r="CI18" s="26">
        <f t="shared" si="21"/>
        <v>1.72</v>
      </c>
      <c r="CJ18" s="11">
        <f t="shared" si="22"/>
        <v>1.4436528843244398</v>
      </c>
      <c r="CK18" s="26">
        <f t="shared" si="23"/>
        <v>1.4495254529767041</v>
      </c>
      <c r="CL18" s="11">
        <f t="shared" si="24"/>
        <v>1.7419385842664232</v>
      </c>
      <c r="CM18" s="26">
        <f t="shared" si="25"/>
        <v>1.735483870967742</v>
      </c>
      <c r="CN18" s="11">
        <f t="shared" si="26"/>
        <v>1.781026227399414</v>
      </c>
      <c r="CO18" s="26">
        <f t="shared" si="27"/>
        <v>1.7317073170731707</v>
      </c>
      <c r="CP18" s="11">
        <f t="shared" si="28"/>
        <v>1.4527682229097887</v>
      </c>
      <c r="CQ18" s="26">
        <f t="shared" si="29"/>
        <v>1.4664131812420786</v>
      </c>
      <c r="CR18" s="17"/>
      <c r="CS18" s="19">
        <f t="shared" si="30"/>
        <v>-0.10788323365224817</v>
      </c>
      <c r="CT18" s="27"/>
      <c r="CU18" s="28">
        <f t="shared" si="31"/>
        <v>-4.1895655620006522E-2</v>
      </c>
      <c r="CV18" s="20"/>
      <c r="CW18" s="18">
        <f t="shared" si="32"/>
        <v>6.4879912315099153E-2</v>
      </c>
      <c r="CX18" s="20"/>
      <c r="CY18" s="18">
        <f t="shared" si="33"/>
        <v>6.0986210223941795E-2</v>
      </c>
      <c r="CZ18" s="20"/>
      <c r="DA18" s="18">
        <f t="shared" si="34"/>
        <v>5.5551598481087261E-3</v>
      </c>
      <c r="DB18" s="20"/>
      <c r="DC18" s="18">
        <f t="shared" si="35"/>
        <v>6.0106173117298711E-2</v>
      </c>
      <c r="DD18" s="20"/>
      <c r="DE18" s="18">
        <f t="shared" si="36"/>
        <v>-1.6995672614595669E-2</v>
      </c>
      <c r="DF18" s="20"/>
      <c r="DG18" s="18">
        <f t="shared" si="37"/>
        <v>-3.4301194939081459E-2</v>
      </c>
      <c r="DH18" s="20"/>
      <c r="DI18" s="18">
        <f t="shared" si="38"/>
        <v>-5.8725686522642651E-3</v>
      </c>
      <c r="DJ18" s="20"/>
      <c r="DK18" s="18">
        <f t="shared" si="39"/>
        <v>6.4547132986811917E-3</v>
      </c>
      <c r="DL18" s="20"/>
      <c r="DM18" s="18">
        <f t="shared" si="40"/>
        <v>4.9318910326243248E-2</v>
      </c>
      <c r="DN18" s="20"/>
      <c r="DO18" s="18">
        <f t="shared" si="41"/>
        <v>-1.3644958332289958E-2</v>
      </c>
    </row>
    <row r="19" spans="1:120" ht="15.75" hidden="1" outlineLevel="1" thickBot="1" x14ac:dyDescent="0.3">
      <c r="A19" s="515">
        <v>14</v>
      </c>
      <c r="B19" s="3">
        <v>38541</v>
      </c>
      <c r="C19" s="3">
        <v>205</v>
      </c>
      <c r="D19" s="21">
        <f>IFERROR(Tabelle3[[#This Row],[Ned (€)]]/Tabelle3[[#This Row],[Ned (Backer)]],"")</f>
        <v>188.00487804878048</v>
      </c>
      <c r="E19" s="3">
        <v>93109</v>
      </c>
      <c r="F19" s="3">
        <v>403</v>
      </c>
      <c r="G19" s="21">
        <f>Tabelle3[[#This Row],[Werkzeuge (€)]]/Tabelle3[[#This Row],[Werkzeuge (Backer)]]</f>
        <v>231.03970223325061</v>
      </c>
      <c r="H19" s="3">
        <v>75411</v>
      </c>
      <c r="I19" s="3">
        <v>417</v>
      </c>
      <c r="J19" s="21">
        <f>Tabelle3[[#This Row],[DSK Fasar (€)]]/Tabelle3[[#This Row],[DSK Fasar (Backer)]]</f>
        <v>180.84172661870502</v>
      </c>
      <c r="K19" s="3">
        <v>57658</v>
      </c>
      <c r="L19" s="3">
        <v>330</v>
      </c>
      <c r="M19" s="21">
        <f>Tabelle3[[#This Row],[Mythen (€)]]/Tabelle3[[#This Row],[Mythen (Backer)]]</f>
        <v>174.72121212121212</v>
      </c>
      <c r="N19" s="3">
        <v>176629</v>
      </c>
      <c r="O19" s="3">
        <v>1232</v>
      </c>
      <c r="P19" s="21">
        <f>Tabelle3[[#This Row],[SOK (€)]]/Tabelle3[[#This Row],[SOK (Backer)]]</f>
        <v>143.36769480519482</v>
      </c>
      <c r="Q19" s="3">
        <v>240791</v>
      </c>
      <c r="R19" s="3">
        <v>1060</v>
      </c>
      <c r="S19" s="21">
        <f>Tabelle3[[#This Row],[RE (€)]]/Tabelle3[[#This Row],[RE (Backer)]]</f>
        <v>227.16132075471697</v>
      </c>
      <c r="T19" s="3">
        <v>155980</v>
      </c>
      <c r="U19" s="3">
        <v>650</v>
      </c>
      <c r="V19" s="21">
        <f>Tabelle3[[#This Row],[DGG (€)]]/Tabelle3[[#This Row],[DGG (Backer)]]</f>
        <v>239.96923076923076</v>
      </c>
      <c r="W19" s="3">
        <v>71648</v>
      </c>
      <c r="X19" s="3">
        <v>395</v>
      </c>
      <c r="Y19" s="21">
        <f>Tabelle3[[#This Row],[DSK SV (€)]]/Tabelle3[[#This Row],[DSK SV (Backer)]]</f>
        <v>181.3873417721519</v>
      </c>
      <c r="Z19" s="3">
        <v>232641</v>
      </c>
      <c r="AA19" s="3">
        <v>1207</v>
      </c>
      <c r="AB19" s="21">
        <f>Tabelle3[[#This Row],[WW (€)]]/Tabelle3[[#This Row],[WW (Backer)]]</f>
        <v>192.74316487158242</v>
      </c>
      <c r="AC19" s="3">
        <v>21426</v>
      </c>
      <c r="AD19" s="3">
        <v>159</v>
      </c>
      <c r="AE19" s="21">
        <f>Tabelle3[[#This Row],[DSK R (€)]]/Tabelle3[[#This Row],[DSK R (Backer)]]</f>
        <v>134.75471698113208</v>
      </c>
      <c r="AF19" s="3">
        <v>148846</v>
      </c>
      <c r="AG19" s="3">
        <v>696</v>
      </c>
      <c r="AH19" s="21">
        <f>Tabelle3[[#This Row],[Ära (€)]]/Tabelle3[[#This Row],[Ära (Backer)]]</f>
        <v>213.85919540229884</v>
      </c>
      <c r="AI19" s="3">
        <v>59064</v>
      </c>
      <c r="AJ19" s="3">
        <v>806</v>
      </c>
      <c r="AK19" s="21">
        <f>Tabelle3[[#This Row],[Mosaik (€)]]/Tabelle3[[#This Row],[Mosaik (Backer)]]</f>
        <v>73.280397022332508</v>
      </c>
      <c r="AL19" s="174">
        <f>'Übersicht &amp; Anleitung'!AM64</f>
        <v>43611</v>
      </c>
      <c r="AM19" s="174">
        <f>'Übersicht &amp; Anleitung'!AN64</f>
        <v>294</v>
      </c>
      <c r="AN19" s="21">
        <f>Tabelle3[[#This Row],[DSK ES (€)]]/Tabelle3[[#This Row],[DSK ES (Backer)]]</f>
        <v>148.33673469387756</v>
      </c>
      <c r="AY19" s="203" t="s">
        <v>182</v>
      </c>
      <c r="AZ19" s="6"/>
      <c r="BA19" s="6"/>
      <c r="BB19" s="22"/>
      <c r="BC19" s="6"/>
      <c r="BD19" s="6"/>
      <c r="BE19" s="22"/>
      <c r="BF19" s="3"/>
      <c r="BG19" s="3"/>
      <c r="BH19" s="22"/>
      <c r="BI19" s="3"/>
      <c r="BJ19" s="3"/>
      <c r="BK19" s="22"/>
      <c r="BM19" s="203" t="s">
        <v>182</v>
      </c>
      <c r="BN19" s="15">
        <f t="shared" si="42"/>
        <v>1.3535546257975757</v>
      </c>
      <c r="BO19" s="15">
        <f t="shared" si="2"/>
        <v>1.3506493506493507</v>
      </c>
      <c r="BP19" s="352">
        <f t="shared" si="43"/>
        <v>1.8333458634503645</v>
      </c>
      <c r="BQ19" s="352">
        <f t="shared" si="3"/>
        <v>1.8759305210918114</v>
      </c>
      <c r="BR19" s="352">
        <f t="shared" si="4"/>
        <v>1.5889441986768815</v>
      </c>
      <c r="BS19" s="352">
        <f t="shared" si="5"/>
        <v>1.5784027985623839</v>
      </c>
      <c r="BT19" s="16">
        <f t="shared" si="6"/>
        <v>1.6176279805920968</v>
      </c>
      <c r="BU19" s="7">
        <f t="shared" si="7"/>
        <v>1.6926829268292682</v>
      </c>
      <c r="BV19" s="11">
        <f t="shared" si="8"/>
        <v>1.8333458634503645</v>
      </c>
      <c r="BW19" s="12">
        <f t="shared" si="9"/>
        <v>1.8759305210918114</v>
      </c>
      <c r="BX19" s="11">
        <f t="shared" si="10"/>
        <v>1.6402646828711991</v>
      </c>
      <c r="BY19" s="26">
        <f t="shared" si="11"/>
        <v>1.5779376498800959</v>
      </c>
      <c r="BZ19" s="11">
        <f t="shared" si="12"/>
        <v>1.5607721391654237</v>
      </c>
      <c r="CA19" s="26">
        <f t="shared" si="13"/>
        <v>1.5060606060606061</v>
      </c>
      <c r="CB19" s="11">
        <f t="shared" si="14"/>
        <v>1.3535546257975757</v>
      </c>
      <c r="CC19" s="26">
        <f t="shared" si="15"/>
        <v>1.3506493506493507</v>
      </c>
      <c r="CD19" s="11">
        <f t="shared" si="16"/>
        <v>1.6217674248622249</v>
      </c>
      <c r="CE19" s="26">
        <f t="shared" si="17"/>
        <v>1.5641509433962264</v>
      </c>
      <c r="CF19" s="11">
        <f t="shared" si="18"/>
        <v>1.4837158610078216</v>
      </c>
      <c r="CG19" s="26">
        <f t="shared" si="19"/>
        <v>1.5</v>
      </c>
      <c r="CH19" s="11">
        <f t="shared" si="20"/>
        <v>1.6066463823135329</v>
      </c>
      <c r="CI19" s="26">
        <f t="shared" si="21"/>
        <v>1.6329113924050633</v>
      </c>
      <c r="CJ19" s="11">
        <f t="shared" si="22"/>
        <v>1.3945736134215378</v>
      </c>
      <c r="CK19" s="26">
        <f t="shared" si="23"/>
        <v>1.391880695940348</v>
      </c>
      <c r="CL19" s="11">
        <f t="shared" si="24"/>
        <v>1.6917763464949127</v>
      </c>
      <c r="CM19" s="26">
        <f t="shared" si="25"/>
        <v>1.6918238993710693</v>
      </c>
      <c r="CN19" s="11">
        <f t="shared" si="26"/>
        <v>1.6743412654690082</v>
      </c>
      <c r="CO19" s="26">
        <f t="shared" si="27"/>
        <v>1.632183908045977</v>
      </c>
      <c r="CP19" s="11">
        <f t="shared" si="28"/>
        <v>1.4229818501963971</v>
      </c>
      <c r="CQ19" s="26">
        <f t="shared" si="29"/>
        <v>1.435483870967742</v>
      </c>
      <c r="CR19" s="17"/>
      <c r="CS19" s="19">
        <f t="shared" si="30"/>
        <v>-7.505494623717146E-2</v>
      </c>
      <c r="CT19" s="27"/>
      <c r="CU19" s="28">
        <f t="shared" si="31"/>
        <v>-4.258465764144681E-2</v>
      </c>
      <c r="CV19" s="20"/>
      <c r="CW19" s="18">
        <f t="shared" si="32"/>
        <v>6.2327032991103204E-2</v>
      </c>
      <c r="CX19" s="20"/>
      <c r="CY19" s="18">
        <f t="shared" si="33"/>
        <v>5.4711533104817578E-2</v>
      </c>
      <c r="CZ19" s="20"/>
      <c r="DA19" s="18">
        <f t="shared" si="34"/>
        <v>2.9052751482250283E-3</v>
      </c>
      <c r="DB19" s="20"/>
      <c r="DC19" s="18">
        <f t="shared" si="35"/>
        <v>5.7616481465998515E-2</v>
      </c>
      <c r="DD19" s="20"/>
      <c r="DE19" s="18">
        <f t="shared" si="36"/>
        <v>-1.6284138992178399E-2</v>
      </c>
      <c r="DF19" s="20"/>
      <c r="DG19" s="18">
        <f t="shared" si="37"/>
        <v>-2.6265010091530483E-2</v>
      </c>
      <c r="DH19" s="20"/>
      <c r="DI19" s="18">
        <f t="shared" si="38"/>
        <v>2.6929174811898271E-3</v>
      </c>
      <c r="DJ19" s="20"/>
      <c r="DK19" s="18">
        <f t="shared" si="39"/>
        <v>-4.7552876156542467E-5</v>
      </c>
      <c r="DL19" s="20"/>
      <c r="DM19" s="18">
        <f t="shared" si="40"/>
        <v>4.2157357423031172E-2</v>
      </c>
      <c r="DN19" s="20"/>
      <c r="DO19" s="18">
        <f t="shared" si="41"/>
        <v>-1.2502020771344879E-2</v>
      </c>
    </row>
    <row r="20" spans="1:120" ht="15.75" hidden="1" outlineLevel="1" thickBot="1" x14ac:dyDescent="0.3">
      <c r="A20" s="515">
        <v>15</v>
      </c>
      <c r="B20" s="3">
        <v>40401</v>
      </c>
      <c r="C20" s="3">
        <v>214</v>
      </c>
      <c r="D20" s="21">
        <f>IFERROR(Tabelle3[[#This Row],[Ned (€)]]/Tabelle3[[#This Row],[Ned (Backer)]],"")</f>
        <v>188.78971962616822</v>
      </c>
      <c r="E20" s="3">
        <v>97466</v>
      </c>
      <c r="F20" s="3">
        <v>422</v>
      </c>
      <c r="G20" s="21">
        <f>Tabelle3[[#This Row],[Werkzeuge (€)]]/Tabelle3[[#This Row],[Werkzeuge (Backer)]]</f>
        <v>230.96208530805688</v>
      </c>
      <c r="H20" s="3">
        <v>77016</v>
      </c>
      <c r="I20" s="3">
        <v>427</v>
      </c>
      <c r="J20" s="21">
        <f>Tabelle3[[#This Row],[DSK Fasar (€)]]/Tabelle3[[#This Row],[DSK Fasar (Backer)]]</f>
        <v>180.36533957845432</v>
      </c>
      <c r="K20" s="3">
        <v>59154</v>
      </c>
      <c r="L20" s="3">
        <v>337</v>
      </c>
      <c r="M20" s="21">
        <f>Tabelle3[[#This Row],[Mythen (€)]]/Tabelle3[[#This Row],[Mythen (Backer)]]</f>
        <v>175.53115727002967</v>
      </c>
      <c r="N20" s="3">
        <v>188273</v>
      </c>
      <c r="O20" s="3">
        <v>1313</v>
      </c>
      <c r="P20" s="21">
        <f>Tabelle3[[#This Row],[SOK (€)]]/Tabelle3[[#This Row],[SOK (Backer)]]</f>
        <v>143.39146991622241</v>
      </c>
      <c r="Q20" s="3">
        <v>249000</v>
      </c>
      <c r="R20" s="3">
        <v>1096</v>
      </c>
      <c r="S20" s="21">
        <f>Tabelle3[[#This Row],[RE (€)]]/Tabelle3[[#This Row],[RE (Backer)]]</f>
        <v>227.1897810218978</v>
      </c>
      <c r="T20" s="3">
        <v>165152</v>
      </c>
      <c r="U20" s="3">
        <v>690</v>
      </c>
      <c r="V20" s="21">
        <f>Tabelle3[[#This Row],[DGG (€)]]/Tabelle3[[#This Row],[DGG (Backer)]]</f>
        <v>239.35072463768117</v>
      </c>
      <c r="W20" s="3">
        <v>75191</v>
      </c>
      <c r="X20" s="3">
        <v>415</v>
      </c>
      <c r="Y20" s="21">
        <f>Tabelle3[[#This Row],[DSK SV (€)]]/Tabelle3[[#This Row],[DSK SV (Backer)]]</f>
        <v>181.18313253012047</v>
      </c>
      <c r="Z20" s="3">
        <v>242719</v>
      </c>
      <c r="AA20" s="3">
        <v>1257</v>
      </c>
      <c r="AB20" s="514">
        <f>Tabelle3[[#This Row],[WW (€)]]/Tabelle3[[#This Row],[WW (Backer)]]</f>
        <v>193.09387430389816</v>
      </c>
      <c r="AC20" s="3">
        <v>22523</v>
      </c>
      <c r="AD20" s="3">
        <v>164</v>
      </c>
      <c r="AE20" s="21">
        <f>Tabelle3[[#This Row],[DSK R (€)]]/Tabelle3[[#This Row],[DSK R (Backer)]]</f>
        <v>137.33536585365854</v>
      </c>
      <c r="AF20" s="3">
        <v>159815</v>
      </c>
      <c r="AG20" s="3">
        <v>727</v>
      </c>
      <c r="AH20" s="514">
        <f>Tabelle3[[#This Row],[Ära (€)]]/Tabelle3[[#This Row],[Ära (Backer)]]</f>
        <v>219.82806052269601</v>
      </c>
      <c r="AI20" s="3">
        <v>60362</v>
      </c>
      <c r="AJ20" s="3">
        <v>825</v>
      </c>
      <c r="AK20" s="21">
        <f>Tabelle3[[#This Row],[Mosaik (€)]]/Tabelle3[[#This Row],[Mosaik (Backer)]]</f>
        <v>73.166060606060611</v>
      </c>
      <c r="AL20" s="174">
        <f>'Übersicht &amp; Anleitung'!AM65</f>
        <v>45951</v>
      </c>
      <c r="AM20" s="174">
        <f>'Übersicht &amp; Anleitung'!AN65</f>
        <v>308</v>
      </c>
      <c r="AN20" s="21">
        <f>Tabelle3[[#This Row],[DSK ES (€)]]/Tabelle3[[#This Row],[DSK ES (Backer)]]</f>
        <v>149.19155844155844</v>
      </c>
      <c r="AX20" s="203"/>
      <c r="AY20" s="203" t="s">
        <v>183</v>
      </c>
      <c r="AZ20" s="6"/>
      <c r="BA20" s="6"/>
      <c r="BB20" s="22"/>
      <c r="BC20" s="6"/>
      <c r="BD20" s="6"/>
      <c r="BE20" s="22"/>
      <c r="BF20" s="3"/>
      <c r="BG20" s="3"/>
      <c r="BH20" s="22"/>
      <c r="BI20" s="3"/>
      <c r="BJ20" s="3"/>
      <c r="BK20" s="22"/>
      <c r="BL20" s="203"/>
      <c r="BM20" s="203" t="s">
        <v>183</v>
      </c>
      <c r="BN20" s="15">
        <f t="shared" si="42"/>
        <v>1.2698421972348664</v>
      </c>
      <c r="BO20" s="15">
        <f t="shared" si="2"/>
        <v>1.2673267326732673</v>
      </c>
      <c r="BP20" s="352">
        <f t="shared" si="43"/>
        <v>1.751390228387335</v>
      </c>
      <c r="BQ20" s="352">
        <f t="shared" si="3"/>
        <v>1.7914691943127963</v>
      </c>
      <c r="BR20" s="352">
        <f t="shared" si="4"/>
        <v>1.5179813737228451</v>
      </c>
      <c r="BS20" s="352">
        <f t="shared" si="5"/>
        <v>1.5152845792641463</v>
      </c>
      <c r="BT20" s="16">
        <f t="shared" si="6"/>
        <v>1.5431548724041484</v>
      </c>
      <c r="BU20" s="7">
        <f t="shared" si="7"/>
        <v>1.6214953271028036</v>
      </c>
      <c r="BV20" s="11">
        <f t="shared" si="8"/>
        <v>1.751390228387335</v>
      </c>
      <c r="BW20" s="12">
        <f t="shared" si="9"/>
        <v>1.7914691943127963</v>
      </c>
      <c r="BX20" s="11">
        <f t="shared" si="10"/>
        <v>1.6060818531214294</v>
      </c>
      <c r="BY20" s="26">
        <f t="shared" si="11"/>
        <v>1.540983606557377</v>
      </c>
      <c r="BZ20" s="11">
        <f t="shared" si="12"/>
        <v>1.5213003347195455</v>
      </c>
      <c r="CA20" s="26">
        <f t="shared" si="13"/>
        <v>1.4747774480712166</v>
      </c>
      <c r="CB20" s="11">
        <f t="shared" si="14"/>
        <v>1.2698421972348664</v>
      </c>
      <c r="CC20" s="26">
        <f t="shared" si="15"/>
        <v>1.2673267326732673</v>
      </c>
      <c r="CD20" s="11">
        <f t="shared" si="16"/>
        <v>1.568301204819277</v>
      </c>
      <c r="CE20" s="26">
        <f t="shared" si="17"/>
        <v>1.5127737226277371</v>
      </c>
      <c r="CF20" s="11">
        <f t="shared" si="18"/>
        <v>1.4013151521023057</v>
      </c>
      <c r="CG20" s="26">
        <f t="shared" si="19"/>
        <v>1.4130434782608696</v>
      </c>
      <c r="CH20" s="11">
        <f t="shared" si="20"/>
        <v>1.5309412030695162</v>
      </c>
      <c r="CI20" s="26">
        <f t="shared" si="21"/>
        <v>1.5542168674698795</v>
      </c>
      <c r="CJ20" s="11">
        <f t="shared" si="22"/>
        <v>1.3366691523943326</v>
      </c>
      <c r="CK20" s="26">
        <f t="shared" si="23"/>
        <v>1.3365155131264916</v>
      </c>
      <c r="CL20" s="11">
        <f t="shared" si="24"/>
        <v>1.6093770812058785</v>
      </c>
      <c r="CM20" s="26">
        <f t="shared" si="25"/>
        <v>1.6402439024390243</v>
      </c>
      <c r="CN20" s="11">
        <f t="shared" si="26"/>
        <v>1.5594218314926633</v>
      </c>
      <c r="CO20" s="26">
        <f t="shared" si="27"/>
        <v>1.5625859697386519</v>
      </c>
      <c r="CP20" s="11">
        <f t="shared" si="28"/>
        <v>1.3923826248301912</v>
      </c>
      <c r="CQ20" s="26">
        <f t="shared" si="29"/>
        <v>1.4024242424242424</v>
      </c>
      <c r="CR20" s="17"/>
      <c r="CS20" s="19">
        <f t="shared" si="30"/>
        <v>-7.8340454698655249E-2</v>
      </c>
      <c r="CT20" s="27"/>
      <c r="CU20" s="28">
        <f t="shared" si="31"/>
        <v>-4.007896592546123E-2</v>
      </c>
      <c r="CV20" s="20"/>
      <c r="CW20" s="18">
        <f t="shared" si="32"/>
        <v>6.5098246564052387E-2</v>
      </c>
      <c r="CX20" s="20"/>
      <c r="CY20" s="18">
        <f t="shared" si="33"/>
        <v>4.6522886648328932E-2</v>
      </c>
      <c r="CZ20" s="20"/>
      <c r="DA20" s="18">
        <f t="shared" si="34"/>
        <v>2.5154645615990123E-3</v>
      </c>
      <c r="DB20" s="20"/>
      <c r="DC20" s="18">
        <f t="shared" si="35"/>
        <v>5.5527482191539912E-2</v>
      </c>
      <c r="DD20" s="20"/>
      <c r="DE20" s="18">
        <f t="shared" si="36"/>
        <v>-1.1728326158563895E-2</v>
      </c>
      <c r="DF20" s="20"/>
      <c r="DG20" s="18">
        <f t="shared" si="37"/>
        <v>-2.3275664400363327E-2</v>
      </c>
      <c r="DH20" s="20"/>
      <c r="DI20" s="18">
        <f t="shared" si="38"/>
        <v>1.5363926784095483E-4</v>
      </c>
      <c r="DJ20" s="20"/>
      <c r="DK20" s="18">
        <f t="shared" si="39"/>
        <v>-3.0866821233145769E-2</v>
      </c>
      <c r="DL20" s="20"/>
      <c r="DM20" s="18">
        <f t="shared" si="40"/>
        <v>-3.1641382459886014E-3</v>
      </c>
      <c r="DN20" s="20"/>
      <c r="DO20" s="18">
        <f t="shared" si="41"/>
        <v>-1.00416175940512E-2</v>
      </c>
    </row>
    <row r="21" spans="1:120" ht="15.75" hidden="1" outlineLevel="1" thickBot="1" x14ac:dyDescent="0.3">
      <c r="A21" s="515">
        <v>16</v>
      </c>
      <c r="B21" s="3">
        <v>42277</v>
      </c>
      <c r="C21" s="3">
        <v>224</v>
      </c>
      <c r="D21" s="21">
        <f>IFERROR(Tabelle3[[#This Row],[Ned (€)]]/Tabelle3[[#This Row],[Ned (Backer)]],"")</f>
        <v>188.73660714285714</v>
      </c>
      <c r="E21" s="3">
        <v>103452</v>
      </c>
      <c r="F21" s="3">
        <v>445</v>
      </c>
      <c r="G21" s="514">
        <f>Tabelle3[[#This Row],[Werkzeuge (€)]]/Tabelle3[[#This Row],[Werkzeuge (Backer)]]</f>
        <v>232.47640449438202</v>
      </c>
      <c r="H21" s="3">
        <v>80049</v>
      </c>
      <c r="I21" s="3">
        <v>444</v>
      </c>
      <c r="J21" s="21">
        <f>Tabelle3[[#This Row],[DSK Fasar (€)]]/Tabelle3[[#This Row],[DSK Fasar (Backer)]]</f>
        <v>180.29054054054055</v>
      </c>
      <c r="K21" s="3">
        <v>61842</v>
      </c>
      <c r="L21" s="3">
        <v>349</v>
      </c>
      <c r="M21" s="21">
        <f>Tabelle3[[#This Row],[Mythen (€)]]/Tabelle3[[#This Row],[Mythen (Backer)]]</f>
        <v>177.19770773638967</v>
      </c>
      <c r="N21" s="3">
        <v>193264</v>
      </c>
      <c r="O21" s="3">
        <v>1350</v>
      </c>
      <c r="P21" s="21">
        <f>Tabelle3[[#This Row],[SOK (€)]]/Tabelle3[[#This Row],[SOK (Backer)]]</f>
        <v>143.15851851851852</v>
      </c>
      <c r="Q21" s="3">
        <v>257666</v>
      </c>
      <c r="R21" s="3">
        <v>1134</v>
      </c>
      <c r="S21" s="21">
        <f>Tabelle3[[#This Row],[RE (€)]]/Tabelle3[[#This Row],[RE (Backer)]]</f>
        <v>227.21869488536154</v>
      </c>
      <c r="T21" s="3">
        <v>174081</v>
      </c>
      <c r="U21" s="3">
        <v>729</v>
      </c>
      <c r="V21" s="21">
        <f>Tabelle3[[#This Row],[DGG (€)]]/Tabelle3[[#This Row],[DGG (Backer)]]</f>
        <v>238.79423868312756</v>
      </c>
      <c r="W21" s="3">
        <v>78668</v>
      </c>
      <c r="X21" s="3">
        <v>438</v>
      </c>
      <c r="Y21" s="21">
        <f>Tabelle3[[#This Row],[DSK SV (€)]]/Tabelle3[[#This Row],[DSK SV (Backer)]]</f>
        <v>179.60730593607306</v>
      </c>
      <c r="Z21" s="3">
        <v>251181</v>
      </c>
      <c r="AA21" s="3">
        <v>1301</v>
      </c>
      <c r="AB21" s="21">
        <f>Tabelle3[[#This Row],[WW (€)]]/Tabelle3[[#This Row],[WW (Backer)]]</f>
        <v>193.06764027671022</v>
      </c>
      <c r="AC21" s="3">
        <v>23503</v>
      </c>
      <c r="AD21" s="3">
        <v>172</v>
      </c>
      <c r="AE21" s="21">
        <f>Tabelle3[[#This Row],[DSK R (€)]]/Tabelle3[[#This Row],[DSK R (Backer)]]</f>
        <v>136.6453488372093</v>
      </c>
      <c r="AF21" s="3">
        <v>167089</v>
      </c>
      <c r="AG21" s="3">
        <v>758</v>
      </c>
      <c r="AH21" s="21">
        <f>Tabelle3[[#This Row],[Ära (€)]]/Tabelle3[[#This Row],[Ära (Backer)]]</f>
        <v>220.43403693931398</v>
      </c>
      <c r="AI21" s="3">
        <v>61360</v>
      </c>
      <c r="AJ21" s="3">
        <v>836</v>
      </c>
      <c r="AK21" s="21">
        <f>Tabelle3[[#This Row],[Mosaik (€)]]/Tabelle3[[#This Row],[Mosaik (Backer)]]</f>
        <v>73.397129186602868</v>
      </c>
      <c r="AL21" s="174">
        <f>'Übersicht &amp; Anleitung'!AM66</f>
        <v>47979</v>
      </c>
      <c r="AM21" s="174">
        <f>'Übersicht &amp; Anleitung'!AN66</f>
        <v>319</v>
      </c>
      <c r="AN21" s="21">
        <f>Tabelle3[[#This Row],[DSK ES (€)]]/Tabelle3[[#This Row],[DSK ES (Backer)]]</f>
        <v>150.40438871473353</v>
      </c>
      <c r="AY21" s="203" t="s">
        <v>184</v>
      </c>
      <c r="AZ21" s="6"/>
      <c r="BA21" s="6"/>
      <c r="BB21" s="22"/>
      <c r="BC21" s="6"/>
      <c r="BD21" s="6"/>
      <c r="BE21" s="22"/>
      <c r="BF21" s="3"/>
      <c r="BG21" s="3"/>
      <c r="BH21" s="22"/>
      <c r="BI21" s="3"/>
      <c r="BJ21" s="3"/>
      <c r="BK21" s="22"/>
      <c r="BM21" s="203" t="s">
        <v>184</v>
      </c>
      <c r="BN21" s="15">
        <f t="shared" si="42"/>
        <v>1.2370488037089162</v>
      </c>
      <c r="BO21" s="15">
        <f t="shared" si="2"/>
        <v>1.2325925925925927</v>
      </c>
      <c r="BP21" s="352">
        <f t="shared" si="43"/>
        <v>1.6500502648571318</v>
      </c>
      <c r="BQ21" s="352">
        <f t="shared" si="3"/>
        <v>1.698876404494382</v>
      </c>
      <c r="BR21" s="352">
        <f t="shared" si="4"/>
        <v>1.4541723842632126</v>
      </c>
      <c r="BS21" s="352">
        <f t="shared" si="5"/>
        <v>1.451402717990991</v>
      </c>
      <c r="BT21" s="16">
        <f t="shared" si="6"/>
        <v>1.4746789034226648</v>
      </c>
      <c r="BU21" s="7">
        <f t="shared" si="7"/>
        <v>1.5491071428571428</v>
      </c>
      <c r="BV21" s="11">
        <f t="shared" si="8"/>
        <v>1.6500502648571318</v>
      </c>
      <c r="BW21" s="12">
        <f t="shared" si="9"/>
        <v>1.698876404494382</v>
      </c>
      <c r="BX21" s="11">
        <f t="shared" si="10"/>
        <v>1.5452285475146472</v>
      </c>
      <c r="BY21" s="26">
        <f t="shared" si="11"/>
        <v>1.4819819819819819</v>
      </c>
      <c r="BZ21" s="11">
        <f t="shared" si="12"/>
        <v>1.4551760939167555</v>
      </c>
      <c r="CA21" s="26">
        <f t="shared" si="13"/>
        <v>1.4240687679083095</v>
      </c>
      <c r="CB21" s="11">
        <f t="shared" si="14"/>
        <v>1.2370488037089162</v>
      </c>
      <c r="CC21" s="26">
        <f t="shared" si="15"/>
        <v>1.2325925925925927</v>
      </c>
      <c r="CD21" s="11">
        <f t="shared" si="16"/>
        <v>1.5155550208409336</v>
      </c>
      <c r="CE21" s="26">
        <f t="shared" si="17"/>
        <v>1.4620811287477955</v>
      </c>
      <c r="CF21" s="11">
        <f t="shared" si="18"/>
        <v>1.3294385946771905</v>
      </c>
      <c r="CG21" s="26">
        <f t="shared" si="19"/>
        <v>1.3374485596707819</v>
      </c>
      <c r="CH21" s="11">
        <f t="shared" si="20"/>
        <v>1.4632760461687091</v>
      </c>
      <c r="CI21" s="26">
        <f t="shared" si="21"/>
        <v>1.4726027397260273</v>
      </c>
      <c r="CJ21" s="11">
        <f t="shared" si="22"/>
        <v>1.291638300667646</v>
      </c>
      <c r="CK21" s="26">
        <f t="shared" si="23"/>
        <v>1.2913143735588009</v>
      </c>
      <c r="CL21" s="11">
        <f t="shared" si="24"/>
        <v>1.5422711994213505</v>
      </c>
      <c r="CM21" s="26">
        <f t="shared" si="25"/>
        <v>1.5639534883720929</v>
      </c>
      <c r="CN21" s="11">
        <f t="shared" si="26"/>
        <v>1.4915344516993938</v>
      </c>
      <c r="CO21" s="26">
        <f t="shared" si="27"/>
        <v>1.4986807387862797</v>
      </c>
      <c r="CP21" s="11">
        <f t="shared" si="28"/>
        <v>1.3697359843546284</v>
      </c>
      <c r="CQ21" s="26">
        <f t="shared" si="29"/>
        <v>1.3839712918660287</v>
      </c>
      <c r="CR21" s="17"/>
      <c r="CS21" s="19">
        <f t="shared" si="30"/>
        <v>-7.4428239434477961E-2</v>
      </c>
      <c r="CT21" s="27"/>
      <c r="CU21" s="28">
        <f t="shared" si="31"/>
        <v>-4.8826139637250243E-2</v>
      </c>
      <c r="CV21" s="20"/>
      <c r="CW21" s="18">
        <f t="shared" si="32"/>
        <v>6.3246565532665278E-2</v>
      </c>
      <c r="CX21" s="20"/>
      <c r="CY21" s="18">
        <f t="shared" si="33"/>
        <v>3.1107326008446012E-2</v>
      </c>
      <c r="CZ21" s="20"/>
      <c r="DA21" s="18">
        <f t="shared" si="34"/>
        <v>4.4562111163235496E-3</v>
      </c>
      <c r="DB21" s="20"/>
      <c r="DC21" s="18">
        <f t="shared" si="35"/>
        <v>5.3473892093138131E-2</v>
      </c>
      <c r="DD21" s="20"/>
      <c r="DE21" s="18">
        <f t="shared" si="36"/>
        <v>-8.0099649935914119E-3</v>
      </c>
      <c r="DF21" s="20"/>
      <c r="DG21" s="18">
        <f t="shared" si="37"/>
        <v>-9.3266935573181886E-3</v>
      </c>
      <c r="DH21" s="20"/>
      <c r="DI21" s="18">
        <f t="shared" si="38"/>
        <v>3.2392710884510123E-4</v>
      </c>
      <c r="DJ21" s="20"/>
      <c r="DK21" s="18">
        <f t="shared" si="39"/>
        <v>-2.1682288950742423E-2</v>
      </c>
      <c r="DL21" s="20"/>
      <c r="DM21" s="18">
        <f t="shared" si="40"/>
        <v>-7.1462870868859163E-3</v>
      </c>
      <c r="DN21" s="20"/>
      <c r="DO21" s="18">
        <f t="shared" si="41"/>
        <v>-1.4235307511400341E-2</v>
      </c>
    </row>
    <row r="22" spans="1:120" ht="15.75" hidden="1" outlineLevel="1" thickBot="1" x14ac:dyDescent="0.3">
      <c r="A22" s="515">
        <v>17</v>
      </c>
      <c r="B22" s="3">
        <v>44039</v>
      </c>
      <c r="C22" s="3">
        <v>233</v>
      </c>
      <c r="D22" s="21">
        <f>IFERROR(Tabelle3[[#This Row],[Ned (€)]]/Tabelle3[[#This Row],[Ned (Backer)]],"")</f>
        <v>189.00858369098714</v>
      </c>
      <c r="E22" s="9">
        <v>109547</v>
      </c>
      <c r="F22" s="9">
        <v>471</v>
      </c>
      <c r="G22" s="21">
        <f>Tabelle3[[#This Row],[Werkzeuge (€)]]/Tabelle3[[#This Row],[Werkzeuge (Backer)]]</f>
        <v>232.58386411889597</v>
      </c>
      <c r="H22" s="3">
        <v>86833</v>
      </c>
      <c r="I22" s="3">
        <v>487</v>
      </c>
      <c r="J22" s="21">
        <f>Tabelle3[[#This Row],[DSK Fasar (€)]]/Tabelle3[[#This Row],[DSK Fasar (Backer)]]</f>
        <v>178.30184804928132</v>
      </c>
      <c r="K22" s="3">
        <v>64258</v>
      </c>
      <c r="L22" s="3">
        <v>363</v>
      </c>
      <c r="M22" s="21">
        <f>Tabelle3[[#This Row],[Mythen (€)]]/Tabelle3[[#This Row],[Mythen (Backer)]]</f>
        <v>177.01928374655648</v>
      </c>
      <c r="N22" s="3">
        <v>198261</v>
      </c>
      <c r="O22" s="3">
        <v>1384</v>
      </c>
      <c r="P22" s="21">
        <f>Tabelle3[[#This Row],[SOK (€)]]/Tabelle3[[#This Row],[SOK (Backer)]]</f>
        <v>143.25216763005781</v>
      </c>
      <c r="Q22" s="3">
        <v>268894</v>
      </c>
      <c r="R22" s="3">
        <v>1160</v>
      </c>
      <c r="S22" s="514">
        <f>Tabelle3[[#This Row],[RE (€)]]/Tabelle3[[#This Row],[RE (Backer)]]</f>
        <v>231.80517241379312</v>
      </c>
      <c r="T22" s="3">
        <v>181054</v>
      </c>
      <c r="U22" s="3">
        <v>757</v>
      </c>
      <c r="V22" s="21">
        <f>Tabelle3[[#This Row],[DGG (€)]]/Tabelle3[[#This Row],[DGG (Backer)]]</f>
        <v>239.17305151915457</v>
      </c>
      <c r="W22" s="3">
        <v>83940</v>
      </c>
      <c r="X22" s="3">
        <v>471</v>
      </c>
      <c r="Y22" s="21">
        <f>Tabelle3[[#This Row],[DSK SV (€)]]/Tabelle3[[#This Row],[DSK SV (Backer)]]</f>
        <v>178.21656050955414</v>
      </c>
      <c r="Z22" s="3">
        <v>258252</v>
      </c>
      <c r="AA22" s="3">
        <v>1341</v>
      </c>
      <c r="AB22" s="21">
        <f>Tabelle3[[#This Row],[WW (€)]]/Tabelle3[[#This Row],[WW (Backer)]]</f>
        <v>192.58165548098435</v>
      </c>
      <c r="AC22" s="3">
        <v>23945</v>
      </c>
      <c r="AD22" s="3">
        <v>175</v>
      </c>
      <c r="AE22" s="21">
        <f>Tabelle3[[#This Row],[DSK R (€)]]/Tabelle3[[#This Row],[DSK R (Backer)]]</f>
        <v>136.82857142857142</v>
      </c>
      <c r="AF22" s="3">
        <v>174268</v>
      </c>
      <c r="AG22" s="3">
        <v>790</v>
      </c>
      <c r="AH22" s="21">
        <f>Tabelle3[[#This Row],[Ära (€)]]/Tabelle3[[#This Row],[Ära (Backer)]]</f>
        <v>220.59240506329115</v>
      </c>
      <c r="AI22" s="3">
        <v>63787</v>
      </c>
      <c r="AJ22" s="3">
        <v>865</v>
      </c>
      <c r="AK22" s="21">
        <f>Tabelle3[[#This Row],[Mosaik (€)]]/Tabelle3[[#This Row],[Mosaik (Backer)]]</f>
        <v>73.742196531791905</v>
      </c>
      <c r="AL22" s="174">
        <f>'Übersicht &amp; Anleitung'!AM67</f>
        <v>49387</v>
      </c>
      <c r="AM22" s="174">
        <f>'Übersicht &amp; Anleitung'!AN67</f>
        <v>329</v>
      </c>
      <c r="AN22" s="21">
        <f>Tabelle3[[#This Row],[DSK ES (€)]]/Tabelle3[[#This Row],[DSK ES (Backer)]]</f>
        <v>150.11246200607903</v>
      </c>
      <c r="AY22" s="203" t="s">
        <v>185</v>
      </c>
      <c r="AZ22" s="6"/>
      <c r="BA22" s="6"/>
      <c r="BB22" s="22"/>
      <c r="BC22" s="6"/>
      <c r="BD22" s="6"/>
      <c r="BE22" s="22"/>
      <c r="BF22" s="3"/>
      <c r="BG22" s="3"/>
      <c r="BH22" s="22"/>
      <c r="BI22" s="3"/>
      <c r="BJ22" s="3"/>
      <c r="BK22" s="22"/>
      <c r="BM22" s="203" t="s">
        <v>185</v>
      </c>
      <c r="BN22" s="15">
        <f t="shared" si="42"/>
        <v>1.2058700399977806</v>
      </c>
      <c r="BO22" s="15">
        <f t="shared" si="2"/>
        <v>1.2023121387283238</v>
      </c>
      <c r="BP22" s="352">
        <f t="shared" si="43"/>
        <v>1.5582444065104475</v>
      </c>
      <c r="BQ22" s="352">
        <f t="shared" si="3"/>
        <v>1.605095541401274</v>
      </c>
      <c r="BR22" s="352">
        <f t="shared" si="4"/>
        <v>1.3915278692981154</v>
      </c>
      <c r="BS22" s="352">
        <f t="shared" si="5"/>
        <v>1.3893608673436073</v>
      </c>
      <c r="BT22" s="16">
        <f t="shared" si="6"/>
        <v>1.415677013556166</v>
      </c>
      <c r="BU22" s="7">
        <f t="shared" si="7"/>
        <v>1.4892703862660943</v>
      </c>
      <c r="BV22" s="11">
        <f t="shared" si="8"/>
        <v>1.5582444065104475</v>
      </c>
      <c r="BW22" s="12">
        <f t="shared" si="9"/>
        <v>1.605095541401274</v>
      </c>
      <c r="BX22" s="11">
        <f t="shared" si="10"/>
        <v>1.4245045086545438</v>
      </c>
      <c r="BY22" s="26">
        <f t="shared" si="11"/>
        <v>1.3511293634496919</v>
      </c>
      <c r="BZ22" s="11">
        <f t="shared" si="12"/>
        <v>1.4004637554856982</v>
      </c>
      <c r="CA22" s="26">
        <f t="shared" si="13"/>
        <v>1.3691460055096418</v>
      </c>
      <c r="CB22" s="11">
        <f t="shared" si="14"/>
        <v>1.2058700399977806</v>
      </c>
      <c r="CC22" s="26">
        <f t="shared" si="15"/>
        <v>1.2023121387283238</v>
      </c>
      <c r="CD22" s="11">
        <f t="shared" si="16"/>
        <v>1.4522711551763892</v>
      </c>
      <c r="CE22" s="26">
        <f t="shared" si="17"/>
        <v>1.4293103448275861</v>
      </c>
      <c r="CF22" s="11">
        <f t="shared" si="18"/>
        <v>1.2782374319263865</v>
      </c>
      <c r="CG22" s="26">
        <f t="shared" si="19"/>
        <v>1.2879788639365919</v>
      </c>
      <c r="CH22" s="11">
        <f t="shared" si="20"/>
        <v>1.371372408863474</v>
      </c>
      <c r="CI22" s="26">
        <f t="shared" si="21"/>
        <v>1.3694267515923566</v>
      </c>
      <c r="CJ22" s="11">
        <f t="shared" si="22"/>
        <v>1.2562729427071233</v>
      </c>
      <c r="CK22" s="26">
        <f t="shared" si="23"/>
        <v>1.2527964205816555</v>
      </c>
      <c r="CL22" s="11">
        <f t="shared" si="24"/>
        <v>1.5138024639799541</v>
      </c>
      <c r="CM22" s="26">
        <f t="shared" si="25"/>
        <v>1.5371428571428571</v>
      </c>
      <c r="CN22" s="11">
        <f t="shared" si="26"/>
        <v>1.4300904354213051</v>
      </c>
      <c r="CO22" s="26">
        <f t="shared" si="27"/>
        <v>1.4379746835443037</v>
      </c>
      <c r="CP22" s="11">
        <f t="shared" si="28"/>
        <v>1.3176195776568893</v>
      </c>
      <c r="CQ22" s="26">
        <f t="shared" si="29"/>
        <v>1.3375722543352602</v>
      </c>
      <c r="CR22" s="17"/>
      <c r="CS22" s="19">
        <f t="shared" si="30"/>
        <v>-7.3593372709928273E-2</v>
      </c>
      <c r="CT22" s="27"/>
      <c r="CU22" s="28">
        <f t="shared" si="31"/>
        <v>-4.6851134890826485E-2</v>
      </c>
      <c r="CV22" s="20"/>
      <c r="CW22" s="18">
        <f t="shared" si="32"/>
        <v>7.3375145204851888E-2</v>
      </c>
      <c r="CX22" s="20"/>
      <c r="CY22" s="18">
        <f t="shared" si="33"/>
        <v>3.1317749976056408E-2</v>
      </c>
      <c r="CZ22" s="20"/>
      <c r="DA22" s="18">
        <f t="shared" si="34"/>
        <v>3.5579012694568757E-3</v>
      </c>
      <c r="DB22" s="20"/>
      <c r="DC22" s="18">
        <f t="shared" si="35"/>
        <v>2.296081034880304E-2</v>
      </c>
      <c r="DD22" s="20"/>
      <c r="DE22" s="18">
        <f t="shared" si="36"/>
        <v>-9.7414320102053864E-3</v>
      </c>
      <c r="DF22" s="20"/>
      <c r="DG22" s="18">
        <f t="shared" si="37"/>
        <v>1.9456572711173958E-3</v>
      </c>
      <c r="DH22" s="20"/>
      <c r="DI22" s="18">
        <f t="shared" si="38"/>
        <v>3.4765221254677847E-3</v>
      </c>
      <c r="DJ22" s="20"/>
      <c r="DK22" s="18">
        <f t="shared" si="39"/>
        <v>-2.3340393162903039E-2</v>
      </c>
      <c r="DL22" s="20"/>
      <c r="DM22" s="18">
        <f t="shared" si="40"/>
        <v>-7.8842481229985939E-3</v>
      </c>
      <c r="DN22" s="20"/>
      <c r="DO22" s="18">
        <f t="shared" si="41"/>
        <v>-1.9952676678370862E-2</v>
      </c>
    </row>
    <row r="23" spans="1:120" ht="15.75" hidden="1" outlineLevel="1" thickBot="1" x14ac:dyDescent="0.3">
      <c r="A23" s="515">
        <v>18</v>
      </c>
      <c r="B23" s="3">
        <v>46661</v>
      </c>
      <c r="C23" s="3">
        <v>250</v>
      </c>
      <c r="D23" s="21">
        <f>IFERROR(Tabelle3[[#This Row],[Ned (€)]]/Tabelle3[[#This Row],[Ned (Backer)]],"")</f>
        <v>186.64400000000001</v>
      </c>
      <c r="E23" s="9">
        <v>115420</v>
      </c>
      <c r="F23" s="9">
        <v>501</v>
      </c>
      <c r="G23" s="21">
        <f>Tabelle3[[#This Row],[Werkzeuge (€)]]/Tabelle3[[#This Row],[Werkzeuge (Backer)]]</f>
        <v>230.37924151696606</v>
      </c>
      <c r="H23" s="3">
        <v>91974</v>
      </c>
      <c r="I23" s="3">
        <v>514</v>
      </c>
      <c r="J23" s="21">
        <f>Tabelle3[[#This Row],[DSK Fasar (€)]]/Tabelle3[[#This Row],[DSK Fasar (Backer)]]</f>
        <v>178.93774319066148</v>
      </c>
      <c r="K23" s="3">
        <v>66749</v>
      </c>
      <c r="L23" s="3">
        <v>377</v>
      </c>
      <c r="M23" s="21">
        <f>Tabelle3[[#This Row],[Mythen (€)]]/Tabelle3[[#This Row],[Mythen (Backer)]]</f>
        <v>177.053050397878</v>
      </c>
      <c r="N23" s="3">
        <v>203119</v>
      </c>
      <c r="O23" s="3">
        <v>1419</v>
      </c>
      <c r="P23" s="21">
        <f>Tabelle3[[#This Row],[SOK (€)]]/Tabelle3[[#This Row],[SOK (Backer)]]</f>
        <v>143.14235377026074</v>
      </c>
      <c r="Q23" s="3">
        <v>280832</v>
      </c>
      <c r="R23" s="3">
        <v>1210</v>
      </c>
      <c r="S23" s="21">
        <f>Tabelle3[[#This Row],[RE (€)]]/Tabelle3[[#This Row],[RE (Backer)]]</f>
        <v>232.09256198347109</v>
      </c>
      <c r="T23" s="3">
        <v>187527</v>
      </c>
      <c r="U23" s="3">
        <v>781</v>
      </c>
      <c r="V23" s="514">
        <f>Tabelle3[[#This Row],[DGG (€)]]/Tabelle3[[#This Row],[DGG (Backer)]]</f>
        <v>240.11139564660692</v>
      </c>
      <c r="W23" s="3">
        <v>87091</v>
      </c>
      <c r="X23" s="3">
        <v>491</v>
      </c>
      <c r="Y23" s="21">
        <f>Tabelle3[[#This Row],[DSK SV (€)]]/Tabelle3[[#This Row],[DSK SV (Backer)]]</f>
        <v>177.37474541751527</v>
      </c>
      <c r="Z23" s="3">
        <v>267342</v>
      </c>
      <c r="AA23" s="3">
        <v>1386</v>
      </c>
      <c r="AB23" s="21">
        <f>Tabelle3[[#This Row],[WW (€)]]/Tabelle3[[#This Row],[WW (Backer)]]</f>
        <v>192.88744588744589</v>
      </c>
      <c r="AC23" s="3">
        <v>25263</v>
      </c>
      <c r="AD23" s="3">
        <v>186</v>
      </c>
      <c r="AE23" s="21">
        <f>Tabelle3[[#This Row],[DSK R (€)]]/Tabelle3[[#This Row],[DSK R (Backer)]]</f>
        <v>135.82258064516128</v>
      </c>
      <c r="AF23" s="3">
        <v>180234</v>
      </c>
      <c r="AG23" s="3">
        <v>821</v>
      </c>
      <c r="AH23" s="21">
        <f>Tabelle3[[#This Row],[Ära (€)]]/Tabelle3[[#This Row],[Ära (Backer)]]</f>
        <v>219.52984165651645</v>
      </c>
      <c r="AI23" s="3">
        <v>66341</v>
      </c>
      <c r="AJ23" s="3">
        <v>892</v>
      </c>
      <c r="AK23" s="21">
        <f>Tabelle3[[#This Row],[Mosaik (€)]]/Tabelle3[[#This Row],[Mosaik (Backer)]]</f>
        <v>74.373318385650222</v>
      </c>
      <c r="AL23" s="174">
        <f>'Übersicht &amp; Anleitung'!AM68</f>
        <v>51996</v>
      </c>
      <c r="AM23" s="174">
        <f>'Übersicht &amp; Anleitung'!AN68</f>
        <v>347</v>
      </c>
      <c r="AN23" s="21">
        <f>Tabelle3[[#This Row],[DSK ES (€)]]/Tabelle3[[#This Row],[DSK ES (Backer)]]</f>
        <v>149.84438040345822</v>
      </c>
      <c r="AY23" s="203" t="s">
        <v>186</v>
      </c>
      <c r="AZ23" s="6"/>
      <c r="BA23" s="6"/>
      <c r="BB23" s="22"/>
      <c r="BC23" s="6"/>
      <c r="BD23" s="6"/>
      <c r="BE23" s="22"/>
      <c r="BF23" s="3"/>
      <c r="BG23" s="3"/>
      <c r="BH23" s="22"/>
      <c r="BI23" s="3"/>
      <c r="BJ23" s="3"/>
      <c r="BK23" s="22"/>
      <c r="BM23" s="203" t="s">
        <v>186</v>
      </c>
      <c r="BN23" s="15">
        <f t="shared" si="42"/>
        <v>1.1770292291710771</v>
      </c>
      <c r="BO23" s="15">
        <f t="shared" si="2"/>
        <v>1.1726568005637774</v>
      </c>
      <c r="BP23" s="352">
        <f t="shared" si="43"/>
        <v>1.4789551204297349</v>
      </c>
      <c r="BQ23" s="352">
        <f t="shared" si="3"/>
        <v>1.5089820359281436</v>
      </c>
      <c r="BR23" s="352">
        <f t="shared" si="4"/>
        <v>1.332975809327567</v>
      </c>
      <c r="BS23" s="352">
        <f t="shared" si="5"/>
        <v>1.3258747679945837</v>
      </c>
      <c r="BT23" s="16">
        <f t="shared" si="6"/>
        <v>1.3361265296500289</v>
      </c>
      <c r="BU23" s="7">
        <f t="shared" si="7"/>
        <v>1.3879999999999999</v>
      </c>
      <c r="BV23" s="11">
        <f t="shared" si="8"/>
        <v>1.4789551204297349</v>
      </c>
      <c r="BW23" s="12">
        <f t="shared" si="9"/>
        <v>1.5089820359281436</v>
      </c>
      <c r="BX23" s="11">
        <f t="shared" si="10"/>
        <v>1.3448800748037488</v>
      </c>
      <c r="BY23" s="26">
        <f t="shared" si="11"/>
        <v>1.2801556420233462</v>
      </c>
      <c r="BZ23" s="11">
        <f t="shared" si="12"/>
        <v>1.3481999730333039</v>
      </c>
      <c r="CA23" s="26">
        <f t="shared" si="13"/>
        <v>1.3183023872679045</v>
      </c>
      <c r="CB23" s="11">
        <f t="shared" si="14"/>
        <v>1.1770292291710771</v>
      </c>
      <c r="CC23" s="26">
        <f t="shared" si="15"/>
        <v>1.1726568005637774</v>
      </c>
      <c r="CD23" s="11">
        <f t="shared" si="16"/>
        <v>1.390535978805834</v>
      </c>
      <c r="CE23" s="26">
        <f t="shared" si="17"/>
        <v>1.3702479338842974</v>
      </c>
      <c r="CF23" s="11">
        <f t="shared" si="18"/>
        <v>1.2341156206839548</v>
      </c>
      <c r="CG23" s="26">
        <f t="shared" si="19"/>
        <v>1.2483994878361075</v>
      </c>
      <c r="CH23" s="11">
        <f t="shared" si="20"/>
        <v>1.3217554052657565</v>
      </c>
      <c r="CI23" s="26">
        <f t="shared" si="21"/>
        <v>1.3136456211812628</v>
      </c>
      <c r="CJ23" s="11">
        <f t="shared" si="22"/>
        <v>1.2135579145813229</v>
      </c>
      <c r="CK23" s="26">
        <f t="shared" si="23"/>
        <v>1.2121212121212122</v>
      </c>
      <c r="CL23" s="11">
        <f t="shared" si="24"/>
        <v>1.4348256343268813</v>
      </c>
      <c r="CM23" s="26">
        <f t="shared" si="25"/>
        <v>1.446236559139785</v>
      </c>
      <c r="CN23" s="11">
        <f t="shared" si="26"/>
        <v>1.382752421851593</v>
      </c>
      <c r="CO23" s="26">
        <f t="shared" si="27"/>
        <v>1.3836784409257004</v>
      </c>
      <c r="CP23" s="11">
        <f t="shared" si="28"/>
        <v>1.26689377609623</v>
      </c>
      <c r="CQ23" s="26">
        <f t="shared" si="29"/>
        <v>1.297085201793722</v>
      </c>
      <c r="CR23" s="17"/>
      <c r="CS23" s="19">
        <f t="shared" si="30"/>
        <v>-5.1873470349971029E-2</v>
      </c>
      <c r="CT23" s="27"/>
      <c r="CU23" s="28">
        <f t="shared" si="31"/>
        <v>-3.0026915498408746E-2</v>
      </c>
      <c r="CV23" s="20"/>
      <c r="CW23" s="18">
        <f t="shared" si="32"/>
        <v>6.472443278040263E-2</v>
      </c>
      <c r="CX23" s="20"/>
      <c r="CY23" s="18">
        <f t="shared" si="33"/>
        <v>2.9897585765399359E-2</v>
      </c>
      <c r="CZ23" s="20"/>
      <c r="DA23" s="18">
        <f t="shared" si="34"/>
        <v>4.3724286072996943E-3</v>
      </c>
      <c r="DB23" s="20"/>
      <c r="DC23" s="18">
        <f t="shared" si="35"/>
        <v>2.0288044921536574E-2</v>
      </c>
      <c r="DD23" s="20"/>
      <c r="DE23" s="18">
        <f t="shared" si="36"/>
        <v>-1.4283867152152796E-2</v>
      </c>
      <c r="DF23" s="20"/>
      <c r="DG23" s="18">
        <f t="shared" si="37"/>
        <v>8.1097840844936986E-3</v>
      </c>
      <c r="DH23" s="20"/>
      <c r="DI23" s="18">
        <f t="shared" si="38"/>
        <v>1.4367024601107392E-3</v>
      </c>
      <c r="DJ23" s="20"/>
      <c r="DK23" s="18">
        <f t="shared" si="39"/>
        <v>-1.1410924812903733E-2</v>
      </c>
      <c r="DL23" s="20"/>
      <c r="DM23" s="18">
        <f t="shared" si="40"/>
        <v>-9.2601907410738704E-4</v>
      </c>
      <c r="DN23" s="20"/>
      <c r="DO23" s="18">
        <f t="shared" si="41"/>
        <v>-3.0191425697492003E-2</v>
      </c>
    </row>
    <row r="24" spans="1:120" ht="15.75" hidden="1" outlineLevel="1" thickBot="1" x14ac:dyDescent="0.3">
      <c r="A24" s="515">
        <v>19</v>
      </c>
      <c r="B24" s="3">
        <v>49576</v>
      </c>
      <c r="C24" s="3">
        <v>267</v>
      </c>
      <c r="D24" s="21">
        <f>IFERROR(Tabelle3[[#This Row],[Ned (€)]]/Tabelle3[[#This Row],[Ned (Backer)]],"")</f>
        <v>185.67790262172284</v>
      </c>
      <c r="E24" s="9">
        <v>123542</v>
      </c>
      <c r="F24" s="9">
        <v>537</v>
      </c>
      <c r="G24" s="21">
        <f>Tabelle3[[#This Row],[Werkzeuge (€)]]/Tabelle3[[#This Row],[Werkzeuge (Backer)]]</f>
        <v>230.05959031657355</v>
      </c>
      <c r="H24" s="3">
        <v>101170</v>
      </c>
      <c r="I24" s="3">
        <v>549</v>
      </c>
      <c r="J24" s="514">
        <f>Tabelle3[[#This Row],[DSK Fasar (€)]]/Tabelle3[[#This Row],[DSK Fasar (Backer)]]</f>
        <v>184.28051001821493</v>
      </c>
      <c r="K24" s="3">
        <v>71433</v>
      </c>
      <c r="L24" s="3">
        <v>401</v>
      </c>
      <c r="M24" s="21">
        <f>Tabelle3[[#This Row],[Mythen (€)]]/Tabelle3[[#This Row],[Mythen (Backer)]]</f>
        <v>178.13715710723193</v>
      </c>
      <c r="N24" s="3">
        <v>212186</v>
      </c>
      <c r="O24" s="3">
        <v>1483</v>
      </c>
      <c r="P24" s="21">
        <f>Tabelle3[[#This Row],[SOK (€)]]/Tabelle3[[#This Row],[SOK (Backer)]]</f>
        <v>143.07889413351316</v>
      </c>
      <c r="Q24" s="3">
        <v>299641</v>
      </c>
      <c r="R24" s="3">
        <v>1290</v>
      </c>
      <c r="S24" s="21">
        <f>Tabelle3[[#This Row],[RE (€)]]/Tabelle3[[#This Row],[RE (Backer)]]</f>
        <v>232.27984496124031</v>
      </c>
      <c r="T24" s="3">
        <v>197700</v>
      </c>
      <c r="U24" s="3">
        <v>827</v>
      </c>
      <c r="V24" s="21">
        <f>Tabelle3[[#This Row],[DGG (€)]]/Tabelle3[[#This Row],[DGG (Backer)]]</f>
        <v>239.05683192261185</v>
      </c>
      <c r="W24" s="3">
        <v>91598</v>
      </c>
      <c r="X24" s="3">
        <v>519</v>
      </c>
      <c r="Y24" s="21">
        <f>Tabelle3[[#This Row],[DSK SV (€)]]/Tabelle3[[#This Row],[DSK SV (Backer)]]</f>
        <v>176.48940269749519</v>
      </c>
      <c r="Z24" s="3">
        <v>279921</v>
      </c>
      <c r="AA24" s="3">
        <v>1454</v>
      </c>
      <c r="AB24" s="21">
        <f>Tabelle3[[#This Row],[WW (€)]]/Tabelle3[[#This Row],[WW (Backer)]]</f>
        <v>192.51788170563961</v>
      </c>
      <c r="AC24" s="3">
        <v>26708</v>
      </c>
      <c r="AD24" s="3">
        <v>198</v>
      </c>
      <c r="AE24" s="21">
        <f>Tabelle3[[#This Row],[DSK R (€)]]/Tabelle3[[#This Row],[DSK R (Backer)]]</f>
        <v>134.88888888888889</v>
      </c>
      <c r="AF24" s="3">
        <v>197561</v>
      </c>
      <c r="AG24" s="3">
        <v>900</v>
      </c>
      <c r="AH24" s="21">
        <f>Tabelle3[[#This Row],[Ära (€)]]/Tabelle3[[#This Row],[Ära (Backer)]]</f>
        <v>219.51222222222222</v>
      </c>
      <c r="AI24" s="3">
        <v>71736</v>
      </c>
      <c r="AJ24" s="3">
        <v>973</v>
      </c>
      <c r="AK24" s="21">
        <f>Tabelle3[[#This Row],[Mosaik (€)]]/Tabelle3[[#This Row],[Mosaik (Backer)]]</f>
        <v>73.726618705035975</v>
      </c>
      <c r="AL24" s="174">
        <f>'Übersicht &amp; Anleitung'!AM69</f>
        <v>55221</v>
      </c>
      <c r="AM24" s="174">
        <f>'Übersicht &amp; Anleitung'!AN69</f>
        <v>368</v>
      </c>
      <c r="AN24" s="21">
        <f>Tabelle3[[#This Row],[DSK ES (€)]]/Tabelle3[[#This Row],[DSK ES (Backer)]]</f>
        <v>150.05706521739131</v>
      </c>
      <c r="AY24" s="203" t="s">
        <v>187</v>
      </c>
      <c r="AZ24" s="6"/>
      <c r="BA24" s="6"/>
      <c r="BB24" s="22"/>
      <c r="BC24" s="6"/>
      <c r="BD24" s="6"/>
      <c r="BE24" s="22"/>
      <c r="BF24" s="3"/>
      <c r="BG24" s="3"/>
      <c r="BH24" s="22"/>
      <c r="BI24" s="3"/>
      <c r="BJ24" s="3"/>
      <c r="BK24" s="22"/>
      <c r="BM24" s="203" t="s">
        <v>187</v>
      </c>
      <c r="BN24" s="15">
        <f t="shared" si="42"/>
        <v>1.1267331492181387</v>
      </c>
      <c r="BO24" s="15">
        <f t="shared" si="2"/>
        <v>1.1220498988536749</v>
      </c>
      <c r="BP24" s="352">
        <f t="shared" si="43"/>
        <v>1.3817244337957941</v>
      </c>
      <c r="BQ24" s="352">
        <f t="shared" si="3"/>
        <v>1.4078212290502794</v>
      </c>
      <c r="BR24" s="352">
        <f t="shared" si="4"/>
        <v>1.2506120434983385</v>
      </c>
      <c r="BS24" s="352">
        <f t="shared" si="5"/>
        <v>1.2488466024535581</v>
      </c>
      <c r="BT24" s="16">
        <f t="shared" si="6"/>
        <v>1.2575641439406164</v>
      </c>
      <c r="BU24" s="7">
        <f t="shared" si="7"/>
        <v>1.2996254681647941</v>
      </c>
      <c r="BV24" s="11">
        <f t="shared" si="8"/>
        <v>1.3817244337957941</v>
      </c>
      <c r="BW24" s="12">
        <f t="shared" si="9"/>
        <v>1.4078212290502794</v>
      </c>
      <c r="BX24" s="11">
        <f t="shared" si="10"/>
        <v>1.2226351685282197</v>
      </c>
      <c r="BY24" s="26">
        <f t="shared" si="11"/>
        <v>1.1985428051001821</v>
      </c>
      <c r="BZ24" s="11">
        <f t="shared" si="12"/>
        <v>1.2597958926546553</v>
      </c>
      <c r="CA24" s="26">
        <f t="shared" si="13"/>
        <v>1.2394014962593516</v>
      </c>
      <c r="CB24" s="11">
        <f t="shared" si="14"/>
        <v>1.1267331492181387</v>
      </c>
      <c r="CC24" s="26">
        <f t="shared" si="15"/>
        <v>1.1220498988536749</v>
      </c>
      <c r="CD24" s="11">
        <f t="shared" si="16"/>
        <v>1.3032495553011771</v>
      </c>
      <c r="CE24" s="26">
        <f t="shared" si="17"/>
        <v>1.2852713178294575</v>
      </c>
      <c r="CF24" s="11">
        <f t="shared" si="18"/>
        <v>1.1706120384420839</v>
      </c>
      <c r="CG24" s="26">
        <f t="shared" si="19"/>
        <v>1.1789600967351874</v>
      </c>
      <c r="CH24" s="11">
        <f t="shared" si="20"/>
        <v>1.2567195790301098</v>
      </c>
      <c r="CI24" s="26">
        <f t="shared" si="21"/>
        <v>1.2427745664739884</v>
      </c>
      <c r="CJ24" s="11">
        <f t="shared" si="22"/>
        <v>1.1590234387559346</v>
      </c>
      <c r="CK24" s="26">
        <f t="shared" si="23"/>
        <v>1.1554332874828062</v>
      </c>
      <c r="CL24" s="11">
        <f t="shared" si="24"/>
        <v>1.3571963456642204</v>
      </c>
      <c r="CM24" s="26">
        <f t="shared" si="25"/>
        <v>1.3585858585858586</v>
      </c>
      <c r="CN24" s="11">
        <f t="shared" si="26"/>
        <v>1.2614787331507737</v>
      </c>
      <c r="CO24" s="26">
        <f t="shared" si="27"/>
        <v>1.2622222222222221</v>
      </c>
      <c r="CP24" s="11">
        <f t="shared" si="28"/>
        <v>1.1716153674584588</v>
      </c>
      <c r="CQ24" s="26">
        <f t="shared" si="29"/>
        <v>1.1891058581706064</v>
      </c>
      <c r="CR24" s="17"/>
      <c r="CS24" s="19">
        <f t="shared" si="30"/>
        <v>-4.2061324224177632E-2</v>
      </c>
      <c r="CT24" s="27"/>
      <c r="CU24" s="28">
        <f t="shared" si="31"/>
        <v>-2.6096795254485272E-2</v>
      </c>
      <c r="CV24" s="20"/>
      <c r="CW24" s="18">
        <f t="shared" si="32"/>
        <v>2.4092363428037666E-2</v>
      </c>
      <c r="CX24" s="20"/>
      <c r="CY24" s="18">
        <f t="shared" si="33"/>
        <v>2.0394396395303716E-2</v>
      </c>
      <c r="CZ24" s="20"/>
      <c r="DA24" s="18">
        <f t="shared" si="34"/>
        <v>4.6832503644638201E-3</v>
      </c>
      <c r="DB24" s="20"/>
      <c r="DC24" s="18">
        <f t="shared" si="35"/>
        <v>1.7978237471719671E-2</v>
      </c>
      <c r="DD24" s="20"/>
      <c r="DE24" s="18">
        <f t="shared" si="36"/>
        <v>-8.3480582931034775E-3</v>
      </c>
      <c r="DF24" s="20"/>
      <c r="DG24" s="18">
        <f t="shared" si="37"/>
        <v>1.394501255612135E-2</v>
      </c>
      <c r="DH24" s="20"/>
      <c r="DI24" s="18">
        <f t="shared" si="38"/>
        <v>3.5901512731284502E-3</v>
      </c>
      <c r="DJ24" s="20"/>
      <c r="DK24" s="18">
        <f t="shared" si="39"/>
        <v>-1.3895129216381363E-3</v>
      </c>
      <c r="DL24" s="20"/>
      <c r="DM24" s="18">
        <f t="shared" si="40"/>
        <v>-7.4348907144838883E-4</v>
      </c>
      <c r="DN24" s="20"/>
      <c r="DO24" s="18">
        <f t="shared" si="41"/>
        <v>-1.7490490712147588E-2</v>
      </c>
    </row>
    <row r="25" spans="1:120" s="10" customFormat="1" ht="15.75" hidden="1" outlineLevel="1" thickBot="1" x14ac:dyDescent="0.3">
      <c r="A25" s="515">
        <v>20</v>
      </c>
      <c r="B25" s="9">
        <v>54612</v>
      </c>
      <c r="C25" s="9">
        <v>300</v>
      </c>
      <c r="D25" s="21">
        <f>IFERROR(Tabelle3[[#This Row],[Ned (€)]]/Tabelle3[[#This Row],[Ned (Backer)]],"")</f>
        <v>182.04</v>
      </c>
      <c r="E25" s="9">
        <v>130324</v>
      </c>
      <c r="F25" s="9">
        <v>576</v>
      </c>
      <c r="G25" s="21">
        <f>Tabelle3[[#This Row],[Werkzeuge (€)]]/Tabelle3[[#This Row],[Werkzeuge (Backer)]]</f>
        <v>226.25694444444446</v>
      </c>
      <c r="H25" s="9">
        <v>108862</v>
      </c>
      <c r="I25" s="9">
        <v>584</v>
      </c>
      <c r="J25" s="21">
        <f>Tabelle3[[#This Row],[DSK Fasar (€)]]/Tabelle3[[#This Row],[DSK Fasar (Backer)]]</f>
        <v>186.40753424657535</v>
      </c>
      <c r="K25" s="3">
        <v>78993</v>
      </c>
      <c r="L25" s="3">
        <v>440</v>
      </c>
      <c r="M25" s="21">
        <f>Tabelle3[[#This Row],[Mythen (€)]]/Tabelle3[[#This Row],[Mythen (Backer)]]</f>
        <v>179.52954545454546</v>
      </c>
      <c r="N25" s="3">
        <v>220897</v>
      </c>
      <c r="O25" s="3">
        <v>1545</v>
      </c>
      <c r="P25" s="21">
        <f>Tabelle3[[#This Row],[SOK (€)]]/Tabelle3[[#This Row],[SOK (Backer)]]</f>
        <v>142.97540453074433</v>
      </c>
      <c r="Q25" s="3">
        <v>330836</v>
      </c>
      <c r="R25" s="3">
        <v>1421</v>
      </c>
      <c r="S25" s="21">
        <f>Tabelle3[[#This Row],[RE (€)]]/Tabelle3[[#This Row],[RE (Backer)]]</f>
        <v>232.81914144968331</v>
      </c>
      <c r="T25" s="3">
        <v>205967</v>
      </c>
      <c r="U25" s="3">
        <v>863</v>
      </c>
      <c r="V25" s="21">
        <f>Tabelle3[[#This Row],[DGG (€)]]/Tabelle3[[#This Row],[DGG (Backer)]]</f>
        <v>238.66396292004634</v>
      </c>
      <c r="W25" s="3">
        <v>99702</v>
      </c>
      <c r="X25" s="3">
        <v>558</v>
      </c>
      <c r="Y25" s="514">
        <f>Tabelle3[[#This Row],[DSK SV (€)]]/Tabelle3[[#This Row],[DSK SV (Backer)]]</f>
        <v>178.67741935483872</v>
      </c>
      <c r="Z25" s="3">
        <v>295660</v>
      </c>
      <c r="AA25" s="3">
        <v>1533</v>
      </c>
      <c r="AB25" s="21">
        <f>Tabelle3[[#This Row],[WW (€)]]/Tabelle3[[#This Row],[WW (Backer)]]</f>
        <v>192.86366601435094</v>
      </c>
      <c r="AC25" s="3">
        <v>30138</v>
      </c>
      <c r="AD25" s="3">
        <v>227</v>
      </c>
      <c r="AE25" s="21">
        <f>Tabelle3[[#This Row],[DSK R (€)]]/Tabelle3[[#This Row],[DSK R (Backer)]]</f>
        <v>132.76651982378854</v>
      </c>
      <c r="AF25" s="3">
        <v>214259</v>
      </c>
      <c r="AG25" s="3">
        <v>985</v>
      </c>
      <c r="AH25" s="21">
        <f>Tabelle3[[#This Row],[Ära (€)]]/Tabelle3[[#This Row],[Ära (Backer)]]</f>
        <v>217.52182741116752</v>
      </c>
      <c r="AI25" s="3">
        <v>76619</v>
      </c>
      <c r="AJ25" s="3">
        <v>1053</v>
      </c>
      <c r="AK25" s="21">
        <f>Tabelle3[[#This Row],[Mosaik (€)]]/Tabelle3[[#This Row],[Mosaik (Backer)]]</f>
        <v>72.762583095916426</v>
      </c>
      <c r="AL25" s="174">
        <f>'Übersicht &amp; Anleitung'!AM70</f>
        <v>58568</v>
      </c>
      <c r="AM25" s="174">
        <f>'Übersicht &amp; Anleitung'!AN70</f>
        <v>392</v>
      </c>
      <c r="AN25" s="21">
        <f>Tabelle3[[#This Row],[DSK ES (€)]]/Tabelle3[[#This Row],[DSK ES (Backer)]]</f>
        <v>149.40816326530611</v>
      </c>
      <c r="AO25"/>
      <c r="AP25"/>
      <c r="AQ25"/>
      <c r="AR25"/>
      <c r="AS25"/>
      <c r="AT25"/>
      <c r="AU25"/>
      <c r="AV25"/>
      <c r="AW25"/>
      <c r="AX25" s="203"/>
      <c r="AY25" s="203" t="s">
        <v>188</v>
      </c>
      <c r="AZ25" s="6"/>
      <c r="BA25" s="6"/>
      <c r="BB25" s="22"/>
      <c r="BC25" s="6"/>
      <c r="BD25" s="6"/>
      <c r="BE25" s="22"/>
      <c r="BF25" s="3"/>
      <c r="BG25" s="3"/>
      <c r="BH25" s="22"/>
      <c r="BI25" s="3"/>
      <c r="BJ25" s="3"/>
      <c r="BK25" s="22"/>
      <c r="BL25" s="203"/>
      <c r="BM25" s="203" t="s">
        <v>188</v>
      </c>
      <c r="BN25" s="15">
        <f t="shared" si="42"/>
        <v>1.0823008008257242</v>
      </c>
      <c r="BO25" s="15">
        <f t="shared" si="2"/>
        <v>1.0770226537216829</v>
      </c>
      <c r="BP25" s="352">
        <f t="shared" si="43"/>
        <v>1.3098201405727263</v>
      </c>
      <c r="BQ25" s="352">
        <f t="shared" si="3"/>
        <v>1.3125</v>
      </c>
      <c r="BR25" s="352">
        <f t="shared" si="4"/>
        <v>1.1573618646272072</v>
      </c>
      <c r="BS25" s="352">
        <f t="shared" si="5"/>
        <v>1.153583731232267</v>
      </c>
      <c r="BT25" s="16">
        <f t="shared" si="6"/>
        <v>1.14159891598916</v>
      </c>
      <c r="BU25" s="7">
        <f t="shared" si="7"/>
        <v>1.1566666666666667</v>
      </c>
      <c r="BV25" s="11">
        <f t="shared" si="8"/>
        <v>1.3098201405727263</v>
      </c>
      <c r="BW25" s="12">
        <f t="shared" si="9"/>
        <v>1.3125</v>
      </c>
      <c r="BX25" s="11">
        <f t="shared" si="10"/>
        <v>1.136245889291029</v>
      </c>
      <c r="BY25" s="26">
        <f t="shared" si="11"/>
        <v>1.1267123287671232</v>
      </c>
      <c r="BZ25" s="11">
        <f t="shared" si="12"/>
        <v>1.1392275264896889</v>
      </c>
      <c r="CA25" s="26">
        <f t="shared" si="13"/>
        <v>1.1295454545454546</v>
      </c>
      <c r="CB25" s="11">
        <f t="shared" si="14"/>
        <v>1.0823008008257242</v>
      </c>
      <c r="CC25" s="26">
        <f t="shared" si="15"/>
        <v>1.0770226537216829</v>
      </c>
      <c r="CD25" s="11">
        <f t="shared" si="16"/>
        <v>1.1803642892550992</v>
      </c>
      <c r="CE25" s="26">
        <f t="shared" si="17"/>
        <v>1.1667839549612948</v>
      </c>
      <c r="CF25" s="11">
        <f t="shared" si="18"/>
        <v>1.1236266003777304</v>
      </c>
      <c r="CG25" s="26">
        <f t="shared" si="19"/>
        <v>1.1297798377752029</v>
      </c>
      <c r="CH25" s="11">
        <f t="shared" si="20"/>
        <v>1.1545706204489379</v>
      </c>
      <c r="CI25" s="26">
        <f t="shared" si="21"/>
        <v>1.1559139784946237</v>
      </c>
      <c r="CJ25" s="11">
        <f t="shared" si="22"/>
        <v>1.0973246296421566</v>
      </c>
      <c r="CK25" s="26">
        <f t="shared" si="23"/>
        <v>1.095890410958904</v>
      </c>
      <c r="CL25" s="11">
        <f t="shared" si="24"/>
        <v>1.2027340898533414</v>
      </c>
      <c r="CM25" s="26">
        <f t="shared" si="25"/>
        <v>1.1850220264317182</v>
      </c>
      <c r="CN25" s="11">
        <f t="shared" si="26"/>
        <v>1.1631670081536831</v>
      </c>
      <c r="CO25" s="26">
        <f t="shared" si="27"/>
        <v>1.1532994923857869</v>
      </c>
      <c r="CP25" s="11">
        <f t="shared" si="28"/>
        <v>1.0969472324097156</v>
      </c>
      <c r="CQ25" s="26">
        <f t="shared" si="29"/>
        <v>1.0987654320987654</v>
      </c>
      <c r="CR25" s="17"/>
      <c r="CS25" s="19">
        <f t="shared" si="30"/>
        <v>-1.5067750677506764E-2</v>
      </c>
      <c r="CT25" s="27"/>
      <c r="CU25" s="28">
        <f t="shared" si="31"/>
        <v>-2.6798594272736675E-3</v>
      </c>
      <c r="CV25" s="20"/>
      <c r="CW25" s="18">
        <f t="shared" si="32"/>
        <v>9.5335605239057486E-3</v>
      </c>
      <c r="CX25" s="20"/>
      <c r="CY25" s="18">
        <f t="shared" si="33"/>
        <v>9.6820719442343162E-3</v>
      </c>
      <c r="CZ25" s="20"/>
      <c r="DA25" s="18">
        <f t="shared" si="34"/>
        <v>5.2781471040412864E-3</v>
      </c>
      <c r="DB25" s="20"/>
      <c r="DC25" s="18">
        <f t="shared" si="35"/>
        <v>1.3580334293804341E-2</v>
      </c>
      <c r="DD25" s="20"/>
      <c r="DE25" s="18">
        <f t="shared" si="36"/>
        <v>-6.1532373974724219E-3</v>
      </c>
      <c r="DF25" s="20"/>
      <c r="DG25" s="18">
        <f t="shared" si="37"/>
        <v>-1.3433580456858607E-3</v>
      </c>
      <c r="DH25" s="20"/>
      <c r="DI25" s="18">
        <f t="shared" si="38"/>
        <v>1.4342186832525528E-3</v>
      </c>
      <c r="DJ25" s="20"/>
      <c r="DK25" s="18">
        <f t="shared" si="39"/>
        <v>1.7712063421623236E-2</v>
      </c>
      <c r="DL25" s="20"/>
      <c r="DM25" s="18">
        <f t="shared" si="40"/>
        <v>9.86751576789624E-3</v>
      </c>
      <c r="DN25" s="20"/>
      <c r="DO25" s="18">
        <f t="shared" si="41"/>
        <v>-1.8181996890498375E-3</v>
      </c>
    </row>
    <row r="26" spans="1:120" ht="15.75" hidden="1" outlineLevel="1" thickBot="1" x14ac:dyDescent="0.3">
      <c r="A26" s="13">
        <v>21</v>
      </c>
      <c r="B26" s="3">
        <v>62345</v>
      </c>
      <c r="C26" s="3">
        <v>347</v>
      </c>
      <c r="D26" s="21">
        <f>IFERROR(Tabelle3[[#This Row],[Ned (€)]]/Tabelle3[[#This Row],[Ned (Backer)]],"")</f>
        <v>179.6685878962536</v>
      </c>
      <c r="E26" s="9">
        <v>170701</v>
      </c>
      <c r="F26" s="9">
        <v>756</v>
      </c>
      <c r="G26" s="21">
        <f>Tabelle3[[#This Row],[Werkzeuge (€)]]/Tabelle3[[#This Row],[Werkzeuge (Backer)]]</f>
        <v>225.79497354497354</v>
      </c>
      <c r="H26" s="9">
        <v>123694</v>
      </c>
      <c r="I26" s="9">
        <v>658</v>
      </c>
      <c r="J26" s="21">
        <f>Tabelle3[[#This Row],[DSK Fasar (€)]]/Tabelle3[[#This Row],[DSK Fasar (Backer)]]</f>
        <v>187.98480243161094</v>
      </c>
      <c r="K26" s="3">
        <v>89991</v>
      </c>
      <c r="L26" s="3">
        <v>497</v>
      </c>
      <c r="M26" s="21">
        <f>Tabelle3[[#This Row],[Mythen (€)]]/Tabelle3[[#This Row],[Mythen (Backer)]]</f>
        <v>181.06841046277665</v>
      </c>
      <c r="N26" s="3">
        <v>239077</v>
      </c>
      <c r="O26" s="3">
        <v>1664</v>
      </c>
      <c r="P26" s="514">
        <f>Tabelle3[[#This Row],[SOK (€)]]/Tabelle3[[#This Row],[SOK (Backer)]]</f>
        <v>143.67608173076923</v>
      </c>
      <c r="Q26" s="3">
        <v>390507</v>
      </c>
      <c r="R26" s="3">
        <v>1658</v>
      </c>
      <c r="S26" s="21">
        <f>Tabelle3[[#This Row],[RE (€)]]/Tabelle3[[#This Row],[RE (Backer)]]</f>
        <v>235.52895054282268</v>
      </c>
      <c r="T26" s="3">
        <v>231430</v>
      </c>
      <c r="U26" s="3">
        <v>975</v>
      </c>
      <c r="V26" s="21">
        <f>Tabelle3[[#This Row],[DGG (€)]]/Tabelle3[[#This Row],[DGG (Backer)]]</f>
        <v>237.36410256410255</v>
      </c>
      <c r="W26" s="3">
        <v>115113</v>
      </c>
      <c r="X26" s="3">
        <v>645</v>
      </c>
      <c r="Y26" s="21">
        <f>Tabelle3[[#This Row],[DSK SV (€)]]/Tabelle3[[#This Row],[DSK SV (Backer)]]</f>
        <v>178.46976744186045</v>
      </c>
      <c r="Z26" s="3">
        <v>324435</v>
      </c>
      <c r="AA26" s="3">
        <v>1680</v>
      </c>
      <c r="AB26" s="514">
        <f>Tabelle3[[#This Row],[WW (€)]]/Tabelle3[[#This Row],[WW (Backer)]]</f>
        <v>193.11607142857142</v>
      </c>
      <c r="AC26" s="3">
        <v>36248</v>
      </c>
      <c r="AD26" s="3">
        <v>269</v>
      </c>
      <c r="AE26" s="514">
        <f>Tabelle3[[#This Row],[DSK R (€)]]/Tabelle3[[#This Row],[DSK R (Backer)]]</f>
        <v>134.75092936802974</v>
      </c>
      <c r="AF26" s="3">
        <v>249219</v>
      </c>
      <c r="AG26" s="3">
        <v>1136</v>
      </c>
      <c r="AH26" s="514">
        <f>Tabelle3[[#This Row],[Ära (€)]]/Tabelle3[[#This Row],[Ära (Backer)]]</f>
        <v>219.38292253521126</v>
      </c>
      <c r="AI26" s="3">
        <v>84047</v>
      </c>
      <c r="AJ26" s="3">
        <v>1157</v>
      </c>
      <c r="AK26" s="21">
        <f>Tabelle3[[#This Row],[Mosaik (€)]]/Tabelle3[[#This Row],[Mosaik (Backer)]]</f>
        <v>72.642178046672427</v>
      </c>
      <c r="AL26" s="3">
        <f>'Übersicht &amp; Anleitung'!AM71</f>
        <v>62627</v>
      </c>
      <c r="AM26" s="3">
        <f>'Übersicht &amp; Anleitung'!AN71</f>
        <v>425</v>
      </c>
      <c r="AN26" s="21">
        <f>Tabelle3[[#This Row],[DSK ES (€)]]/Tabelle3[[#This Row],[DSK ES (Backer)]]</f>
        <v>147.35764705882352</v>
      </c>
      <c r="AY26" s="203" t="s">
        <v>189</v>
      </c>
      <c r="AZ26" s="6"/>
      <c r="BA26" s="6"/>
      <c r="BB26" s="22"/>
      <c r="BC26" s="6"/>
      <c r="BD26" s="6"/>
      <c r="BE26" s="22"/>
      <c r="BF26" s="3"/>
      <c r="BG26" s="3"/>
      <c r="BH26" s="22"/>
      <c r="BI26" s="3"/>
      <c r="BJ26" s="3"/>
      <c r="BK26" s="22"/>
      <c r="BM26" s="203" t="s">
        <v>189</v>
      </c>
      <c r="BN26" s="15">
        <f t="shared" si="42"/>
        <v>1</v>
      </c>
      <c r="BO26" s="15">
        <f t="shared" si="2"/>
        <v>1</v>
      </c>
      <c r="BP26" s="352">
        <f t="shared" si="43"/>
        <v>1</v>
      </c>
      <c r="BQ26" s="352">
        <f t="shared" si="3"/>
        <v>1</v>
      </c>
      <c r="BR26" s="352">
        <f t="shared" si="4"/>
        <v>1</v>
      </c>
      <c r="BS26" s="352">
        <f t="shared" si="5"/>
        <v>1</v>
      </c>
      <c r="BT26" s="16">
        <f t="shared" si="6"/>
        <v>1</v>
      </c>
      <c r="BU26" s="7">
        <f t="shared" si="7"/>
        <v>1</v>
      </c>
      <c r="BV26" s="11">
        <f t="shared" si="8"/>
        <v>1</v>
      </c>
      <c r="BW26" s="12">
        <f t="shared" si="9"/>
        <v>1</v>
      </c>
      <c r="BX26" s="11">
        <f t="shared" si="10"/>
        <v>1</v>
      </c>
      <c r="BY26" s="26">
        <f t="shared" si="11"/>
        <v>1</v>
      </c>
      <c r="BZ26" s="11">
        <f t="shared" si="12"/>
        <v>1</v>
      </c>
      <c r="CA26" s="26">
        <f t="shared" si="13"/>
        <v>1</v>
      </c>
      <c r="CB26" s="11">
        <f t="shared" si="14"/>
        <v>1</v>
      </c>
      <c r="CC26" s="26">
        <f t="shared" si="15"/>
        <v>1</v>
      </c>
      <c r="CD26" s="11">
        <f t="shared" si="16"/>
        <v>1</v>
      </c>
      <c r="CE26" s="26">
        <f t="shared" si="17"/>
        <v>1</v>
      </c>
      <c r="CF26" s="11">
        <f t="shared" si="18"/>
        <v>1</v>
      </c>
      <c r="CG26" s="26">
        <f t="shared" si="19"/>
        <v>1</v>
      </c>
      <c r="CH26" s="11">
        <f t="shared" si="20"/>
        <v>1</v>
      </c>
      <c r="CI26" s="26">
        <f t="shared" si="21"/>
        <v>1</v>
      </c>
      <c r="CJ26" s="11">
        <f t="shared" si="22"/>
        <v>1</v>
      </c>
      <c r="CK26" s="26">
        <f t="shared" si="23"/>
        <v>1</v>
      </c>
      <c r="CL26" s="11">
        <f t="shared" si="24"/>
        <v>1</v>
      </c>
      <c r="CM26" s="26">
        <f t="shared" si="25"/>
        <v>1</v>
      </c>
      <c r="CN26" s="11">
        <f t="shared" si="26"/>
        <v>1</v>
      </c>
      <c r="CO26" s="26">
        <f t="shared" si="27"/>
        <v>1</v>
      </c>
      <c r="CP26" s="11">
        <f t="shared" si="28"/>
        <v>1</v>
      </c>
      <c r="CQ26" s="26">
        <f t="shared" si="29"/>
        <v>1</v>
      </c>
      <c r="CR26" s="17"/>
      <c r="CS26" s="19">
        <f t="shared" si="30"/>
        <v>0</v>
      </c>
      <c r="CT26" s="27"/>
      <c r="CU26" s="28">
        <f t="shared" si="31"/>
        <v>0</v>
      </c>
      <c r="CV26" s="20"/>
      <c r="CW26" s="18">
        <f t="shared" si="32"/>
        <v>0</v>
      </c>
      <c r="CX26" s="20"/>
      <c r="CY26" s="18">
        <f t="shared" si="33"/>
        <v>0</v>
      </c>
      <c r="CZ26" s="20"/>
      <c r="DA26" s="18">
        <f t="shared" si="34"/>
        <v>0</v>
      </c>
      <c r="DB26" s="20"/>
      <c r="DC26" s="18">
        <f t="shared" si="35"/>
        <v>0</v>
      </c>
      <c r="DD26" s="20"/>
      <c r="DE26" s="18">
        <f t="shared" si="36"/>
        <v>0</v>
      </c>
      <c r="DF26" s="20"/>
      <c r="DG26" s="18">
        <f t="shared" si="37"/>
        <v>0</v>
      </c>
      <c r="DH26" s="20"/>
      <c r="DI26" s="18">
        <f t="shared" si="38"/>
        <v>0</v>
      </c>
      <c r="DJ26" s="20"/>
      <c r="DK26" s="18">
        <f t="shared" si="39"/>
        <v>0</v>
      </c>
      <c r="DL26" s="20"/>
      <c r="DM26" s="18">
        <f t="shared" si="40"/>
        <v>0</v>
      </c>
      <c r="DN26" s="20"/>
      <c r="DO26" s="18">
        <f t="shared" si="41"/>
        <v>0</v>
      </c>
    </row>
    <row r="27" spans="1:120" hidden="1" outlineLevel="1" collapsed="1" x14ac:dyDescent="0.25">
      <c r="N27" s="745" t="s">
        <v>227</v>
      </c>
      <c r="O27" s="745"/>
      <c r="AC27" s="745" t="s">
        <v>226</v>
      </c>
      <c r="AD27" s="745"/>
    </row>
    <row r="28" spans="1:120" hidden="1" outlineLevel="1" x14ac:dyDescent="0.25">
      <c r="A28" s="479" t="s">
        <v>274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M28" s="203" t="s">
        <v>53</v>
      </c>
      <c r="BN28" s="605">
        <f t="shared" ref="BN28:CQ28" si="48">SUM(BN6:BN26)</f>
        <v>32.000423580252416</v>
      </c>
      <c r="BO28" s="605">
        <f t="shared" si="48"/>
        <v>31.871494080420181</v>
      </c>
      <c r="BP28" s="605">
        <f t="shared" si="48"/>
        <v>51.67485675685198</v>
      </c>
      <c r="BQ28" s="605">
        <f t="shared" si="48"/>
        <v>52.784731947020759</v>
      </c>
      <c r="BR28" s="605">
        <f t="shared" si="48"/>
        <v>41.661097250434437</v>
      </c>
      <c r="BS28" s="605">
        <f t="shared" si="48"/>
        <v>41.186716820274469</v>
      </c>
      <c r="BT28" s="605">
        <f t="shared" si="48"/>
        <v>45.428314528030107</v>
      </c>
      <c r="BU28" s="605">
        <f t="shared" si="48"/>
        <v>49.291270600601173</v>
      </c>
      <c r="BV28" s="605">
        <f t="shared" si="48"/>
        <v>45.756612165832692</v>
      </c>
      <c r="BW28" s="605">
        <f t="shared" si="48"/>
        <v>47.747540959068033</v>
      </c>
      <c r="BX28" s="605">
        <f t="shared" si="48"/>
        <v>40.567262002351569</v>
      </c>
      <c r="BY28" s="605">
        <f t="shared" si="48"/>
        <v>39.289122872836998</v>
      </c>
      <c r="BZ28" s="605">
        <f t="shared" si="48"/>
        <v>43.482859715954028</v>
      </c>
      <c r="CA28" s="605">
        <f t="shared" si="48"/>
        <v>41.4900106182888</v>
      </c>
      <c r="CB28" s="605">
        <f t="shared" si="48"/>
        <v>32.000423580252416</v>
      </c>
      <c r="CC28" s="605">
        <f t="shared" si="48"/>
        <v>31.871494080420181</v>
      </c>
      <c r="CD28" s="605">
        <f t="shared" si="48"/>
        <v>45.60581259072756</v>
      </c>
      <c r="CE28" s="605">
        <f t="shared" si="48"/>
        <v>45.23093042795746</v>
      </c>
      <c r="CF28" s="605">
        <f t="shared" si="48"/>
        <v>35.082008173229767</v>
      </c>
      <c r="CG28" s="605">
        <f t="shared" si="48"/>
        <v>35.562021697767982</v>
      </c>
      <c r="CH28" s="605">
        <f t="shared" si="48"/>
        <v>42.857991054698523</v>
      </c>
      <c r="CI28" s="605">
        <f t="shared" si="48"/>
        <v>44.850961238462958</v>
      </c>
      <c r="CJ28" s="605">
        <f t="shared" si="48"/>
        <v>34.886342577292439</v>
      </c>
      <c r="CK28" s="605">
        <f t="shared" si="48"/>
        <v>35.227093946084047</v>
      </c>
      <c r="CL28" s="605">
        <f t="shared" si="48"/>
        <v>42.354775272021556</v>
      </c>
      <c r="CM28" s="605">
        <f t="shared" si="48"/>
        <v>41.306721761257059</v>
      </c>
      <c r="CN28" s="605">
        <f t="shared" si="48"/>
        <v>50.249668094388298</v>
      </c>
      <c r="CO28" s="605">
        <f t="shared" si="48"/>
        <v>49.721200022055989</v>
      </c>
      <c r="CP28" s="605">
        <f t="shared" si="48"/>
        <v>34.41984221297497</v>
      </c>
      <c r="CQ28" s="605">
        <f t="shared" si="48"/>
        <v>34.894883905867943</v>
      </c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</row>
    <row r="29" spans="1:120" hidden="1" outlineLevel="1" x14ac:dyDescent="0.25">
      <c r="A29" s="333" t="s">
        <v>31</v>
      </c>
      <c r="B29" s="397" t="str">
        <f>Tabelle3[[#Headers],[Ned (€)]]</f>
        <v>Ned (€)</v>
      </c>
      <c r="C29" s="389" t="str">
        <f>Tabelle3[[#Headers],[Ned (Backer)]]</f>
        <v>Ned (Backer)</v>
      </c>
      <c r="D29" s="493" t="str">
        <f>Tabelle3[[#Headers],[Ned (€/B)]]</f>
        <v>Ned (€/B)</v>
      </c>
      <c r="E29" s="391" t="str">
        <f>Tabelle3[[#Headers],[Werkzeuge (€)]]</f>
        <v>Werkzeuge (€)</v>
      </c>
      <c r="F29" s="392" t="str">
        <f>Tabelle3[[#Headers],[Werkzeuge (Backer)]]</f>
        <v>Werkzeuge (Backer)</v>
      </c>
      <c r="G29" s="493" t="str">
        <f>Tabelle3[[#Headers],[Werkz (€/B)]]</f>
        <v>Werkz (€/B)</v>
      </c>
      <c r="H29" s="395" t="str">
        <f>Tabelle3[[#Headers],[DSK Fasar (€)]]</f>
        <v>DSK Fasar (€)</v>
      </c>
      <c r="I29" s="398" t="str">
        <f>Tabelle3[[#Headers],[DSK Fasar (Backer)]]</f>
        <v>DSK Fasar (Backer)</v>
      </c>
      <c r="J29" s="398" t="str">
        <f>Tabelle3[[#Headers],[DSK Fasar (€/B)]]</f>
        <v>DSK Fasar (€/B)</v>
      </c>
      <c r="K29" s="397" t="str">
        <f>Tabelle3[[#Headers],[Mythen (€)]]</f>
        <v>Mythen (€)</v>
      </c>
      <c r="L29" s="389" t="str">
        <f>Tabelle3[[#Headers],[Mythen (Backer)]]</f>
        <v>Mythen (Backer)</v>
      </c>
      <c r="M29" s="389" t="str">
        <f>Tabelle3[[#Headers],[Mythen (€/B)]]</f>
        <v>Mythen (€/B)</v>
      </c>
      <c r="N29" s="393" t="str">
        <f>Tabelle3[[#Headers],[SOK (€)]]</f>
        <v>SOK (€)</v>
      </c>
      <c r="O29" s="394" t="str">
        <f>Tabelle3[[#Headers],[SOK (Backer)]]</f>
        <v>SOK (Backer)</v>
      </c>
      <c r="P29" s="394" t="str">
        <f>Tabelle3[[#Headers],[SOK (€/B)]]</f>
        <v>SOK (€/B)</v>
      </c>
      <c r="Q29" s="390" t="str">
        <f>Tabelle3[[#Headers],[RE (€)]]</f>
        <v>RE (€)</v>
      </c>
      <c r="R29" s="390" t="str">
        <f>Tabelle3[[#Headers],[RE (Backer)]]</f>
        <v>RE (Backer)</v>
      </c>
      <c r="S29" s="390" t="str">
        <f>Tabelle3[[#Headers],[RE (€/B)]]</f>
        <v>RE (€/B)</v>
      </c>
      <c r="T29" s="390" t="str">
        <f>Tabelle3[[#Headers],[DGG (€)]]</f>
        <v>DGG (€)</v>
      </c>
      <c r="U29" s="390" t="str">
        <f>Tabelle3[[#Headers],[DGG (Backer)]]</f>
        <v>DGG (Backer)</v>
      </c>
      <c r="V29" s="390" t="str">
        <f>Tabelle3[[#Headers],[DGG (€/B)]]</f>
        <v>DGG (€/B)</v>
      </c>
      <c r="W29" s="395" t="str">
        <f>Tabelle3[[#Headers],[DSK SV (€)]]</f>
        <v>DSK SV (€)</v>
      </c>
      <c r="X29" s="398" t="str">
        <f>Tabelle3[[#Headers],[DSK SV (Backer)]]</f>
        <v>DSK SV (Backer)</v>
      </c>
      <c r="Y29" s="398" t="str">
        <f>Tabelle3[[#Headers],[DSK SV (€/B)]]</f>
        <v>DSK SV (€/B)</v>
      </c>
      <c r="Z29" s="393" t="str">
        <f>Tabelle3[[#Headers],[WW (€)]]</f>
        <v>WW (€)</v>
      </c>
      <c r="AA29" s="394" t="str">
        <f>Tabelle3[[#Headers],[WW (Backer)]]</f>
        <v>WW (Backer)</v>
      </c>
      <c r="AB29" s="394" t="str">
        <f>Tabelle3[[#Headers],[WW (€/B)]]</f>
        <v>WW (€/B)</v>
      </c>
      <c r="AC29" s="395" t="str">
        <f>Tabelle3[[#Headers],[DSK R (€)]]</f>
        <v>DSK R (€)</v>
      </c>
      <c r="AD29" s="398" t="str">
        <f>Tabelle3[[#Headers],[DSK R (Backer)]]</f>
        <v>DSK R (Backer)</v>
      </c>
      <c r="AE29" s="398" t="str">
        <f>Tabelle3[[#Headers],[DSK R (€/B)]]</f>
        <v>DSK R (€/B)</v>
      </c>
      <c r="AF29" s="390" t="str">
        <f>Tabelle3[[#Headers],[Ära (€)]]</f>
        <v>Ära (€)</v>
      </c>
      <c r="AG29" s="390" t="str">
        <f>Tabelle3[[#Headers],[Ära (Backer)]]</f>
        <v>Ära (Backer)</v>
      </c>
      <c r="AH29" s="390" t="str">
        <f>Tabelle3[[#Headers],[Ära (€/B)]]</f>
        <v>Ära (€/B)</v>
      </c>
      <c r="AI29" s="390" t="str">
        <f>Tabelle3[[#Headers],[Mosaik (€)]]</f>
        <v>Mosaik (€)</v>
      </c>
      <c r="AJ29" s="390" t="str">
        <f>Tabelle3[[#Headers],[Mosaik (Backer)]]</f>
        <v>Mosaik (Backer)</v>
      </c>
      <c r="AK29" s="390" t="str">
        <f>Tabelle3[[#Headers],[Mosaik (€/B)]]</f>
        <v>Mosaik (€/B)</v>
      </c>
      <c r="AL29" s="575" t="str">
        <f>Tabelle3[[#Headers],[DSK ES (€)]]</f>
        <v>DSK ES (€)</v>
      </c>
      <c r="AM29" s="575" t="str">
        <f>Tabelle3[[#Headers],[DSK ES (Backer)]]</f>
        <v>DSK ES (Backer)</v>
      </c>
      <c r="AN29" s="575" t="str">
        <f>Tabelle3[[#Headers],[DSK ES (€/B)]]</f>
        <v>DSK ES (€/B)</v>
      </c>
      <c r="AO29" s="738" t="s">
        <v>246</v>
      </c>
      <c r="AP29" s="738"/>
      <c r="AQ29" s="463"/>
      <c r="AY29" s="203" t="s">
        <v>221</v>
      </c>
      <c r="AZ29" s="6">
        <f>AVERAGE(AZ6,AZ12:AZ26)</f>
        <v>52178.02134031622</v>
      </c>
      <c r="BA29" s="6">
        <f>AVERAGE(BA6,BA12:BA26)</f>
        <v>353.72232898653448</v>
      </c>
      <c r="BB29" s="22">
        <f>AZ29/BA29</f>
        <v>147.51124558580676</v>
      </c>
      <c r="BC29" s="6">
        <f>AVERAGE(BC6,BC12:BC26)</f>
        <v>85050.919080858599</v>
      </c>
      <c r="BD29" s="6">
        <f>AVERAGE(BD6,BD12:BD26)</f>
        <v>607.74217434324407</v>
      </c>
      <c r="BE29" s="22">
        <f t="shared" ref="BE29" si="49">BC29/BD29</f>
        <v>139.94572480142386</v>
      </c>
      <c r="BF29" s="3">
        <f>AVERAGE(AZ29,BC29)</f>
        <v>68614.470210587402</v>
      </c>
      <c r="BG29" s="3">
        <f>AVERAGE(BA29,BD29)</f>
        <v>480.7322516648893</v>
      </c>
      <c r="BH29" s="22">
        <f t="shared" ref="BH29" si="50">BF29/BG29</f>
        <v>142.72907626430157</v>
      </c>
      <c r="BI29" s="3"/>
      <c r="BJ29" s="3"/>
      <c r="BK29" s="22"/>
      <c r="BM29" s="203"/>
      <c r="CR29" s="606" t="s">
        <v>424</v>
      </c>
      <c r="CS29" s="605">
        <f>_xlfn.STDEV.P(CS6:CS26)</f>
        <v>0.14700691002927202</v>
      </c>
      <c r="CT29" s="202"/>
      <c r="CU29" s="605">
        <f>_xlfn.STDEV.P(CU6:CU26)</f>
        <v>7.951862956394716E-2</v>
      </c>
      <c r="CV29" s="202"/>
      <c r="CW29" s="605">
        <f>_xlfn.STDEV.P(CW6:CW26)</f>
        <v>2.4054835685507883E-2</v>
      </c>
      <c r="CX29" s="202"/>
      <c r="CY29" s="605">
        <f>_xlfn.STDEV.P(CY6:CY26)</f>
        <v>7.3495531159005603E-2</v>
      </c>
      <c r="CZ29" s="202"/>
      <c r="DA29" s="605">
        <f>_xlfn.STDEV.P(DA6:DA26)</f>
        <v>7.7548465715394184E-3</v>
      </c>
      <c r="DB29" s="202"/>
      <c r="DC29" s="605">
        <f>_xlfn.STDEV.P(DC6:DC26)</f>
        <v>5.2886299558510999E-2</v>
      </c>
      <c r="DD29" s="202"/>
      <c r="DE29" s="605">
        <f>_xlfn.STDEV.P(DE6:DE26)</f>
        <v>1.3466889894914531E-2</v>
      </c>
      <c r="DF29" s="202"/>
      <c r="DG29" s="605">
        <f>_xlfn.STDEV.P(DG6:DG26)</f>
        <v>0.10680354545392662</v>
      </c>
      <c r="DH29" s="202"/>
      <c r="DI29" s="605">
        <f>_xlfn.STDEV.P(DI6:DI26)</f>
        <v>2.4068328712478874E-2</v>
      </c>
      <c r="DJ29" s="202"/>
      <c r="DK29" s="605">
        <f>_xlfn.STDEV.P(DK6:DK26)</f>
        <v>7.6864697079064251E-2</v>
      </c>
      <c r="DL29" s="202"/>
      <c r="DM29" s="605">
        <f>_xlfn.STDEV.P(DM6:DM26)</f>
        <v>2.4084568501650295E-2</v>
      </c>
      <c r="DN29" s="202"/>
      <c r="DO29" s="605">
        <f>_xlfn.STDEV.P(DO6:DO26)</f>
        <v>1.9084563965244824E-2</v>
      </c>
      <c r="DP29" s="202"/>
    </row>
    <row r="30" spans="1:120" hidden="1" outlineLevel="1" x14ac:dyDescent="0.25">
      <c r="A30" s="489" t="s">
        <v>437</v>
      </c>
      <c r="B30" s="481">
        <f>$AL$25/B54</f>
        <v>66861.165311653123</v>
      </c>
      <c r="C30" s="484">
        <f>$AM$25/C54</f>
        <v>453.41333333333336</v>
      </c>
      <c r="D30" s="502">
        <f>B30/C30</f>
        <v>147.46184198006188</v>
      </c>
      <c r="E30" s="481">
        <f>$AL$25/E54</f>
        <v>76713.545993063439</v>
      </c>
      <c r="F30" s="484">
        <f>$AM$25/F54</f>
        <v>514.5</v>
      </c>
      <c r="G30" s="502">
        <f>E30/F30</f>
        <v>149.10310202733419</v>
      </c>
      <c r="H30" s="481">
        <f>$AL$25/H54</f>
        <v>66547.649243996988</v>
      </c>
      <c r="I30" s="484">
        <f>$AM$25/I54</f>
        <v>441.67123287671234</v>
      </c>
      <c r="J30" s="484"/>
      <c r="K30" s="481">
        <f>$AL$25/K54</f>
        <v>66722.277771448105</v>
      </c>
      <c r="L30" s="484">
        <f>$AM$25/L54</f>
        <v>442.78181818181815</v>
      </c>
      <c r="M30" s="484"/>
      <c r="N30" s="481">
        <f>$AL$25/N54</f>
        <v>63388.193302761014</v>
      </c>
      <c r="O30" s="484">
        <f>$AM$25/O54</f>
        <v>422.19288025889972</v>
      </c>
      <c r="P30" s="484"/>
      <c r="Q30" s="481">
        <f>$AL$25/Q54</f>
        <v>69131.575693092644</v>
      </c>
      <c r="R30" s="484">
        <f>$AM$25/R54</f>
        <v>457.37931034482762</v>
      </c>
      <c r="S30" s="484"/>
      <c r="T30" s="481">
        <f>$AL$25/T54</f>
        <v>65808.562730922917</v>
      </c>
      <c r="U30" s="484">
        <f>$AM$25/U54</f>
        <v>442.87369640787949</v>
      </c>
      <c r="V30" s="484"/>
      <c r="W30" s="481">
        <f>$AL$25/W54</f>
        <v>67620.892098453391</v>
      </c>
      <c r="X30" s="484">
        <f>$AM$25/X54</f>
        <v>453.11827956989248</v>
      </c>
      <c r="Y30" s="484"/>
      <c r="Z30" s="481">
        <f>$AL$25/Z54</f>
        <v>64268.108908881826</v>
      </c>
      <c r="AA30" s="484">
        <f>$AM$25/AA54</f>
        <v>429.58904109589042</v>
      </c>
      <c r="AB30" s="484"/>
      <c r="AC30" s="481">
        <f>$AL$25/AC54</f>
        <v>70441.730174530487</v>
      </c>
      <c r="AD30" s="484">
        <f>$AM$25/AD54</f>
        <v>464.52863436123346</v>
      </c>
      <c r="AE30" s="484"/>
      <c r="AF30" s="481">
        <f>$AL$25/AF54</f>
        <v>68124.36533354492</v>
      </c>
      <c r="AG30" s="484">
        <f>$AM$25/AG54</f>
        <v>452.09340101522844</v>
      </c>
      <c r="AH30" s="484"/>
      <c r="AI30" s="481">
        <f>$AL$25/AI54</f>
        <v>64246.005507772221</v>
      </c>
      <c r="AJ30" s="484">
        <f>$AM$25/AJ54</f>
        <v>430.71604938271605</v>
      </c>
      <c r="AK30" s="484"/>
      <c r="AL30" s="481"/>
      <c r="AM30" s="484"/>
      <c r="AN30" s="484"/>
      <c r="AO30" s="481">
        <f>AVERAGE(B30,E30,H30,K30,N30,Q30,T30,W30,Z30,AC30,AF30)</f>
        <v>67784.369687486251</v>
      </c>
      <c r="AP30" s="484">
        <f>AVERAGE(C30,F30,I30,L30,O30,R30,U30,X30,AA30,AD30,AG30)</f>
        <v>452.19469340415594</v>
      </c>
      <c r="AQ30" s="3"/>
      <c r="AY30" s="203" t="s">
        <v>220</v>
      </c>
      <c r="AZ30" s="6">
        <f>MIN(AZ6,AZ12:AZ26)</f>
        <v>45961.077918315044</v>
      </c>
      <c r="BA30" s="6">
        <f>MIN(BA6,BA12:BA26)</f>
        <v>322.15039999999999</v>
      </c>
      <c r="BB30" s="22">
        <f>AZ30/BA30</f>
        <v>142.66962859060564</v>
      </c>
      <c r="BC30" s="6">
        <f>MIN(BC6,BC12:BC26)</f>
        <v>78613.932076678102</v>
      </c>
      <c r="BD30" s="6">
        <f>MIN(BD6,BD12:BD26)</f>
        <v>540</v>
      </c>
      <c r="BE30" s="22">
        <f t="shared" ref="BE30" si="51">BC30/BD30</f>
        <v>145.58135569755203</v>
      </c>
      <c r="BF30" s="3">
        <f>AVERAGE(AZ30,BC30)</f>
        <v>62287.504997496573</v>
      </c>
      <c r="BG30" s="3">
        <f>AVERAGE(BA30,BD30)</f>
        <v>431.0752</v>
      </c>
      <c r="BH30" s="22">
        <f t="shared" ref="BH30" si="52">BF30/BG30</f>
        <v>144.49336217322772</v>
      </c>
      <c r="BI30" s="3"/>
      <c r="BJ30" s="3"/>
      <c r="BK30" s="22"/>
      <c r="BL30" s="203"/>
      <c r="BM30" s="203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</row>
    <row r="31" spans="1:120" hidden="1" outlineLevel="1" x14ac:dyDescent="0.25"/>
    <row r="32" spans="1:120" hidden="1" outlineLevel="1" x14ac:dyDescent="0.25">
      <c r="A32" s="480" t="s">
        <v>223</v>
      </c>
      <c r="H32"/>
      <c r="I32"/>
      <c r="J32"/>
      <c r="W32" s="23"/>
      <c r="AD32" s="23"/>
      <c r="AE32" s="23"/>
      <c r="AL32" s="739" t="s">
        <v>245</v>
      </c>
      <c r="AM32" s="739"/>
      <c r="AN32" s="509"/>
    </row>
    <row r="33" spans="1:110" hidden="1" outlineLevel="1" x14ac:dyDescent="0.25">
      <c r="A33" s="333" t="s">
        <v>31</v>
      </c>
      <c r="B33" s="388" t="str">
        <f>Tabelle3[[#Headers],[Ned (€)]]</f>
        <v>Ned (€)</v>
      </c>
      <c r="C33" s="389" t="str">
        <f>Tabelle3[[#Headers],[Ned (Backer)]]</f>
        <v>Ned (Backer)</v>
      </c>
      <c r="D33" s="493" t="str">
        <f>Tabelle3[[#Headers],[Ned (€/B)]]</f>
        <v>Ned (€/B)</v>
      </c>
      <c r="E33" s="391" t="str">
        <f>Tabelle3[[#Headers],[Werkzeuge (€)]]</f>
        <v>Werkzeuge (€)</v>
      </c>
      <c r="F33" s="392" t="str">
        <f>Tabelle3[[#Headers],[Werkzeuge (Backer)]]</f>
        <v>Werkzeuge (Backer)</v>
      </c>
      <c r="G33" s="573" t="str">
        <f>Tabelle3[[#Headers],[Werkz (€/B)]]</f>
        <v>Werkz (€/B)</v>
      </c>
      <c r="H33" s="395" t="str">
        <f>Tabelle3[[#Headers],[DSK Fasar (€)]]</f>
        <v>DSK Fasar (€)</v>
      </c>
      <c r="I33" s="396" t="str">
        <f>Tabelle3[[#Headers],[DSK Fasar (Backer)]]</f>
        <v>DSK Fasar (Backer)</v>
      </c>
      <c r="J33" s="398" t="str">
        <f>Tabelle3[[#Headers],[DSK Fasar (€/B)]]</f>
        <v>DSK Fasar (€/B)</v>
      </c>
      <c r="K33" s="388" t="str">
        <f>Tabelle3[[#Headers],[Mythen (€)]]</f>
        <v>Mythen (€)</v>
      </c>
      <c r="L33" s="389" t="str">
        <f>Tabelle3[[#Headers],[Mythen (Backer)]]</f>
        <v>Mythen (Backer)</v>
      </c>
      <c r="M33" s="389" t="str">
        <f>Tabelle3[[#Headers],[Mythen (€/B)]]</f>
        <v>Mythen (€/B)</v>
      </c>
      <c r="N33" s="393" t="str">
        <f>Tabelle3[[#Headers],[SOK (€)]]</f>
        <v>SOK (€)</v>
      </c>
      <c r="O33" s="394" t="str">
        <f>Tabelle3[[#Headers],[SOK (Backer)]]</f>
        <v>SOK (Backer)</v>
      </c>
      <c r="P33" s="394" t="str">
        <f>Tabelle3[[#Headers],[SOK (€/B)]]</f>
        <v>SOK (€/B)</v>
      </c>
      <c r="Q33" s="390" t="str">
        <f>Tabelle3[[#Headers],[RE (€)]]</f>
        <v>RE (€)</v>
      </c>
      <c r="R33" s="390" t="str">
        <f>Tabelle3[[#Headers],[RE (Backer)]]</f>
        <v>RE (Backer)</v>
      </c>
      <c r="S33" s="390" t="str">
        <f>Tabelle3[[#Headers],[RE (€/B)]]</f>
        <v>RE (€/B)</v>
      </c>
      <c r="T33" s="390" t="str">
        <f>Tabelle3[[#Headers],[DGG (€)]]</f>
        <v>DGG (€)</v>
      </c>
      <c r="U33" s="390" t="str">
        <f>Tabelle3[[#Headers],[DGG (Backer)]]</f>
        <v>DGG (Backer)</v>
      </c>
      <c r="V33" s="390" t="str">
        <f>Tabelle3[[#Headers],[DGG (€/B)]]</f>
        <v>DGG (€/B)</v>
      </c>
      <c r="W33" s="395" t="str">
        <f>Tabelle3[[#Headers],[DSK SV (€)]]</f>
        <v>DSK SV (€)</v>
      </c>
      <c r="X33" s="396" t="str">
        <f>Tabelle3[[#Headers],[DSK SV (Backer)]]</f>
        <v>DSK SV (Backer)</v>
      </c>
      <c r="Y33" s="398" t="str">
        <f>Tabelle3[[#Headers],[DSK SV (€/B)]]</f>
        <v>DSK SV (€/B)</v>
      </c>
      <c r="Z33" s="393" t="str">
        <f>Tabelle3[[#Headers],[WW (€)]]</f>
        <v>WW (€)</v>
      </c>
      <c r="AA33" s="394" t="str">
        <f>Tabelle3[[#Headers],[WW (Backer)]]</f>
        <v>WW (Backer)</v>
      </c>
      <c r="AB33" s="394" t="str">
        <f>Tabelle3[[#Headers],[WW (€/B)]]</f>
        <v>WW (€/B)</v>
      </c>
      <c r="AC33" s="395" t="str">
        <f>Tabelle3[[#Headers],[DSK R (€)]]</f>
        <v>DSK R (€)</v>
      </c>
      <c r="AD33" s="396" t="str">
        <f>Tabelle3[[#Headers],[DSK R (Backer)]]</f>
        <v>DSK R (Backer)</v>
      </c>
      <c r="AE33" s="398" t="str">
        <f>Tabelle3[[#Headers],[DSK R (€/B)]]</f>
        <v>DSK R (€/B)</v>
      </c>
      <c r="AF33" s="390" t="str">
        <f>Tabelle3[[#Headers],[Ära (€)]]</f>
        <v>Ära (€)</v>
      </c>
      <c r="AG33" s="390" t="str">
        <f>Tabelle3[[#Headers],[Ära (Backer)]]</f>
        <v>Ära (Backer)</v>
      </c>
      <c r="AH33" s="390" t="str">
        <f>Tabelle3[[#Headers],[Ära (€/B)]]</f>
        <v>Ära (€/B)</v>
      </c>
      <c r="AI33" s="390" t="str">
        <f>Tabelle3[[#Headers],[Mosaik (€)]]</f>
        <v>Mosaik (€)</v>
      </c>
      <c r="AJ33" s="390" t="str">
        <f>Tabelle3[[#Headers],[Mosaik (Backer)]]</f>
        <v>Mosaik (Backer)</v>
      </c>
      <c r="AK33" s="390" t="str">
        <f>Tabelle3[[#Headers],[Mosaik (€/B)]]</f>
        <v>Mosaik (€/B)</v>
      </c>
      <c r="AL33" s="575" t="str">
        <f>Tabelle3[[#Headers],[DSK ES (€)]]</f>
        <v>DSK ES (€)</v>
      </c>
      <c r="AM33" s="575" t="str">
        <f>Tabelle3[[#Headers],[DSK ES (Backer)]]</f>
        <v>DSK ES (Backer)</v>
      </c>
      <c r="AN33" s="575" t="str">
        <f>Tabelle3[[#Headers],[DSK ES (€/B)]]</f>
        <v>DSK ES (€/B)</v>
      </c>
      <c r="AO33" s="738" t="s">
        <v>246</v>
      </c>
      <c r="AP33" s="738"/>
      <c r="AQ33" s="463"/>
    </row>
    <row r="34" spans="1:110" ht="15.75" hidden="1" outlineLevel="1" thickBot="1" x14ac:dyDescent="0.3">
      <c r="A34" s="577">
        <v>0</v>
      </c>
      <c r="B34" s="385">
        <v>0</v>
      </c>
      <c r="C34" s="385">
        <v>0</v>
      </c>
      <c r="D34" s="494"/>
      <c r="E34" s="385">
        <v>0</v>
      </c>
      <c r="F34" s="385">
        <v>0</v>
      </c>
      <c r="G34" s="494"/>
      <c r="H34" s="385">
        <v>0</v>
      </c>
      <c r="I34" s="385">
        <v>0</v>
      </c>
      <c r="J34" s="385"/>
      <c r="K34" s="385">
        <v>0</v>
      </c>
      <c r="L34" s="385">
        <v>0</v>
      </c>
      <c r="M34" s="449"/>
      <c r="N34" s="449">
        <v>0</v>
      </c>
      <c r="O34" s="449">
        <v>0</v>
      </c>
      <c r="P34" s="449"/>
      <c r="Q34" s="385">
        <v>0</v>
      </c>
      <c r="R34" s="385">
        <v>0</v>
      </c>
      <c r="S34" s="385"/>
      <c r="T34" s="385">
        <v>0</v>
      </c>
      <c r="U34" s="385">
        <v>0</v>
      </c>
      <c r="V34" s="385"/>
      <c r="W34" s="385">
        <v>0</v>
      </c>
      <c r="X34" s="385">
        <v>0</v>
      </c>
      <c r="Y34" s="385"/>
      <c r="Z34" s="385">
        <v>0</v>
      </c>
      <c r="AA34" s="385">
        <v>0</v>
      </c>
      <c r="AB34" s="385"/>
      <c r="AC34" s="385">
        <v>0</v>
      </c>
      <c r="AD34" s="385">
        <v>0</v>
      </c>
      <c r="AE34" s="385"/>
      <c r="AF34" s="385">
        <v>0</v>
      </c>
      <c r="AG34" s="385">
        <v>0</v>
      </c>
      <c r="AH34" s="385"/>
      <c r="AI34" s="385">
        <v>0</v>
      </c>
      <c r="AJ34" s="385">
        <v>0</v>
      </c>
      <c r="AK34" s="385"/>
      <c r="AL34" s="460">
        <v>0</v>
      </c>
      <c r="AM34" s="460">
        <v>0</v>
      </c>
      <c r="AN34" s="458"/>
      <c r="AO34" s="458">
        <f t="shared" ref="AO34:AO55" si="53">AVERAGE(B34,E34,H34,K34,N34,Q34,T34,W34,Z34,AC34,AF34,AI34)</f>
        <v>0</v>
      </c>
      <c r="AP34" s="458">
        <f t="shared" ref="AP34:AP55" si="54">AVERAGE(C34,F34,I34,L34,O34,R34,U34,X34,AA34,AD34,AG34,AJ34)</f>
        <v>0</v>
      </c>
      <c r="AQ34" s="458"/>
      <c r="AX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</row>
    <row r="35" spans="1:110" ht="15.75" hidden="1" outlineLevel="1" thickBot="1" x14ac:dyDescent="0.3">
      <c r="A35" s="488">
        <v>1</v>
      </c>
      <c r="B35" s="385">
        <f t="shared" ref="B35:C55" si="55">B6/B$26</f>
        <v>0.23692357045472773</v>
      </c>
      <c r="C35" s="385">
        <f t="shared" si="55"/>
        <v>0.21037463976945245</v>
      </c>
      <c r="D35" s="494"/>
      <c r="E35" s="385">
        <f t="shared" ref="E35:AG35" si="56">E6/E$26</f>
        <v>0.25446248118054376</v>
      </c>
      <c r="F35" s="385">
        <f t="shared" si="56"/>
        <v>0.23677248677248677</v>
      </c>
      <c r="G35" s="494"/>
      <c r="H35" s="449">
        <f t="shared" si="56"/>
        <v>0.29429074975342379</v>
      </c>
      <c r="I35" s="449">
        <f t="shared" si="56"/>
        <v>0.29635258358662614</v>
      </c>
      <c r="J35" s="449"/>
      <c r="K35" s="385">
        <f t="shared" si="56"/>
        <v>0.21793290440155128</v>
      </c>
      <c r="L35" s="385">
        <f t="shared" si="56"/>
        <v>0.23138832997987926</v>
      </c>
      <c r="M35" s="491"/>
      <c r="N35" s="448">
        <f t="shared" si="56"/>
        <v>0.37533932582389773</v>
      </c>
      <c r="O35" s="448">
        <f t="shared" si="56"/>
        <v>0.37560096153846156</v>
      </c>
      <c r="P35" s="491"/>
      <c r="Q35" s="385">
        <f t="shared" si="56"/>
        <v>0.212457139052565</v>
      </c>
      <c r="R35" s="385">
        <f t="shared" si="56"/>
        <v>0.20566948130277443</v>
      </c>
      <c r="S35" s="449"/>
      <c r="T35" s="449">
        <f t="shared" si="56"/>
        <v>0.33040660242838005</v>
      </c>
      <c r="U35" s="449">
        <f t="shared" si="56"/>
        <v>0.32512820512820512</v>
      </c>
      <c r="V35" s="449"/>
      <c r="W35" s="385">
        <f t="shared" si="56"/>
        <v>0.23216317878953724</v>
      </c>
      <c r="X35" s="385">
        <f t="shared" si="56"/>
        <v>0.21085271317829457</v>
      </c>
      <c r="Y35" s="449"/>
      <c r="Z35" s="449">
        <f t="shared" si="56"/>
        <v>0.29954536347804644</v>
      </c>
      <c r="AA35" s="449">
        <f t="shared" si="56"/>
        <v>0.29107142857142859</v>
      </c>
      <c r="AB35" s="449"/>
      <c r="AC35" s="385">
        <f t="shared" si="56"/>
        <v>0.23055065107040387</v>
      </c>
      <c r="AD35" s="385">
        <f t="shared" si="56"/>
        <v>0.24907063197026022</v>
      </c>
      <c r="AE35" s="385"/>
      <c r="AF35" s="385">
        <f t="shared" si="56"/>
        <v>0.15888034218899844</v>
      </c>
      <c r="AG35" s="385">
        <f t="shared" si="56"/>
        <v>0.15845070422535212</v>
      </c>
      <c r="AH35" s="449"/>
      <c r="AI35" s="385">
        <f t="shared" ref="AI35:AJ35" si="57">AI6/AI$26</f>
        <v>0.30887479624495817</v>
      </c>
      <c r="AJ35" s="385">
        <f t="shared" si="57"/>
        <v>0.2999135695764909</v>
      </c>
      <c r="AK35" s="449"/>
      <c r="AL35" s="461">
        <f>AL6/AL$26</f>
        <v>0.27545627285356156</v>
      </c>
      <c r="AM35" s="461">
        <f>AM6/AM$26</f>
        <v>0.2847058823529412</v>
      </c>
      <c r="AN35" s="458"/>
      <c r="AO35" s="602">
        <f t="shared" si="53"/>
        <v>0.26265225873891945</v>
      </c>
      <c r="AP35" s="602">
        <f t="shared" si="54"/>
        <v>0.25755381129997601</v>
      </c>
      <c r="AQ35" s="603" t="s">
        <v>417</v>
      </c>
      <c r="AR35" s="604" t="s">
        <v>69</v>
      </c>
      <c r="AX35" s="203"/>
      <c r="BL35" s="203"/>
      <c r="BM35" s="576" t="s">
        <v>70</v>
      </c>
      <c r="BN35" s="605">
        <f t="shared" ref="BN35:CQ35" si="58">BN6-BN7</f>
        <v>0.56714438496741826</v>
      </c>
      <c r="BO35" s="605">
        <f t="shared" si="58"/>
        <v>0.5534012674271227</v>
      </c>
      <c r="BP35" s="605">
        <f t="shared" si="58"/>
        <v>1.8135421832565433</v>
      </c>
      <c r="BQ35" s="605">
        <f t="shared" si="58"/>
        <v>1.8736111111111109</v>
      </c>
      <c r="BR35" s="605">
        <f t="shared" si="58"/>
        <v>0.7947908926620646</v>
      </c>
      <c r="BS35" s="605">
        <f t="shared" si="58"/>
        <v>0.72711836622544501</v>
      </c>
      <c r="BT35" s="605">
        <f t="shared" si="58"/>
        <v>0.50178927845890176</v>
      </c>
      <c r="BU35" s="605">
        <f t="shared" si="58"/>
        <v>0.52171734046107598</v>
      </c>
      <c r="BV35" s="605">
        <f t="shared" si="58"/>
        <v>0.48287936747874571</v>
      </c>
      <c r="BW35" s="605">
        <f t="shared" si="58"/>
        <v>0.55356077452947883</v>
      </c>
      <c r="BX35" s="605">
        <f t="shared" si="58"/>
        <v>0.49840096316239579</v>
      </c>
      <c r="BY35" s="605">
        <f t="shared" si="58"/>
        <v>0.55032463959502564</v>
      </c>
      <c r="BZ35" s="605">
        <f t="shared" si="58"/>
        <v>0.92025744577694946</v>
      </c>
      <c r="CA35" s="605">
        <f t="shared" si="58"/>
        <v>0.89415292353823128</v>
      </c>
      <c r="CB35" s="605">
        <f t="shared" si="58"/>
        <v>0.56714438496741826</v>
      </c>
      <c r="CC35" s="605">
        <f t="shared" si="58"/>
        <v>0.5534012674271227</v>
      </c>
      <c r="CD35" s="605">
        <f t="shared" si="58"/>
        <v>0.65290139279430015</v>
      </c>
      <c r="CE35" s="605">
        <f t="shared" si="58"/>
        <v>0.7582096919369361</v>
      </c>
      <c r="CF35" s="605">
        <f t="shared" si="58"/>
        <v>0.71682410921846396</v>
      </c>
      <c r="CG35" s="605">
        <f t="shared" si="58"/>
        <v>0.73758028277693288</v>
      </c>
      <c r="CH35" s="605">
        <f t="shared" si="58"/>
        <v>0.75619851541744021</v>
      </c>
      <c r="CI35" s="605">
        <f t="shared" si="58"/>
        <v>0.99264705882352899</v>
      </c>
      <c r="CJ35" s="605">
        <f t="shared" si="58"/>
        <v>0.66579195539816372</v>
      </c>
      <c r="CK35" s="605">
        <f t="shared" si="58"/>
        <v>0.71713622014414202</v>
      </c>
      <c r="CL35" s="605">
        <f t="shared" si="58"/>
        <v>1.1669702233533958</v>
      </c>
      <c r="CM35" s="605">
        <f t="shared" si="58"/>
        <v>0.99245346302196902</v>
      </c>
      <c r="CN35" s="605">
        <f t="shared" si="58"/>
        <v>1.8135421832565433</v>
      </c>
      <c r="CO35" s="605">
        <f t="shared" si="58"/>
        <v>1.8736111111111109</v>
      </c>
      <c r="CP35" s="605">
        <f t="shared" si="58"/>
        <v>0.8840911593380496</v>
      </c>
      <c r="CQ35" s="605">
        <f t="shared" si="58"/>
        <v>0.93884881355123184</v>
      </c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</row>
    <row r="36" spans="1:110" ht="15.75" hidden="1" outlineLevel="1" thickBot="1" x14ac:dyDescent="0.3">
      <c r="A36" s="577">
        <v>2</v>
      </c>
      <c r="B36" s="384">
        <f t="shared" si="55"/>
        <v>0.2688908493062796</v>
      </c>
      <c r="C36" s="384">
        <f t="shared" si="55"/>
        <v>0.23631123919308358</v>
      </c>
      <c r="D36" s="495"/>
      <c r="E36" s="384">
        <f t="shared" ref="E36:AG36" si="59">E7/E$26</f>
        <v>0.29010960685643317</v>
      </c>
      <c r="F36" s="384">
        <f t="shared" si="59"/>
        <v>0.2724867724867725</v>
      </c>
      <c r="G36" s="495"/>
      <c r="H36" s="451">
        <f t="shared" si="59"/>
        <v>0.34487525668181157</v>
      </c>
      <c r="I36" s="451">
        <f t="shared" si="59"/>
        <v>0.35410334346504557</v>
      </c>
      <c r="J36" s="506"/>
      <c r="K36" s="384">
        <f t="shared" si="59"/>
        <v>0.27260503828160593</v>
      </c>
      <c r="L36" s="384">
        <f t="shared" si="59"/>
        <v>0.29175050301810868</v>
      </c>
      <c r="M36" s="447"/>
      <c r="N36" s="447">
        <f t="shared" si="59"/>
        <v>0.47684637167105159</v>
      </c>
      <c r="O36" s="447">
        <f t="shared" si="59"/>
        <v>0.47415865384615385</v>
      </c>
      <c r="P36" s="447"/>
      <c r="Q36" s="384">
        <f t="shared" si="59"/>
        <v>0.24667419534092858</v>
      </c>
      <c r="R36" s="384">
        <f t="shared" si="59"/>
        <v>0.24366706875753921</v>
      </c>
      <c r="S36" s="506"/>
      <c r="T36" s="451">
        <f t="shared" si="59"/>
        <v>0.4329473274856328</v>
      </c>
      <c r="U36" s="451">
        <f t="shared" si="59"/>
        <v>0.4276923076923077</v>
      </c>
      <c r="V36" s="506"/>
      <c r="W36" s="384">
        <f t="shared" si="59"/>
        <v>0.28160155673121195</v>
      </c>
      <c r="X36" s="384">
        <f t="shared" si="59"/>
        <v>0.26666666666666666</v>
      </c>
      <c r="Y36" s="506"/>
      <c r="Z36" s="451">
        <f t="shared" si="59"/>
        <v>0.37416739870852406</v>
      </c>
      <c r="AA36" s="451">
        <f t="shared" si="59"/>
        <v>0.36785714285714288</v>
      </c>
      <c r="AB36" s="506"/>
      <c r="AC36" s="446">
        <f t="shared" si="59"/>
        <v>0.3154105054071949</v>
      </c>
      <c r="AD36" s="446">
        <f t="shared" si="59"/>
        <v>0.33085501858736061</v>
      </c>
      <c r="AE36" s="446"/>
      <c r="AF36" s="384">
        <f t="shared" si="59"/>
        <v>0.22318924319574351</v>
      </c>
      <c r="AG36" s="384">
        <f t="shared" si="59"/>
        <v>0.22535211267605634</v>
      </c>
      <c r="AH36" s="506"/>
      <c r="AI36" s="451">
        <f t="shared" ref="AI36:AJ36" si="60">AI7/AI$26</f>
        <v>0.42490511261556035</v>
      </c>
      <c r="AJ36" s="451">
        <f t="shared" si="60"/>
        <v>0.41745894554883317</v>
      </c>
      <c r="AK36" s="506"/>
      <c r="AL36" s="461"/>
      <c r="AM36" s="461"/>
      <c r="AN36" s="510"/>
      <c r="AO36" s="458">
        <f t="shared" si="53"/>
        <v>0.32935187185683146</v>
      </c>
      <c r="AP36" s="458">
        <f t="shared" si="54"/>
        <v>0.32569664789958924</v>
      </c>
      <c r="AQ36" s="458"/>
      <c r="AR36" s="1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M36" s="576" t="s">
        <v>75</v>
      </c>
      <c r="BN36" s="605">
        <f t="shared" ref="BN36:CQ36" si="61">BN7-BN8</f>
        <v>0.14576515772748189</v>
      </c>
      <c r="BO36" s="605">
        <f t="shared" si="61"/>
        <v>0.15594708938038893</v>
      </c>
      <c r="BP36" s="605">
        <f t="shared" si="61"/>
        <v>0.67505145583312265</v>
      </c>
      <c r="BQ36" s="605">
        <f t="shared" si="61"/>
        <v>0.58194444444444438</v>
      </c>
      <c r="BR36" s="605">
        <f t="shared" si="61"/>
        <v>0.37483856196418852</v>
      </c>
      <c r="BS36" s="605">
        <f t="shared" si="61"/>
        <v>0.35047220602800744</v>
      </c>
      <c r="BT36" s="605">
        <f t="shared" si="61"/>
        <v>0.19148313039357223</v>
      </c>
      <c r="BU36" s="605">
        <f t="shared" si="61"/>
        <v>0.37615176151761487</v>
      </c>
      <c r="BV36" s="605">
        <f t="shared" si="61"/>
        <v>0.28003738410396872</v>
      </c>
      <c r="BW36" s="605">
        <f t="shared" si="61"/>
        <v>0.29490291262135937</v>
      </c>
      <c r="BX36" s="605">
        <f t="shared" si="61"/>
        <v>0.16741881849072193</v>
      </c>
      <c r="BY36" s="605">
        <f t="shared" si="61"/>
        <v>0.17080852831233573</v>
      </c>
      <c r="BZ36" s="605">
        <f t="shared" si="61"/>
        <v>0.41613340795011267</v>
      </c>
      <c r="CA36" s="605">
        <f t="shared" si="61"/>
        <v>0.3596849723286506</v>
      </c>
      <c r="CB36" s="605">
        <f t="shared" si="61"/>
        <v>0.14576515772748189</v>
      </c>
      <c r="CC36" s="605">
        <f t="shared" si="61"/>
        <v>0.15594708938038893</v>
      </c>
      <c r="CD36" s="605">
        <f t="shared" si="61"/>
        <v>0.66255234368643512</v>
      </c>
      <c r="CE36" s="605">
        <f t="shared" si="61"/>
        <v>0.649793729372937</v>
      </c>
      <c r="CF36" s="605">
        <f t="shared" si="61"/>
        <v>0.21513318295937944</v>
      </c>
      <c r="CG36" s="605">
        <f t="shared" si="61"/>
        <v>0.20930853570418773</v>
      </c>
      <c r="CH36" s="605">
        <f t="shared" si="61"/>
        <v>0.53697727553767161</v>
      </c>
      <c r="CI36" s="605">
        <f t="shared" si="61"/>
        <v>0.50879396984924607</v>
      </c>
      <c r="CJ36" s="605">
        <f t="shared" si="61"/>
        <v>0.41702654399980776</v>
      </c>
      <c r="CK36" s="605">
        <f t="shared" si="61"/>
        <v>0.42022498771466132</v>
      </c>
      <c r="CL36" s="605">
        <f t="shared" si="61"/>
        <v>0.41564548092379372</v>
      </c>
      <c r="CM36" s="605">
        <f t="shared" si="61"/>
        <v>0.35910557347869609</v>
      </c>
      <c r="CN36" s="605">
        <f t="shared" si="61"/>
        <v>0.67505145583312265</v>
      </c>
      <c r="CO36" s="605">
        <f t="shared" si="61"/>
        <v>0.66341362126245862</v>
      </c>
      <c r="CP36" s="605">
        <f t="shared" si="61"/>
        <v>0.21709489770833779</v>
      </c>
      <c r="CQ36" s="605">
        <f t="shared" si="61"/>
        <v>0.23686304502333044</v>
      </c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</row>
    <row r="37" spans="1:110" ht="15.75" hidden="1" outlineLevel="1" thickBot="1" x14ac:dyDescent="0.3">
      <c r="A37" s="488">
        <v>3</v>
      </c>
      <c r="B37" s="385">
        <f t="shared" si="55"/>
        <v>0.2834870478787393</v>
      </c>
      <c r="C37" s="385">
        <f t="shared" si="55"/>
        <v>0.25936599423631124</v>
      </c>
      <c r="D37" s="494"/>
      <c r="E37" s="449">
        <f t="shared" ref="E37:AG37" si="62">E8/E$26</f>
        <v>0.31576264931078318</v>
      </c>
      <c r="F37" s="385">
        <f t="shared" si="62"/>
        <v>0.29629629629629628</v>
      </c>
      <c r="G37" s="494"/>
      <c r="H37" s="450">
        <f t="shared" si="62"/>
        <v>0.36600805212864002</v>
      </c>
      <c r="I37" s="450">
        <f t="shared" si="62"/>
        <v>0.37689969604863222</v>
      </c>
      <c r="J37" s="491"/>
      <c r="K37" s="449">
        <f t="shared" si="62"/>
        <v>0.30748630418597417</v>
      </c>
      <c r="L37" s="449">
        <f t="shared" si="62"/>
        <v>0.32595573440643866</v>
      </c>
      <c r="M37" s="449"/>
      <c r="N37" s="385">
        <f t="shared" si="62"/>
        <v>0.51246669483053575</v>
      </c>
      <c r="O37" s="385">
        <f t="shared" si="62"/>
        <v>0.51201923076923073</v>
      </c>
      <c r="P37" s="385"/>
      <c r="Q37" s="385">
        <f t="shared" si="62"/>
        <v>0.29486539293789871</v>
      </c>
      <c r="R37" s="385">
        <f t="shared" si="62"/>
        <v>0.28950542822677927</v>
      </c>
      <c r="S37" s="450"/>
      <c r="T37" s="450">
        <f t="shared" si="62"/>
        <v>0.47741433694853735</v>
      </c>
      <c r="U37" s="450">
        <f t="shared" si="62"/>
        <v>0.46974358974358976</v>
      </c>
      <c r="V37" s="491"/>
      <c r="W37" s="449">
        <f t="shared" si="62"/>
        <v>0.33176965242848333</v>
      </c>
      <c r="X37" s="449">
        <f t="shared" si="62"/>
        <v>0.30852713178294572</v>
      </c>
      <c r="Y37" s="491"/>
      <c r="Z37" s="450">
        <f t="shared" si="62"/>
        <v>0.44334612480157815</v>
      </c>
      <c r="AA37" s="450">
        <f t="shared" si="62"/>
        <v>0.43511904761904763</v>
      </c>
      <c r="AB37" s="491"/>
      <c r="AC37" s="448">
        <f t="shared" si="62"/>
        <v>0.3629993378945045</v>
      </c>
      <c r="AD37" s="448">
        <f t="shared" si="62"/>
        <v>0.37546468401486988</v>
      </c>
      <c r="AE37" s="491"/>
      <c r="AF37" s="385">
        <f t="shared" si="62"/>
        <v>0.26278092761787825</v>
      </c>
      <c r="AG37" s="385">
        <f t="shared" si="62"/>
        <v>0.26496478873239437</v>
      </c>
      <c r="AH37" s="450"/>
      <c r="AI37" s="385">
        <f t="shared" ref="AI37:AJ37" si="63">AI8/AI$26</f>
        <v>0.46808333432484206</v>
      </c>
      <c r="AJ37" s="385">
        <f t="shared" si="63"/>
        <v>0.46326707000864303</v>
      </c>
      <c r="AK37" s="450"/>
      <c r="AL37" s="461"/>
      <c r="AM37" s="461"/>
      <c r="AN37" s="458"/>
      <c r="AO37" s="459">
        <f t="shared" si="53"/>
        <v>0.36887248794069954</v>
      </c>
      <c r="AP37" s="459">
        <f t="shared" si="54"/>
        <v>0.36476072432376488</v>
      </c>
      <c r="AQ37" s="601" t="s">
        <v>416</v>
      </c>
      <c r="AR37" s="13" t="s">
        <v>75</v>
      </c>
      <c r="BM37" s="576" t="s">
        <v>82</v>
      </c>
      <c r="BN37" s="605">
        <f t="shared" ref="BN37:CQ37" si="64">BN8-BN9</f>
        <v>7.7760854254784295E-2</v>
      </c>
      <c r="BO37" s="605">
        <f t="shared" si="64"/>
        <v>8.5487108961287417E-2</v>
      </c>
      <c r="BP37" s="605">
        <f t="shared" si="64"/>
        <v>0.23671678656948814</v>
      </c>
      <c r="BQ37" s="605">
        <f t="shared" si="64"/>
        <v>0.2029239766081874</v>
      </c>
      <c r="BR37" s="605">
        <f t="shared" si="64"/>
        <v>0.20906949402971353</v>
      </c>
      <c r="BS37" s="605">
        <f t="shared" si="64"/>
        <v>0.21183227539800953</v>
      </c>
      <c r="BT37" s="605">
        <f t="shared" si="64"/>
        <v>0.22550130341431895</v>
      </c>
      <c r="BU37" s="605">
        <f t="shared" si="64"/>
        <v>0.2029239766081874</v>
      </c>
      <c r="BV37" s="605">
        <f t="shared" si="64"/>
        <v>0.32016350219800582</v>
      </c>
      <c r="BW37" s="605">
        <f t="shared" si="64"/>
        <v>0.31427125506072873</v>
      </c>
      <c r="BX37" s="605">
        <f t="shared" si="64"/>
        <v>0.15291139981591595</v>
      </c>
      <c r="BY37" s="605">
        <f t="shared" si="64"/>
        <v>0.16080156402737078</v>
      </c>
      <c r="BZ37" s="605">
        <f t="shared" si="64"/>
        <v>0.2845279831850922</v>
      </c>
      <c r="CA37" s="605">
        <f t="shared" si="64"/>
        <v>0.27576640310722711</v>
      </c>
      <c r="CB37" s="605">
        <f t="shared" si="64"/>
        <v>7.7760854254784295E-2</v>
      </c>
      <c r="CC37" s="605">
        <f t="shared" si="64"/>
        <v>8.5487108961287417E-2</v>
      </c>
      <c r="CD37" s="605">
        <f t="shared" si="64"/>
        <v>0.23790639478991249</v>
      </c>
      <c r="CE37" s="605">
        <f t="shared" si="64"/>
        <v>0.26570512820512793</v>
      </c>
      <c r="CF37" s="605">
        <f t="shared" si="64"/>
        <v>0.12206174099483103</v>
      </c>
      <c r="CG37" s="605">
        <f t="shared" si="64"/>
        <v>0.12264812119251722</v>
      </c>
      <c r="CH37" s="605">
        <f t="shared" si="64"/>
        <v>0.24680046614751161</v>
      </c>
      <c r="CI37" s="605">
        <f t="shared" si="64"/>
        <v>0.28249043382047878</v>
      </c>
      <c r="CJ37" s="605">
        <f t="shared" si="64"/>
        <v>0.18698776056713839</v>
      </c>
      <c r="CK37" s="605">
        <f t="shared" si="64"/>
        <v>0.19031697181805241</v>
      </c>
      <c r="CL37" s="605">
        <f t="shared" si="64"/>
        <v>0.20842624238985019</v>
      </c>
      <c r="CM37" s="605">
        <f t="shared" si="64"/>
        <v>0.21791179117911819</v>
      </c>
      <c r="CN37" s="605">
        <f t="shared" si="64"/>
        <v>0.23671678656948814</v>
      </c>
      <c r="CO37" s="605">
        <f t="shared" si="64"/>
        <v>0.2570585149604514</v>
      </c>
      <c r="CP37" s="605">
        <f t="shared" si="64"/>
        <v>0.19335803819282038</v>
      </c>
      <c r="CQ37" s="605">
        <f t="shared" si="64"/>
        <v>0.1808043117744611</v>
      </c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</row>
    <row r="38" spans="1:110" ht="15.75" hidden="1" outlineLevel="1" thickBot="1" x14ac:dyDescent="0.3">
      <c r="A38" s="577">
        <v>4</v>
      </c>
      <c r="B38" s="446">
        <f t="shared" si="55"/>
        <v>0.30284706071056222</v>
      </c>
      <c r="C38" s="384">
        <f t="shared" si="55"/>
        <v>0.2737752161383285</v>
      </c>
      <c r="D38" s="495"/>
      <c r="E38" s="451">
        <f t="shared" ref="E38:AG38" si="65">E9/E$26</f>
        <v>0.35127503646727321</v>
      </c>
      <c r="F38" s="446">
        <f t="shared" si="65"/>
        <v>0.32671957671957674</v>
      </c>
      <c r="G38" s="495"/>
      <c r="H38" s="384">
        <f t="shared" si="65"/>
        <v>0.38770676023089234</v>
      </c>
      <c r="I38" s="384">
        <f t="shared" si="65"/>
        <v>0.40121580547112462</v>
      </c>
      <c r="J38" s="506"/>
      <c r="K38" s="451">
        <f t="shared" si="65"/>
        <v>0.33696703003633699</v>
      </c>
      <c r="L38" s="451">
        <f t="shared" si="65"/>
        <v>0.35814889336016098</v>
      </c>
      <c r="M38" s="506"/>
      <c r="N38" s="384">
        <f t="shared" si="65"/>
        <v>0.53373599300643726</v>
      </c>
      <c r="O38" s="384">
        <f t="shared" si="65"/>
        <v>0.53545673076923073</v>
      </c>
      <c r="P38" s="446"/>
      <c r="Q38" s="446">
        <f t="shared" si="65"/>
        <v>0.31711083284038444</v>
      </c>
      <c r="R38" s="446">
        <f t="shared" si="65"/>
        <v>0.31363088057901084</v>
      </c>
      <c r="S38" s="446"/>
      <c r="T38" s="384">
        <f t="shared" si="65"/>
        <v>0.50695674718057293</v>
      </c>
      <c r="U38" s="384">
        <f t="shared" si="65"/>
        <v>0.49846153846153846</v>
      </c>
      <c r="V38" s="506"/>
      <c r="W38" s="451">
        <f t="shared" si="65"/>
        <v>0.36135796999470088</v>
      </c>
      <c r="X38" s="451">
        <f t="shared" si="65"/>
        <v>0.33798449612403103</v>
      </c>
      <c r="Y38" s="506"/>
      <c r="Z38" s="384">
        <f t="shared" si="65"/>
        <v>0.48342194892659546</v>
      </c>
      <c r="AA38" s="384">
        <f t="shared" si="65"/>
        <v>0.47440476190476188</v>
      </c>
      <c r="AB38" s="447"/>
      <c r="AC38" s="447">
        <f t="shared" si="65"/>
        <v>0.39271132200397263</v>
      </c>
      <c r="AD38" s="447">
        <f t="shared" si="65"/>
        <v>0.40892193308550184</v>
      </c>
      <c r="AE38" s="447"/>
      <c r="AF38" s="384">
        <f t="shared" si="65"/>
        <v>0.28021138035222032</v>
      </c>
      <c r="AG38" s="384">
        <f t="shared" si="65"/>
        <v>0.28433098591549294</v>
      </c>
      <c r="AH38" s="384"/>
      <c r="AI38" s="384">
        <f t="shared" ref="AI38:AJ38" si="66">AI9/AI$26</f>
        <v>0.51466441395885631</v>
      </c>
      <c r="AJ38" s="384">
        <f t="shared" si="66"/>
        <v>0.5056179775280899</v>
      </c>
      <c r="AK38" s="384"/>
      <c r="AL38" s="461"/>
      <c r="AM38" s="461"/>
      <c r="AN38" s="510"/>
      <c r="AO38" s="458">
        <f t="shared" si="53"/>
        <v>0.39741387464240036</v>
      </c>
      <c r="AP38" s="458">
        <f t="shared" si="54"/>
        <v>0.39322239967140399</v>
      </c>
      <c r="AQ38" s="458"/>
      <c r="AR38" s="13"/>
      <c r="BM38" s="576" t="s">
        <v>83</v>
      </c>
      <c r="BN38" s="605">
        <f t="shared" ref="BN38:CQ38" si="67">BN9-BN10</f>
        <v>5.2379440451822523E-2</v>
      </c>
      <c r="BO38" s="605">
        <f t="shared" si="67"/>
        <v>5.4928368653858861E-2</v>
      </c>
      <c r="BP38" s="605">
        <f t="shared" si="67"/>
        <v>0.27004877130939331</v>
      </c>
      <c r="BQ38" s="605">
        <f t="shared" si="67"/>
        <v>0.41616434248013157</v>
      </c>
      <c r="BR38" s="605">
        <f t="shared" si="67"/>
        <v>0.17675284221513188</v>
      </c>
      <c r="BS38" s="605">
        <f t="shared" si="67"/>
        <v>0.18690958195022267</v>
      </c>
      <c r="BT38" s="605">
        <f t="shared" si="67"/>
        <v>0.45337202469196036</v>
      </c>
      <c r="BU38" s="605">
        <f t="shared" si="67"/>
        <v>0.52650545282124206</v>
      </c>
      <c r="BV38" s="605">
        <f t="shared" si="67"/>
        <v>0.14216946683521492</v>
      </c>
      <c r="BW38" s="605">
        <f t="shared" si="67"/>
        <v>0.19709238130290752</v>
      </c>
      <c r="BX38" s="605">
        <f t="shared" si="67"/>
        <v>0.14257290966122182</v>
      </c>
      <c r="BY38" s="605">
        <f t="shared" si="67"/>
        <v>0.14242424242424212</v>
      </c>
      <c r="BZ38" s="605">
        <f t="shared" si="67"/>
        <v>0.20896632969793583</v>
      </c>
      <c r="CA38" s="605">
        <f t="shared" si="67"/>
        <v>0.19004059062297785</v>
      </c>
      <c r="CB38" s="605">
        <f t="shared" si="67"/>
        <v>5.2379440451822523E-2</v>
      </c>
      <c r="CC38" s="605">
        <f t="shared" si="67"/>
        <v>5.4928368653858861E-2</v>
      </c>
      <c r="CD38" s="605">
        <f t="shared" si="67"/>
        <v>0.19513004264583644</v>
      </c>
      <c r="CE38" s="605">
        <f t="shared" si="67"/>
        <v>0.24874522640480112</v>
      </c>
      <c r="CF38" s="605">
        <f t="shared" si="67"/>
        <v>4.9867776038700296E-2</v>
      </c>
      <c r="CG38" s="605">
        <f t="shared" si="67"/>
        <v>4.4402215763718056E-2</v>
      </c>
      <c r="CH38" s="605">
        <f t="shared" si="67"/>
        <v>0.1722490408399473</v>
      </c>
      <c r="CI38" s="605">
        <f t="shared" si="67"/>
        <v>0.21403474526644528</v>
      </c>
      <c r="CJ38" s="605">
        <f t="shared" si="67"/>
        <v>0.12524495731117846</v>
      </c>
      <c r="CK38" s="605">
        <f t="shared" si="67"/>
        <v>0.12443356802886862</v>
      </c>
      <c r="CL38" s="605">
        <f t="shared" si="67"/>
        <v>0.13228050488324428</v>
      </c>
      <c r="CM38" s="605">
        <f t="shared" si="67"/>
        <v>0.12648902821316588</v>
      </c>
      <c r="CN38" s="605">
        <f t="shared" si="67"/>
        <v>0.27004877130939331</v>
      </c>
      <c r="CO38" s="605">
        <f t="shared" si="67"/>
        <v>0.28056062730985332</v>
      </c>
      <c r="CP38" s="605">
        <f t="shared" si="67"/>
        <v>7.3890348329762823E-2</v>
      </c>
      <c r="CQ38" s="605">
        <f t="shared" si="67"/>
        <v>8.4160756501182155E-2</v>
      </c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</row>
    <row r="39" spans="1:110" ht="15.75" hidden="1" outlineLevel="1" thickBot="1" x14ac:dyDescent="0.3">
      <c r="A39" s="488">
        <v>5</v>
      </c>
      <c r="B39" s="448">
        <f t="shared" si="55"/>
        <v>0.35104659555698131</v>
      </c>
      <c r="C39" s="385">
        <f t="shared" si="55"/>
        <v>0.31988472622478387</v>
      </c>
      <c r="D39" s="494"/>
      <c r="E39" s="450">
        <f t="shared" ref="E39:AG39" si="68">E10/E$26</f>
        <v>0.36974007182148905</v>
      </c>
      <c r="F39" s="448">
        <f t="shared" si="68"/>
        <v>0.34920634920634919</v>
      </c>
      <c r="G39" s="494"/>
      <c r="H39" s="385">
        <f t="shared" si="68"/>
        <v>0.41039177324688342</v>
      </c>
      <c r="I39" s="385">
        <f t="shared" si="68"/>
        <v>0.42553191489361702</v>
      </c>
      <c r="J39" s="450"/>
      <c r="K39" s="450">
        <f t="shared" si="68"/>
        <v>0.36249180473602916</v>
      </c>
      <c r="L39" s="450">
        <f t="shared" si="68"/>
        <v>0.38430583501006038</v>
      </c>
      <c r="M39" s="450"/>
      <c r="N39" s="385">
        <f t="shared" si="68"/>
        <v>0.54908669591805148</v>
      </c>
      <c r="O39" s="385">
        <f t="shared" si="68"/>
        <v>0.55168269230769229</v>
      </c>
      <c r="P39" s="491"/>
      <c r="Q39" s="448">
        <f t="shared" si="68"/>
        <v>0.33802723126602086</v>
      </c>
      <c r="R39" s="448">
        <f t="shared" si="68"/>
        <v>0.34016887816646563</v>
      </c>
      <c r="S39" s="491"/>
      <c r="T39" s="385">
        <f t="shared" si="68"/>
        <v>0.52010543144795407</v>
      </c>
      <c r="U39" s="385">
        <f t="shared" si="68"/>
        <v>0.5097435897435898</v>
      </c>
      <c r="V39" s="450"/>
      <c r="W39" s="450">
        <f t="shared" si="68"/>
        <v>0.38534309765187252</v>
      </c>
      <c r="X39" s="450">
        <f t="shared" si="68"/>
        <v>0.36434108527131781</v>
      </c>
      <c r="Y39" s="450"/>
      <c r="Z39" s="385">
        <f t="shared" si="68"/>
        <v>0.51457765037680891</v>
      </c>
      <c r="AA39" s="385">
        <f t="shared" si="68"/>
        <v>0.50416666666666665</v>
      </c>
      <c r="AB39" s="385"/>
      <c r="AC39" s="385">
        <f t="shared" si="68"/>
        <v>0.41422975060693001</v>
      </c>
      <c r="AD39" s="385">
        <f t="shared" si="68"/>
        <v>0.43122676579925651</v>
      </c>
      <c r="AE39" s="449"/>
      <c r="AF39" s="449">
        <f t="shared" si="68"/>
        <v>0.30315104386102182</v>
      </c>
      <c r="AG39" s="449">
        <f t="shared" si="68"/>
        <v>0.30897887323943662</v>
      </c>
      <c r="AH39" s="449"/>
      <c r="AI39" s="449">
        <f t="shared" ref="AI39:AJ39" si="69">AI10/AI$26</f>
        <v>0.53501017287946029</v>
      </c>
      <c r="AJ39" s="449">
        <f t="shared" si="69"/>
        <v>0.5280898876404494</v>
      </c>
      <c r="AK39" s="449"/>
      <c r="AL39" s="461"/>
      <c r="AM39" s="461"/>
      <c r="AN39" s="458"/>
      <c r="AO39" s="458">
        <f t="shared" si="53"/>
        <v>0.42110010994745856</v>
      </c>
      <c r="AP39" s="458">
        <f t="shared" si="54"/>
        <v>0.41811060534747374</v>
      </c>
      <c r="AQ39" s="458"/>
      <c r="AR39" s="13"/>
      <c r="BM39" s="576" t="s">
        <v>84</v>
      </c>
      <c r="BN39" s="605">
        <f t="shared" ref="BN39:CQ39" si="70">BN10-BN11</f>
        <v>5.8010286895302299E-2</v>
      </c>
      <c r="BO39" s="605">
        <f t="shared" si="70"/>
        <v>6.6571107864854984E-2</v>
      </c>
      <c r="BP39" s="605">
        <f t="shared" si="70"/>
        <v>0.3805328979470759</v>
      </c>
      <c r="BQ39" s="605">
        <f t="shared" si="70"/>
        <v>0.21907593211941023</v>
      </c>
      <c r="BR39" s="605">
        <f t="shared" si="70"/>
        <v>0.17008725685042014</v>
      </c>
      <c r="BS39" s="605">
        <f t="shared" si="70"/>
        <v>0.14931592417675033</v>
      </c>
      <c r="BT39" s="605">
        <f t="shared" si="70"/>
        <v>8.6451992102024811E-2</v>
      </c>
      <c r="BU39" s="605">
        <f t="shared" si="70"/>
        <v>0.10873482177829974</v>
      </c>
      <c r="BV39" s="605">
        <f t="shared" si="70"/>
        <v>8.4399479770497887E-2</v>
      </c>
      <c r="BW39" s="605">
        <f t="shared" si="70"/>
        <v>0.10451227604512292</v>
      </c>
      <c r="BX39" s="605">
        <f t="shared" si="70"/>
        <v>0.13878968573629846</v>
      </c>
      <c r="BY39" s="605">
        <f t="shared" si="70"/>
        <v>0.11190476190476195</v>
      </c>
      <c r="BZ39" s="605">
        <f t="shared" si="70"/>
        <v>0.3577065621691764</v>
      </c>
      <c r="CA39" s="605">
        <f t="shared" si="70"/>
        <v>0.34300333174678688</v>
      </c>
      <c r="CB39" s="605">
        <f t="shared" si="70"/>
        <v>5.8010286895302299E-2</v>
      </c>
      <c r="CC39" s="605">
        <f t="shared" si="70"/>
        <v>6.6571107864854984E-2</v>
      </c>
      <c r="CD39" s="605">
        <f t="shared" si="70"/>
        <v>0.37146580745511359</v>
      </c>
      <c r="CE39" s="605">
        <f t="shared" si="70"/>
        <v>0.39677152678066374</v>
      </c>
      <c r="CF39" s="605">
        <f t="shared" si="70"/>
        <v>4.4166337707995496E-2</v>
      </c>
      <c r="CG39" s="605">
        <f t="shared" si="70"/>
        <v>4.2479285159777724E-2</v>
      </c>
      <c r="CH39" s="605">
        <f t="shared" si="70"/>
        <v>6.8354799155871504E-2</v>
      </c>
      <c r="CI39" s="605">
        <f t="shared" si="70"/>
        <v>6.8332303345987722E-2</v>
      </c>
      <c r="CJ39" s="605">
        <f t="shared" si="70"/>
        <v>9.9394861821818337E-2</v>
      </c>
      <c r="CK39" s="605">
        <f t="shared" si="70"/>
        <v>0.11887617981856713</v>
      </c>
      <c r="CL39" s="605">
        <f t="shared" si="70"/>
        <v>0.18168711459343978</v>
      </c>
      <c r="CM39" s="605">
        <f t="shared" si="70"/>
        <v>0.13197364732268024</v>
      </c>
      <c r="CN39" s="605">
        <f t="shared" si="70"/>
        <v>0.3805328979470759</v>
      </c>
      <c r="CO39" s="605">
        <f t="shared" si="70"/>
        <v>0.36051786937862929</v>
      </c>
      <c r="CP39" s="605">
        <f t="shared" si="70"/>
        <v>6.243804098627459E-2</v>
      </c>
      <c r="CQ39" s="605">
        <f t="shared" si="70"/>
        <v>6.5812913851635235E-2</v>
      </c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</row>
    <row r="40" spans="1:110" ht="15.75" hidden="1" outlineLevel="1" thickBot="1" x14ac:dyDescent="0.3">
      <c r="A40" s="577">
        <v>6</v>
      </c>
      <c r="B40" s="447">
        <f t="shared" si="55"/>
        <v>0.36203384393295374</v>
      </c>
      <c r="C40" s="446">
        <f t="shared" si="55"/>
        <v>0.33141210374639768</v>
      </c>
      <c r="D40" s="496"/>
      <c r="E40" s="384">
        <f t="shared" ref="E40:AG40" si="71">E11/E$26</f>
        <v>0.38164978529709842</v>
      </c>
      <c r="F40" s="447">
        <f t="shared" si="71"/>
        <v>0.36243386243386244</v>
      </c>
      <c r="G40" s="496"/>
      <c r="H40" s="384">
        <f t="shared" si="71"/>
        <v>0.43517874755444891</v>
      </c>
      <c r="I40" s="384">
        <f t="shared" si="71"/>
        <v>0.44680851063829785</v>
      </c>
      <c r="J40" s="384"/>
      <c r="K40" s="384">
        <f t="shared" si="71"/>
        <v>0.41649720527608314</v>
      </c>
      <c r="L40" s="384">
        <f t="shared" si="71"/>
        <v>0.44265593561368211</v>
      </c>
      <c r="M40" s="384"/>
      <c r="N40" s="384">
        <f t="shared" si="71"/>
        <v>0.56715200542084765</v>
      </c>
      <c r="O40" s="384">
        <f t="shared" si="71"/>
        <v>0.57271634615384615</v>
      </c>
      <c r="P40" s="447"/>
      <c r="Q40" s="447">
        <f t="shared" si="71"/>
        <v>0.38656669406694372</v>
      </c>
      <c r="R40" s="447">
        <f t="shared" si="71"/>
        <v>0.39324487334137515</v>
      </c>
      <c r="S40" s="447"/>
      <c r="T40" s="384">
        <f t="shared" si="71"/>
        <v>0.53233375102622826</v>
      </c>
      <c r="U40" s="384">
        <f t="shared" si="71"/>
        <v>0.52102564102564097</v>
      </c>
      <c r="V40" s="384"/>
      <c r="W40" s="384">
        <f t="shared" si="71"/>
        <v>0.39576763701753931</v>
      </c>
      <c r="X40" s="384">
        <f t="shared" si="71"/>
        <v>0.37364341085271319</v>
      </c>
      <c r="Y40" s="384"/>
      <c r="Z40" s="384">
        <f t="shared" si="71"/>
        <v>0.5423151016382326</v>
      </c>
      <c r="AA40" s="384">
        <f t="shared" si="71"/>
        <v>0.53630952380952379</v>
      </c>
      <c r="AB40" s="384"/>
      <c r="AC40" s="384">
        <f t="shared" si="71"/>
        <v>0.44794195541822995</v>
      </c>
      <c r="AD40" s="384">
        <f t="shared" si="71"/>
        <v>0.45724907063197023</v>
      </c>
      <c r="AE40" s="506"/>
      <c r="AF40" s="451">
        <f t="shared" si="71"/>
        <v>0.34268254025575901</v>
      </c>
      <c r="AG40" s="451">
        <f t="shared" si="71"/>
        <v>0.34771126760563381</v>
      </c>
      <c r="AH40" s="506"/>
      <c r="AI40" s="449">
        <f t="shared" ref="AI40:AJ40" si="72">AI11/AI$26</f>
        <v>0.55349982747748283</v>
      </c>
      <c r="AJ40" s="449">
        <f t="shared" si="72"/>
        <v>0.54710458081244595</v>
      </c>
      <c r="AK40" s="506"/>
      <c r="AL40" s="461"/>
      <c r="AM40" s="461"/>
      <c r="AN40" s="510"/>
      <c r="AO40" s="458">
        <f t="shared" si="53"/>
        <v>0.44696825786515393</v>
      </c>
      <c r="AP40" s="458">
        <f t="shared" si="54"/>
        <v>0.44435959388878249</v>
      </c>
      <c r="AQ40" s="458"/>
      <c r="AR40" s="13"/>
      <c r="AX40" s="203"/>
      <c r="BL40" s="203"/>
      <c r="BM40" s="576" t="s">
        <v>85</v>
      </c>
      <c r="BN40" s="605">
        <f t="shared" ref="BN40:CQ40" si="73">BN11-BN12</f>
        <v>0.14010090458882241</v>
      </c>
      <c r="BO40" s="605">
        <f t="shared" si="73"/>
        <v>0.1521953259117208</v>
      </c>
      <c r="BP40" s="605">
        <f t="shared" si="73"/>
        <v>0.27949062297929173</v>
      </c>
      <c r="BQ40" s="605">
        <f t="shared" si="73"/>
        <v>0.21900420757363293</v>
      </c>
      <c r="BR40" s="605">
        <f t="shared" si="73"/>
        <v>0.15169541894912175</v>
      </c>
      <c r="BS40" s="605">
        <f t="shared" si="73"/>
        <v>0.14671273796602069</v>
      </c>
      <c r="BT40" s="605">
        <f t="shared" si="73"/>
        <v>0.18380214530463013</v>
      </c>
      <c r="BU40" s="605">
        <f t="shared" si="73"/>
        <v>0.21900420757363293</v>
      </c>
      <c r="BV40" s="605">
        <f t="shared" si="73"/>
        <v>0.1684128729345753</v>
      </c>
      <c r="BW40" s="605">
        <f t="shared" si="73"/>
        <v>0.19641222318446117</v>
      </c>
      <c r="BX40" s="605">
        <f t="shared" si="73"/>
        <v>8.8335228535640464E-2</v>
      </c>
      <c r="BY40" s="605">
        <f t="shared" si="73"/>
        <v>0.1017316017316019</v>
      </c>
      <c r="BZ40" s="605">
        <f t="shared" si="73"/>
        <v>0.16367445363659172</v>
      </c>
      <c r="CA40" s="605">
        <f t="shared" si="73"/>
        <v>0.15315870570107881</v>
      </c>
      <c r="CB40" s="605">
        <f t="shared" si="73"/>
        <v>0.14010090458882241</v>
      </c>
      <c r="CC40" s="605">
        <f t="shared" si="73"/>
        <v>0.1521953259117208</v>
      </c>
      <c r="CD40" s="605">
        <f t="shared" si="73"/>
        <v>0.21284311097900721</v>
      </c>
      <c r="CE40" s="605">
        <f t="shared" si="73"/>
        <v>0.2044398487457495</v>
      </c>
      <c r="CF40" s="605">
        <f t="shared" si="73"/>
        <v>5.2109889707866008E-2</v>
      </c>
      <c r="CG40" s="605">
        <f t="shared" si="73"/>
        <v>5.504659670887202E-2</v>
      </c>
      <c r="CH40" s="605">
        <f t="shared" si="73"/>
        <v>0.22534967727672406</v>
      </c>
      <c r="CI40" s="605">
        <f t="shared" si="73"/>
        <v>0.2145164866491398</v>
      </c>
      <c r="CJ40" s="605">
        <f t="shared" si="73"/>
        <v>8.9133935069228842E-2</v>
      </c>
      <c r="CK40" s="605">
        <f t="shared" si="73"/>
        <v>0.10174074975572212</v>
      </c>
      <c r="CL40" s="605">
        <f t="shared" si="73"/>
        <v>6.5396767427968516E-2</v>
      </c>
      <c r="CM40" s="605">
        <f t="shared" si="73"/>
        <v>6.8881633698226974E-2</v>
      </c>
      <c r="CN40" s="605">
        <f t="shared" si="73"/>
        <v>0.27949062297929173</v>
      </c>
      <c r="CO40" s="605">
        <f t="shared" si="73"/>
        <v>0.26445511421504397</v>
      </c>
      <c r="CP40" s="605">
        <f t="shared" si="73"/>
        <v>7.6326242047245918E-2</v>
      </c>
      <c r="CQ40" s="605">
        <f t="shared" si="73"/>
        <v>7.7425892598939283E-2</v>
      </c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</row>
    <row r="41" spans="1:110" ht="15.75" hidden="1" outlineLevel="1" thickBot="1" x14ac:dyDescent="0.3">
      <c r="A41" s="488">
        <v>7</v>
      </c>
      <c r="B41" s="385">
        <f t="shared" si="55"/>
        <v>0.38784184778250058</v>
      </c>
      <c r="C41" s="448">
        <f t="shared" si="55"/>
        <v>0.35734870317002881</v>
      </c>
      <c r="E41" s="385">
        <f t="shared" ref="E41:AG41" si="74">E12/E$26</f>
        <v>0.40786521461502862</v>
      </c>
      <c r="F41" s="385">
        <f t="shared" si="74"/>
        <v>0.39021164021164023</v>
      </c>
      <c r="H41" s="385">
        <f t="shared" si="74"/>
        <v>0.45257651947547983</v>
      </c>
      <c r="I41" s="385">
        <f t="shared" si="74"/>
        <v>0.46808510638297873</v>
      </c>
      <c r="J41" s="385"/>
      <c r="K41" s="385">
        <f t="shared" si="74"/>
        <v>0.44696691891411361</v>
      </c>
      <c r="L41" s="385">
        <f t="shared" si="74"/>
        <v>0.47484909456740443</v>
      </c>
      <c r="M41" s="385"/>
      <c r="N41" s="385">
        <f t="shared" si="74"/>
        <v>0.61610694462453519</v>
      </c>
      <c r="O41" s="385">
        <f t="shared" si="74"/>
        <v>0.62740384615384615</v>
      </c>
      <c r="P41" s="385"/>
      <c r="Q41" s="385">
        <f t="shared" si="74"/>
        <v>0.42122420340736527</v>
      </c>
      <c r="R41" s="385">
        <f t="shared" si="74"/>
        <v>0.42762364294330518</v>
      </c>
      <c r="S41" s="385"/>
      <c r="T41" s="385">
        <f t="shared" si="74"/>
        <v>0.54752192887698226</v>
      </c>
      <c r="U41" s="385">
        <f t="shared" si="74"/>
        <v>0.53641025641025641</v>
      </c>
      <c r="V41" s="385"/>
      <c r="W41" s="385">
        <f t="shared" si="74"/>
        <v>0.43452086210940555</v>
      </c>
      <c r="X41" s="385">
        <f t="shared" si="74"/>
        <v>0.40620155038759692</v>
      </c>
      <c r="Y41" s="385"/>
      <c r="Z41" s="385">
        <f t="shared" si="74"/>
        <v>0.56986145144636058</v>
      </c>
      <c r="AA41" s="385">
        <f t="shared" si="74"/>
        <v>0.56726190476190474</v>
      </c>
      <c r="AB41" s="385"/>
      <c r="AC41" s="385">
        <f t="shared" si="74"/>
        <v>0.46145994261752371</v>
      </c>
      <c r="AD41" s="385">
        <f t="shared" si="74"/>
        <v>0.47211895910780671</v>
      </c>
      <c r="AE41" s="450"/>
      <c r="AF41" s="450">
        <f t="shared" si="74"/>
        <v>0.37897993331166563</v>
      </c>
      <c r="AG41" s="450">
        <f t="shared" si="74"/>
        <v>0.38292253521126762</v>
      </c>
      <c r="AH41" s="450"/>
      <c r="AI41" s="449">
        <f t="shared" ref="AI41:AJ41" si="75">AI12/AI$26</f>
        <v>0.57791473818220762</v>
      </c>
      <c r="AJ41" s="449">
        <f t="shared" si="75"/>
        <v>0.57130509939498708</v>
      </c>
      <c r="AK41" s="450"/>
      <c r="AL41" s="461">
        <f t="shared" ref="AL41:AM55" si="76">AL12/AL$26</f>
        <v>0.50067862104204253</v>
      </c>
      <c r="AM41" s="461">
        <f t="shared" si="76"/>
        <v>0.51764705882352946</v>
      </c>
      <c r="AN41" s="458"/>
      <c r="AO41" s="458">
        <f t="shared" si="53"/>
        <v>0.47523670878026403</v>
      </c>
      <c r="AP41" s="458">
        <f t="shared" si="54"/>
        <v>0.47347852822525199</v>
      </c>
      <c r="AQ41" s="458"/>
      <c r="AR41" s="1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M41" s="576" t="s">
        <v>176</v>
      </c>
      <c r="BN41" s="605">
        <f t="shared" ref="BN41:CQ41" si="77">BN12-BN13</f>
        <v>7.2197680810996756E-2</v>
      </c>
      <c r="BO41" s="605">
        <f t="shared" si="77"/>
        <v>5.8814381247260572E-2</v>
      </c>
      <c r="BP41" s="605">
        <f t="shared" si="77"/>
        <v>0.22077384235715991</v>
      </c>
      <c r="BQ41" s="605">
        <f t="shared" si="77"/>
        <v>0.24691650853889957</v>
      </c>
      <c r="BR41" s="605">
        <f t="shared" si="77"/>
        <v>0.14489339829809778</v>
      </c>
      <c r="BS41" s="605">
        <f t="shared" si="77"/>
        <v>0.13653669828266324</v>
      </c>
      <c r="BT41" s="605">
        <f t="shared" si="77"/>
        <v>0.24151385040250117</v>
      </c>
      <c r="BU41" s="605">
        <f t="shared" si="77"/>
        <v>0.24691650853889957</v>
      </c>
      <c r="BV41" s="605">
        <f t="shared" si="77"/>
        <v>0.10644872466052036</v>
      </c>
      <c r="BW41" s="605">
        <f t="shared" si="77"/>
        <v>0.10816640986132509</v>
      </c>
      <c r="BX41" s="605">
        <f t="shared" si="77"/>
        <v>0.10575275258120609</v>
      </c>
      <c r="BY41" s="605">
        <f t="shared" si="77"/>
        <v>0.11174825174825154</v>
      </c>
      <c r="BZ41" s="605">
        <f t="shared" si="77"/>
        <v>0.18111687455309644</v>
      </c>
      <c r="CA41" s="605">
        <f t="shared" si="77"/>
        <v>0.14150532591947473</v>
      </c>
      <c r="CB41" s="605">
        <f t="shared" si="77"/>
        <v>7.2197680810996756E-2</v>
      </c>
      <c r="CC41" s="605">
        <f t="shared" si="77"/>
        <v>5.8814381247260572E-2</v>
      </c>
      <c r="CD41" s="605">
        <f t="shared" si="77"/>
        <v>0.23845747610406764</v>
      </c>
      <c r="CE41" s="605">
        <f t="shared" si="77"/>
        <v>0.24507059309598089</v>
      </c>
      <c r="CF41" s="605">
        <f t="shared" si="77"/>
        <v>4.6864537163943343E-2</v>
      </c>
      <c r="CG41" s="605">
        <f t="shared" si="77"/>
        <v>5.5339361539853194E-2</v>
      </c>
      <c r="CH41" s="605">
        <f t="shared" si="77"/>
        <v>0.18852250960537509</v>
      </c>
      <c r="CI41" s="605">
        <f t="shared" si="77"/>
        <v>0.21444530148682084</v>
      </c>
      <c r="CJ41" s="605">
        <f t="shared" si="77"/>
        <v>7.6298169434927621E-2</v>
      </c>
      <c r="CK41" s="605">
        <f t="shared" si="77"/>
        <v>7.2713299735453596E-2</v>
      </c>
      <c r="CL41" s="605">
        <f t="shared" si="77"/>
        <v>0.11588096360527533</v>
      </c>
      <c r="CM41" s="605">
        <f t="shared" si="77"/>
        <v>0.11064754965330792</v>
      </c>
      <c r="CN41" s="605">
        <f t="shared" si="77"/>
        <v>0.22077384235715991</v>
      </c>
      <c r="CO41" s="605">
        <f t="shared" si="77"/>
        <v>0.22493963102482395</v>
      </c>
      <c r="CP41" s="605">
        <f t="shared" si="77"/>
        <v>6.0606397402576118E-2</v>
      </c>
      <c r="CQ41" s="605">
        <f t="shared" si="77"/>
        <v>6.6244299251057681E-2</v>
      </c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</row>
    <row r="42" spans="1:110" ht="15.75" hidden="1" outlineLevel="1" thickBot="1" x14ac:dyDescent="0.3">
      <c r="A42" s="577">
        <v>8</v>
      </c>
      <c r="B42" s="384">
        <f t="shared" si="55"/>
        <v>0.42792525463148606</v>
      </c>
      <c r="C42" s="447">
        <f t="shared" si="55"/>
        <v>0.39193083573487031</v>
      </c>
      <c r="D42" s="497"/>
      <c r="E42" s="384">
        <f t="shared" ref="E42:AG42" si="78">E13/E$26</f>
        <v>0.42637711554120949</v>
      </c>
      <c r="F42" s="384">
        <f t="shared" si="78"/>
        <v>0.40740740740740738</v>
      </c>
      <c r="G42" s="497"/>
      <c r="H42" s="384">
        <f t="shared" si="78"/>
        <v>0.47532620822351934</v>
      </c>
      <c r="I42" s="384">
        <f t="shared" si="78"/>
        <v>0.4939209726443769</v>
      </c>
      <c r="J42" s="384"/>
      <c r="K42" s="384">
        <f t="shared" si="78"/>
        <v>0.48633752264115299</v>
      </c>
      <c r="L42" s="384">
        <f t="shared" si="78"/>
        <v>0.50905432595573441</v>
      </c>
      <c r="M42" s="384"/>
      <c r="N42" s="384">
        <f t="shared" si="78"/>
        <v>0.64478808082751582</v>
      </c>
      <c r="O42" s="446">
        <f t="shared" si="78"/>
        <v>0.65144230769230771</v>
      </c>
      <c r="P42" s="446"/>
      <c r="Q42" s="384">
        <f t="shared" si="78"/>
        <v>0.46825793135590399</v>
      </c>
      <c r="R42" s="384">
        <f t="shared" si="78"/>
        <v>0.47768395657418578</v>
      </c>
      <c r="S42" s="384"/>
      <c r="T42" s="384">
        <f t="shared" si="78"/>
        <v>0.56194097567298962</v>
      </c>
      <c r="U42" s="384">
        <f t="shared" si="78"/>
        <v>0.55282051282051281</v>
      </c>
      <c r="V42" s="384"/>
      <c r="W42" s="384">
        <f t="shared" si="78"/>
        <v>0.47329146143354789</v>
      </c>
      <c r="X42" s="384">
        <f t="shared" si="78"/>
        <v>0.4449612403100775</v>
      </c>
      <c r="Y42" s="384"/>
      <c r="Z42" s="384">
        <f t="shared" si="78"/>
        <v>0.59576494521244627</v>
      </c>
      <c r="AA42" s="384">
        <f t="shared" si="78"/>
        <v>0.59166666666666667</v>
      </c>
      <c r="AB42" s="384"/>
      <c r="AC42" s="384">
        <f t="shared" si="78"/>
        <v>0.48753034650187599</v>
      </c>
      <c r="AD42" s="384">
        <f t="shared" si="78"/>
        <v>0.49814126394052044</v>
      </c>
      <c r="AE42" s="384"/>
      <c r="AF42" s="384">
        <f t="shared" si="78"/>
        <v>0.4135840365301201</v>
      </c>
      <c r="AG42" s="384">
        <f t="shared" si="78"/>
        <v>0.41901408450704225</v>
      </c>
      <c r="AH42" s="384"/>
      <c r="AI42" s="449">
        <f t="shared" ref="AI42:AJ42" si="79">AI13/AI$26</f>
        <v>0.59889109664830398</v>
      </c>
      <c r="AJ42" s="449">
        <f t="shared" si="79"/>
        <v>0.59377700950734658</v>
      </c>
      <c r="AK42" s="384"/>
      <c r="AL42" s="461">
        <f t="shared" si="76"/>
        <v>0.53270953422645184</v>
      </c>
      <c r="AM42" s="461">
        <f t="shared" si="76"/>
        <v>0.5505882352941176</v>
      </c>
      <c r="AN42" s="510"/>
      <c r="AO42" s="602">
        <f t="shared" si="53"/>
        <v>0.50500124793500589</v>
      </c>
      <c r="AP42" s="602">
        <f t="shared" si="54"/>
        <v>0.50265171531342068</v>
      </c>
      <c r="AQ42" s="603" t="s">
        <v>415</v>
      </c>
      <c r="AR42" s="604" t="s">
        <v>176</v>
      </c>
      <c r="BM42" s="576" t="s">
        <v>177</v>
      </c>
      <c r="BN42" s="605">
        <f t="shared" ref="BN42:CQ42" si="80">BN13-BN14</f>
        <v>4.3875054718877315E-2</v>
      </c>
      <c r="BO42" s="605">
        <f t="shared" si="80"/>
        <v>3.8652472855663866E-2</v>
      </c>
      <c r="BP42" s="605">
        <f t="shared" si="80"/>
        <v>0.1807345680612138</v>
      </c>
      <c r="BQ42" s="605">
        <f t="shared" si="80"/>
        <v>0.10780861640430794</v>
      </c>
      <c r="BR42" s="605">
        <f t="shared" si="80"/>
        <v>0.11056338684869327</v>
      </c>
      <c r="BS42" s="605">
        <f t="shared" si="80"/>
        <v>0.11248764369750708</v>
      </c>
      <c r="BT42" s="605">
        <f t="shared" si="80"/>
        <v>9.9702979072337161E-2</v>
      </c>
      <c r="BU42" s="605">
        <f t="shared" si="80"/>
        <v>0.10780861640430794</v>
      </c>
      <c r="BV42" s="605">
        <f t="shared" si="80"/>
        <v>0.11678176670562479</v>
      </c>
      <c r="BW42" s="605">
        <f t="shared" si="80"/>
        <v>0.15667311411992246</v>
      </c>
      <c r="BX42" s="605">
        <f t="shared" si="80"/>
        <v>0.1497267247284757</v>
      </c>
      <c r="BY42" s="605">
        <f t="shared" si="80"/>
        <v>0.14461538461538481</v>
      </c>
      <c r="BZ42" s="605">
        <f t="shared" si="80"/>
        <v>9.8624965571375123E-2</v>
      </c>
      <c r="CA42" s="605">
        <f t="shared" si="80"/>
        <v>0.10300365649657284</v>
      </c>
      <c r="CB42" s="605">
        <f t="shared" si="80"/>
        <v>4.3875054718877315E-2</v>
      </c>
      <c r="CC42" s="605">
        <f t="shared" si="80"/>
        <v>3.8652472855663866E-2</v>
      </c>
      <c r="CD42" s="605">
        <f t="shared" si="80"/>
        <v>0.13297514574150426</v>
      </c>
      <c r="CE42" s="605">
        <f t="shared" si="80"/>
        <v>0.14513822122517772</v>
      </c>
      <c r="CF42" s="605">
        <f t="shared" si="80"/>
        <v>4.2279504028683634E-2</v>
      </c>
      <c r="CG42" s="605">
        <f t="shared" si="80"/>
        <v>3.9395398482772181E-2</v>
      </c>
      <c r="CH42" s="605">
        <f t="shared" si="80"/>
        <v>0.20903589326107541</v>
      </c>
      <c r="CI42" s="605">
        <f t="shared" si="80"/>
        <v>0.2566460188411408</v>
      </c>
      <c r="CJ42" s="605">
        <f t="shared" si="80"/>
        <v>7.2519729246474762E-2</v>
      </c>
      <c r="CK42" s="605">
        <f t="shared" si="80"/>
        <v>7.4756229685807085E-2</v>
      </c>
      <c r="CL42" s="605">
        <f t="shared" si="80"/>
        <v>3.5360797143403566E-2</v>
      </c>
      <c r="CM42" s="605">
        <f t="shared" si="80"/>
        <v>5.8187324248323735E-2</v>
      </c>
      <c r="CN42" s="605">
        <f t="shared" si="80"/>
        <v>0.21531469511779866</v>
      </c>
      <c r="CO42" s="605">
        <f t="shared" si="80"/>
        <v>0.21861569055102947</v>
      </c>
      <c r="CP42" s="605">
        <f t="shared" si="80"/>
        <v>4.2038897150301402E-2</v>
      </c>
      <c r="CQ42" s="605">
        <f t="shared" si="80"/>
        <v>4.299916380191382E-2</v>
      </c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</row>
    <row r="43" spans="1:110" ht="15.75" hidden="1" outlineLevel="1" thickBot="1" x14ac:dyDescent="0.3">
      <c r="A43" s="488">
        <v>9</v>
      </c>
      <c r="B43" s="385">
        <f t="shared" si="55"/>
        <v>0.44699655144759004</v>
      </c>
      <c r="C43" s="385">
        <f t="shared" si="55"/>
        <v>0.40922190201729108</v>
      </c>
      <c r="D43" s="494"/>
      <c r="E43" s="385">
        <f t="shared" ref="E43:AG43" si="81">E14/E$26</f>
        <v>0.4487202769755303</v>
      </c>
      <c r="F43" s="385">
        <f t="shared" si="81"/>
        <v>0.43518518518518517</v>
      </c>
      <c r="G43" s="494"/>
      <c r="H43" s="385">
        <f t="shared" si="81"/>
        <v>0.51174672983329828</v>
      </c>
      <c r="I43" s="385">
        <f t="shared" si="81"/>
        <v>0.53191489361702127</v>
      </c>
      <c r="J43" s="385"/>
      <c r="K43" s="385">
        <f t="shared" si="81"/>
        <v>0.51083997288617755</v>
      </c>
      <c r="L43" s="385">
        <f t="shared" si="81"/>
        <v>0.53722334004024141</v>
      </c>
      <c r="M43" s="449"/>
      <c r="N43" s="449">
        <f t="shared" si="81"/>
        <v>0.66356027555975694</v>
      </c>
      <c r="O43" s="448">
        <f t="shared" si="81"/>
        <v>0.66826923076923073</v>
      </c>
      <c r="P43" s="491"/>
      <c r="Q43" s="385">
        <f t="shared" si="81"/>
        <v>0.49935084390292622</v>
      </c>
      <c r="R43" s="385">
        <f t="shared" si="81"/>
        <v>0.51326899879372734</v>
      </c>
      <c r="S43" s="385"/>
      <c r="T43" s="385">
        <f t="shared" si="81"/>
        <v>0.57561681718014091</v>
      </c>
      <c r="U43" s="385">
        <f t="shared" si="81"/>
        <v>0.56512820512820516</v>
      </c>
      <c r="V43" s="385"/>
      <c r="W43" s="385">
        <f t="shared" si="81"/>
        <v>0.52525779017139684</v>
      </c>
      <c r="X43" s="385">
        <f t="shared" si="81"/>
        <v>0.50232558139534889</v>
      </c>
      <c r="Y43" s="385"/>
      <c r="Z43" s="385">
        <f t="shared" si="81"/>
        <v>0.62266709818607735</v>
      </c>
      <c r="AA43" s="385">
        <f t="shared" si="81"/>
        <v>0.61904761904761907</v>
      </c>
      <c r="AB43" s="385"/>
      <c r="AC43" s="385">
        <f t="shared" si="81"/>
        <v>0.49608254248510264</v>
      </c>
      <c r="AD43" s="385">
        <f t="shared" si="81"/>
        <v>0.51301115241635686</v>
      </c>
      <c r="AE43" s="385"/>
      <c r="AF43" s="385">
        <f t="shared" si="81"/>
        <v>0.45401434080066128</v>
      </c>
      <c r="AG43" s="385">
        <f t="shared" si="81"/>
        <v>0.46126760563380281</v>
      </c>
      <c r="AH43" s="385"/>
      <c r="AI43" s="385">
        <f t="shared" ref="AI43:AJ43" si="82">AI14/AI$26</f>
        <v>0.61435863266981572</v>
      </c>
      <c r="AJ43" s="385">
        <f t="shared" si="82"/>
        <v>0.60933448573898008</v>
      </c>
      <c r="AK43" s="385"/>
      <c r="AL43" s="461">
        <f t="shared" si="76"/>
        <v>0.57457646063199574</v>
      </c>
      <c r="AM43" s="461">
        <f t="shared" si="76"/>
        <v>0.56470588235294117</v>
      </c>
      <c r="AN43" s="458"/>
      <c r="AO43" s="458">
        <f t="shared" si="53"/>
        <v>0.53076765600820608</v>
      </c>
      <c r="AP43" s="458">
        <f t="shared" si="54"/>
        <v>0.5304331833152508</v>
      </c>
      <c r="AQ43" s="458"/>
      <c r="AR43" s="13"/>
      <c r="BM43" s="576" t="s">
        <v>178</v>
      </c>
      <c r="BN43" s="605">
        <f t="shared" ref="BN43:CQ43" si="83">BN14-BN15</f>
        <v>4.2035642238921644E-2</v>
      </c>
      <c r="BO43" s="605">
        <f t="shared" si="83"/>
        <v>3.6753754890824109E-2</v>
      </c>
      <c r="BP43" s="605">
        <f t="shared" si="83"/>
        <v>0.1382074952826633</v>
      </c>
      <c r="BQ43" s="605">
        <f t="shared" si="83"/>
        <v>0.28366197183098585</v>
      </c>
      <c r="BR43" s="605">
        <f t="shared" si="83"/>
        <v>9.9659174467680023E-2</v>
      </c>
      <c r="BS43" s="605">
        <f t="shared" si="83"/>
        <v>9.8323740434840712E-2</v>
      </c>
      <c r="BT43" s="605">
        <f t="shared" si="83"/>
        <v>0.26339869890041334</v>
      </c>
      <c r="BU43" s="605">
        <f t="shared" si="83"/>
        <v>0.28838246872539575</v>
      </c>
      <c r="BV43" s="605">
        <f t="shared" si="83"/>
        <v>0.12961363584937091</v>
      </c>
      <c r="BW43" s="605">
        <f t="shared" si="83"/>
        <v>0.13787234042553198</v>
      </c>
      <c r="BX43" s="605">
        <f t="shared" si="83"/>
        <v>9.8217658680072928E-2</v>
      </c>
      <c r="BY43" s="605">
        <f t="shared" si="83"/>
        <v>9.6802168021680179E-2</v>
      </c>
      <c r="BZ43" s="605">
        <f t="shared" si="83"/>
        <v>0.11548294883162291</v>
      </c>
      <c r="CA43" s="605">
        <f t="shared" si="83"/>
        <v>9.9011873456052335E-2</v>
      </c>
      <c r="CB43" s="605">
        <f t="shared" si="83"/>
        <v>4.2035642238921644E-2</v>
      </c>
      <c r="CC43" s="605">
        <f t="shared" si="83"/>
        <v>3.6753754890824109E-2</v>
      </c>
      <c r="CD43" s="605">
        <f t="shared" si="83"/>
        <v>8.7195123530364071E-2</v>
      </c>
      <c r="CE43" s="605">
        <f t="shared" si="83"/>
        <v>9.1633188278594568E-2</v>
      </c>
      <c r="CF43" s="605">
        <f t="shared" si="83"/>
        <v>4.4475250594836035E-2</v>
      </c>
      <c r="CG43" s="605">
        <f t="shared" si="83"/>
        <v>4.3846265037020382E-2</v>
      </c>
      <c r="CH43" s="605">
        <f t="shared" si="83"/>
        <v>6.5196224755324161E-2</v>
      </c>
      <c r="CI43" s="605">
        <f t="shared" si="83"/>
        <v>7.1097883597883493E-2</v>
      </c>
      <c r="CJ43" s="605">
        <f t="shared" si="83"/>
        <v>5.3792859040129759E-2</v>
      </c>
      <c r="CK43" s="605">
        <f t="shared" si="83"/>
        <v>4.9680980715463452E-2</v>
      </c>
      <c r="CL43" s="605">
        <f t="shared" si="83"/>
        <v>5.9614402433854519E-2</v>
      </c>
      <c r="CM43" s="605">
        <f t="shared" si="83"/>
        <v>6.815648119995954E-2</v>
      </c>
      <c r="CN43" s="605">
        <f t="shared" si="83"/>
        <v>0.13722847428956975</v>
      </c>
      <c r="CO43" s="605">
        <f t="shared" si="83"/>
        <v>0.15375453413458962</v>
      </c>
      <c r="CP43" s="605">
        <f t="shared" si="83"/>
        <v>6.1338450208062056E-2</v>
      </c>
      <c r="CQ43" s="605">
        <f t="shared" si="83"/>
        <v>4.9662949847327553E-2</v>
      </c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</row>
    <row r="44" spans="1:110" ht="15.75" hidden="1" outlineLevel="1" thickBot="1" x14ac:dyDescent="0.3">
      <c r="A44" s="577">
        <v>10</v>
      </c>
      <c r="B44" s="384">
        <f t="shared" si="55"/>
        <v>0.50664848825086217</v>
      </c>
      <c r="C44" s="384">
        <f t="shared" si="55"/>
        <v>0.46397694524495675</v>
      </c>
      <c r="D44" s="495"/>
      <c r="E44" s="384">
        <f t="shared" ref="E44:AG44" si="84">E15/E$26</f>
        <v>0.47642954639984536</v>
      </c>
      <c r="F44" s="384">
        <f t="shared" si="84"/>
        <v>0.46296296296296297</v>
      </c>
      <c r="G44" s="495"/>
      <c r="H44" s="384">
        <f t="shared" si="84"/>
        <v>0.53882969262858349</v>
      </c>
      <c r="I44" s="384">
        <f t="shared" si="84"/>
        <v>0.56079027355623101</v>
      </c>
      <c r="J44" s="384"/>
      <c r="K44" s="384">
        <f t="shared" si="84"/>
        <v>0.54286539765087616</v>
      </c>
      <c r="L44" s="384">
        <f t="shared" si="84"/>
        <v>0.56740442655935619</v>
      </c>
      <c r="M44" s="506"/>
      <c r="N44" s="451">
        <f t="shared" si="84"/>
        <v>0.68260016647356292</v>
      </c>
      <c r="O44" s="447">
        <f t="shared" si="84"/>
        <v>0.68509615384615385</v>
      </c>
      <c r="P44" s="447"/>
      <c r="Q44" s="384">
        <f t="shared" si="84"/>
        <v>0.52208283078152251</v>
      </c>
      <c r="R44" s="384">
        <f t="shared" si="84"/>
        <v>0.5386007237635706</v>
      </c>
      <c r="S44" s="384"/>
      <c r="T44" s="384">
        <f t="shared" si="84"/>
        <v>0.59074018061616906</v>
      </c>
      <c r="U44" s="384">
        <f t="shared" si="84"/>
        <v>0.57948717948717954</v>
      </c>
      <c r="V44" s="384"/>
      <c r="W44" s="384">
        <f t="shared" si="84"/>
        <v>0.54388296717138807</v>
      </c>
      <c r="X44" s="384">
        <f t="shared" si="84"/>
        <v>0.52093023255813953</v>
      </c>
      <c r="Y44" s="384"/>
      <c r="Z44" s="384">
        <f t="shared" si="84"/>
        <v>0.64424615100097093</v>
      </c>
      <c r="AA44" s="384">
        <f t="shared" si="84"/>
        <v>0.63869047619047614</v>
      </c>
      <c r="AB44" s="384"/>
      <c r="AC44" s="384">
        <f t="shared" si="84"/>
        <v>0.51120061796512906</v>
      </c>
      <c r="AD44" s="384">
        <f t="shared" si="84"/>
        <v>0.53159851301115246</v>
      </c>
      <c r="AE44" s="384"/>
      <c r="AF44" s="384">
        <f t="shared" si="84"/>
        <v>0.48418058013233339</v>
      </c>
      <c r="AG44" s="384">
        <f t="shared" si="84"/>
        <v>0.49647887323943662</v>
      </c>
      <c r="AH44" s="384"/>
      <c r="AI44" s="384">
        <f t="shared" ref="AI44:AJ44" si="85">AI15/AI$26</f>
        <v>0.63841660023558244</v>
      </c>
      <c r="AJ44" s="384">
        <f t="shared" si="85"/>
        <v>0.62834917891097664</v>
      </c>
      <c r="AK44" s="384"/>
      <c r="AL44" s="461">
        <f t="shared" si="76"/>
        <v>0.59804876490970349</v>
      </c>
      <c r="AM44" s="461">
        <f t="shared" si="76"/>
        <v>0.58823529411764708</v>
      </c>
      <c r="AN44" s="510"/>
      <c r="AO44" s="458">
        <f t="shared" si="53"/>
        <v>0.55684360160890212</v>
      </c>
      <c r="AP44" s="458">
        <f t="shared" si="54"/>
        <v>0.55619716161088273</v>
      </c>
      <c r="AQ44" s="458"/>
      <c r="AR44" s="13"/>
      <c r="BM44" s="576" t="s">
        <v>179</v>
      </c>
      <c r="BN44" s="605">
        <f t="shared" ref="BN44:CQ44" si="86">BN15-BN16</f>
        <v>2.8268811130132354E-2</v>
      </c>
      <c r="BO44" s="605">
        <f t="shared" si="86"/>
        <v>2.8866663649665947E-2</v>
      </c>
      <c r="BP44" s="605">
        <f t="shared" si="86"/>
        <v>4.3842812694647737E-2</v>
      </c>
      <c r="BQ44" s="605">
        <f t="shared" si="86"/>
        <v>3.6404494382022534E-2</v>
      </c>
      <c r="BR44" s="605">
        <f t="shared" si="86"/>
        <v>7.1114563054388791E-2</v>
      </c>
      <c r="BS44" s="605">
        <f t="shared" si="86"/>
        <v>7.1978922435404824E-2</v>
      </c>
      <c r="BT44" s="605">
        <f t="shared" si="86"/>
        <v>0.17722446648411583</v>
      </c>
      <c r="BU44" s="605">
        <f t="shared" si="86"/>
        <v>0.20584130085839925</v>
      </c>
      <c r="BV44" s="605">
        <f t="shared" si="86"/>
        <v>4.3842812694647737E-2</v>
      </c>
      <c r="BW44" s="605">
        <f t="shared" si="86"/>
        <v>3.6404494382022534E-2</v>
      </c>
      <c r="BX44" s="605">
        <f t="shared" si="86"/>
        <v>8.0395987209468167E-2</v>
      </c>
      <c r="BY44" s="605">
        <f t="shared" si="86"/>
        <v>7.8534619543086492E-2</v>
      </c>
      <c r="BZ44" s="605">
        <f t="shared" si="86"/>
        <v>5.2422491206897348E-2</v>
      </c>
      <c r="CA44" s="605">
        <f t="shared" si="86"/>
        <v>5.4507567449002092E-2</v>
      </c>
      <c r="CB44" s="605">
        <f t="shared" si="86"/>
        <v>2.8268811130132354E-2</v>
      </c>
      <c r="CC44" s="605">
        <f t="shared" si="86"/>
        <v>2.8866663649665947E-2</v>
      </c>
      <c r="CD44" s="605">
        <f t="shared" si="86"/>
        <v>8.0263848057180898E-2</v>
      </c>
      <c r="CE44" s="605">
        <f t="shared" si="86"/>
        <v>8.3400901845009701E-2</v>
      </c>
      <c r="CF44" s="605">
        <f t="shared" si="86"/>
        <v>3.5814413262104772E-2</v>
      </c>
      <c r="CG44" s="605">
        <f t="shared" si="86"/>
        <v>5.040598485539638E-2</v>
      </c>
      <c r="CH44" s="605">
        <f t="shared" si="86"/>
        <v>3.1717947786620293E-2</v>
      </c>
      <c r="CI44" s="605">
        <f t="shared" si="86"/>
        <v>5.0077639751552772E-2</v>
      </c>
      <c r="CJ44" s="605">
        <f t="shared" si="86"/>
        <v>4.2576830821442035E-2</v>
      </c>
      <c r="CK44" s="605">
        <f t="shared" si="86"/>
        <v>4.3964504234369262E-2</v>
      </c>
      <c r="CL44" s="605">
        <f t="shared" si="86"/>
        <v>0.10130249303767558</v>
      </c>
      <c r="CM44" s="605">
        <f t="shared" si="86"/>
        <v>8.7785547785547813E-2</v>
      </c>
      <c r="CN44" s="605">
        <f t="shared" si="86"/>
        <v>0.10843009190799036</v>
      </c>
      <c r="CO44" s="605">
        <f t="shared" si="86"/>
        <v>0.10814412870674461</v>
      </c>
      <c r="CP44" s="605">
        <f t="shared" si="86"/>
        <v>5.2069519056104019E-2</v>
      </c>
      <c r="CQ44" s="605">
        <f t="shared" si="86"/>
        <v>5.4951217596372892E-2</v>
      </c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</row>
    <row r="45" spans="1:110" ht="15.75" hidden="1" outlineLevel="1" thickBot="1" x14ac:dyDescent="0.3">
      <c r="A45" s="488">
        <v>11</v>
      </c>
      <c r="B45" s="385">
        <f t="shared" si="55"/>
        <v>0.55662843852754829</v>
      </c>
      <c r="C45" s="385">
        <f t="shared" si="55"/>
        <v>0.51296829971181557</v>
      </c>
      <c r="D45" s="494"/>
      <c r="E45" s="385">
        <f t="shared" ref="E45:AG45" si="87">E16/E$26</f>
        <v>0.48659351731975792</v>
      </c>
      <c r="F45" s="385">
        <f t="shared" si="87"/>
        <v>0.47089947089947087</v>
      </c>
      <c r="G45" s="494"/>
      <c r="H45" s="385">
        <f t="shared" si="87"/>
        <v>0.56322861254385825</v>
      </c>
      <c r="I45" s="385">
        <f t="shared" si="87"/>
        <v>0.58662613981762923</v>
      </c>
      <c r="J45" s="385"/>
      <c r="K45" s="385">
        <f t="shared" si="87"/>
        <v>0.55876698780989209</v>
      </c>
      <c r="L45" s="385">
        <f t="shared" si="87"/>
        <v>0.5855130784708249</v>
      </c>
      <c r="M45" s="450"/>
      <c r="N45" s="450">
        <f t="shared" si="87"/>
        <v>0.69603098583301615</v>
      </c>
      <c r="O45" s="385">
        <f t="shared" si="87"/>
        <v>0.69891826923076927</v>
      </c>
      <c r="P45" s="385"/>
      <c r="Q45" s="385">
        <f t="shared" si="87"/>
        <v>0.54491724860245783</v>
      </c>
      <c r="R45" s="385">
        <f t="shared" si="87"/>
        <v>0.56393244873341375</v>
      </c>
      <c r="S45" s="385"/>
      <c r="T45" s="385">
        <f t="shared" si="87"/>
        <v>0.60350862031715857</v>
      </c>
      <c r="U45" s="385">
        <f t="shared" si="87"/>
        <v>0.59692307692307689</v>
      </c>
      <c r="V45" s="385"/>
      <c r="W45" s="385">
        <f t="shared" si="87"/>
        <v>0.55343010780711133</v>
      </c>
      <c r="X45" s="385">
        <f t="shared" si="87"/>
        <v>0.53488372093023251</v>
      </c>
      <c r="Y45" s="449"/>
      <c r="Z45" s="449">
        <f t="shared" si="87"/>
        <v>0.66241620047158911</v>
      </c>
      <c r="AA45" s="449">
        <f t="shared" si="87"/>
        <v>0.65714285714285714</v>
      </c>
      <c r="AB45" s="449"/>
      <c r="AC45" s="385">
        <f t="shared" si="87"/>
        <v>0.53911939969101741</v>
      </c>
      <c r="AD45" s="385">
        <f t="shared" si="87"/>
        <v>0.55762081784386619</v>
      </c>
      <c r="AE45" s="385"/>
      <c r="AF45" s="385">
        <f t="shared" si="87"/>
        <v>0.51100839021101918</v>
      </c>
      <c r="AG45" s="385">
        <f t="shared" si="87"/>
        <v>0.52464788732394363</v>
      </c>
      <c r="AH45" s="385"/>
      <c r="AI45" s="385">
        <f t="shared" ref="AI45:AJ45" si="88">AI16/AI$26</f>
        <v>0.66036860328149727</v>
      </c>
      <c r="AJ45" s="385">
        <f t="shared" si="88"/>
        <v>0.65082108902333624</v>
      </c>
      <c r="AK45" s="385"/>
      <c r="AL45" s="461">
        <f t="shared" si="76"/>
        <v>0.61542146358599326</v>
      </c>
      <c r="AM45" s="461">
        <f t="shared" si="76"/>
        <v>0.60235294117647054</v>
      </c>
      <c r="AN45" s="458"/>
      <c r="AO45" s="458">
        <f t="shared" si="53"/>
        <v>0.57800142603466031</v>
      </c>
      <c r="AP45" s="458">
        <f t="shared" si="54"/>
        <v>0.57840809633760304</v>
      </c>
      <c r="AQ45" s="458"/>
      <c r="AR45" s="13"/>
      <c r="AX45" s="203"/>
      <c r="BL45" s="203"/>
      <c r="BM45" s="203" t="s">
        <v>180</v>
      </c>
      <c r="BN45" s="605">
        <f t="shared" ref="BN45:CQ45" si="89">BN16-BN17</f>
        <v>2.8560030967313521E-2</v>
      </c>
      <c r="BO45" s="605">
        <f t="shared" si="89"/>
        <v>3.1287084893264261E-2</v>
      </c>
      <c r="BP45" s="605">
        <f t="shared" si="89"/>
        <v>7.3756061987989785E-2</v>
      </c>
      <c r="BQ45" s="605">
        <f t="shared" si="89"/>
        <v>8.5859656561373843E-2</v>
      </c>
      <c r="BR45" s="605">
        <f t="shared" si="89"/>
        <v>7.2293123930454062E-2</v>
      </c>
      <c r="BS45" s="605">
        <f t="shared" si="89"/>
        <v>7.1025371426966855E-2</v>
      </c>
      <c r="BT45" s="605">
        <f t="shared" si="89"/>
        <v>0.110892750416973</v>
      </c>
      <c r="BU45" s="605">
        <f t="shared" si="89"/>
        <v>0.15151074110729468</v>
      </c>
      <c r="BV45" s="605">
        <f t="shared" si="89"/>
        <v>7.3756061987989785E-2</v>
      </c>
      <c r="BW45" s="605">
        <f t="shared" si="89"/>
        <v>8.5859656561373843E-2</v>
      </c>
      <c r="BX45" s="605">
        <f t="shared" si="89"/>
        <v>4.0298563164090195E-2</v>
      </c>
      <c r="BY45" s="605">
        <f t="shared" si="89"/>
        <v>3.8840427625106644E-2</v>
      </c>
      <c r="BZ45" s="605">
        <f t="shared" si="89"/>
        <v>0.12985543232151375</v>
      </c>
      <c r="CA45" s="605">
        <f t="shared" si="89"/>
        <v>0.1098330405188892</v>
      </c>
      <c r="CB45" s="605">
        <f t="shared" si="89"/>
        <v>2.8560030967313521E-2</v>
      </c>
      <c r="CC45" s="605">
        <f t="shared" si="89"/>
        <v>3.1287084893264261E-2</v>
      </c>
      <c r="CD45" s="605">
        <f t="shared" si="89"/>
        <v>7.5022216888278148E-2</v>
      </c>
      <c r="CE45" s="605">
        <f t="shared" si="89"/>
        <v>7.4491540282282775E-2</v>
      </c>
      <c r="CF45" s="605">
        <f t="shared" si="89"/>
        <v>3.9230388184030796E-2</v>
      </c>
      <c r="CG45" s="605">
        <f t="shared" si="89"/>
        <v>4.4822949350067365E-2</v>
      </c>
      <c r="CH45" s="605">
        <f t="shared" si="89"/>
        <v>6.5257074587595776E-2</v>
      </c>
      <c r="CI45" s="605">
        <f t="shared" si="89"/>
        <v>8.2861616283271156E-2</v>
      </c>
      <c r="CJ45" s="605">
        <f t="shared" si="89"/>
        <v>3.9584406656193227E-2</v>
      </c>
      <c r="CK45" s="605">
        <f t="shared" si="89"/>
        <v>4.4166571068028126E-2</v>
      </c>
      <c r="CL45" s="605">
        <f t="shared" si="89"/>
        <v>9.4752367826708372E-2</v>
      </c>
      <c r="CM45" s="605">
        <f t="shared" si="89"/>
        <v>4.6580086580086499E-2</v>
      </c>
      <c r="CN45" s="605">
        <f t="shared" si="89"/>
        <v>9.8015070234309887E-2</v>
      </c>
      <c r="CO45" s="605">
        <f t="shared" si="89"/>
        <v>8.5527447943555268E-2</v>
      </c>
      <c r="CP45" s="605">
        <f t="shared" si="89"/>
        <v>4.0133233646222344E-2</v>
      </c>
      <c r="CQ45" s="605">
        <f t="shared" si="89"/>
        <v>4.3617358522897609E-2</v>
      </c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</row>
    <row r="46" spans="1:110" ht="15.75" hidden="1" outlineLevel="1" thickBot="1" x14ac:dyDescent="0.3">
      <c r="A46" s="488">
        <v>12</v>
      </c>
      <c r="B46" s="384">
        <f t="shared" si="55"/>
        <v>0.59324725318790605</v>
      </c>
      <c r="C46" s="384">
        <f t="shared" si="55"/>
        <v>0.55619596541786742</v>
      </c>
      <c r="D46" s="495"/>
      <c r="E46" s="384">
        <f t="shared" ref="E46:AG46" si="90">E17/E$26</f>
        <v>0.50470706088423622</v>
      </c>
      <c r="F46" s="384">
        <f t="shared" si="90"/>
        <v>0.49074074074074076</v>
      </c>
      <c r="G46" s="495"/>
      <c r="H46" s="384">
        <f t="shared" si="90"/>
        <v>0.57630927935065568</v>
      </c>
      <c r="I46" s="384">
        <f t="shared" si="90"/>
        <v>0.60030395136778114</v>
      </c>
      <c r="J46" s="384"/>
      <c r="K46" s="384">
        <f t="shared" si="90"/>
        <v>0.60248247046926917</v>
      </c>
      <c r="L46" s="384">
        <f t="shared" si="90"/>
        <v>0.62575452716297786</v>
      </c>
      <c r="M46" s="384"/>
      <c r="N46" s="384">
        <f t="shared" si="90"/>
        <v>0.71014777665772955</v>
      </c>
      <c r="O46" s="384">
        <f t="shared" si="90"/>
        <v>0.71454326923076927</v>
      </c>
      <c r="P46" s="384"/>
      <c r="Q46" s="384">
        <f t="shared" si="90"/>
        <v>0.56814346477784006</v>
      </c>
      <c r="R46" s="384">
        <f t="shared" si="90"/>
        <v>0.58866103739445119</v>
      </c>
      <c r="S46" s="384"/>
      <c r="T46" s="384">
        <f t="shared" si="90"/>
        <v>0.61814371516225208</v>
      </c>
      <c r="U46" s="384">
        <f t="shared" si="90"/>
        <v>0.61333333333333329</v>
      </c>
      <c r="V46" s="384"/>
      <c r="W46" s="384">
        <f t="shared" si="90"/>
        <v>0.57416625402865007</v>
      </c>
      <c r="X46" s="384">
        <f t="shared" si="90"/>
        <v>0.55968992248062011</v>
      </c>
      <c r="Y46" s="506"/>
      <c r="Z46" s="451">
        <f t="shared" si="90"/>
        <v>0.68025336353969212</v>
      </c>
      <c r="AA46" s="451">
        <f t="shared" si="90"/>
        <v>0.67678571428571432</v>
      </c>
      <c r="AB46" s="506"/>
      <c r="AC46" s="384">
        <f t="shared" si="90"/>
        <v>0.56814169057603181</v>
      </c>
      <c r="AD46" s="384">
        <f t="shared" si="90"/>
        <v>0.57249070631970256</v>
      </c>
      <c r="AE46" s="384"/>
      <c r="AF46" s="384">
        <f t="shared" si="90"/>
        <v>0.53795256380934042</v>
      </c>
      <c r="AG46" s="384">
        <f t="shared" si="90"/>
        <v>0.54929577464788737</v>
      </c>
      <c r="AH46" s="384"/>
      <c r="AI46" s="451">
        <f t="shared" ref="AI46:AJ46" si="91">AI17/AI$26</f>
        <v>0.67834663938034667</v>
      </c>
      <c r="AJ46" s="451">
        <f t="shared" si="91"/>
        <v>0.6698357821953328</v>
      </c>
      <c r="AK46" s="384"/>
      <c r="AL46" s="461">
        <f t="shared" si="76"/>
        <v>0.646079167132387</v>
      </c>
      <c r="AM46" s="461">
        <f t="shared" si="76"/>
        <v>0.63529411764705879</v>
      </c>
      <c r="AN46" s="510"/>
      <c r="AO46" s="458">
        <f t="shared" si="53"/>
        <v>0.60100346098532909</v>
      </c>
      <c r="AP46" s="458">
        <f t="shared" si="54"/>
        <v>0.60146922704809813</v>
      </c>
      <c r="AQ46" s="458"/>
      <c r="AR46" s="13"/>
      <c r="BM46" s="203" t="s">
        <v>181</v>
      </c>
      <c r="BN46" s="605">
        <f t="shared" ref="BN46:CQ46" si="92">BN17-BN18</f>
        <v>2.1689592819365666E-2</v>
      </c>
      <c r="BO46" s="605">
        <f t="shared" si="92"/>
        <v>1.8582511193548035E-2</v>
      </c>
      <c r="BP46" s="605">
        <f t="shared" si="92"/>
        <v>6.4693787558945504E-2</v>
      </c>
      <c r="BQ46" s="605">
        <f t="shared" si="92"/>
        <v>7.9186626258676229E-2</v>
      </c>
      <c r="BR46" s="605">
        <f t="shared" si="92"/>
        <v>4.867479052883783E-2</v>
      </c>
      <c r="BS46" s="605">
        <f t="shared" si="92"/>
        <v>4.6806194645002241E-2</v>
      </c>
      <c r="BT46" s="605">
        <f t="shared" si="92"/>
        <v>3.2099722755958959E-2</v>
      </c>
      <c r="BU46" s="605">
        <f t="shared" si="92"/>
        <v>3.6506141342941945E-2</v>
      </c>
      <c r="BV46" s="605">
        <f t="shared" si="92"/>
        <v>6.4693787558945504E-2</v>
      </c>
      <c r="BW46" s="605">
        <f t="shared" si="92"/>
        <v>7.9186626258676229E-2</v>
      </c>
      <c r="BX46" s="605">
        <f t="shared" si="92"/>
        <v>6.5421457022977636E-2</v>
      </c>
      <c r="BY46" s="605">
        <f t="shared" si="92"/>
        <v>6.094473602963868E-2</v>
      </c>
      <c r="BZ46" s="605">
        <f t="shared" si="92"/>
        <v>4.081938800478091E-2</v>
      </c>
      <c r="CA46" s="605">
        <f t="shared" si="92"/>
        <v>4.0077009142315712E-2</v>
      </c>
      <c r="CB46" s="605">
        <f t="shared" si="92"/>
        <v>2.1689592819365666E-2</v>
      </c>
      <c r="CC46" s="605">
        <f t="shared" si="92"/>
        <v>1.8582511193548035E-2</v>
      </c>
      <c r="CD46" s="605">
        <f t="shared" si="92"/>
        <v>6.0052203194217668E-2</v>
      </c>
      <c r="CE46" s="605">
        <f t="shared" si="92"/>
        <v>5.8810056590617998E-2</v>
      </c>
      <c r="CF46" s="605">
        <f t="shared" si="92"/>
        <v>7.2242444880196155E-2</v>
      </c>
      <c r="CG46" s="605">
        <f t="shared" si="92"/>
        <v>6.7934782608695565E-2</v>
      </c>
      <c r="CH46" s="605">
        <f t="shared" si="92"/>
        <v>5.5957018463153263E-2</v>
      </c>
      <c r="CI46" s="605">
        <f t="shared" si="92"/>
        <v>6.6703601108033306E-2</v>
      </c>
      <c r="CJ46" s="605">
        <f t="shared" si="92"/>
        <v>2.6387623518857373E-2</v>
      </c>
      <c r="CK46" s="605">
        <f t="shared" si="92"/>
        <v>2.804710639005048E-2</v>
      </c>
      <c r="CL46" s="605">
        <f t="shared" si="92"/>
        <v>1.8185723784465369E-2</v>
      </c>
      <c r="CM46" s="605">
        <f t="shared" si="92"/>
        <v>1.1269375785504687E-2</v>
      </c>
      <c r="CN46" s="605">
        <f t="shared" si="92"/>
        <v>7.7873733814298518E-2</v>
      </c>
      <c r="CO46" s="605">
        <f t="shared" si="92"/>
        <v>8.8805503439649769E-2</v>
      </c>
      <c r="CP46" s="605">
        <f t="shared" si="92"/>
        <v>2.1404334226303057E-2</v>
      </c>
      <c r="CQ46" s="605">
        <f t="shared" si="92"/>
        <v>2.6490044564372983E-2</v>
      </c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</row>
    <row r="47" spans="1:110" ht="15.75" hidden="1" outlineLevel="1" thickBot="1" x14ac:dyDescent="0.3">
      <c r="A47" s="488">
        <v>13</v>
      </c>
      <c r="B47" s="385">
        <f t="shared" si="55"/>
        <v>0.60476381425936321</v>
      </c>
      <c r="C47" s="385">
        <f t="shared" si="55"/>
        <v>0.56772334293948123</v>
      </c>
      <c r="D47" s="494"/>
      <c r="E47" s="385">
        <f t="shared" ref="E47:AG47" si="93">E18/E$26</f>
        <v>0.5217426962935191</v>
      </c>
      <c r="F47" s="385">
        <f t="shared" si="93"/>
        <v>0.51058201058201058</v>
      </c>
      <c r="G47" s="494"/>
      <c r="H47" s="385">
        <f t="shared" si="93"/>
        <v>0.598889194302068</v>
      </c>
      <c r="I47" s="385">
        <f t="shared" si="93"/>
        <v>0.62310030395136773</v>
      </c>
      <c r="J47" s="385"/>
      <c r="K47" s="385">
        <f t="shared" si="93"/>
        <v>0.61767287839895102</v>
      </c>
      <c r="L47" s="385">
        <f t="shared" si="93"/>
        <v>0.64185110663983902</v>
      </c>
      <c r="M47" s="385"/>
      <c r="N47" s="385">
        <f t="shared" si="93"/>
        <v>0.72125716819267438</v>
      </c>
      <c r="O47" s="385">
        <f t="shared" si="93"/>
        <v>0.72415865384615385</v>
      </c>
      <c r="P47" s="385"/>
      <c r="Q47" s="385">
        <f t="shared" si="93"/>
        <v>0.58821224715562082</v>
      </c>
      <c r="R47" s="385">
        <f t="shared" si="93"/>
        <v>0.60977080820265384</v>
      </c>
      <c r="S47" s="449"/>
      <c r="T47" s="449">
        <f t="shared" si="93"/>
        <v>0.64703798124702938</v>
      </c>
      <c r="U47" s="449">
        <f t="shared" si="93"/>
        <v>0.64</v>
      </c>
      <c r="V47" s="449"/>
      <c r="W47" s="385">
        <f t="shared" si="93"/>
        <v>0.59322578683554417</v>
      </c>
      <c r="X47" s="385">
        <f t="shared" si="93"/>
        <v>0.58139534883720934</v>
      </c>
      <c r="Y47" s="450"/>
      <c r="Z47" s="450">
        <f t="shared" si="93"/>
        <v>0.69268728712993355</v>
      </c>
      <c r="AA47" s="450">
        <f t="shared" si="93"/>
        <v>0.68988095238095237</v>
      </c>
      <c r="AB47" s="450"/>
      <c r="AC47" s="385">
        <f t="shared" si="93"/>
        <v>0.5740730523063341</v>
      </c>
      <c r="AD47" s="385">
        <f t="shared" si="93"/>
        <v>0.57620817843866168</v>
      </c>
      <c r="AE47" s="385"/>
      <c r="AF47" s="385">
        <f t="shared" si="93"/>
        <v>0.56147404491631858</v>
      </c>
      <c r="AG47" s="385">
        <f t="shared" si="93"/>
        <v>0.57746478873239437</v>
      </c>
      <c r="AH47" s="385"/>
      <c r="AI47" s="385">
        <f t="shared" ref="AI47:AJ47" si="94">AI18/AI$26</f>
        <v>0.68834104727116974</v>
      </c>
      <c r="AJ47" s="385">
        <f t="shared" si="94"/>
        <v>0.68193604148660325</v>
      </c>
      <c r="AK47" s="385"/>
      <c r="AL47" s="461">
        <f t="shared" si="76"/>
        <v>0.67180289651428293</v>
      </c>
      <c r="AM47" s="461">
        <f t="shared" si="76"/>
        <v>0.66352941176470592</v>
      </c>
      <c r="AN47" s="458"/>
      <c r="AO47" s="458">
        <f t="shared" si="53"/>
        <v>0.6174480998590437</v>
      </c>
      <c r="AP47" s="458">
        <f t="shared" si="54"/>
        <v>0.61867262800311051</v>
      </c>
      <c r="AQ47" s="458"/>
      <c r="AR47" s="13"/>
      <c r="BM47" s="203" t="s">
        <v>182</v>
      </c>
      <c r="BN47" s="605">
        <f t="shared" ref="BN47:CQ47" si="95">BN18-BN19</f>
        <v>3.2913397121072441E-2</v>
      </c>
      <c r="BO47" s="605">
        <f t="shared" si="95"/>
        <v>3.0263512421188743E-2</v>
      </c>
      <c r="BP47" s="605">
        <f t="shared" si="95"/>
        <v>8.330770372755647E-2</v>
      </c>
      <c r="BQ47" s="605">
        <f t="shared" si="95"/>
        <v>8.2618701706116182E-2</v>
      </c>
      <c r="BR47" s="605">
        <f t="shared" si="95"/>
        <v>6.0445348117199371E-2</v>
      </c>
      <c r="BS47" s="605">
        <f t="shared" si="95"/>
        <v>5.8719695838669983E-2</v>
      </c>
      <c r="BT47" s="605">
        <f t="shared" si="95"/>
        <v>3.5910105552609428E-2</v>
      </c>
      <c r="BU47" s="605">
        <f t="shared" si="95"/>
        <v>6.8738392967686135E-2</v>
      </c>
      <c r="BV47" s="605">
        <f t="shared" si="95"/>
        <v>8.330770372755647E-2</v>
      </c>
      <c r="BW47" s="605">
        <f t="shared" si="95"/>
        <v>8.2618701706116182E-2</v>
      </c>
      <c r="BX47" s="605">
        <f t="shared" si="95"/>
        <v>2.9493278224387964E-2</v>
      </c>
      <c r="BY47" s="605">
        <f t="shared" si="95"/>
        <v>2.6940398900392015E-2</v>
      </c>
      <c r="BZ47" s="605">
        <f t="shared" si="95"/>
        <v>5.8207801466041653E-2</v>
      </c>
      <c r="CA47" s="605">
        <f t="shared" si="95"/>
        <v>5.1933124346917436E-2</v>
      </c>
      <c r="CB47" s="605">
        <f t="shared" si="95"/>
        <v>3.2913397121072441E-2</v>
      </c>
      <c r="CC47" s="605">
        <f t="shared" si="95"/>
        <v>3.0263512421188743E-2</v>
      </c>
      <c r="CD47" s="605">
        <f t="shared" si="95"/>
        <v>7.8299183467734457E-2</v>
      </c>
      <c r="CE47" s="605">
        <f t="shared" si="95"/>
        <v>7.580949181643426E-2</v>
      </c>
      <c r="CF47" s="605">
        <f t="shared" si="95"/>
        <v>6.1788466377582729E-2</v>
      </c>
      <c r="CG47" s="605">
        <f t="shared" si="95"/>
        <v>6.25E-2</v>
      </c>
      <c r="CH47" s="605">
        <f t="shared" si="95"/>
        <v>7.9052422747385664E-2</v>
      </c>
      <c r="CI47" s="605">
        <f t="shared" si="95"/>
        <v>8.708860759493664E-2</v>
      </c>
      <c r="CJ47" s="605">
        <f t="shared" si="95"/>
        <v>4.9079270902901984E-2</v>
      </c>
      <c r="CK47" s="605">
        <f t="shared" si="95"/>
        <v>5.7644757036356076E-2</v>
      </c>
      <c r="CL47" s="605">
        <f t="shared" si="95"/>
        <v>5.0162237771510521E-2</v>
      </c>
      <c r="CM47" s="605">
        <f t="shared" si="95"/>
        <v>4.3659971596672786E-2</v>
      </c>
      <c r="CN47" s="605">
        <f t="shared" si="95"/>
        <v>0.10668496193040578</v>
      </c>
      <c r="CO47" s="605">
        <f t="shared" si="95"/>
        <v>9.9523409027193699E-2</v>
      </c>
      <c r="CP47" s="605">
        <f t="shared" si="95"/>
        <v>2.9786372713391573E-2</v>
      </c>
      <c r="CQ47" s="605">
        <f t="shared" si="95"/>
        <v>3.0929310274336652E-2</v>
      </c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</row>
    <row r="48" spans="1:110" ht="15.75" hidden="1" outlineLevel="1" thickBot="1" x14ac:dyDescent="0.3">
      <c r="A48" s="577">
        <v>14</v>
      </c>
      <c r="B48" s="384">
        <f t="shared" si="55"/>
        <v>0.61818910899029589</v>
      </c>
      <c r="C48" s="384">
        <f t="shared" si="55"/>
        <v>0.59077809798270897</v>
      </c>
      <c r="D48" s="495"/>
      <c r="E48" s="384">
        <f t="shared" ref="E48:AG48" si="96">E19/E$26</f>
        <v>0.54545081751132096</v>
      </c>
      <c r="F48" s="384">
        <f t="shared" si="96"/>
        <v>0.53306878306878303</v>
      </c>
      <c r="G48" s="495"/>
      <c r="H48" s="384">
        <f t="shared" si="96"/>
        <v>0.60965770368813366</v>
      </c>
      <c r="I48" s="384">
        <f t="shared" si="96"/>
        <v>0.63373860182370823</v>
      </c>
      <c r="J48" s="384"/>
      <c r="K48" s="384">
        <f t="shared" si="96"/>
        <v>0.64070851529597406</v>
      </c>
      <c r="L48" s="446">
        <f t="shared" si="96"/>
        <v>0.66398390342052316</v>
      </c>
      <c r="M48" s="446"/>
      <c r="N48" s="384">
        <f t="shared" si="96"/>
        <v>0.73879545083801457</v>
      </c>
      <c r="O48" s="384">
        <f t="shared" si="96"/>
        <v>0.74038461538461542</v>
      </c>
      <c r="P48" s="384"/>
      <c r="Q48" s="384">
        <f t="shared" si="96"/>
        <v>0.61661122591912565</v>
      </c>
      <c r="R48" s="384">
        <f t="shared" si="96"/>
        <v>0.63932448733413749</v>
      </c>
      <c r="S48" s="506"/>
      <c r="T48" s="451">
        <f t="shared" si="96"/>
        <v>0.67398349392904977</v>
      </c>
      <c r="U48" s="451">
        <f t="shared" si="96"/>
        <v>0.66666666666666663</v>
      </c>
      <c r="V48" s="506"/>
      <c r="W48" s="384">
        <f t="shared" si="96"/>
        <v>0.62241449705941121</v>
      </c>
      <c r="X48" s="384">
        <f t="shared" si="96"/>
        <v>0.61240310077519378</v>
      </c>
      <c r="Y48" s="384"/>
      <c r="Z48" s="384">
        <f t="shared" si="96"/>
        <v>0.71706505155115818</v>
      </c>
      <c r="AA48" s="384">
        <f t="shared" si="96"/>
        <v>0.71845238095238095</v>
      </c>
      <c r="AB48" s="384"/>
      <c r="AC48" s="384">
        <f t="shared" si="96"/>
        <v>0.59109468108585306</v>
      </c>
      <c r="AD48" s="384">
        <f t="shared" si="96"/>
        <v>0.59107806691449816</v>
      </c>
      <c r="AE48" s="384"/>
      <c r="AF48" s="384">
        <f t="shared" si="96"/>
        <v>0.59724980840144615</v>
      </c>
      <c r="AG48" s="384">
        <f t="shared" si="96"/>
        <v>0.61267605633802813</v>
      </c>
      <c r="AH48" s="446"/>
      <c r="AI48" s="384">
        <f t="shared" ref="AI48:AJ48" si="97">AI19/AI$26</f>
        <v>0.70274965198043948</v>
      </c>
      <c r="AJ48" s="384">
        <f t="shared" si="97"/>
        <v>0.6966292134831461</v>
      </c>
      <c r="AK48" s="446"/>
      <c r="AL48" s="461">
        <f t="shared" si="76"/>
        <v>0.69636099445925881</v>
      </c>
      <c r="AM48" s="461">
        <f t="shared" si="76"/>
        <v>0.69176470588235295</v>
      </c>
      <c r="AN48" s="510"/>
      <c r="AO48" s="458">
        <f t="shared" si="53"/>
        <v>0.63949750052085186</v>
      </c>
      <c r="AP48" s="458">
        <f t="shared" si="54"/>
        <v>0.64159866451203262</v>
      </c>
      <c r="AQ48" s="458"/>
      <c r="AR48" s="13"/>
      <c r="BM48" s="203" t="s">
        <v>183</v>
      </c>
      <c r="BN48" s="605">
        <f t="shared" ref="BN48:CQ48" si="98">BN19-BN20</f>
        <v>8.3712428562709329E-2</v>
      </c>
      <c r="BO48" s="605">
        <f t="shared" si="98"/>
        <v>8.3322617976083313E-2</v>
      </c>
      <c r="BP48" s="605">
        <f t="shared" si="98"/>
        <v>8.1955635063029497E-2</v>
      </c>
      <c r="BQ48" s="605">
        <f t="shared" si="98"/>
        <v>8.4461326779015078E-2</v>
      </c>
      <c r="BR48" s="605">
        <f t="shared" si="98"/>
        <v>7.0962824954036385E-2</v>
      </c>
      <c r="BS48" s="605">
        <f t="shared" si="98"/>
        <v>6.3118219298237577E-2</v>
      </c>
      <c r="BT48" s="605">
        <f t="shared" si="98"/>
        <v>7.4473108187948389E-2</v>
      </c>
      <c r="BU48" s="605">
        <f t="shared" si="98"/>
        <v>7.1187599726464601E-2</v>
      </c>
      <c r="BV48" s="605">
        <f t="shared" si="98"/>
        <v>8.1955635063029497E-2</v>
      </c>
      <c r="BW48" s="605">
        <f t="shared" si="98"/>
        <v>8.4461326779015078E-2</v>
      </c>
      <c r="BX48" s="605">
        <f t="shared" si="98"/>
        <v>3.4182829749769716E-2</v>
      </c>
      <c r="BY48" s="605">
        <f t="shared" si="98"/>
        <v>3.6954043322718899E-2</v>
      </c>
      <c r="BZ48" s="605">
        <f t="shared" si="98"/>
        <v>3.9471804445878167E-2</v>
      </c>
      <c r="CA48" s="605">
        <f t="shared" si="98"/>
        <v>3.1283157989389521E-2</v>
      </c>
      <c r="CB48" s="605">
        <f t="shared" si="98"/>
        <v>8.3712428562709329E-2</v>
      </c>
      <c r="CC48" s="605">
        <f t="shared" si="98"/>
        <v>8.3322617976083313E-2</v>
      </c>
      <c r="CD48" s="605">
        <f t="shared" si="98"/>
        <v>5.3466220042947876E-2</v>
      </c>
      <c r="CE48" s="605">
        <f t="shared" si="98"/>
        <v>5.1377220768489273E-2</v>
      </c>
      <c r="CF48" s="605">
        <f t="shared" si="98"/>
        <v>8.2400708905515874E-2</v>
      </c>
      <c r="CG48" s="605">
        <f t="shared" si="98"/>
        <v>8.6956521739130377E-2</v>
      </c>
      <c r="CH48" s="605">
        <f t="shared" si="98"/>
        <v>7.5705179244016652E-2</v>
      </c>
      <c r="CI48" s="605">
        <f t="shared" si="98"/>
        <v>7.8694524935183807E-2</v>
      </c>
      <c r="CJ48" s="605">
        <f t="shared" si="98"/>
        <v>5.7904461027205256E-2</v>
      </c>
      <c r="CK48" s="605">
        <f t="shared" si="98"/>
        <v>5.5365182813856384E-2</v>
      </c>
      <c r="CL48" s="605">
        <f t="shared" si="98"/>
        <v>8.2399265289034185E-2</v>
      </c>
      <c r="CM48" s="605">
        <f t="shared" si="98"/>
        <v>5.1579996932044958E-2</v>
      </c>
      <c r="CN48" s="605">
        <f t="shared" si="98"/>
        <v>0.11491943397634485</v>
      </c>
      <c r="CO48" s="605">
        <f t="shared" si="98"/>
        <v>6.959793830732508E-2</v>
      </c>
      <c r="CP48" s="605">
        <f t="shared" si="98"/>
        <v>3.0599225366205962E-2</v>
      </c>
      <c r="CQ48" s="605">
        <f t="shared" si="98"/>
        <v>3.3059628543499642E-2</v>
      </c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</row>
    <row r="49" spans="1:110" ht="15.75" hidden="1" outlineLevel="1" thickBot="1" x14ac:dyDescent="0.3">
      <c r="A49" s="488">
        <v>15</v>
      </c>
      <c r="B49" s="449">
        <f t="shared" si="55"/>
        <v>0.64802309728125751</v>
      </c>
      <c r="C49" s="385">
        <f t="shared" si="55"/>
        <v>0.61671469740634011</v>
      </c>
      <c r="D49" s="494"/>
      <c r="E49" s="385">
        <f t="shared" ref="E49:AG49" si="99">E20/E$26</f>
        <v>0.57097497964276722</v>
      </c>
      <c r="F49" s="385">
        <f t="shared" si="99"/>
        <v>0.55820105820105825</v>
      </c>
      <c r="G49" s="494"/>
      <c r="H49" s="385">
        <f t="shared" si="99"/>
        <v>0.62263327243035227</v>
      </c>
      <c r="I49" s="449">
        <f t="shared" si="99"/>
        <v>0.64893617021276595</v>
      </c>
      <c r="J49" s="449"/>
      <c r="K49" s="449">
        <f t="shared" si="99"/>
        <v>0.65733239990665737</v>
      </c>
      <c r="L49" s="448">
        <f t="shared" si="99"/>
        <v>0.67806841046277666</v>
      </c>
      <c r="M49" s="491"/>
      <c r="N49" s="385">
        <f t="shared" si="99"/>
        <v>0.78749942487148494</v>
      </c>
      <c r="O49" s="385">
        <f t="shared" si="99"/>
        <v>0.7890625</v>
      </c>
      <c r="P49" s="385"/>
      <c r="Q49" s="385">
        <f t="shared" si="99"/>
        <v>0.63763261606065957</v>
      </c>
      <c r="R49" s="449">
        <f t="shared" si="99"/>
        <v>0.66103739445114595</v>
      </c>
      <c r="S49" s="491"/>
      <c r="T49" s="450">
        <f t="shared" si="99"/>
        <v>0.71361534805340709</v>
      </c>
      <c r="U49" s="450">
        <f t="shared" si="99"/>
        <v>0.70769230769230773</v>
      </c>
      <c r="V49" s="491"/>
      <c r="W49" s="449">
        <f t="shared" si="99"/>
        <v>0.65319294953654239</v>
      </c>
      <c r="X49" s="449">
        <f t="shared" si="99"/>
        <v>0.64341085271317833</v>
      </c>
      <c r="Y49" s="449"/>
      <c r="Z49" s="385">
        <f t="shared" si="99"/>
        <v>0.74812828455622848</v>
      </c>
      <c r="AA49" s="385">
        <f t="shared" si="99"/>
        <v>0.74821428571428572</v>
      </c>
      <c r="AB49" s="385"/>
      <c r="AC49" s="385">
        <f t="shared" si="99"/>
        <v>0.62135841977488415</v>
      </c>
      <c r="AD49" s="385">
        <f t="shared" si="99"/>
        <v>0.60966542750929364</v>
      </c>
      <c r="AE49" s="449"/>
      <c r="AF49" s="449">
        <f t="shared" si="99"/>
        <v>0.64126330656972386</v>
      </c>
      <c r="AG49" s="449">
        <f t="shared" si="99"/>
        <v>0.63996478873239437</v>
      </c>
      <c r="AH49" s="491"/>
      <c r="AI49" s="384">
        <f t="shared" ref="AI49:AJ49" si="100">AI20/AI$26</f>
        <v>0.71819339179268737</v>
      </c>
      <c r="AJ49" s="384">
        <f t="shared" si="100"/>
        <v>0.71305099394987037</v>
      </c>
      <c r="AK49" s="491"/>
      <c r="AL49" s="461">
        <f t="shared" si="76"/>
        <v>0.73372507065642611</v>
      </c>
      <c r="AM49" s="461">
        <f t="shared" si="76"/>
        <v>0.7247058823529412</v>
      </c>
      <c r="AN49" s="458"/>
      <c r="AO49" s="459">
        <f t="shared" si="53"/>
        <v>0.6683206242063876</v>
      </c>
      <c r="AP49" s="459">
        <f t="shared" si="54"/>
        <v>0.66783490725378469</v>
      </c>
      <c r="AQ49" s="601" t="s">
        <v>414</v>
      </c>
      <c r="AR49" s="13" t="s">
        <v>183</v>
      </c>
      <c r="BM49" s="203" t="s">
        <v>184</v>
      </c>
      <c r="BN49" s="605">
        <f t="shared" ref="BN49:CQ49" si="101">BN20-BN21</f>
        <v>3.2793393525950121E-2</v>
      </c>
      <c r="BO49" s="605">
        <f t="shared" si="101"/>
        <v>3.4734140080674658E-2</v>
      </c>
      <c r="BP49" s="605">
        <f t="shared" si="101"/>
        <v>0.10133996353020325</v>
      </c>
      <c r="BQ49" s="605">
        <f t="shared" si="101"/>
        <v>9.2592789818414234E-2</v>
      </c>
      <c r="BR49" s="605">
        <f t="shared" si="101"/>
        <v>6.3808989459632537E-2</v>
      </c>
      <c r="BS49" s="605">
        <f t="shared" si="101"/>
        <v>6.3881861273155316E-2</v>
      </c>
      <c r="BT49" s="605">
        <f t="shared" si="101"/>
        <v>6.8475968981483559E-2</v>
      </c>
      <c r="BU49" s="605">
        <f t="shared" si="101"/>
        <v>7.2388184245660847E-2</v>
      </c>
      <c r="BV49" s="605">
        <f t="shared" si="101"/>
        <v>0.10133996353020325</v>
      </c>
      <c r="BW49" s="605">
        <f t="shared" si="101"/>
        <v>9.2592789818414234E-2</v>
      </c>
      <c r="BX49" s="605">
        <f t="shared" si="101"/>
        <v>6.0853305606782149E-2</v>
      </c>
      <c r="BY49" s="605">
        <f t="shared" si="101"/>
        <v>5.900162457539504E-2</v>
      </c>
      <c r="BZ49" s="605">
        <f t="shared" si="101"/>
        <v>6.6124240802790002E-2</v>
      </c>
      <c r="CA49" s="605">
        <f t="shared" si="101"/>
        <v>5.0708680162907083E-2</v>
      </c>
      <c r="CB49" s="605">
        <f t="shared" si="101"/>
        <v>3.2793393525950121E-2</v>
      </c>
      <c r="CC49" s="605">
        <f t="shared" si="101"/>
        <v>3.4734140080674658E-2</v>
      </c>
      <c r="CD49" s="605">
        <f t="shared" si="101"/>
        <v>5.2746183978343408E-2</v>
      </c>
      <c r="CE49" s="605">
        <f t="shared" si="101"/>
        <v>5.0692593879941628E-2</v>
      </c>
      <c r="CF49" s="605">
        <f t="shared" si="101"/>
        <v>7.1876557425115228E-2</v>
      </c>
      <c r="CG49" s="605">
        <f t="shared" si="101"/>
        <v>7.5594918590087712E-2</v>
      </c>
      <c r="CH49" s="605">
        <f t="shared" si="101"/>
        <v>6.76651569008071E-2</v>
      </c>
      <c r="CI49" s="605">
        <f t="shared" si="101"/>
        <v>8.1614127743852238E-2</v>
      </c>
      <c r="CJ49" s="605">
        <f t="shared" si="101"/>
        <v>4.5030851726686638E-2</v>
      </c>
      <c r="CK49" s="605">
        <f t="shared" si="101"/>
        <v>4.5201139567690785E-2</v>
      </c>
      <c r="CL49" s="605">
        <f t="shared" si="101"/>
        <v>6.7105881784528032E-2</v>
      </c>
      <c r="CM49" s="605">
        <f t="shared" si="101"/>
        <v>7.6290414066931378E-2</v>
      </c>
      <c r="CN49" s="605">
        <f t="shared" si="101"/>
        <v>6.7887379793269531E-2</v>
      </c>
      <c r="CO49" s="605">
        <f t="shared" si="101"/>
        <v>6.3905230952372216E-2</v>
      </c>
      <c r="CP49" s="605">
        <f t="shared" si="101"/>
        <v>2.2646640475562752E-2</v>
      </c>
      <c r="CQ49" s="605">
        <f t="shared" si="101"/>
        <v>1.845295055821361E-2</v>
      </c>
    </row>
    <row r="50" spans="1:110" ht="15.75" hidden="1" outlineLevel="1" thickBot="1" x14ac:dyDescent="0.3">
      <c r="A50" s="488">
        <v>16</v>
      </c>
      <c r="B50" s="451">
        <f t="shared" si="55"/>
        <v>0.67811372203063602</v>
      </c>
      <c r="C50" s="446">
        <f t="shared" si="55"/>
        <v>0.64553314121037464</v>
      </c>
      <c r="D50" s="496"/>
      <c r="E50" s="384">
        <f t="shared" ref="E50:AG50" si="102">E21/E$26</f>
        <v>0.60604214386558952</v>
      </c>
      <c r="F50" s="384">
        <f t="shared" si="102"/>
        <v>0.58862433862433861</v>
      </c>
      <c r="G50" s="496"/>
      <c r="H50" s="446">
        <f t="shared" si="102"/>
        <v>0.647153459343218</v>
      </c>
      <c r="I50" s="451">
        <f t="shared" si="102"/>
        <v>0.67477203647416417</v>
      </c>
      <c r="J50" s="451"/>
      <c r="K50" s="451">
        <f t="shared" si="102"/>
        <v>0.68720205353868724</v>
      </c>
      <c r="L50" s="447">
        <f t="shared" si="102"/>
        <v>0.70221327967806846</v>
      </c>
      <c r="M50" s="447"/>
      <c r="N50" s="384">
        <f t="shared" si="102"/>
        <v>0.8083755442807129</v>
      </c>
      <c r="O50" s="384">
        <f t="shared" si="102"/>
        <v>0.81129807692307687</v>
      </c>
      <c r="P50" s="446"/>
      <c r="Q50" s="446">
        <f t="shared" si="102"/>
        <v>0.65982427971841739</v>
      </c>
      <c r="R50" s="451">
        <f t="shared" si="102"/>
        <v>0.68395657418576594</v>
      </c>
      <c r="S50" s="506"/>
      <c r="T50" s="384">
        <f t="shared" si="102"/>
        <v>0.75219720865920581</v>
      </c>
      <c r="U50" s="384">
        <f t="shared" si="102"/>
        <v>0.74769230769230766</v>
      </c>
      <c r="V50" s="506"/>
      <c r="W50" s="451">
        <f t="shared" si="102"/>
        <v>0.68339805234856188</v>
      </c>
      <c r="X50" s="451">
        <f t="shared" si="102"/>
        <v>0.67906976744186043</v>
      </c>
      <c r="Y50" s="506"/>
      <c r="Z50" s="384">
        <f t="shared" si="102"/>
        <v>0.77421055064959088</v>
      </c>
      <c r="AA50" s="384">
        <f t="shared" si="102"/>
        <v>0.77440476190476193</v>
      </c>
      <c r="AB50" s="384"/>
      <c r="AC50" s="384">
        <f t="shared" si="102"/>
        <v>0.64839439417347167</v>
      </c>
      <c r="AD50" s="384">
        <f t="shared" si="102"/>
        <v>0.63940520446096649</v>
      </c>
      <c r="AE50" s="506"/>
      <c r="AF50" s="451">
        <f t="shared" si="102"/>
        <v>0.67045048732239521</v>
      </c>
      <c r="AG50" s="451">
        <f t="shared" si="102"/>
        <v>0.66725352112676062</v>
      </c>
      <c r="AH50" s="506"/>
      <c r="AI50" s="384">
        <f t="shared" ref="AI50:AJ50" si="103">AI21/AI$26</f>
        <v>0.73006770021535572</v>
      </c>
      <c r="AJ50" s="384">
        <f t="shared" si="103"/>
        <v>0.72255834053586865</v>
      </c>
      <c r="AK50" s="506"/>
      <c r="AL50" s="461">
        <f t="shared" si="76"/>
        <v>0.7661072700273045</v>
      </c>
      <c r="AM50" s="461">
        <f t="shared" si="76"/>
        <v>0.75058823529411767</v>
      </c>
      <c r="AN50" s="510"/>
      <c r="AO50" s="458">
        <f t="shared" si="53"/>
        <v>0.69545246634548674</v>
      </c>
      <c r="AP50" s="458">
        <f t="shared" si="54"/>
        <v>0.69473177918819295</v>
      </c>
      <c r="AQ50" s="458"/>
      <c r="AR50" s="13"/>
      <c r="AX50" s="203"/>
      <c r="BL50" s="203"/>
      <c r="BM50" s="203" t="s">
        <v>185</v>
      </c>
      <c r="BN50" s="605">
        <f t="shared" ref="BN50:CQ50" si="104">BN21-BN22</f>
        <v>3.1178763711135593E-2</v>
      </c>
      <c r="BO50" s="605">
        <f t="shared" si="104"/>
        <v>3.0280453864268919E-2</v>
      </c>
      <c r="BP50" s="605">
        <f t="shared" si="104"/>
        <v>9.180585834668431E-2</v>
      </c>
      <c r="BQ50" s="605">
        <f t="shared" si="104"/>
        <v>9.3780863093108069E-2</v>
      </c>
      <c r="BR50" s="605">
        <f t="shared" si="104"/>
        <v>6.2644514965097153E-2</v>
      </c>
      <c r="BS50" s="605">
        <f t="shared" si="104"/>
        <v>6.2041850647383656E-2</v>
      </c>
      <c r="BT50" s="605">
        <f t="shared" si="104"/>
        <v>5.9001889866498791E-2</v>
      </c>
      <c r="BU50" s="605">
        <f t="shared" si="104"/>
        <v>5.9836756591048479E-2</v>
      </c>
      <c r="BV50" s="605">
        <f t="shared" si="104"/>
        <v>9.180585834668431E-2</v>
      </c>
      <c r="BW50" s="605">
        <f t="shared" si="104"/>
        <v>9.3780863093108069E-2</v>
      </c>
      <c r="BX50" s="605">
        <f t="shared" si="104"/>
        <v>0.12072403886010341</v>
      </c>
      <c r="BY50" s="605">
        <f t="shared" si="104"/>
        <v>0.13085261853229002</v>
      </c>
      <c r="BZ50" s="605">
        <f t="shared" si="104"/>
        <v>5.4712338431057272E-2</v>
      </c>
      <c r="CA50" s="605">
        <f t="shared" si="104"/>
        <v>5.4922762398667668E-2</v>
      </c>
      <c r="CB50" s="605">
        <f t="shared" si="104"/>
        <v>3.1178763711135593E-2</v>
      </c>
      <c r="CC50" s="605">
        <f t="shared" si="104"/>
        <v>3.0280453864268919E-2</v>
      </c>
      <c r="CD50" s="605">
        <f t="shared" si="104"/>
        <v>6.328386566454447E-2</v>
      </c>
      <c r="CE50" s="605">
        <f t="shared" si="104"/>
        <v>3.2770783920209379E-2</v>
      </c>
      <c r="CF50" s="605">
        <f t="shared" si="104"/>
        <v>5.1201162750803997E-2</v>
      </c>
      <c r="CG50" s="605">
        <f t="shared" si="104"/>
        <v>4.9469695734190022E-2</v>
      </c>
      <c r="CH50" s="605">
        <f t="shared" si="104"/>
        <v>9.1903637305235097E-2</v>
      </c>
      <c r="CI50" s="605">
        <f t="shared" si="104"/>
        <v>0.10317598813367068</v>
      </c>
      <c r="CJ50" s="605">
        <f t="shared" si="104"/>
        <v>3.5365357960522648E-2</v>
      </c>
      <c r="CK50" s="605">
        <f t="shared" si="104"/>
        <v>3.8517952977145331E-2</v>
      </c>
      <c r="CL50" s="605">
        <f t="shared" si="104"/>
        <v>2.8468735441396387E-2</v>
      </c>
      <c r="CM50" s="605">
        <f t="shared" si="104"/>
        <v>2.6810631229235771E-2</v>
      </c>
      <c r="CN50" s="605">
        <f t="shared" si="104"/>
        <v>6.1444016278088709E-2</v>
      </c>
      <c r="CO50" s="605">
        <f t="shared" si="104"/>
        <v>6.0706055241976031E-2</v>
      </c>
      <c r="CP50" s="605">
        <f t="shared" si="104"/>
        <v>5.2116406697739093E-2</v>
      </c>
      <c r="CQ50" s="605">
        <f t="shared" si="104"/>
        <v>4.6399037530768572E-2</v>
      </c>
    </row>
    <row r="51" spans="1:110" ht="15.75" hidden="1" outlineLevel="1" thickBot="1" x14ac:dyDescent="0.3">
      <c r="A51" s="488">
        <v>17</v>
      </c>
      <c r="B51" s="452">
        <f t="shared" si="55"/>
        <v>0.70637581201379418</v>
      </c>
      <c r="C51" s="454">
        <f t="shared" si="55"/>
        <v>0.67146974063400577</v>
      </c>
      <c r="D51" s="498"/>
      <c r="E51" s="455">
        <f t="shared" ref="E51:AG51" si="105">E22/E$26</f>
        <v>0.64174785150643521</v>
      </c>
      <c r="F51" s="386">
        <f t="shared" si="105"/>
        <v>0.62301587301587302</v>
      </c>
      <c r="G51" s="498"/>
      <c r="H51" s="448">
        <f t="shared" si="105"/>
        <v>0.70199848012029686</v>
      </c>
      <c r="I51" s="450">
        <f t="shared" si="105"/>
        <v>0.74012158054711241</v>
      </c>
      <c r="J51" s="450"/>
      <c r="K51" s="450">
        <f t="shared" si="105"/>
        <v>0.71404918269604734</v>
      </c>
      <c r="L51" s="385">
        <f t="shared" si="105"/>
        <v>0.73038229376257546</v>
      </c>
      <c r="M51" s="385"/>
      <c r="N51" s="385">
        <f t="shared" si="105"/>
        <v>0.82927676020696262</v>
      </c>
      <c r="O51" s="385">
        <f t="shared" si="105"/>
        <v>0.83173076923076927</v>
      </c>
      <c r="P51" s="491"/>
      <c r="Q51" s="448">
        <f t="shared" si="105"/>
        <v>0.688576645232992</v>
      </c>
      <c r="R51" s="450">
        <f t="shared" si="105"/>
        <v>0.69963811821471655</v>
      </c>
      <c r="S51" s="450"/>
      <c r="T51" s="385">
        <f t="shared" si="105"/>
        <v>0.78232726958475562</v>
      </c>
      <c r="U51" s="385">
        <f t="shared" si="105"/>
        <v>0.77641025641025641</v>
      </c>
      <c r="V51" s="450"/>
      <c r="W51" s="450">
        <f t="shared" si="105"/>
        <v>0.72919652862839124</v>
      </c>
      <c r="X51" s="450">
        <f t="shared" si="105"/>
        <v>0.73023255813953492</v>
      </c>
      <c r="Y51" s="450"/>
      <c r="Z51" s="385">
        <f t="shared" si="105"/>
        <v>0.79600536316981829</v>
      </c>
      <c r="AA51" s="385">
        <f t="shared" si="105"/>
        <v>0.79821428571428577</v>
      </c>
      <c r="AB51" s="449"/>
      <c r="AC51" s="449">
        <f t="shared" si="105"/>
        <v>0.66058817038181417</v>
      </c>
      <c r="AD51" s="449">
        <f t="shared" si="105"/>
        <v>0.65055762081784385</v>
      </c>
      <c r="AE51" s="491"/>
      <c r="AF51" s="450">
        <f t="shared" si="105"/>
        <v>0.69925647723488182</v>
      </c>
      <c r="AG51" s="450">
        <f t="shared" si="105"/>
        <v>0.69542253521126762</v>
      </c>
      <c r="AH51" s="450"/>
      <c r="AI51" s="384">
        <f t="shared" ref="AI51:AJ51" si="106">AI22/AI$26</f>
        <v>0.758944400157055</v>
      </c>
      <c r="AJ51" s="384">
        <f t="shared" si="106"/>
        <v>0.74762316335350043</v>
      </c>
      <c r="AK51" s="450"/>
      <c r="AL51" s="461">
        <f t="shared" si="76"/>
        <v>0.78858958596132656</v>
      </c>
      <c r="AM51" s="461">
        <f t="shared" si="76"/>
        <v>0.77411764705882358</v>
      </c>
      <c r="AN51" s="458"/>
      <c r="AO51" s="458">
        <f t="shared" si="53"/>
        <v>0.72569524507777039</v>
      </c>
      <c r="AP51" s="458">
        <f t="shared" si="54"/>
        <v>0.72456823292097849</v>
      </c>
      <c r="AQ51" s="458"/>
      <c r="BM51" s="203" t="s">
        <v>186</v>
      </c>
      <c r="BN51" s="605">
        <f t="shared" ref="BN51:CQ51" si="107">BN22-BN23</f>
        <v>2.8840810826703533E-2</v>
      </c>
      <c r="BO51" s="605">
        <f t="shared" si="107"/>
        <v>2.9655338164546352E-2</v>
      </c>
      <c r="BP51" s="605">
        <f t="shared" si="107"/>
        <v>7.9289286080712618E-2</v>
      </c>
      <c r="BQ51" s="605">
        <f t="shared" si="107"/>
        <v>9.6113505473130356E-2</v>
      </c>
      <c r="BR51" s="605">
        <f t="shared" si="107"/>
        <v>5.8552059970548465E-2</v>
      </c>
      <c r="BS51" s="605">
        <f t="shared" si="107"/>
        <v>6.3486099349023606E-2</v>
      </c>
      <c r="BT51" s="605">
        <f t="shared" si="107"/>
        <v>7.955048390613717E-2</v>
      </c>
      <c r="BU51" s="605">
        <f t="shared" si="107"/>
        <v>0.10127038626609441</v>
      </c>
      <c r="BV51" s="605">
        <f t="shared" si="107"/>
        <v>7.9289286080712618E-2</v>
      </c>
      <c r="BW51" s="605">
        <f t="shared" si="107"/>
        <v>9.6113505473130356E-2</v>
      </c>
      <c r="BX51" s="605">
        <f t="shared" si="107"/>
        <v>7.9624433850794984E-2</v>
      </c>
      <c r="BY51" s="605">
        <f t="shared" si="107"/>
        <v>7.0973721426345726E-2</v>
      </c>
      <c r="BZ51" s="605">
        <f t="shared" si="107"/>
        <v>5.2263782452394381E-2</v>
      </c>
      <c r="CA51" s="605">
        <f t="shared" si="107"/>
        <v>5.0843618241737332E-2</v>
      </c>
      <c r="CB51" s="605">
        <f t="shared" si="107"/>
        <v>2.8840810826703533E-2</v>
      </c>
      <c r="CC51" s="605">
        <f t="shared" si="107"/>
        <v>2.9655338164546352E-2</v>
      </c>
      <c r="CD51" s="605">
        <f t="shared" si="107"/>
        <v>6.1735176370555145E-2</v>
      </c>
      <c r="CE51" s="605">
        <f t="shared" si="107"/>
        <v>5.9062410943288679E-2</v>
      </c>
      <c r="CF51" s="605">
        <f t="shared" si="107"/>
        <v>4.4121811242431752E-2</v>
      </c>
      <c r="CG51" s="605">
        <f t="shared" si="107"/>
        <v>3.9579376100484343E-2</v>
      </c>
      <c r="CH51" s="605">
        <f t="shared" si="107"/>
        <v>4.9617003597717479E-2</v>
      </c>
      <c r="CI51" s="605">
        <f t="shared" si="107"/>
        <v>5.5781130411093782E-2</v>
      </c>
      <c r="CJ51" s="605">
        <f t="shared" si="107"/>
        <v>4.2715028125800414E-2</v>
      </c>
      <c r="CK51" s="605">
        <f t="shared" si="107"/>
        <v>4.0675208460443368E-2</v>
      </c>
      <c r="CL51" s="605">
        <f t="shared" si="107"/>
        <v>7.8976829653072844E-2</v>
      </c>
      <c r="CM51" s="605">
        <f t="shared" si="107"/>
        <v>9.090629800307215E-2</v>
      </c>
      <c r="CN51" s="605">
        <f t="shared" si="107"/>
        <v>4.7338013569712123E-2</v>
      </c>
      <c r="CO51" s="605">
        <f t="shared" si="107"/>
        <v>5.429624261860333E-2</v>
      </c>
      <c r="CP51" s="605">
        <f t="shared" si="107"/>
        <v>5.0725801560659312E-2</v>
      </c>
      <c r="CQ51" s="605">
        <f t="shared" si="107"/>
        <v>4.0487052541538171E-2</v>
      </c>
    </row>
    <row r="52" spans="1:110" ht="15.75" hidden="1" outlineLevel="1" thickBot="1" x14ac:dyDescent="0.3">
      <c r="A52" s="488">
        <v>18</v>
      </c>
      <c r="B52" s="387">
        <f t="shared" si="55"/>
        <v>0.74843211163685941</v>
      </c>
      <c r="C52" s="453">
        <f t="shared" si="55"/>
        <v>0.72046109510086453</v>
      </c>
      <c r="D52" s="499"/>
      <c r="E52" s="456">
        <f t="shared" ref="E52:AG52" si="108">E23/E$26</f>
        <v>0.67615303952525174</v>
      </c>
      <c r="F52" s="457">
        <f t="shared" si="108"/>
        <v>0.66269841269841268</v>
      </c>
      <c r="G52" s="499"/>
      <c r="H52" s="447">
        <f t="shared" si="108"/>
        <v>0.74356072242792703</v>
      </c>
      <c r="I52" s="384">
        <f t="shared" si="108"/>
        <v>0.78115501519756836</v>
      </c>
      <c r="J52" s="384"/>
      <c r="K52" s="384">
        <f t="shared" si="108"/>
        <v>0.74172972852840835</v>
      </c>
      <c r="L52" s="384">
        <f t="shared" si="108"/>
        <v>0.75855130784708247</v>
      </c>
      <c r="M52" s="384"/>
      <c r="N52" s="384">
        <f t="shared" si="108"/>
        <v>0.84959657348887596</v>
      </c>
      <c r="O52" s="384">
        <f t="shared" si="108"/>
        <v>0.85276442307692313</v>
      </c>
      <c r="P52" s="447"/>
      <c r="Q52" s="447">
        <f t="shared" si="108"/>
        <v>0.71914715997408496</v>
      </c>
      <c r="R52" s="384">
        <f t="shared" si="108"/>
        <v>0.72979493365500603</v>
      </c>
      <c r="S52" s="384"/>
      <c r="T52" s="384">
        <f t="shared" si="108"/>
        <v>0.81029685001944429</v>
      </c>
      <c r="U52" s="384">
        <f t="shared" si="108"/>
        <v>0.801025641025641</v>
      </c>
      <c r="V52" s="384"/>
      <c r="W52" s="384">
        <f t="shared" si="108"/>
        <v>0.7565696315794046</v>
      </c>
      <c r="X52" s="384">
        <f t="shared" si="108"/>
        <v>0.76124031007751936</v>
      </c>
      <c r="Y52" s="384"/>
      <c r="Z52" s="384">
        <f t="shared" si="108"/>
        <v>0.82402330204817609</v>
      </c>
      <c r="AA52" s="384">
        <f t="shared" si="108"/>
        <v>0.82499999999999996</v>
      </c>
      <c r="AB52" s="506"/>
      <c r="AC52" s="451">
        <f t="shared" si="108"/>
        <v>0.69694879717501657</v>
      </c>
      <c r="AD52" s="451">
        <f t="shared" si="108"/>
        <v>0.69144981412639406</v>
      </c>
      <c r="AE52" s="506"/>
      <c r="AF52" s="384">
        <f t="shared" si="108"/>
        <v>0.72319526199848327</v>
      </c>
      <c r="AG52" s="384">
        <f t="shared" si="108"/>
        <v>0.72271126760563376</v>
      </c>
      <c r="AH52" s="384"/>
      <c r="AI52" s="384">
        <f t="shared" ref="AI52:AJ52" si="109">AI23/AI$26</f>
        <v>0.78933215938700962</v>
      </c>
      <c r="AJ52" s="384">
        <f t="shared" si="109"/>
        <v>0.77095937770095069</v>
      </c>
      <c r="AK52" s="384"/>
      <c r="AL52" s="461">
        <f t="shared" si="76"/>
        <v>0.83024893416577517</v>
      </c>
      <c r="AM52" s="461">
        <f t="shared" si="76"/>
        <v>0.81647058823529417</v>
      </c>
      <c r="AN52" s="510"/>
      <c r="AO52" s="602">
        <f t="shared" si="53"/>
        <v>0.75658211148241195</v>
      </c>
      <c r="AP52" s="602">
        <f t="shared" si="54"/>
        <v>0.7564842998426663</v>
      </c>
      <c r="AQ52" s="603" t="s">
        <v>418</v>
      </c>
      <c r="AR52" s="604" t="s">
        <v>186</v>
      </c>
      <c r="BM52" s="203" t="s">
        <v>187</v>
      </c>
      <c r="BN52" s="605">
        <f t="shared" ref="BN52:CQ52" si="110">BN23-BN24</f>
        <v>5.0296079952938388E-2</v>
      </c>
      <c r="BO52" s="605">
        <f t="shared" si="110"/>
        <v>5.0606901710102514E-2</v>
      </c>
      <c r="BP52" s="605">
        <f t="shared" si="110"/>
        <v>9.7230686633940744E-2</v>
      </c>
      <c r="BQ52" s="605">
        <f t="shared" si="110"/>
        <v>0.10116080687786422</v>
      </c>
      <c r="BR52" s="605">
        <f t="shared" si="110"/>
        <v>8.2363765829228441E-2</v>
      </c>
      <c r="BS52" s="605">
        <f t="shared" si="110"/>
        <v>7.702816554102565E-2</v>
      </c>
      <c r="BT52" s="605">
        <f t="shared" si="110"/>
        <v>7.856238570941243E-2</v>
      </c>
      <c r="BU52" s="605">
        <f t="shared" si="110"/>
        <v>8.8374531835205827E-2</v>
      </c>
      <c r="BV52" s="605">
        <f t="shared" si="110"/>
        <v>9.7230686633940744E-2</v>
      </c>
      <c r="BW52" s="605">
        <f t="shared" si="110"/>
        <v>0.10116080687786422</v>
      </c>
      <c r="BX52" s="605">
        <f t="shared" si="110"/>
        <v>0.12224490627552909</v>
      </c>
      <c r="BY52" s="605">
        <f t="shared" si="110"/>
        <v>8.1612836923164123E-2</v>
      </c>
      <c r="BZ52" s="605">
        <f t="shared" si="110"/>
        <v>8.8404080378648553E-2</v>
      </c>
      <c r="CA52" s="605">
        <f t="shared" si="110"/>
        <v>7.8900891008552909E-2</v>
      </c>
      <c r="CB52" s="605">
        <f t="shared" si="110"/>
        <v>5.0296079952938388E-2</v>
      </c>
      <c r="CC52" s="605">
        <f t="shared" si="110"/>
        <v>5.0606901710102514E-2</v>
      </c>
      <c r="CD52" s="605">
        <f t="shared" si="110"/>
        <v>8.7286423504656874E-2</v>
      </c>
      <c r="CE52" s="605">
        <f t="shared" si="110"/>
        <v>8.4976616054839971E-2</v>
      </c>
      <c r="CF52" s="605">
        <f t="shared" si="110"/>
        <v>6.3503582241870804E-2</v>
      </c>
      <c r="CG52" s="605">
        <f t="shared" si="110"/>
        <v>6.9439391100920123E-2</v>
      </c>
      <c r="CH52" s="605">
        <f t="shared" si="110"/>
        <v>6.5035826235646743E-2</v>
      </c>
      <c r="CI52" s="605">
        <f t="shared" si="110"/>
        <v>7.0871054707274395E-2</v>
      </c>
      <c r="CJ52" s="605">
        <f t="shared" si="110"/>
        <v>5.4534475825388284E-2</v>
      </c>
      <c r="CK52" s="605">
        <f t="shared" si="110"/>
        <v>5.6687924638405995E-2</v>
      </c>
      <c r="CL52" s="605">
        <f t="shared" si="110"/>
        <v>7.7629288662660834E-2</v>
      </c>
      <c r="CM52" s="605">
        <f t="shared" si="110"/>
        <v>8.7650700553926431E-2</v>
      </c>
      <c r="CN52" s="605">
        <f t="shared" si="110"/>
        <v>0.12127368870081923</v>
      </c>
      <c r="CO52" s="605">
        <f t="shared" si="110"/>
        <v>0.12145621870347822</v>
      </c>
      <c r="CP52" s="605">
        <f t="shared" si="110"/>
        <v>9.527840863777115E-2</v>
      </c>
      <c r="CQ52" s="605">
        <f t="shared" si="110"/>
        <v>0.10797934362311556</v>
      </c>
    </row>
    <row r="53" spans="1:110" ht="15.75" hidden="1" outlineLevel="1" thickBot="1" x14ac:dyDescent="0.3">
      <c r="A53" s="488">
        <v>19</v>
      </c>
      <c r="B53" s="386">
        <f t="shared" si="55"/>
        <v>0.79518806640468365</v>
      </c>
      <c r="C53" s="386">
        <f t="shared" si="55"/>
        <v>0.7694524495677233</v>
      </c>
      <c r="D53" s="500"/>
      <c r="E53" s="452">
        <f t="shared" ref="E53:AG53" si="111">E24/E$26</f>
        <v>0.72373331146273312</v>
      </c>
      <c r="F53" s="454">
        <f t="shared" si="111"/>
        <v>0.71031746031746035</v>
      </c>
      <c r="G53" s="500"/>
      <c r="H53" s="385">
        <f t="shared" si="111"/>
        <v>0.81790547641761124</v>
      </c>
      <c r="I53" s="385">
        <f t="shared" si="111"/>
        <v>0.83434650455927051</v>
      </c>
      <c r="J53" s="385"/>
      <c r="K53" s="385">
        <f t="shared" si="111"/>
        <v>0.79377937793779374</v>
      </c>
      <c r="L53" s="385">
        <f t="shared" si="111"/>
        <v>0.80684104627766595</v>
      </c>
      <c r="M53" s="385"/>
      <c r="N53" s="385">
        <f t="shared" si="111"/>
        <v>0.88752159346152082</v>
      </c>
      <c r="O53" s="385">
        <f t="shared" si="111"/>
        <v>0.89122596153846156</v>
      </c>
      <c r="P53" s="385"/>
      <c r="Q53" s="385">
        <f t="shared" si="111"/>
        <v>0.76731274983547026</v>
      </c>
      <c r="R53" s="385">
        <f t="shared" si="111"/>
        <v>0.77804583835946928</v>
      </c>
      <c r="S53" s="385"/>
      <c r="T53" s="385">
        <f t="shared" si="111"/>
        <v>0.8542539860865056</v>
      </c>
      <c r="U53" s="385">
        <f t="shared" si="111"/>
        <v>0.84820512820512817</v>
      </c>
      <c r="V53" s="385"/>
      <c r="W53" s="385">
        <f t="shared" si="111"/>
        <v>0.79572246401362134</v>
      </c>
      <c r="X53" s="385">
        <f t="shared" si="111"/>
        <v>0.8046511627906977</v>
      </c>
      <c r="Y53" s="385"/>
      <c r="Z53" s="385">
        <f t="shared" si="111"/>
        <v>0.86279532109667578</v>
      </c>
      <c r="AA53" s="385">
        <f t="shared" si="111"/>
        <v>0.86547619047619051</v>
      </c>
      <c r="AB53" s="450"/>
      <c r="AC53" s="450">
        <f t="shared" si="111"/>
        <v>0.73681306554844406</v>
      </c>
      <c r="AD53" s="450">
        <f t="shared" si="111"/>
        <v>0.73605947955390338</v>
      </c>
      <c r="AE53" s="450"/>
      <c r="AF53" s="385">
        <f t="shared" si="111"/>
        <v>0.79272045871301944</v>
      </c>
      <c r="AG53" s="385">
        <f t="shared" si="111"/>
        <v>0.79225352112676062</v>
      </c>
      <c r="AH53" s="385"/>
      <c r="AI53" s="385">
        <f t="shared" ref="AI53:AJ53" si="112">AI24/AI$26</f>
        <v>0.85352243387628346</v>
      </c>
      <c r="AJ53" s="385">
        <f t="shared" si="112"/>
        <v>0.84096802074330168</v>
      </c>
      <c r="AK53" s="385"/>
      <c r="AL53" s="461">
        <f t="shared" si="76"/>
        <v>0.88174429559135836</v>
      </c>
      <c r="AM53" s="461">
        <f t="shared" si="76"/>
        <v>0.86588235294117644</v>
      </c>
      <c r="AN53" s="458"/>
      <c r="AO53" s="458">
        <f t="shared" si="53"/>
        <v>0.80677235873786346</v>
      </c>
      <c r="AP53" s="458">
        <f t="shared" si="54"/>
        <v>0.80648689695966957</v>
      </c>
      <c r="AQ53" s="458"/>
      <c r="BM53" s="203" t="s">
        <v>188</v>
      </c>
      <c r="BN53" s="605">
        <f t="shared" ref="BN53:CQ53" si="113">BN24-BN25</f>
        <v>4.44323483924145E-2</v>
      </c>
      <c r="BO53" s="605">
        <f t="shared" si="113"/>
        <v>4.5027245131991966E-2</v>
      </c>
      <c r="BP53" s="605">
        <f t="shared" si="113"/>
        <v>7.1904293223067794E-2</v>
      </c>
      <c r="BQ53" s="605">
        <f t="shared" si="113"/>
        <v>9.5321229050279399E-2</v>
      </c>
      <c r="BR53" s="605">
        <f t="shared" si="113"/>
        <v>9.3250178871131295E-2</v>
      </c>
      <c r="BS53" s="605">
        <f t="shared" si="113"/>
        <v>9.5262871221291068E-2</v>
      </c>
      <c r="BT53" s="605">
        <f t="shared" si="113"/>
        <v>0.11596522795145647</v>
      </c>
      <c r="BU53" s="605">
        <f t="shared" si="113"/>
        <v>0.14295880149812734</v>
      </c>
      <c r="BV53" s="605">
        <f t="shared" si="113"/>
        <v>7.1904293223067794E-2</v>
      </c>
      <c r="BW53" s="605">
        <f t="shared" si="113"/>
        <v>9.5321229050279399E-2</v>
      </c>
      <c r="BX53" s="605">
        <f t="shared" si="113"/>
        <v>8.6389279237190753E-2</v>
      </c>
      <c r="BY53" s="605">
        <f t="shared" si="113"/>
        <v>7.1830476333058835E-2</v>
      </c>
      <c r="BZ53" s="605">
        <f t="shared" si="113"/>
        <v>0.12056836616496636</v>
      </c>
      <c r="CA53" s="605">
        <f t="shared" si="113"/>
        <v>0.10985604171389696</v>
      </c>
      <c r="CB53" s="605">
        <f t="shared" si="113"/>
        <v>4.44323483924145E-2</v>
      </c>
      <c r="CC53" s="605">
        <f t="shared" si="113"/>
        <v>4.5027245131991966E-2</v>
      </c>
      <c r="CD53" s="605">
        <f t="shared" si="113"/>
        <v>0.12288526604607797</v>
      </c>
      <c r="CE53" s="605">
        <f t="shared" si="113"/>
        <v>0.11848736286816264</v>
      </c>
      <c r="CF53" s="605">
        <f t="shared" si="113"/>
        <v>4.6985438064353513E-2</v>
      </c>
      <c r="CG53" s="605">
        <f t="shared" si="113"/>
        <v>4.9180258959984569E-2</v>
      </c>
      <c r="CH53" s="605">
        <f t="shared" si="113"/>
        <v>0.1021489585811719</v>
      </c>
      <c r="CI53" s="605">
        <f t="shared" si="113"/>
        <v>8.686058797936469E-2</v>
      </c>
      <c r="CJ53" s="605">
        <f t="shared" si="113"/>
        <v>6.1698809113778008E-2</v>
      </c>
      <c r="CK53" s="605">
        <f t="shared" si="113"/>
        <v>5.9542876523902111E-2</v>
      </c>
      <c r="CL53" s="605">
        <f t="shared" si="113"/>
        <v>0.15446225581087902</v>
      </c>
      <c r="CM53" s="605">
        <f t="shared" si="113"/>
        <v>0.1735638321541404</v>
      </c>
      <c r="CN53" s="605">
        <f t="shared" si="113"/>
        <v>9.8311724997090622E-2</v>
      </c>
      <c r="CO53" s="605">
        <f t="shared" si="113"/>
        <v>0.10892272983643525</v>
      </c>
      <c r="CP53" s="605">
        <f t="shared" si="113"/>
        <v>7.4668135048743256E-2</v>
      </c>
      <c r="CQ53" s="605">
        <f t="shared" si="113"/>
        <v>9.0340426071841007E-2</v>
      </c>
    </row>
    <row r="54" spans="1:110" hidden="1" outlineLevel="1" x14ac:dyDescent="0.25">
      <c r="A54" s="488">
        <v>20</v>
      </c>
      <c r="B54" s="387">
        <f t="shared" si="55"/>
        <v>0.87596439169139462</v>
      </c>
      <c r="C54" s="387">
        <f t="shared" si="55"/>
        <v>0.86455331412103742</v>
      </c>
      <c r="D54" s="501"/>
      <c r="E54" s="387">
        <f t="shared" ref="E54:AG54" si="114">E25/E$26</f>
        <v>0.76346360009607439</v>
      </c>
      <c r="F54" s="453">
        <f t="shared" si="114"/>
        <v>0.76190476190476186</v>
      </c>
      <c r="G54" s="501"/>
      <c r="H54" s="387">
        <f t="shared" si="114"/>
        <v>0.88009119278218828</v>
      </c>
      <c r="I54" s="387">
        <f t="shared" si="114"/>
        <v>0.88753799392097266</v>
      </c>
      <c r="J54" s="387"/>
      <c r="K54" s="384">
        <f t="shared" si="114"/>
        <v>0.87778777877787784</v>
      </c>
      <c r="L54" s="384">
        <f t="shared" si="114"/>
        <v>0.88531187122736421</v>
      </c>
      <c r="M54" s="384"/>
      <c r="N54" s="384">
        <f t="shared" si="114"/>
        <v>0.9239575534242106</v>
      </c>
      <c r="O54" s="384">
        <f t="shared" si="114"/>
        <v>0.92848557692307687</v>
      </c>
      <c r="P54" s="384"/>
      <c r="Q54" s="384">
        <f t="shared" si="114"/>
        <v>0.84719608099214616</v>
      </c>
      <c r="R54" s="384">
        <f t="shared" si="114"/>
        <v>0.85705669481302771</v>
      </c>
      <c r="S54" s="384"/>
      <c r="T54" s="384">
        <f t="shared" si="114"/>
        <v>0.88997537052240416</v>
      </c>
      <c r="U54" s="384">
        <f t="shared" si="114"/>
        <v>0.88512820512820511</v>
      </c>
      <c r="V54" s="384"/>
      <c r="W54" s="384">
        <f t="shared" si="114"/>
        <v>0.86612285319642435</v>
      </c>
      <c r="X54" s="384">
        <f t="shared" si="114"/>
        <v>0.8651162790697674</v>
      </c>
      <c r="Y54" s="384"/>
      <c r="Z54" s="384">
        <f t="shared" si="114"/>
        <v>0.91130734970024807</v>
      </c>
      <c r="AA54" s="384">
        <f t="shared" si="114"/>
        <v>0.91249999999999998</v>
      </c>
      <c r="AB54" s="384"/>
      <c r="AC54" s="384">
        <f t="shared" si="114"/>
        <v>0.83143897594350036</v>
      </c>
      <c r="AD54" s="384">
        <f t="shared" si="114"/>
        <v>0.84386617100371752</v>
      </c>
      <c r="AE54" s="384"/>
      <c r="AF54" s="384">
        <f t="shared" si="114"/>
        <v>0.85972177081201673</v>
      </c>
      <c r="AG54" s="384">
        <f t="shared" si="114"/>
        <v>0.86707746478873238</v>
      </c>
      <c r="AH54" s="384"/>
      <c r="AI54" s="384">
        <f t="shared" ref="AI54:AJ54" si="115">AI25/AI$26</f>
        <v>0.9116208787940081</v>
      </c>
      <c r="AJ54" s="384">
        <f t="shared" si="115"/>
        <v>0.9101123595505618</v>
      </c>
      <c r="AK54" s="384"/>
      <c r="AL54" s="462">
        <f t="shared" si="76"/>
        <v>0.93518769859645201</v>
      </c>
      <c r="AM54" s="462">
        <f t="shared" si="76"/>
        <v>0.9223529411764706</v>
      </c>
      <c r="AN54" s="510"/>
      <c r="AO54" s="458">
        <f t="shared" si="53"/>
        <v>0.86988731639437444</v>
      </c>
      <c r="AP54" s="458">
        <f t="shared" si="54"/>
        <v>0.87238755770426868</v>
      </c>
      <c r="AQ54" s="458"/>
      <c r="BM54" s="203" t="s">
        <v>189</v>
      </c>
      <c r="BN54" s="605">
        <f t="shared" ref="BN54:CQ54" si="116">BN25-BN26</f>
        <v>8.2300800825724219E-2</v>
      </c>
      <c r="BO54" s="605">
        <f t="shared" si="116"/>
        <v>7.7022653721682932E-2</v>
      </c>
      <c r="BP54" s="605">
        <f t="shared" si="116"/>
        <v>0.30982014057272633</v>
      </c>
      <c r="BQ54" s="605">
        <f t="shared" si="116"/>
        <v>0.3125</v>
      </c>
      <c r="BR54" s="605">
        <f t="shared" si="116"/>
        <v>0.15736186462720725</v>
      </c>
      <c r="BS54" s="605">
        <f t="shared" si="116"/>
        <v>0.15358373123226698</v>
      </c>
      <c r="BT54" s="605">
        <f t="shared" si="116"/>
        <v>0.14159891598915997</v>
      </c>
      <c r="BU54" s="605">
        <f t="shared" si="116"/>
        <v>0.15666666666666673</v>
      </c>
      <c r="BV54" s="605">
        <f t="shared" si="116"/>
        <v>0.30982014057272633</v>
      </c>
      <c r="BW54" s="605">
        <f t="shared" si="116"/>
        <v>0.3125</v>
      </c>
      <c r="BX54" s="605">
        <f t="shared" si="116"/>
        <v>0.13624588929102899</v>
      </c>
      <c r="BY54" s="605">
        <f t="shared" si="116"/>
        <v>0.12671232876712324</v>
      </c>
      <c r="BZ54" s="605">
        <f t="shared" si="116"/>
        <v>0.13922752648968895</v>
      </c>
      <c r="CA54" s="605">
        <f t="shared" si="116"/>
        <v>0.12954545454545463</v>
      </c>
      <c r="CB54" s="605">
        <f t="shared" si="116"/>
        <v>8.2300800825724219E-2</v>
      </c>
      <c r="CC54" s="605">
        <f t="shared" si="116"/>
        <v>7.7022653721682932E-2</v>
      </c>
      <c r="CD54" s="605">
        <f t="shared" si="116"/>
        <v>0.18036428925509917</v>
      </c>
      <c r="CE54" s="605">
        <f t="shared" si="116"/>
        <v>0.16678395496129483</v>
      </c>
      <c r="CF54" s="605">
        <f t="shared" si="116"/>
        <v>0.12362660037773043</v>
      </c>
      <c r="CG54" s="605">
        <f t="shared" si="116"/>
        <v>0.12977983777520286</v>
      </c>
      <c r="CH54" s="605">
        <f t="shared" si="116"/>
        <v>0.15457062044893788</v>
      </c>
      <c r="CI54" s="605">
        <f t="shared" si="116"/>
        <v>0.15591397849462374</v>
      </c>
      <c r="CJ54" s="605">
        <f t="shared" si="116"/>
        <v>9.7324629642156602E-2</v>
      </c>
      <c r="CK54" s="605">
        <f t="shared" si="116"/>
        <v>9.5890410958904049E-2</v>
      </c>
      <c r="CL54" s="605">
        <f t="shared" si="116"/>
        <v>0.2027340898533414</v>
      </c>
      <c r="CM54" s="605">
        <f t="shared" si="116"/>
        <v>0.18502202643171817</v>
      </c>
      <c r="CN54" s="605">
        <f t="shared" si="116"/>
        <v>0.16316700815368312</v>
      </c>
      <c r="CO54" s="605">
        <f t="shared" si="116"/>
        <v>0.15329949238578688</v>
      </c>
      <c r="CP54" s="605">
        <f t="shared" si="116"/>
        <v>9.6947232409715589E-2</v>
      </c>
      <c r="CQ54" s="605">
        <f t="shared" si="116"/>
        <v>9.8765432098765427E-2</v>
      </c>
    </row>
    <row r="55" spans="1:110" hidden="1" outlineLevel="1" x14ac:dyDescent="0.25">
      <c r="A55" s="400">
        <v>21</v>
      </c>
      <c r="B55" s="386">
        <f t="shared" si="55"/>
        <v>1</v>
      </c>
      <c r="C55" s="386">
        <f t="shared" si="55"/>
        <v>1</v>
      </c>
      <c r="D55" s="500"/>
      <c r="E55" s="386">
        <f t="shared" ref="E55:AG55" si="117">E26/E$26</f>
        <v>1</v>
      </c>
      <c r="F55" s="386">
        <f t="shared" si="117"/>
        <v>1</v>
      </c>
      <c r="G55" s="500"/>
      <c r="H55" s="386">
        <f t="shared" si="117"/>
        <v>1</v>
      </c>
      <c r="I55" s="386">
        <f t="shared" si="117"/>
        <v>1</v>
      </c>
      <c r="J55" s="386"/>
      <c r="K55" s="385">
        <f t="shared" si="117"/>
        <v>1</v>
      </c>
      <c r="L55" s="385">
        <f t="shared" si="117"/>
        <v>1</v>
      </c>
      <c r="M55" s="385"/>
      <c r="N55" s="385">
        <f t="shared" si="117"/>
        <v>1</v>
      </c>
      <c r="O55" s="385">
        <f t="shared" si="117"/>
        <v>1</v>
      </c>
      <c r="P55" s="385"/>
      <c r="Q55" s="385">
        <f t="shared" si="117"/>
        <v>1</v>
      </c>
      <c r="R55" s="385">
        <f t="shared" si="117"/>
        <v>1</v>
      </c>
      <c r="S55" s="385"/>
      <c r="T55" s="385">
        <f t="shared" si="117"/>
        <v>1</v>
      </c>
      <c r="U55" s="385">
        <f t="shared" si="117"/>
        <v>1</v>
      </c>
      <c r="V55" s="385"/>
      <c r="W55" s="385">
        <f t="shared" si="117"/>
        <v>1</v>
      </c>
      <c r="X55" s="385">
        <f t="shared" si="117"/>
        <v>1</v>
      </c>
      <c r="Y55" s="385"/>
      <c r="Z55" s="385">
        <f t="shared" si="117"/>
        <v>1</v>
      </c>
      <c r="AA55" s="385">
        <f t="shared" si="117"/>
        <v>1</v>
      </c>
      <c r="AB55" s="385"/>
      <c r="AC55" s="385">
        <f t="shared" si="117"/>
        <v>1</v>
      </c>
      <c r="AD55" s="385">
        <f t="shared" si="117"/>
        <v>1</v>
      </c>
      <c r="AE55" s="385"/>
      <c r="AF55" s="385">
        <f t="shared" si="117"/>
        <v>1</v>
      </c>
      <c r="AG55" s="385">
        <f t="shared" si="117"/>
        <v>1</v>
      </c>
      <c r="AH55" s="385"/>
      <c r="AI55" s="385">
        <f t="shared" ref="AI55:AJ55" si="118">AI26/AI$26</f>
        <v>1</v>
      </c>
      <c r="AJ55" s="385">
        <f t="shared" si="118"/>
        <v>1</v>
      </c>
      <c r="AK55" s="385"/>
      <c r="AL55" s="460">
        <f t="shared" si="76"/>
        <v>1</v>
      </c>
      <c r="AM55" s="460">
        <f t="shared" si="76"/>
        <v>1</v>
      </c>
      <c r="AN55" s="458"/>
      <c r="AO55" s="458">
        <f t="shared" si="53"/>
        <v>1</v>
      </c>
      <c r="AP55" s="458">
        <f t="shared" si="54"/>
        <v>1</v>
      </c>
      <c r="AQ55" s="458"/>
      <c r="BM55" s="202" t="s">
        <v>53</v>
      </c>
      <c r="BN55" s="352">
        <f>SUM(BN35:BN54)</f>
        <v>1.664255864489887</v>
      </c>
      <c r="BO55" s="352">
        <f t="shared" ref="BO55:CQ55" si="119">SUM(BO35:BO54)</f>
        <v>1.6623999999999999</v>
      </c>
      <c r="BP55" s="352">
        <f t="shared" si="119"/>
        <v>5.2940448530154569</v>
      </c>
      <c r="BQ55" s="352">
        <f t="shared" si="119"/>
        <v>5.3111111111111118</v>
      </c>
      <c r="BR55" s="352">
        <f t="shared" si="119"/>
        <v>3.0738224505928722</v>
      </c>
      <c r="BS55" s="352">
        <f t="shared" si="119"/>
        <v>2.9466421570678949</v>
      </c>
      <c r="BT55" s="352">
        <f t="shared" si="119"/>
        <v>3.2207704285424139</v>
      </c>
      <c r="BU55" s="352">
        <f t="shared" si="119"/>
        <v>3.753424657534246</v>
      </c>
      <c r="BV55" s="352">
        <f t="shared" si="119"/>
        <v>2.9298524299560293</v>
      </c>
      <c r="BW55" s="352">
        <f t="shared" si="119"/>
        <v>3.2234636871508386</v>
      </c>
      <c r="BX55" s="352">
        <f t="shared" si="119"/>
        <v>2.3980001098840722</v>
      </c>
      <c r="BY55" s="352">
        <f t="shared" si="119"/>
        <v>2.3743589743589739</v>
      </c>
      <c r="BZ55" s="352">
        <f t="shared" si="119"/>
        <v>3.588568223536611</v>
      </c>
      <c r="CA55" s="352">
        <f t="shared" si="119"/>
        <v>3.3217391304347839</v>
      </c>
      <c r="CB55" s="352">
        <f t="shared" si="119"/>
        <v>1.664255864489887</v>
      </c>
      <c r="CC55" s="352">
        <f t="shared" si="119"/>
        <v>1.6623999999999999</v>
      </c>
      <c r="CD55" s="352">
        <f t="shared" si="119"/>
        <v>3.7068317141961771</v>
      </c>
      <c r="CE55" s="352">
        <f t="shared" si="119"/>
        <v>3.8621700879765397</v>
      </c>
      <c r="CF55" s="352">
        <f t="shared" si="119"/>
        <v>2.0265739021264353</v>
      </c>
      <c r="CG55" s="352">
        <f t="shared" si="119"/>
        <v>2.0757097791798107</v>
      </c>
      <c r="CH55" s="352">
        <f t="shared" si="119"/>
        <v>3.3073152478952288</v>
      </c>
      <c r="CI55" s="352">
        <f t="shared" si="119"/>
        <v>3.742647058823529</v>
      </c>
      <c r="CJ55" s="352">
        <f t="shared" si="119"/>
        <v>2.3383925172098006</v>
      </c>
      <c r="CK55" s="352">
        <f t="shared" si="119"/>
        <v>2.4355828220858902</v>
      </c>
      <c r="CL55" s="352">
        <f t="shared" si="119"/>
        <v>3.3374416656694974</v>
      </c>
      <c r="CM55" s="352">
        <f t="shared" si="119"/>
        <v>3.0149253731343277</v>
      </c>
      <c r="CN55" s="352">
        <f t="shared" si="119"/>
        <v>5.2940448530154569</v>
      </c>
      <c r="CO55" s="352">
        <f t="shared" si="119"/>
        <v>5.3111111111111118</v>
      </c>
      <c r="CP55" s="352">
        <f t="shared" si="119"/>
        <v>2.2375577812018488</v>
      </c>
      <c r="CQ55" s="352">
        <f t="shared" si="119"/>
        <v>2.3342939481268012</v>
      </c>
    </row>
    <row r="56" spans="1:110" hidden="1" outlineLevel="1" x14ac:dyDescent="0.25">
      <c r="W56" s="21"/>
      <c r="AD56" s="21"/>
      <c r="AE56" s="21"/>
      <c r="BM56" s="202" t="s">
        <v>419</v>
      </c>
      <c r="BN56" s="605">
        <f>_xlfn.STDEV.P(BN35:BN54)</f>
        <v>0.11606768642022185</v>
      </c>
      <c r="BO56" s="605">
        <f t="shared" ref="BO56:CQ56" si="120">_xlfn.STDEV.P(BO35:BO54)</f>
        <v>0.11405215356530445</v>
      </c>
      <c r="BP56" s="605">
        <f t="shared" si="120"/>
        <v>0.38447853073283117</v>
      </c>
      <c r="BQ56" s="605">
        <f t="shared" si="120"/>
        <v>0.39208256040679607</v>
      </c>
      <c r="BR56" s="605">
        <f t="shared" si="120"/>
        <v>0.16474662012198427</v>
      </c>
      <c r="BS56" s="605">
        <f t="shared" si="120"/>
        <v>0.1503983619244926</v>
      </c>
      <c r="BT56" s="605">
        <f t="shared" si="120"/>
        <v>0.12466624402317973</v>
      </c>
      <c r="BU56" s="605">
        <f t="shared" si="120"/>
        <v>0.13991351382772266</v>
      </c>
      <c r="BV56" s="605">
        <f t="shared" si="120"/>
        <v>0.11026455452307622</v>
      </c>
      <c r="BW56" s="605">
        <f t="shared" si="120"/>
        <v>0.12015369501343491</v>
      </c>
      <c r="BX56" s="605">
        <f t="shared" si="120"/>
        <v>9.5636951842573037E-2</v>
      </c>
      <c r="BY56" s="605">
        <f t="shared" si="120"/>
        <v>0.10699031417738196</v>
      </c>
      <c r="BZ56" s="605">
        <f t="shared" si="120"/>
        <v>0.19867551856428031</v>
      </c>
      <c r="CA56" s="605">
        <f t="shared" si="120"/>
        <v>0.19163224696947781</v>
      </c>
      <c r="CB56" s="605">
        <f t="shared" si="120"/>
        <v>0.11606768642022185</v>
      </c>
      <c r="CC56" s="605">
        <f t="shared" si="120"/>
        <v>0.11405215356530445</v>
      </c>
      <c r="CD56" s="605">
        <f t="shared" si="120"/>
        <v>0.17732073300522386</v>
      </c>
      <c r="CE56" s="605">
        <f t="shared" si="120"/>
        <v>0.1940455098389828</v>
      </c>
      <c r="CF56" s="605">
        <f t="shared" si="120"/>
        <v>0.14708664506235813</v>
      </c>
      <c r="CG56" s="605">
        <f t="shared" si="120"/>
        <v>0.15087018255178186</v>
      </c>
      <c r="CH56" s="605">
        <f t="shared" si="120"/>
        <v>0.17567093304321629</v>
      </c>
      <c r="CI56" s="605">
        <f t="shared" si="120"/>
        <v>0.21470341400100323</v>
      </c>
      <c r="CJ56" s="605">
        <f t="shared" si="120"/>
        <v>0.15123306776146814</v>
      </c>
      <c r="CK56" s="605">
        <f t="shared" si="120"/>
        <v>0.16062294985721087</v>
      </c>
      <c r="CL56" s="605">
        <f t="shared" si="120"/>
        <v>0.24551251396459128</v>
      </c>
      <c r="CM56" s="605">
        <f t="shared" si="120"/>
        <v>0.20817847179216453</v>
      </c>
      <c r="CN56" s="605">
        <f t="shared" si="120"/>
        <v>0.38227844867785343</v>
      </c>
      <c r="CO56" s="605">
        <f t="shared" si="120"/>
        <v>0.39429394232726822</v>
      </c>
      <c r="CP56" s="605">
        <f t="shared" si="120"/>
        <v>0.18393559005485638</v>
      </c>
      <c r="CQ56" s="605">
        <f t="shared" si="120"/>
        <v>0.19561176967795843</v>
      </c>
    </row>
    <row r="57" spans="1:110" hidden="1" outlineLevel="1" x14ac:dyDescent="0.25">
      <c r="A57" s="480" t="s">
        <v>224</v>
      </c>
      <c r="W57" s="21"/>
      <c r="AD57" s="21"/>
      <c r="AE57" s="21"/>
      <c r="AL57" s="739" t="s">
        <v>245</v>
      </c>
      <c r="AM57" s="739"/>
      <c r="AN57" s="509"/>
    </row>
    <row r="58" spans="1:110" hidden="1" outlineLevel="1" x14ac:dyDescent="0.25">
      <c r="A58" s="333" t="s">
        <v>31</v>
      </c>
      <c r="B58" s="388" t="str">
        <f>Tabelle3[[#Headers],[Ned (€)]]</f>
        <v>Ned (€)</v>
      </c>
      <c r="C58" s="389" t="str">
        <f>Tabelle3[[#Headers],[Ned (Backer)]]</f>
        <v>Ned (Backer)</v>
      </c>
      <c r="D58" s="493" t="str">
        <f>Tabelle3[[#Headers],[Ned (€/B)]]</f>
        <v>Ned (€/B)</v>
      </c>
      <c r="E58" s="391" t="str">
        <f>Tabelle3[[#Headers],[Werkzeuge (€)]]</f>
        <v>Werkzeuge (€)</v>
      </c>
      <c r="F58" s="392" t="str">
        <f>Tabelle3[[#Headers],[Werkzeuge (Backer)]]</f>
        <v>Werkzeuge (Backer)</v>
      </c>
      <c r="G58" s="493" t="str">
        <f>Tabelle3[[#Headers],[Werkz (€/B)]]</f>
        <v>Werkz (€/B)</v>
      </c>
      <c r="H58" s="395" t="str">
        <f>Tabelle3[[#Headers],[DSK Fasar (€)]]</f>
        <v>DSK Fasar (€)</v>
      </c>
      <c r="I58" s="396" t="str">
        <f>Tabelle3[[#Headers],[DSK Fasar (Backer)]]</f>
        <v>DSK Fasar (Backer)</v>
      </c>
      <c r="J58" s="398" t="str">
        <f>Tabelle3[[#Headers],[DSK Fasar (€/B)]]</f>
        <v>DSK Fasar (€/B)</v>
      </c>
      <c r="K58" s="388" t="str">
        <f>Tabelle3[[#Headers],[Mythen (€)]]</f>
        <v>Mythen (€)</v>
      </c>
      <c r="L58" s="389" t="str">
        <f>Tabelle3[[#Headers],[Mythen (Backer)]]</f>
        <v>Mythen (Backer)</v>
      </c>
      <c r="M58" s="389" t="str">
        <f>Tabelle3[[#Headers],[Mythen (€/B)]]</f>
        <v>Mythen (€/B)</v>
      </c>
      <c r="N58" s="393" t="str">
        <f>Tabelle3[[#Headers],[SOK (€)]]</f>
        <v>SOK (€)</v>
      </c>
      <c r="O58" s="394" t="str">
        <f>Tabelle3[[#Headers],[SOK (Backer)]]</f>
        <v>SOK (Backer)</v>
      </c>
      <c r="P58" s="394" t="str">
        <f>Tabelle3[[#Headers],[SOK (€/B)]]</f>
        <v>SOK (€/B)</v>
      </c>
      <c r="Q58" s="390" t="str">
        <f>Tabelle3[[#Headers],[RE (€)]]</f>
        <v>RE (€)</v>
      </c>
      <c r="R58" s="390" t="str">
        <f>Tabelle3[[#Headers],[RE (Backer)]]</f>
        <v>RE (Backer)</v>
      </c>
      <c r="S58" s="390" t="str">
        <f>Tabelle3[[#Headers],[RE (€/B)]]</f>
        <v>RE (€/B)</v>
      </c>
      <c r="T58" s="390" t="str">
        <f>Tabelle3[[#Headers],[DGG (€)]]</f>
        <v>DGG (€)</v>
      </c>
      <c r="U58" s="390" t="str">
        <f>Tabelle3[[#Headers],[DGG (Backer)]]</f>
        <v>DGG (Backer)</v>
      </c>
      <c r="V58" s="390" t="str">
        <f>Tabelle3[[#Headers],[DGG (€/B)]]</f>
        <v>DGG (€/B)</v>
      </c>
      <c r="W58" s="395" t="str">
        <f>Tabelle3[[#Headers],[DSK SV (€)]]</f>
        <v>DSK SV (€)</v>
      </c>
      <c r="X58" s="396" t="str">
        <f>Tabelle3[[#Headers],[DSK SV (Backer)]]</f>
        <v>DSK SV (Backer)</v>
      </c>
      <c r="Y58" s="398" t="str">
        <f>Tabelle3[[#Headers],[DSK SV (€/B)]]</f>
        <v>DSK SV (€/B)</v>
      </c>
      <c r="Z58" s="393" t="str">
        <f>Tabelle3[[#Headers],[WW (€)]]</f>
        <v>WW (€)</v>
      </c>
      <c r="AA58" s="394" t="str">
        <f>Tabelle3[[#Headers],[WW (Backer)]]</f>
        <v>WW (Backer)</v>
      </c>
      <c r="AB58" s="394" t="str">
        <f>Tabelle3[[#Headers],[WW (€/B)]]</f>
        <v>WW (€/B)</v>
      </c>
      <c r="AC58" s="395" t="str">
        <f>Tabelle3[[#Headers],[DSK R (€)]]</f>
        <v>DSK R (€)</v>
      </c>
      <c r="AD58" s="396" t="str">
        <f>Tabelle3[[#Headers],[DSK R (Backer)]]</f>
        <v>DSK R (Backer)</v>
      </c>
      <c r="AE58" s="398" t="str">
        <f>Tabelle3[[#Headers],[DSK R (€/B)]]</f>
        <v>DSK R (€/B)</v>
      </c>
      <c r="AF58" s="390" t="str">
        <f>Tabelle3[[#Headers],[Ära (€)]]</f>
        <v>Ära (€)</v>
      </c>
      <c r="AG58" s="390" t="str">
        <f>Tabelle3[[#Headers],[Ära (Backer)]]</f>
        <v>Ära (Backer)</v>
      </c>
      <c r="AH58" s="390" t="str">
        <f>Tabelle3[[#Headers],[Ära (€/B)]]</f>
        <v>Ära (€/B)</v>
      </c>
      <c r="AI58" s="390" t="str">
        <f>Tabelle3[[#Headers],[Mosaik (€)]]</f>
        <v>Mosaik (€)</v>
      </c>
      <c r="AJ58" s="390" t="str">
        <f>Tabelle3[[#Headers],[Mosaik (Backer)]]</f>
        <v>Mosaik (Backer)</v>
      </c>
      <c r="AK58" s="390" t="str">
        <f>Tabelle3[[#Headers],[Mosaik (€/B)]]</f>
        <v>Mosaik (€/B)</v>
      </c>
      <c r="AL58" s="575" t="str">
        <f>Tabelle3[[#Headers],[DSK ES (€)]]</f>
        <v>DSK ES (€)</v>
      </c>
      <c r="AM58" s="575" t="str">
        <f>Tabelle3[[#Headers],[DSK ES (Backer)]]</f>
        <v>DSK ES (Backer)</v>
      </c>
      <c r="AN58" s="575" t="str">
        <f>Tabelle3[[#Headers],[DSK ES (€/B)]]</f>
        <v>DSK ES (€/B)</v>
      </c>
      <c r="AO58" s="738" t="s">
        <v>246</v>
      </c>
      <c r="AP58" s="738"/>
      <c r="AQ58" s="463"/>
      <c r="BM58" s="203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</row>
    <row r="59" spans="1:110" hidden="1" outlineLevel="1" x14ac:dyDescent="0.25">
      <c r="A59" s="488">
        <v>1</v>
      </c>
      <c r="B59" s="385">
        <f>B35-B34</f>
        <v>0.23692357045472773</v>
      </c>
      <c r="C59" s="385">
        <f t="shared" ref="C59:AM59" si="121">C35-C34</f>
        <v>0.21037463976945245</v>
      </c>
      <c r="D59" s="494"/>
      <c r="E59" s="385">
        <f t="shared" si="121"/>
        <v>0.25446248118054376</v>
      </c>
      <c r="F59" s="385">
        <f t="shared" si="121"/>
        <v>0.23677248677248677</v>
      </c>
      <c r="G59" s="494"/>
      <c r="H59" s="385">
        <f t="shared" si="121"/>
        <v>0.29429074975342379</v>
      </c>
      <c r="I59" s="385">
        <f t="shared" si="121"/>
        <v>0.29635258358662614</v>
      </c>
      <c r="J59" s="385"/>
      <c r="K59" s="385">
        <f t="shared" si="121"/>
        <v>0.21793290440155128</v>
      </c>
      <c r="L59" s="385">
        <f t="shared" si="121"/>
        <v>0.23138832997987926</v>
      </c>
      <c r="M59" s="385"/>
      <c r="N59" s="385">
        <f t="shared" si="121"/>
        <v>0.37533932582389773</v>
      </c>
      <c r="O59" s="385">
        <f t="shared" si="121"/>
        <v>0.37560096153846156</v>
      </c>
      <c r="P59" s="385"/>
      <c r="Q59" s="385">
        <f t="shared" si="121"/>
        <v>0.212457139052565</v>
      </c>
      <c r="R59" s="385">
        <f t="shared" si="121"/>
        <v>0.20566948130277443</v>
      </c>
      <c r="S59" s="385"/>
      <c r="T59" s="385">
        <f t="shared" si="121"/>
        <v>0.33040660242838005</v>
      </c>
      <c r="U59" s="385">
        <f t="shared" si="121"/>
        <v>0.32512820512820512</v>
      </c>
      <c r="V59" s="385"/>
      <c r="W59" s="385">
        <f t="shared" si="121"/>
        <v>0.23216317878953724</v>
      </c>
      <c r="X59" s="385">
        <f t="shared" si="121"/>
        <v>0.21085271317829457</v>
      </c>
      <c r="Y59" s="385"/>
      <c r="Z59" s="385">
        <f t="shared" si="121"/>
        <v>0.29954536347804644</v>
      </c>
      <c r="AA59" s="385">
        <f t="shared" si="121"/>
        <v>0.29107142857142859</v>
      </c>
      <c r="AB59" s="385"/>
      <c r="AC59" s="385">
        <f t="shared" si="121"/>
        <v>0.23055065107040387</v>
      </c>
      <c r="AD59" s="385">
        <f t="shared" si="121"/>
        <v>0.24907063197026022</v>
      </c>
      <c r="AE59" s="385"/>
      <c r="AF59" s="385">
        <f t="shared" si="121"/>
        <v>0.15888034218899844</v>
      </c>
      <c r="AG59" s="385">
        <f t="shared" si="121"/>
        <v>0.15845070422535212</v>
      </c>
      <c r="AH59" s="385"/>
      <c r="AI59" s="385">
        <f t="shared" ref="AI59:AJ59" si="122">AI35-AI34</f>
        <v>0.30887479624495817</v>
      </c>
      <c r="AJ59" s="385">
        <f t="shared" si="122"/>
        <v>0.2999135695764909</v>
      </c>
      <c r="AK59" s="385"/>
      <c r="AL59" s="385">
        <f t="shared" si="121"/>
        <v>0.27545627285356156</v>
      </c>
      <c r="AM59" s="385">
        <f t="shared" si="121"/>
        <v>0.2847058823529412</v>
      </c>
      <c r="AN59" s="491"/>
      <c r="AO59" s="458">
        <f>AVERAGE(B59,E59,H59,K59,N59,Q59,T59,W59,Z59,AC59,AF59,AI59)</f>
        <v>0.26265225873891945</v>
      </c>
      <c r="AP59" s="458">
        <f t="shared" ref="AP59:AP79" si="123">AVERAGE(C59,F59,I59,L59,O59,R59,U59,X59,AA59,AD59,AG59,AJ59)</f>
        <v>0.25755381129997601</v>
      </c>
      <c r="AQ59" s="458"/>
    </row>
    <row r="60" spans="1:110" hidden="1" outlineLevel="1" x14ac:dyDescent="0.25">
      <c r="A60" s="577">
        <v>2</v>
      </c>
      <c r="B60" s="384">
        <f t="shared" ref="B60:AG60" si="124">B36-B35</f>
        <v>3.1967278851551872E-2</v>
      </c>
      <c r="C60" s="384">
        <f t="shared" si="124"/>
        <v>2.5936599423631135E-2</v>
      </c>
      <c r="D60" s="495"/>
      <c r="E60" s="384">
        <f t="shared" si="124"/>
        <v>3.5647125675889402E-2</v>
      </c>
      <c r="F60" s="384">
        <f t="shared" si="124"/>
        <v>3.5714285714285726E-2</v>
      </c>
      <c r="G60" s="495"/>
      <c r="H60" s="384">
        <f t="shared" si="124"/>
        <v>5.0584506928387785E-2</v>
      </c>
      <c r="I60" s="384">
        <f t="shared" si="124"/>
        <v>5.7750759878419433E-2</v>
      </c>
      <c r="J60" s="384"/>
      <c r="K60" s="384">
        <f t="shared" si="124"/>
        <v>5.4672133880054652E-2</v>
      </c>
      <c r="L60" s="384">
        <f t="shared" si="124"/>
        <v>6.0362173038229411E-2</v>
      </c>
      <c r="M60" s="384"/>
      <c r="N60" s="384">
        <f t="shared" si="124"/>
        <v>0.10150704584715387</v>
      </c>
      <c r="O60" s="384">
        <f t="shared" si="124"/>
        <v>9.8557692307692291E-2</v>
      </c>
      <c r="P60" s="384"/>
      <c r="Q60" s="384">
        <f t="shared" si="124"/>
        <v>3.4217056288363579E-2</v>
      </c>
      <c r="R60" s="384">
        <f t="shared" si="124"/>
        <v>3.7997587454764781E-2</v>
      </c>
      <c r="S60" s="384"/>
      <c r="T60" s="384">
        <f t="shared" si="124"/>
        <v>0.10254072505725276</v>
      </c>
      <c r="U60" s="384">
        <f t="shared" si="124"/>
        <v>0.10256410256410259</v>
      </c>
      <c r="V60" s="384"/>
      <c r="W60" s="384">
        <f t="shared" si="124"/>
        <v>4.9438377941674716E-2</v>
      </c>
      <c r="X60" s="384">
        <f t="shared" si="124"/>
        <v>5.5813953488372092E-2</v>
      </c>
      <c r="Y60" s="384"/>
      <c r="Z60" s="384">
        <f t="shared" si="124"/>
        <v>7.4622035230477612E-2</v>
      </c>
      <c r="AA60" s="384">
        <f t="shared" si="124"/>
        <v>7.678571428571429E-2</v>
      </c>
      <c r="AB60" s="384"/>
      <c r="AC60" s="384">
        <f t="shared" si="124"/>
        <v>8.4859854336791024E-2</v>
      </c>
      <c r="AD60" s="384">
        <f t="shared" si="124"/>
        <v>8.1784386617100385E-2</v>
      </c>
      <c r="AE60" s="384"/>
      <c r="AF60" s="384">
        <f t="shared" si="124"/>
        <v>6.4308901006745078E-2</v>
      </c>
      <c r="AG60" s="384">
        <f t="shared" si="124"/>
        <v>6.6901408450704219E-2</v>
      </c>
      <c r="AH60" s="384"/>
      <c r="AI60" s="384">
        <f t="shared" ref="AI60:AJ60" si="125">AI36-AI35</f>
        <v>0.11603031637060218</v>
      </c>
      <c r="AJ60" s="384">
        <f t="shared" si="125"/>
        <v>0.11754537597234227</v>
      </c>
      <c r="AK60" s="384"/>
      <c r="AL60" s="384"/>
      <c r="AM60" s="384"/>
      <c r="AN60" s="506"/>
      <c r="AO60" s="458">
        <f t="shared" ref="AO60:AO79" si="126">AVERAGE(B60,E60,H60,K60,N60,Q60,T60,W60,Z60,AC60,AF60,AI60)</f>
        <v>6.6699613117912046E-2</v>
      </c>
      <c r="AP60" s="458">
        <f t="shared" si="123"/>
        <v>6.8142836599613218E-2</v>
      </c>
      <c r="AQ60" s="458"/>
    </row>
    <row r="61" spans="1:110" ht="15.75" hidden="1" outlineLevel="1" thickBot="1" x14ac:dyDescent="0.3">
      <c r="A61" s="488">
        <v>3</v>
      </c>
      <c r="B61" s="385">
        <f t="shared" ref="B61:AG61" si="127">B37-B36</f>
        <v>1.4596198572459695E-2</v>
      </c>
      <c r="C61" s="385">
        <f t="shared" si="127"/>
        <v>2.3054755043227654E-2</v>
      </c>
      <c r="D61" s="494"/>
      <c r="E61" s="385">
        <f t="shared" si="127"/>
        <v>2.5653042454350017E-2</v>
      </c>
      <c r="F61" s="385">
        <f t="shared" si="127"/>
        <v>2.380952380952378E-2</v>
      </c>
      <c r="G61" s="494"/>
      <c r="H61" s="385">
        <f t="shared" si="127"/>
        <v>2.1132795446828445E-2</v>
      </c>
      <c r="I61" s="385">
        <f t="shared" si="127"/>
        <v>2.2796352583586643E-2</v>
      </c>
      <c r="J61" s="385"/>
      <c r="K61" s="385">
        <f t="shared" si="127"/>
        <v>3.4881265904368242E-2</v>
      </c>
      <c r="L61" s="385">
        <f t="shared" si="127"/>
        <v>3.4205231388329982E-2</v>
      </c>
      <c r="M61" s="385"/>
      <c r="N61" s="385">
        <f t="shared" si="127"/>
        <v>3.5620323159484157E-2</v>
      </c>
      <c r="O61" s="385">
        <f t="shared" si="127"/>
        <v>3.7860576923076872E-2</v>
      </c>
      <c r="P61" s="385"/>
      <c r="Q61" s="385">
        <f t="shared" si="127"/>
        <v>4.8191197596970131E-2</v>
      </c>
      <c r="R61" s="385">
        <f t="shared" si="127"/>
        <v>4.5838359469240059E-2</v>
      </c>
      <c r="S61" s="385"/>
      <c r="T61" s="385">
        <f t="shared" si="127"/>
        <v>4.446700946290455E-2</v>
      </c>
      <c r="U61" s="385">
        <f t="shared" si="127"/>
        <v>4.2051282051282057E-2</v>
      </c>
      <c r="V61" s="385"/>
      <c r="W61" s="385">
        <f t="shared" si="127"/>
        <v>5.0168095697271375E-2</v>
      </c>
      <c r="X61" s="385">
        <f t="shared" si="127"/>
        <v>4.1860465116279055E-2</v>
      </c>
      <c r="Y61" s="385"/>
      <c r="Z61" s="385">
        <f t="shared" si="127"/>
        <v>6.9178726093054088E-2</v>
      </c>
      <c r="AA61" s="385">
        <f t="shared" si="127"/>
        <v>6.7261904761904745E-2</v>
      </c>
      <c r="AB61" s="385"/>
      <c r="AC61" s="385">
        <f t="shared" si="127"/>
        <v>4.7588832487309607E-2</v>
      </c>
      <c r="AD61" s="385">
        <f t="shared" si="127"/>
        <v>4.4609665427509271E-2</v>
      </c>
      <c r="AE61" s="385"/>
      <c r="AF61" s="385">
        <f t="shared" si="127"/>
        <v>3.9591684422134732E-2</v>
      </c>
      <c r="AG61" s="385">
        <f t="shared" si="127"/>
        <v>3.9612676056338031E-2</v>
      </c>
      <c r="AH61" s="385"/>
      <c r="AI61" s="385">
        <f t="shared" ref="AI61:AJ61" si="128">AI37-AI36</f>
        <v>4.3178221709281706E-2</v>
      </c>
      <c r="AJ61" s="385">
        <f t="shared" si="128"/>
        <v>4.5808124459809862E-2</v>
      </c>
      <c r="AK61" s="385"/>
      <c r="AL61" s="385"/>
      <c r="AM61" s="385"/>
      <c r="AN61" s="491"/>
      <c r="AO61" s="458">
        <f t="shared" si="126"/>
        <v>3.952061608386806E-2</v>
      </c>
      <c r="AP61" s="458">
        <f t="shared" si="123"/>
        <v>3.906407642417567E-2</v>
      </c>
      <c r="AQ61" s="458"/>
    </row>
    <row r="62" spans="1:110" ht="15.75" hidden="1" outlineLevel="1" thickBot="1" x14ac:dyDescent="0.3">
      <c r="A62" s="577">
        <v>4</v>
      </c>
      <c r="B62" s="384">
        <f t="shared" ref="B62:AG62" si="129">B38-B37</f>
        <v>1.9360012831822926E-2</v>
      </c>
      <c r="C62" s="384">
        <f t="shared" si="129"/>
        <v>1.4409221902017266E-2</v>
      </c>
      <c r="D62" s="495"/>
      <c r="E62" s="384">
        <f t="shared" si="129"/>
        <v>3.5512387156490022E-2</v>
      </c>
      <c r="F62" s="384">
        <f t="shared" si="129"/>
        <v>3.0423280423280463E-2</v>
      </c>
      <c r="G62" s="495"/>
      <c r="H62" s="384">
        <f t="shared" si="129"/>
        <v>2.1698708102252329E-2</v>
      </c>
      <c r="I62" s="384">
        <f t="shared" si="129"/>
        <v>2.4316109422492405E-2</v>
      </c>
      <c r="J62" s="384"/>
      <c r="K62" s="384">
        <f t="shared" si="129"/>
        <v>2.9480725850362821E-2</v>
      </c>
      <c r="L62" s="384">
        <f t="shared" si="129"/>
        <v>3.2193158953722323E-2</v>
      </c>
      <c r="M62" s="384"/>
      <c r="N62" s="384">
        <f t="shared" si="129"/>
        <v>2.1269298175901508E-2</v>
      </c>
      <c r="O62" s="384">
        <f t="shared" si="129"/>
        <v>2.34375E-2</v>
      </c>
      <c r="P62" s="384"/>
      <c r="Q62" s="384">
        <f t="shared" si="129"/>
        <v>2.2245439902485731E-2</v>
      </c>
      <c r="R62" s="384">
        <f t="shared" si="129"/>
        <v>2.4125452352231569E-2</v>
      </c>
      <c r="S62" s="384"/>
      <c r="T62" s="384">
        <f t="shared" si="129"/>
        <v>2.9542410232035576E-2</v>
      </c>
      <c r="U62" s="384">
        <f t="shared" si="129"/>
        <v>2.8717948717948694E-2</v>
      </c>
      <c r="V62" s="384"/>
      <c r="W62" s="384">
        <f t="shared" si="129"/>
        <v>2.9588317566217548E-2</v>
      </c>
      <c r="X62" s="384">
        <f t="shared" si="129"/>
        <v>2.9457364341085313E-2</v>
      </c>
      <c r="Y62" s="384"/>
      <c r="Z62" s="384">
        <f t="shared" si="129"/>
        <v>4.0075824125017312E-2</v>
      </c>
      <c r="AA62" s="384">
        <f t="shared" si="129"/>
        <v>3.9285714285714257E-2</v>
      </c>
      <c r="AB62" s="384"/>
      <c r="AC62" s="384">
        <f t="shared" si="129"/>
        <v>2.9711984109468126E-2</v>
      </c>
      <c r="AD62" s="384">
        <f t="shared" si="129"/>
        <v>3.3457249070631967E-2</v>
      </c>
      <c r="AE62" s="384"/>
      <c r="AF62" s="384">
        <f t="shared" si="129"/>
        <v>1.7430452734342072E-2</v>
      </c>
      <c r="AG62" s="384">
        <f t="shared" si="129"/>
        <v>1.9366197183098566E-2</v>
      </c>
      <c r="AH62" s="384"/>
      <c r="AI62" s="384">
        <f t="shared" ref="AI62:AJ62" si="130">AI38-AI37</f>
        <v>4.6581079634014255E-2</v>
      </c>
      <c r="AJ62" s="384">
        <f t="shared" si="130"/>
        <v>4.2350907519446868E-2</v>
      </c>
      <c r="AK62" s="384"/>
      <c r="AL62" s="384"/>
      <c r="AM62" s="384"/>
      <c r="AN62" s="506"/>
      <c r="AO62" s="459">
        <f t="shared" si="126"/>
        <v>2.8541386701700852E-2</v>
      </c>
      <c r="AP62" s="459">
        <f t="shared" si="123"/>
        <v>2.8461675347639142E-2</v>
      </c>
      <c r="AQ62" s="458"/>
      <c r="AR62" s="22"/>
      <c r="AS62" s="22"/>
      <c r="AT62" s="22"/>
    </row>
    <row r="63" spans="1:110" hidden="1" outlineLevel="1" x14ac:dyDescent="0.25">
      <c r="A63" s="488">
        <v>5</v>
      </c>
      <c r="B63" s="385">
        <f t="shared" ref="B63:AG63" si="131">B39-B38</f>
        <v>4.819953484641909E-2</v>
      </c>
      <c r="C63" s="385">
        <f t="shared" si="131"/>
        <v>4.6109510086455363E-2</v>
      </c>
      <c r="D63" s="494"/>
      <c r="E63" s="385">
        <f t="shared" si="131"/>
        <v>1.8465035354215842E-2</v>
      </c>
      <c r="F63" s="385">
        <f t="shared" si="131"/>
        <v>2.2486772486772444E-2</v>
      </c>
      <c r="G63" s="494"/>
      <c r="H63" s="385">
        <f t="shared" si="131"/>
        <v>2.2685013015991073E-2</v>
      </c>
      <c r="I63" s="385">
        <f t="shared" si="131"/>
        <v>2.4316109422492405E-2</v>
      </c>
      <c r="J63" s="385"/>
      <c r="K63" s="385">
        <f t="shared" si="131"/>
        <v>2.5524774699692165E-2</v>
      </c>
      <c r="L63" s="385">
        <f t="shared" si="131"/>
        <v>2.6156941649899401E-2</v>
      </c>
      <c r="M63" s="385"/>
      <c r="N63" s="385">
        <f t="shared" si="131"/>
        <v>1.5350702911614222E-2</v>
      </c>
      <c r="O63" s="385">
        <f t="shared" si="131"/>
        <v>1.6225961538461564E-2</v>
      </c>
      <c r="P63" s="385"/>
      <c r="Q63" s="385">
        <f t="shared" si="131"/>
        <v>2.0916398425636418E-2</v>
      </c>
      <c r="R63" s="385">
        <f t="shared" si="131"/>
        <v>2.6537997587454787E-2</v>
      </c>
      <c r="S63" s="385"/>
      <c r="T63" s="385">
        <f t="shared" si="131"/>
        <v>1.3148684267381139E-2</v>
      </c>
      <c r="U63" s="385">
        <f t="shared" si="131"/>
        <v>1.1282051282051342E-2</v>
      </c>
      <c r="V63" s="385"/>
      <c r="W63" s="385">
        <f t="shared" si="131"/>
        <v>2.3985127657171645E-2</v>
      </c>
      <c r="X63" s="385">
        <f t="shared" si="131"/>
        <v>2.635658914728678E-2</v>
      </c>
      <c r="Y63" s="385"/>
      <c r="Z63" s="385">
        <f t="shared" si="131"/>
        <v>3.1155701450213458E-2</v>
      </c>
      <c r="AA63" s="385">
        <f t="shared" si="131"/>
        <v>2.9761904761904767E-2</v>
      </c>
      <c r="AB63" s="385"/>
      <c r="AC63" s="385">
        <f t="shared" si="131"/>
        <v>2.1518428602957385E-2</v>
      </c>
      <c r="AD63" s="385">
        <f t="shared" si="131"/>
        <v>2.2304832713754663E-2</v>
      </c>
      <c r="AE63" s="385"/>
      <c r="AF63" s="385">
        <f t="shared" si="131"/>
        <v>2.29396635088015E-2</v>
      </c>
      <c r="AG63" s="385">
        <f t="shared" si="131"/>
        <v>2.4647887323943685E-2</v>
      </c>
      <c r="AH63" s="385"/>
      <c r="AI63" s="385">
        <f t="shared" ref="AI63:AJ63" si="132">AI39-AI38</f>
        <v>2.0345758920603974E-2</v>
      </c>
      <c r="AJ63" s="385">
        <f t="shared" si="132"/>
        <v>2.2471910112359494E-2</v>
      </c>
      <c r="AK63" s="385"/>
      <c r="AL63" s="385"/>
      <c r="AM63" s="385"/>
      <c r="AN63" s="491"/>
      <c r="AO63" s="458">
        <f t="shared" si="126"/>
        <v>2.3686235305058159E-2</v>
      </c>
      <c r="AP63" s="458">
        <f t="shared" si="123"/>
        <v>2.4888205676069725E-2</v>
      </c>
      <c r="AQ63" s="458"/>
      <c r="AR63" s="22"/>
      <c r="AS63" s="22"/>
      <c r="AT63" s="22"/>
    </row>
    <row r="64" spans="1:110" hidden="1" outlineLevel="1" x14ac:dyDescent="0.25">
      <c r="A64" s="577">
        <v>6</v>
      </c>
      <c r="B64" s="384">
        <f t="shared" ref="B64:AG64" si="133">B40-B39</f>
        <v>1.0987248375972425E-2</v>
      </c>
      <c r="C64" s="384">
        <f t="shared" si="133"/>
        <v>1.1527377521613813E-2</v>
      </c>
      <c r="D64" s="495"/>
      <c r="E64" s="384">
        <f t="shared" si="133"/>
        <v>1.1909713475609374E-2</v>
      </c>
      <c r="F64" s="384">
        <f t="shared" si="133"/>
        <v>1.3227513227513255E-2</v>
      </c>
      <c r="G64" s="495"/>
      <c r="H64" s="384">
        <f t="shared" si="133"/>
        <v>2.478697430756549E-2</v>
      </c>
      <c r="I64" s="384">
        <f t="shared" si="133"/>
        <v>2.1276595744680826E-2</v>
      </c>
      <c r="J64" s="384"/>
      <c r="K64" s="384">
        <f t="shared" si="133"/>
        <v>5.4005400540053983E-2</v>
      </c>
      <c r="L64" s="384">
        <f t="shared" si="133"/>
        <v>5.8350100603621724E-2</v>
      </c>
      <c r="M64" s="384"/>
      <c r="N64" s="384">
        <f t="shared" si="133"/>
        <v>1.8065309502796167E-2</v>
      </c>
      <c r="O64" s="384">
        <f t="shared" si="133"/>
        <v>2.1033653846153855E-2</v>
      </c>
      <c r="P64" s="384"/>
      <c r="Q64" s="384">
        <f t="shared" si="133"/>
        <v>4.8539462800922861E-2</v>
      </c>
      <c r="R64" s="384">
        <f t="shared" si="133"/>
        <v>5.3075995174909518E-2</v>
      </c>
      <c r="S64" s="384"/>
      <c r="T64" s="384">
        <f t="shared" si="133"/>
        <v>1.2228319578274194E-2</v>
      </c>
      <c r="U64" s="384">
        <f t="shared" si="133"/>
        <v>1.1282051282051175E-2</v>
      </c>
      <c r="V64" s="384"/>
      <c r="W64" s="384">
        <f t="shared" si="133"/>
        <v>1.0424539365666785E-2</v>
      </c>
      <c r="X64" s="384">
        <f t="shared" si="133"/>
        <v>9.3023255813953765E-3</v>
      </c>
      <c r="Y64" s="384"/>
      <c r="Z64" s="384">
        <f t="shared" si="133"/>
        <v>2.7737451261423685E-2</v>
      </c>
      <c r="AA64" s="384">
        <f t="shared" si="133"/>
        <v>3.214285714285714E-2</v>
      </c>
      <c r="AB64" s="384"/>
      <c r="AC64" s="384">
        <f t="shared" si="133"/>
        <v>3.371220481129994E-2</v>
      </c>
      <c r="AD64" s="384">
        <f t="shared" si="133"/>
        <v>2.6022304832713727E-2</v>
      </c>
      <c r="AE64" s="384"/>
      <c r="AF64" s="384">
        <f t="shared" si="133"/>
        <v>3.9531496394737187E-2</v>
      </c>
      <c r="AG64" s="384">
        <f t="shared" si="133"/>
        <v>3.8732394366197187E-2</v>
      </c>
      <c r="AH64" s="384"/>
      <c r="AI64" s="384">
        <f t="shared" ref="AI64:AJ64" si="134">AI40-AI39</f>
        <v>1.8489654598022542E-2</v>
      </c>
      <c r="AJ64" s="384">
        <f t="shared" si="134"/>
        <v>1.9014693171996555E-2</v>
      </c>
      <c r="AK64" s="384"/>
      <c r="AL64" s="384"/>
      <c r="AM64" s="384"/>
      <c r="AN64" s="506"/>
      <c r="AO64" s="458">
        <f t="shared" si="126"/>
        <v>2.5868147917695386E-2</v>
      </c>
      <c r="AP64" s="458">
        <f t="shared" si="123"/>
        <v>2.6248988541308679E-2</v>
      </c>
      <c r="AQ64" s="458"/>
    </row>
    <row r="65" spans="1:43" hidden="1" outlineLevel="1" x14ac:dyDescent="0.25">
      <c r="A65" s="488">
        <v>7</v>
      </c>
      <c r="B65" s="385">
        <f t="shared" ref="B65:AG65" si="135">B41-B40</f>
        <v>2.5808003849546846E-2</v>
      </c>
      <c r="C65" s="385">
        <f t="shared" si="135"/>
        <v>2.5936599423631135E-2</v>
      </c>
      <c r="D65" s="494"/>
      <c r="E65" s="385">
        <f t="shared" si="135"/>
        <v>2.6215429317930194E-2</v>
      </c>
      <c r="F65" s="385">
        <f t="shared" si="135"/>
        <v>2.777777777777779E-2</v>
      </c>
      <c r="G65" s="494"/>
      <c r="H65" s="385">
        <f t="shared" si="135"/>
        <v>1.7397771921030925E-2</v>
      </c>
      <c r="I65" s="385">
        <f t="shared" si="135"/>
        <v>2.1276595744680882E-2</v>
      </c>
      <c r="J65" s="385"/>
      <c r="K65" s="385">
        <f t="shared" si="135"/>
        <v>3.0469713638030471E-2</v>
      </c>
      <c r="L65" s="385">
        <f t="shared" si="135"/>
        <v>3.2193158953722323E-2</v>
      </c>
      <c r="M65" s="385"/>
      <c r="N65" s="385">
        <f t="shared" si="135"/>
        <v>4.8954939203687542E-2</v>
      </c>
      <c r="O65" s="385">
        <f t="shared" si="135"/>
        <v>5.46875E-2</v>
      </c>
      <c r="P65" s="385"/>
      <c r="Q65" s="385">
        <f t="shared" si="135"/>
        <v>3.4657509340421555E-2</v>
      </c>
      <c r="R65" s="385">
        <f t="shared" si="135"/>
        <v>3.4378769601930037E-2</v>
      </c>
      <c r="S65" s="385"/>
      <c r="T65" s="385">
        <f t="shared" si="135"/>
        <v>1.5188177850753992E-2</v>
      </c>
      <c r="U65" s="385">
        <f t="shared" si="135"/>
        <v>1.5384615384615441E-2</v>
      </c>
      <c r="V65" s="385"/>
      <c r="W65" s="385">
        <f t="shared" si="135"/>
        <v>3.8753225091866239E-2</v>
      </c>
      <c r="X65" s="385">
        <f t="shared" si="135"/>
        <v>3.2558139534883734E-2</v>
      </c>
      <c r="Y65" s="385"/>
      <c r="Z65" s="385">
        <f t="shared" si="135"/>
        <v>2.7546349808127979E-2</v>
      </c>
      <c r="AA65" s="385">
        <f t="shared" si="135"/>
        <v>3.0952380952380953E-2</v>
      </c>
      <c r="AB65" s="385"/>
      <c r="AC65" s="385">
        <f t="shared" si="135"/>
        <v>1.3517987199293757E-2</v>
      </c>
      <c r="AD65" s="385">
        <f t="shared" si="135"/>
        <v>1.4869888475836479E-2</v>
      </c>
      <c r="AE65" s="385"/>
      <c r="AF65" s="385">
        <f t="shared" si="135"/>
        <v>3.6297393055906624E-2</v>
      </c>
      <c r="AG65" s="385">
        <f t="shared" si="135"/>
        <v>3.5211267605633811E-2</v>
      </c>
      <c r="AH65" s="385"/>
      <c r="AI65" s="385">
        <f t="shared" ref="AI65:AJ65" si="136">AI41-AI40</f>
        <v>2.441491070472479E-2</v>
      </c>
      <c r="AJ65" s="385">
        <f t="shared" si="136"/>
        <v>2.4200518582541131E-2</v>
      </c>
      <c r="AK65" s="385"/>
      <c r="AL65" s="385"/>
      <c r="AM65" s="385"/>
      <c r="AN65" s="491"/>
      <c r="AO65" s="458">
        <f t="shared" si="126"/>
        <v>2.8268450915110075E-2</v>
      </c>
      <c r="AP65" s="458">
        <f t="shared" si="123"/>
        <v>2.9118934336469476E-2</v>
      </c>
      <c r="AQ65" s="458"/>
    </row>
    <row r="66" spans="1:43" hidden="1" outlineLevel="1" x14ac:dyDescent="0.25">
      <c r="A66" s="577">
        <v>8</v>
      </c>
      <c r="B66" s="384">
        <f t="shared" ref="B66:AM66" si="137">B42-B41</f>
        <v>4.0083406848985481E-2</v>
      </c>
      <c r="C66" s="384">
        <f t="shared" si="137"/>
        <v>3.4582132564841495E-2</v>
      </c>
      <c r="D66" s="495"/>
      <c r="E66" s="384">
        <f t="shared" si="137"/>
        <v>1.851190092618088E-2</v>
      </c>
      <c r="F66" s="384">
        <f t="shared" si="137"/>
        <v>1.7195767195767153E-2</v>
      </c>
      <c r="G66" s="495"/>
      <c r="H66" s="384">
        <f t="shared" si="137"/>
        <v>2.2749688748039509E-2</v>
      </c>
      <c r="I66" s="384">
        <f t="shared" si="137"/>
        <v>2.5835866261398166E-2</v>
      </c>
      <c r="J66" s="384"/>
      <c r="K66" s="384">
        <f t="shared" si="137"/>
        <v>3.9370603727039377E-2</v>
      </c>
      <c r="L66" s="384">
        <f t="shared" si="137"/>
        <v>3.4205231388329982E-2</v>
      </c>
      <c r="M66" s="384"/>
      <c r="N66" s="384">
        <f t="shared" si="137"/>
        <v>2.8681136202980628E-2</v>
      </c>
      <c r="O66" s="384">
        <f t="shared" si="137"/>
        <v>2.4038461538461564E-2</v>
      </c>
      <c r="P66" s="384"/>
      <c r="Q66" s="384">
        <f t="shared" si="137"/>
        <v>4.7033727948538717E-2</v>
      </c>
      <c r="R66" s="384">
        <f t="shared" si="137"/>
        <v>5.0060313630880593E-2</v>
      </c>
      <c r="S66" s="384"/>
      <c r="T66" s="384">
        <f t="shared" si="137"/>
        <v>1.4419046796007362E-2</v>
      </c>
      <c r="U66" s="384">
        <f t="shared" si="137"/>
        <v>1.6410256410256396E-2</v>
      </c>
      <c r="V66" s="384"/>
      <c r="W66" s="384">
        <f t="shared" si="137"/>
        <v>3.8770599324142341E-2</v>
      </c>
      <c r="X66" s="384">
        <f t="shared" si="137"/>
        <v>3.8759689922480578E-2</v>
      </c>
      <c r="Y66" s="384"/>
      <c r="Z66" s="384">
        <f t="shared" si="137"/>
        <v>2.5903493766085695E-2</v>
      </c>
      <c r="AA66" s="384">
        <f t="shared" si="137"/>
        <v>2.4404761904761929E-2</v>
      </c>
      <c r="AB66" s="384"/>
      <c r="AC66" s="384">
        <f t="shared" si="137"/>
        <v>2.6070403884352278E-2</v>
      </c>
      <c r="AD66" s="384">
        <f t="shared" si="137"/>
        <v>2.6022304832713727E-2</v>
      </c>
      <c r="AE66" s="384"/>
      <c r="AF66" s="384">
        <f t="shared" si="137"/>
        <v>3.4604103218454474E-2</v>
      </c>
      <c r="AG66" s="384">
        <f t="shared" si="137"/>
        <v>3.6091549295774628E-2</v>
      </c>
      <c r="AH66" s="384"/>
      <c r="AI66" s="384">
        <f t="shared" ref="AI66:AJ66" si="138">AI42-AI41</f>
        <v>2.0976358466096356E-2</v>
      </c>
      <c r="AJ66" s="384">
        <f t="shared" si="138"/>
        <v>2.2471910112359494E-2</v>
      </c>
      <c r="AK66" s="384"/>
      <c r="AL66" s="384">
        <f t="shared" si="137"/>
        <v>3.2030913184409315E-2</v>
      </c>
      <c r="AM66" s="384">
        <f t="shared" si="137"/>
        <v>3.294117647058814E-2</v>
      </c>
      <c r="AN66" s="506"/>
      <c r="AO66" s="458">
        <f t="shared" si="126"/>
        <v>2.9764539154741924E-2</v>
      </c>
      <c r="AP66" s="458">
        <f t="shared" si="123"/>
        <v>2.9173187088168809E-2</v>
      </c>
      <c r="AQ66" s="458"/>
    </row>
    <row r="67" spans="1:43" hidden="1" outlineLevel="1" x14ac:dyDescent="0.25">
      <c r="A67" s="488">
        <v>9</v>
      </c>
      <c r="B67" s="385">
        <f t="shared" ref="B67:AM67" si="139">B43-B42</f>
        <v>1.9071296816103978E-2</v>
      </c>
      <c r="C67" s="385">
        <f t="shared" si="139"/>
        <v>1.7291066282420775E-2</v>
      </c>
      <c r="D67" s="494"/>
      <c r="E67" s="385">
        <f t="shared" si="139"/>
        <v>2.2343161434320802E-2</v>
      </c>
      <c r="F67" s="385">
        <f t="shared" si="139"/>
        <v>2.777777777777779E-2</v>
      </c>
      <c r="G67" s="494"/>
      <c r="H67" s="385">
        <f t="shared" si="139"/>
        <v>3.6420521609778933E-2</v>
      </c>
      <c r="I67" s="385">
        <f t="shared" si="139"/>
        <v>3.7993920972644368E-2</v>
      </c>
      <c r="J67" s="385"/>
      <c r="K67" s="385">
        <f t="shared" si="139"/>
        <v>2.4502450245024565E-2</v>
      </c>
      <c r="L67" s="385">
        <f t="shared" si="139"/>
        <v>2.8169014084507005E-2</v>
      </c>
      <c r="M67" s="385"/>
      <c r="N67" s="385">
        <f t="shared" si="139"/>
        <v>1.8772194732241121E-2</v>
      </c>
      <c r="O67" s="385">
        <f t="shared" si="139"/>
        <v>1.6826923076923017E-2</v>
      </c>
      <c r="P67" s="385"/>
      <c r="Q67" s="385">
        <f t="shared" si="139"/>
        <v>3.1092912547022233E-2</v>
      </c>
      <c r="R67" s="385">
        <f t="shared" si="139"/>
        <v>3.5585042219541563E-2</v>
      </c>
      <c r="S67" s="385"/>
      <c r="T67" s="385">
        <f t="shared" si="139"/>
        <v>1.3675841507151287E-2</v>
      </c>
      <c r="U67" s="385">
        <f t="shared" si="139"/>
        <v>1.2307692307692353E-2</v>
      </c>
      <c r="V67" s="385"/>
      <c r="W67" s="385">
        <f t="shared" si="139"/>
        <v>5.1966328737848955E-2</v>
      </c>
      <c r="X67" s="385">
        <f t="shared" si="139"/>
        <v>5.7364341085271386E-2</v>
      </c>
      <c r="Y67" s="385"/>
      <c r="Z67" s="385">
        <f t="shared" si="139"/>
        <v>2.6902152973631077E-2</v>
      </c>
      <c r="AA67" s="385">
        <f t="shared" si="139"/>
        <v>2.7380952380952395E-2</v>
      </c>
      <c r="AB67" s="385"/>
      <c r="AC67" s="385">
        <f t="shared" si="139"/>
        <v>8.5521959832266514E-3</v>
      </c>
      <c r="AD67" s="385">
        <f t="shared" si="139"/>
        <v>1.4869888475836424E-2</v>
      </c>
      <c r="AE67" s="385"/>
      <c r="AF67" s="385">
        <f t="shared" si="139"/>
        <v>4.0430304270541173E-2</v>
      </c>
      <c r="AG67" s="385">
        <f t="shared" si="139"/>
        <v>4.2253521126760563E-2</v>
      </c>
      <c r="AH67" s="385"/>
      <c r="AI67" s="385">
        <f t="shared" ref="AI67:AJ67" si="140">AI43-AI42</f>
        <v>1.5467536021511741E-2</v>
      </c>
      <c r="AJ67" s="385">
        <f t="shared" si="140"/>
        <v>1.5557476231633505E-2</v>
      </c>
      <c r="AK67" s="385"/>
      <c r="AL67" s="385">
        <f t="shared" si="139"/>
        <v>4.1866926405543903E-2</v>
      </c>
      <c r="AM67" s="385">
        <f t="shared" si="139"/>
        <v>1.4117647058823568E-2</v>
      </c>
      <c r="AN67" s="491"/>
      <c r="AO67" s="458">
        <f t="shared" si="126"/>
        <v>2.5766408073200211E-2</v>
      </c>
      <c r="AP67" s="458">
        <f t="shared" si="123"/>
        <v>2.7781468001830095E-2</v>
      </c>
      <c r="AQ67" s="458"/>
    </row>
    <row r="68" spans="1:43" hidden="1" outlineLevel="1" x14ac:dyDescent="0.25">
      <c r="A68" s="577">
        <v>10</v>
      </c>
      <c r="B68" s="384">
        <f t="shared" ref="B68:AM68" si="141">B44-B43</f>
        <v>5.9651936803272132E-2</v>
      </c>
      <c r="C68" s="384">
        <f t="shared" si="141"/>
        <v>5.4755043227665667E-2</v>
      </c>
      <c r="D68" s="495"/>
      <c r="E68" s="384">
        <f t="shared" si="141"/>
        <v>2.7709269424315064E-2</v>
      </c>
      <c r="F68" s="384">
        <f t="shared" si="141"/>
        <v>2.777777777777779E-2</v>
      </c>
      <c r="G68" s="495"/>
      <c r="H68" s="384">
        <f t="shared" si="141"/>
        <v>2.7082962795285215E-2</v>
      </c>
      <c r="I68" s="384">
        <f t="shared" si="141"/>
        <v>2.8875379939209744E-2</v>
      </c>
      <c r="J68" s="384"/>
      <c r="K68" s="384">
        <f t="shared" si="141"/>
        <v>3.2025424764698607E-2</v>
      </c>
      <c r="L68" s="384">
        <f t="shared" si="141"/>
        <v>3.0181086519114775E-2</v>
      </c>
      <c r="M68" s="384"/>
      <c r="N68" s="384">
        <f t="shared" si="141"/>
        <v>1.9039890913805979E-2</v>
      </c>
      <c r="O68" s="384">
        <f t="shared" si="141"/>
        <v>1.6826923076923128E-2</v>
      </c>
      <c r="P68" s="384"/>
      <c r="Q68" s="384">
        <f t="shared" si="141"/>
        <v>2.2731986878596289E-2</v>
      </c>
      <c r="R68" s="384">
        <f t="shared" si="141"/>
        <v>2.5331724969843261E-2</v>
      </c>
      <c r="S68" s="384"/>
      <c r="T68" s="384">
        <f t="shared" si="141"/>
        <v>1.5123363436028159E-2</v>
      </c>
      <c r="U68" s="384">
        <f t="shared" si="141"/>
        <v>1.4358974358974375E-2</v>
      </c>
      <c r="V68" s="384"/>
      <c r="W68" s="384">
        <f t="shared" si="141"/>
        <v>1.8625176999991222E-2</v>
      </c>
      <c r="X68" s="384">
        <f t="shared" si="141"/>
        <v>1.8604651162790642E-2</v>
      </c>
      <c r="Y68" s="384"/>
      <c r="Z68" s="384">
        <f t="shared" si="141"/>
        <v>2.1579052814893585E-2</v>
      </c>
      <c r="AA68" s="384">
        <f t="shared" si="141"/>
        <v>1.9642857142857073E-2</v>
      </c>
      <c r="AB68" s="384"/>
      <c r="AC68" s="384">
        <f t="shared" si="141"/>
        <v>1.5118075480026416E-2</v>
      </c>
      <c r="AD68" s="384">
        <f t="shared" si="141"/>
        <v>1.8587360594795599E-2</v>
      </c>
      <c r="AE68" s="384"/>
      <c r="AF68" s="384">
        <f t="shared" si="141"/>
        <v>3.0166239331672118E-2</v>
      </c>
      <c r="AG68" s="384">
        <f t="shared" si="141"/>
        <v>3.5211267605633811E-2</v>
      </c>
      <c r="AH68" s="384"/>
      <c r="AI68" s="384">
        <f t="shared" ref="AI68:AJ68" si="142">AI44-AI43</f>
        <v>2.4057967565766725E-2</v>
      </c>
      <c r="AJ68" s="384">
        <f t="shared" si="142"/>
        <v>1.9014693171996555E-2</v>
      </c>
      <c r="AK68" s="384"/>
      <c r="AL68" s="384">
        <f t="shared" si="141"/>
        <v>2.3472304277707745E-2</v>
      </c>
      <c r="AM68" s="384">
        <f t="shared" si="141"/>
        <v>2.352941176470591E-2</v>
      </c>
      <c r="AN68" s="506"/>
      <c r="AO68" s="458">
        <f t="shared" si="126"/>
        <v>2.6075945600695958E-2</v>
      </c>
      <c r="AP68" s="458">
        <f t="shared" si="123"/>
        <v>2.576397829563187E-2</v>
      </c>
      <c r="AQ68" s="458"/>
    </row>
    <row r="69" spans="1:43" hidden="1" outlineLevel="1" x14ac:dyDescent="0.25">
      <c r="A69" s="488">
        <v>11</v>
      </c>
      <c r="B69" s="385">
        <f t="shared" ref="B69:AM69" si="143">B45-B44</f>
        <v>4.9979950276686114E-2</v>
      </c>
      <c r="C69" s="385">
        <f t="shared" si="143"/>
        <v>4.8991354466858816E-2</v>
      </c>
      <c r="D69" s="494"/>
      <c r="E69" s="385">
        <f t="shared" si="143"/>
        <v>1.0163970919912557E-2</v>
      </c>
      <c r="F69" s="385">
        <f t="shared" si="143"/>
        <v>7.9365079365079083E-3</v>
      </c>
      <c r="G69" s="494"/>
      <c r="H69" s="385">
        <f t="shared" si="143"/>
        <v>2.4398919915274764E-2</v>
      </c>
      <c r="I69" s="385">
        <f t="shared" si="143"/>
        <v>2.5835866261398222E-2</v>
      </c>
      <c r="J69" s="385"/>
      <c r="K69" s="385">
        <f t="shared" si="143"/>
        <v>1.5901590159015933E-2</v>
      </c>
      <c r="L69" s="385">
        <f t="shared" si="143"/>
        <v>1.8108651911468709E-2</v>
      </c>
      <c r="M69" s="385"/>
      <c r="N69" s="385">
        <f t="shared" si="143"/>
        <v>1.3430819359453228E-2</v>
      </c>
      <c r="O69" s="385">
        <f t="shared" si="143"/>
        <v>1.3822115384615419E-2</v>
      </c>
      <c r="P69" s="385"/>
      <c r="Q69" s="385">
        <f t="shared" si="143"/>
        <v>2.2834417820935315E-2</v>
      </c>
      <c r="R69" s="385">
        <f t="shared" si="143"/>
        <v>2.533172496984315E-2</v>
      </c>
      <c r="S69" s="385"/>
      <c r="T69" s="385">
        <f t="shared" si="143"/>
        <v>1.2768439700989509E-2</v>
      </c>
      <c r="U69" s="385">
        <f t="shared" si="143"/>
        <v>1.7435897435897352E-2</v>
      </c>
      <c r="V69" s="385"/>
      <c r="W69" s="385">
        <f t="shared" si="143"/>
        <v>9.5471406357232613E-3</v>
      </c>
      <c r="X69" s="385">
        <f t="shared" si="143"/>
        <v>1.3953488372092981E-2</v>
      </c>
      <c r="Y69" s="385"/>
      <c r="Z69" s="385">
        <f t="shared" si="143"/>
        <v>1.8170049470618177E-2</v>
      </c>
      <c r="AA69" s="385">
        <f t="shared" si="143"/>
        <v>1.8452380952380998E-2</v>
      </c>
      <c r="AB69" s="385"/>
      <c r="AC69" s="385">
        <f t="shared" si="143"/>
        <v>2.7918781725888353E-2</v>
      </c>
      <c r="AD69" s="385">
        <f t="shared" si="143"/>
        <v>2.6022304832713727E-2</v>
      </c>
      <c r="AE69" s="385"/>
      <c r="AF69" s="385">
        <f t="shared" si="143"/>
        <v>2.6827810078685788E-2</v>
      </c>
      <c r="AG69" s="385">
        <f t="shared" si="143"/>
        <v>2.8169014084507005E-2</v>
      </c>
      <c r="AH69" s="385"/>
      <c r="AI69" s="385">
        <f t="shared" ref="AI69:AJ69" si="144">AI45-AI44</f>
        <v>2.1952003045914825E-2</v>
      </c>
      <c r="AJ69" s="385">
        <f t="shared" si="144"/>
        <v>2.2471910112359605E-2</v>
      </c>
      <c r="AK69" s="385"/>
      <c r="AL69" s="385">
        <f t="shared" si="143"/>
        <v>1.7372698676289766E-2</v>
      </c>
      <c r="AM69" s="385">
        <f t="shared" si="143"/>
        <v>1.4117647058823457E-2</v>
      </c>
      <c r="AN69" s="491"/>
      <c r="AO69" s="458">
        <f t="shared" si="126"/>
        <v>2.1157824425758153E-2</v>
      </c>
      <c r="AP69" s="458">
        <f t="shared" si="123"/>
        <v>2.2210934726720324E-2</v>
      </c>
      <c r="AQ69" s="458"/>
    </row>
    <row r="70" spans="1:43" hidden="1" outlineLevel="1" x14ac:dyDescent="0.25">
      <c r="A70" s="488">
        <v>12</v>
      </c>
      <c r="B70" s="384">
        <f t="shared" ref="B70:AM70" si="145">B46-B45</f>
        <v>3.6618814660357768E-2</v>
      </c>
      <c r="C70" s="384">
        <f t="shared" si="145"/>
        <v>4.3227665706051854E-2</v>
      </c>
      <c r="D70" s="495"/>
      <c r="E70" s="384">
        <f t="shared" si="145"/>
        <v>1.8113543564478307E-2</v>
      </c>
      <c r="F70" s="384">
        <f t="shared" si="145"/>
        <v>1.9841269841269882E-2</v>
      </c>
      <c r="G70" s="495"/>
      <c r="H70" s="384">
        <f t="shared" si="145"/>
        <v>1.3080666806797425E-2</v>
      </c>
      <c r="I70" s="384">
        <f t="shared" si="145"/>
        <v>1.3677811550151908E-2</v>
      </c>
      <c r="J70" s="384"/>
      <c r="K70" s="384">
        <f t="shared" si="145"/>
        <v>4.3715482659377081E-2</v>
      </c>
      <c r="L70" s="384">
        <f t="shared" si="145"/>
        <v>4.0241448692152959E-2</v>
      </c>
      <c r="M70" s="384"/>
      <c r="N70" s="384">
        <f t="shared" si="145"/>
        <v>1.4116790824713399E-2</v>
      </c>
      <c r="O70" s="384">
        <f t="shared" si="145"/>
        <v>1.5625E-2</v>
      </c>
      <c r="P70" s="384"/>
      <c r="Q70" s="384">
        <f t="shared" si="145"/>
        <v>2.322621617538223E-2</v>
      </c>
      <c r="R70" s="384">
        <f t="shared" si="145"/>
        <v>2.4728588661037443E-2</v>
      </c>
      <c r="S70" s="384"/>
      <c r="T70" s="384">
        <f t="shared" si="145"/>
        <v>1.463509484509351E-2</v>
      </c>
      <c r="U70" s="384">
        <f t="shared" si="145"/>
        <v>1.6410256410256396E-2</v>
      </c>
      <c r="V70" s="384"/>
      <c r="W70" s="384">
        <f t="shared" si="145"/>
        <v>2.0736146221538743E-2</v>
      </c>
      <c r="X70" s="384">
        <f t="shared" si="145"/>
        <v>2.4806201550387597E-2</v>
      </c>
      <c r="Y70" s="384"/>
      <c r="Z70" s="384">
        <f t="shared" si="145"/>
        <v>1.7837163068103012E-2</v>
      </c>
      <c r="AA70" s="384">
        <f t="shared" si="145"/>
        <v>1.9642857142857184E-2</v>
      </c>
      <c r="AB70" s="384"/>
      <c r="AC70" s="384">
        <f t="shared" si="145"/>
        <v>2.9022290885014401E-2</v>
      </c>
      <c r="AD70" s="384">
        <f t="shared" si="145"/>
        <v>1.4869888475836368E-2</v>
      </c>
      <c r="AE70" s="384"/>
      <c r="AF70" s="384">
        <f t="shared" si="145"/>
        <v>2.6944173598321242E-2</v>
      </c>
      <c r="AG70" s="384">
        <f t="shared" si="145"/>
        <v>2.464788732394374E-2</v>
      </c>
      <c r="AH70" s="384"/>
      <c r="AI70" s="384">
        <f t="shared" ref="AI70:AJ70" si="146">AI46-AI45</f>
        <v>1.7978036098849404E-2</v>
      </c>
      <c r="AJ70" s="384">
        <f t="shared" si="146"/>
        <v>1.9014693171996555E-2</v>
      </c>
      <c r="AK70" s="384"/>
      <c r="AL70" s="384">
        <f t="shared" si="145"/>
        <v>3.0657703546393744E-2</v>
      </c>
      <c r="AM70" s="384">
        <f t="shared" si="145"/>
        <v>3.2941176470588251E-2</v>
      </c>
      <c r="AN70" s="506"/>
      <c r="AO70" s="458">
        <f t="shared" si="126"/>
        <v>2.3002034950668878E-2</v>
      </c>
      <c r="AP70" s="458">
        <f t="shared" si="123"/>
        <v>2.3061130710495158E-2</v>
      </c>
      <c r="AQ70" s="458"/>
    </row>
    <row r="71" spans="1:43" hidden="1" outlineLevel="1" x14ac:dyDescent="0.25">
      <c r="A71" s="488">
        <v>13</v>
      </c>
      <c r="B71" s="385">
        <f t="shared" ref="B71:AM71" si="147">B47-B46</f>
        <v>1.1516561071457154E-2</v>
      </c>
      <c r="C71" s="385">
        <f t="shared" si="147"/>
        <v>1.1527377521613813E-2</v>
      </c>
      <c r="D71" s="494"/>
      <c r="E71" s="385">
        <f t="shared" si="147"/>
        <v>1.7035635409282879E-2</v>
      </c>
      <c r="F71" s="385">
        <f t="shared" si="147"/>
        <v>1.9841269841269826E-2</v>
      </c>
      <c r="G71" s="494"/>
      <c r="H71" s="385">
        <f t="shared" si="147"/>
        <v>2.2579914951412317E-2</v>
      </c>
      <c r="I71" s="385">
        <f t="shared" si="147"/>
        <v>2.2796352583586588E-2</v>
      </c>
      <c r="J71" s="385"/>
      <c r="K71" s="385">
        <f t="shared" si="147"/>
        <v>1.5190407929681848E-2</v>
      </c>
      <c r="L71" s="385">
        <f t="shared" si="147"/>
        <v>1.6096579476861161E-2</v>
      </c>
      <c r="M71" s="385"/>
      <c r="N71" s="385">
        <f t="shared" si="147"/>
        <v>1.1109391534944835E-2</v>
      </c>
      <c r="O71" s="385">
        <f t="shared" si="147"/>
        <v>9.6153846153845812E-3</v>
      </c>
      <c r="P71" s="385"/>
      <c r="Q71" s="385">
        <f t="shared" si="147"/>
        <v>2.0068782377780758E-2</v>
      </c>
      <c r="R71" s="385">
        <f t="shared" si="147"/>
        <v>2.1109770808202644E-2</v>
      </c>
      <c r="S71" s="385"/>
      <c r="T71" s="385">
        <f t="shared" si="147"/>
        <v>2.8894266084777298E-2</v>
      </c>
      <c r="U71" s="385">
        <f t="shared" si="147"/>
        <v>2.6666666666666727E-2</v>
      </c>
      <c r="V71" s="385"/>
      <c r="W71" s="385">
        <f t="shared" si="147"/>
        <v>1.9059532806894097E-2</v>
      </c>
      <c r="X71" s="385">
        <f t="shared" si="147"/>
        <v>2.170542635658923E-2</v>
      </c>
      <c r="Y71" s="385"/>
      <c r="Z71" s="385">
        <f t="shared" si="147"/>
        <v>1.2433923590241425E-2</v>
      </c>
      <c r="AA71" s="385">
        <f t="shared" si="147"/>
        <v>1.3095238095238049E-2</v>
      </c>
      <c r="AB71" s="385"/>
      <c r="AC71" s="385">
        <f t="shared" si="147"/>
        <v>5.931361730302287E-3</v>
      </c>
      <c r="AD71" s="385">
        <f t="shared" si="147"/>
        <v>3.7174721189591198E-3</v>
      </c>
      <c r="AE71" s="385"/>
      <c r="AF71" s="385">
        <f t="shared" si="147"/>
        <v>2.3521481106978159E-2</v>
      </c>
      <c r="AG71" s="385">
        <f t="shared" si="147"/>
        <v>2.8169014084507005E-2</v>
      </c>
      <c r="AH71" s="385"/>
      <c r="AI71" s="385">
        <f t="shared" ref="AI71:AJ71" si="148">AI47-AI46</f>
        <v>9.9944078908230649E-3</v>
      </c>
      <c r="AJ71" s="385">
        <f t="shared" si="148"/>
        <v>1.2100259291270454E-2</v>
      </c>
      <c r="AK71" s="385"/>
      <c r="AL71" s="385">
        <f t="shared" si="147"/>
        <v>2.5723729381895932E-2</v>
      </c>
      <c r="AM71" s="385">
        <f t="shared" si="147"/>
        <v>2.8235294117647136E-2</v>
      </c>
      <c r="AN71" s="491"/>
      <c r="AO71" s="458">
        <f t="shared" si="126"/>
        <v>1.6444638873714678E-2</v>
      </c>
      <c r="AP71" s="458">
        <f t="shared" si="123"/>
        <v>1.7203400955012434E-2</v>
      </c>
      <c r="AQ71" s="458"/>
    </row>
    <row r="72" spans="1:43" hidden="1" outlineLevel="1" x14ac:dyDescent="0.25">
      <c r="A72" s="577">
        <v>14</v>
      </c>
      <c r="B72" s="384">
        <f t="shared" ref="B72:AM72" si="149">B48-B47</f>
        <v>1.342529473093268E-2</v>
      </c>
      <c r="C72" s="384">
        <f t="shared" si="149"/>
        <v>2.3054755043227737E-2</v>
      </c>
      <c r="D72" s="495"/>
      <c r="E72" s="384">
        <f t="shared" si="149"/>
        <v>2.3708121217801859E-2</v>
      </c>
      <c r="F72" s="384">
        <f t="shared" si="149"/>
        <v>2.2486772486772444E-2</v>
      </c>
      <c r="G72" s="495"/>
      <c r="H72" s="384">
        <f t="shared" si="149"/>
        <v>1.0768509386065661E-2</v>
      </c>
      <c r="I72" s="384">
        <f t="shared" si="149"/>
        <v>1.0638297872340496E-2</v>
      </c>
      <c r="J72" s="384"/>
      <c r="K72" s="384">
        <f t="shared" si="149"/>
        <v>2.3035636897023037E-2</v>
      </c>
      <c r="L72" s="384">
        <f t="shared" si="149"/>
        <v>2.2132796780684139E-2</v>
      </c>
      <c r="M72" s="384"/>
      <c r="N72" s="384">
        <f t="shared" si="149"/>
        <v>1.7538282645340186E-2</v>
      </c>
      <c r="O72" s="384">
        <f t="shared" si="149"/>
        <v>1.6225961538461564E-2</v>
      </c>
      <c r="P72" s="384"/>
      <c r="Q72" s="384">
        <f t="shared" si="149"/>
        <v>2.8398978763504834E-2</v>
      </c>
      <c r="R72" s="384">
        <f t="shared" si="149"/>
        <v>2.9553679131483657E-2</v>
      </c>
      <c r="S72" s="384"/>
      <c r="T72" s="384">
        <f t="shared" si="149"/>
        <v>2.6945512682020389E-2</v>
      </c>
      <c r="U72" s="384">
        <f t="shared" si="149"/>
        <v>2.6666666666666616E-2</v>
      </c>
      <c r="V72" s="384"/>
      <c r="W72" s="384">
        <f t="shared" si="149"/>
        <v>2.9188710223867043E-2</v>
      </c>
      <c r="X72" s="384">
        <f t="shared" si="149"/>
        <v>3.100775193798444E-2</v>
      </c>
      <c r="Y72" s="384"/>
      <c r="Z72" s="384">
        <f t="shared" si="149"/>
        <v>2.4377764421224635E-2</v>
      </c>
      <c r="AA72" s="384">
        <f t="shared" si="149"/>
        <v>2.8571428571428581E-2</v>
      </c>
      <c r="AB72" s="384"/>
      <c r="AC72" s="384">
        <f t="shared" si="149"/>
        <v>1.702162877951896E-2</v>
      </c>
      <c r="AD72" s="384">
        <f t="shared" si="149"/>
        <v>1.4869888475836479E-2</v>
      </c>
      <c r="AE72" s="384"/>
      <c r="AF72" s="384">
        <f t="shared" si="149"/>
        <v>3.5775763485127565E-2</v>
      </c>
      <c r="AG72" s="384">
        <f t="shared" si="149"/>
        <v>3.5211267605633756E-2</v>
      </c>
      <c r="AH72" s="384"/>
      <c r="AI72" s="384">
        <f t="shared" ref="AI72:AJ72" si="150">AI48-AI47</f>
        <v>1.4408604709269746E-2</v>
      </c>
      <c r="AJ72" s="384">
        <f t="shared" si="150"/>
        <v>1.4693171996542853E-2</v>
      </c>
      <c r="AK72" s="384"/>
      <c r="AL72" s="384">
        <f t="shared" si="149"/>
        <v>2.4558097944975876E-2</v>
      </c>
      <c r="AM72" s="384">
        <f t="shared" si="149"/>
        <v>2.8235294117647025E-2</v>
      </c>
      <c r="AN72" s="506"/>
      <c r="AO72" s="458">
        <f t="shared" si="126"/>
        <v>2.204940066180805E-2</v>
      </c>
      <c r="AP72" s="458">
        <f t="shared" si="123"/>
        <v>2.2926036508921898E-2</v>
      </c>
      <c r="AQ72" s="458"/>
    </row>
    <row r="73" spans="1:43" ht="15.75" hidden="1" outlineLevel="1" thickBot="1" x14ac:dyDescent="0.3">
      <c r="A73" s="488">
        <v>15</v>
      </c>
      <c r="B73" s="385">
        <f t="shared" ref="B73:AM73" si="151">B49-B48</f>
        <v>2.9833988290961622E-2</v>
      </c>
      <c r="C73" s="385">
        <f t="shared" si="151"/>
        <v>2.5936599423631135E-2</v>
      </c>
      <c r="D73" s="494"/>
      <c r="E73" s="385">
        <f t="shared" si="151"/>
        <v>2.552416213144626E-2</v>
      </c>
      <c r="F73" s="385">
        <f t="shared" si="151"/>
        <v>2.5132275132275228E-2</v>
      </c>
      <c r="G73" s="494"/>
      <c r="H73" s="385">
        <f t="shared" si="151"/>
        <v>1.2975568742218613E-2</v>
      </c>
      <c r="I73" s="385">
        <f t="shared" si="151"/>
        <v>1.5197568389057725E-2</v>
      </c>
      <c r="J73" s="385"/>
      <c r="K73" s="385">
        <f t="shared" si="151"/>
        <v>1.6623884610683315E-2</v>
      </c>
      <c r="L73" s="385">
        <f t="shared" si="151"/>
        <v>1.4084507042253502E-2</v>
      </c>
      <c r="M73" s="385"/>
      <c r="N73" s="385">
        <f t="shared" si="151"/>
        <v>4.8703974033470376E-2</v>
      </c>
      <c r="O73" s="385">
        <f t="shared" si="151"/>
        <v>4.8677884615384581E-2</v>
      </c>
      <c r="P73" s="385"/>
      <c r="Q73" s="385">
        <f t="shared" si="151"/>
        <v>2.1021390141533924E-2</v>
      </c>
      <c r="R73" s="385">
        <f t="shared" si="151"/>
        <v>2.1712907117008462E-2</v>
      </c>
      <c r="S73" s="385"/>
      <c r="T73" s="385">
        <f t="shared" si="151"/>
        <v>3.9631854124357324E-2</v>
      </c>
      <c r="U73" s="385">
        <f t="shared" si="151"/>
        <v>4.1025641025641102E-2</v>
      </c>
      <c r="V73" s="385"/>
      <c r="W73" s="385">
        <f t="shared" si="151"/>
        <v>3.077845247713118E-2</v>
      </c>
      <c r="X73" s="385">
        <f t="shared" si="151"/>
        <v>3.1007751937984551E-2</v>
      </c>
      <c r="Y73" s="385"/>
      <c r="Z73" s="385">
        <f t="shared" si="151"/>
        <v>3.1063233005070301E-2</v>
      </c>
      <c r="AA73" s="385">
        <f t="shared" si="151"/>
        <v>2.9761904761904767E-2</v>
      </c>
      <c r="AB73" s="385"/>
      <c r="AC73" s="385">
        <f t="shared" si="151"/>
        <v>3.0263738689031094E-2</v>
      </c>
      <c r="AD73" s="385">
        <f t="shared" si="151"/>
        <v>1.8587360594795488E-2</v>
      </c>
      <c r="AE73" s="385"/>
      <c r="AF73" s="385">
        <f t="shared" si="151"/>
        <v>4.4013498168277709E-2</v>
      </c>
      <c r="AG73" s="385">
        <f t="shared" si="151"/>
        <v>2.7288732394366244E-2</v>
      </c>
      <c r="AH73" s="385"/>
      <c r="AI73" s="385">
        <f t="shared" ref="AI73:AJ73" si="152">AI49-AI48</f>
        <v>1.5443739812247892E-2</v>
      </c>
      <c r="AJ73" s="385">
        <f t="shared" si="152"/>
        <v>1.6421780466724267E-2</v>
      </c>
      <c r="AK73" s="385"/>
      <c r="AL73" s="385">
        <f t="shared" si="151"/>
        <v>3.7364076197167306E-2</v>
      </c>
      <c r="AM73" s="385">
        <f t="shared" si="151"/>
        <v>3.2941176470588251E-2</v>
      </c>
      <c r="AN73" s="491"/>
      <c r="AO73" s="458">
        <f t="shared" si="126"/>
        <v>2.8823123685535801E-2</v>
      </c>
      <c r="AP73" s="458">
        <f t="shared" si="123"/>
        <v>2.6236242741752253E-2</v>
      </c>
      <c r="AQ73" s="458"/>
    </row>
    <row r="74" spans="1:43" ht="15.75" hidden="1" outlineLevel="1" thickBot="1" x14ac:dyDescent="0.3">
      <c r="A74" s="488">
        <v>16</v>
      </c>
      <c r="B74" s="384">
        <f t="shared" ref="B74:AM74" si="153">B50-B49</f>
        <v>3.0090624749378514E-2</v>
      </c>
      <c r="C74" s="384">
        <f t="shared" si="153"/>
        <v>2.8818443804034533E-2</v>
      </c>
      <c r="D74" s="495"/>
      <c r="E74" s="384">
        <f t="shared" si="153"/>
        <v>3.50671642228223E-2</v>
      </c>
      <c r="F74" s="384">
        <f t="shared" si="153"/>
        <v>3.0423280423280352E-2</v>
      </c>
      <c r="G74" s="495"/>
      <c r="H74" s="384">
        <f t="shared" si="153"/>
        <v>2.4520186912865727E-2</v>
      </c>
      <c r="I74" s="384">
        <f t="shared" si="153"/>
        <v>2.5835866261398222E-2</v>
      </c>
      <c r="J74" s="384"/>
      <c r="K74" s="384">
        <f t="shared" si="153"/>
        <v>2.9869653632029869E-2</v>
      </c>
      <c r="L74" s="384">
        <f t="shared" si="153"/>
        <v>2.4144869215291798E-2</v>
      </c>
      <c r="M74" s="384"/>
      <c r="N74" s="384">
        <f t="shared" si="153"/>
        <v>2.0876119409227956E-2</v>
      </c>
      <c r="O74" s="384">
        <f t="shared" si="153"/>
        <v>2.2235576923076872E-2</v>
      </c>
      <c r="P74" s="384"/>
      <c r="Q74" s="384">
        <f t="shared" si="153"/>
        <v>2.2191663657757821E-2</v>
      </c>
      <c r="R74" s="384">
        <f t="shared" si="153"/>
        <v>2.2919179734619988E-2</v>
      </c>
      <c r="S74" s="384"/>
      <c r="T74" s="384">
        <f t="shared" si="153"/>
        <v>3.8581860605798712E-2</v>
      </c>
      <c r="U74" s="384">
        <f t="shared" si="153"/>
        <v>3.9999999999999925E-2</v>
      </c>
      <c r="V74" s="384"/>
      <c r="W74" s="384">
        <f t="shared" si="153"/>
        <v>3.0205102812019491E-2</v>
      </c>
      <c r="X74" s="384">
        <f t="shared" si="153"/>
        <v>3.5658914728682101E-2</v>
      </c>
      <c r="Y74" s="384"/>
      <c r="Z74" s="384">
        <f t="shared" si="153"/>
        <v>2.6082266093362394E-2</v>
      </c>
      <c r="AA74" s="384">
        <f t="shared" si="153"/>
        <v>2.6190476190476208E-2</v>
      </c>
      <c r="AB74" s="384"/>
      <c r="AC74" s="384">
        <f t="shared" si="153"/>
        <v>2.7035974398587515E-2</v>
      </c>
      <c r="AD74" s="384">
        <f t="shared" si="153"/>
        <v>2.9739776951672847E-2</v>
      </c>
      <c r="AE74" s="384"/>
      <c r="AF74" s="384">
        <f t="shared" si="153"/>
        <v>2.9187180752671349E-2</v>
      </c>
      <c r="AG74" s="384">
        <f t="shared" si="153"/>
        <v>2.7288732394366244E-2</v>
      </c>
      <c r="AH74" s="384"/>
      <c r="AI74" s="384">
        <f t="shared" ref="AI74:AJ74" si="154">AI50-AI49</f>
        <v>1.1874308422668345E-2</v>
      </c>
      <c r="AJ74" s="384">
        <f t="shared" si="154"/>
        <v>9.5073465859982775E-3</v>
      </c>
      <c r="AK74" s="384"/>
      <c r="AL74" s="384">
        <f t="shared" si="153"/>
        <v>3.2382199370878384E-2</v>
      </c>
      <c r="AM74" s="384">
        <f t="shared" si="153"/>
        <v>2.5882352941176467E-2</v>
      </c>
      <c r="AN74" s="506"/>
      <c r="AO74" s="459">
        <f t="shared" si="126"/>
        <v>2.7131842139099166E-2</v>
      </c>
      <c r="AP74" s="459">
        <f t="shared" si="123"/>
        <v>2.6896871934408113E-2</v>
      </c>
      <c r="AQ74" s="458"/>
    </row>
    <row r="75" spans="1:43" hidden="1" outlineLevel="1" x14ac:dyDescent="0.25">
      <c r="A75" s="488">
        <v>17</v>
      </c>
      <c r="B75" s="386">
        <f t="shared" ref="B75:AM75" si="155">B51-B50</f>
        <v>2.8262089983158156E-2</v>
      </c>
      <c r="C75" s="386">
        <f t="shared" si="155"/>
        <v>2.5936599423631135E-2</v>
      </c>
      <c r="D75" s="500"/>
      <c r="E75" s="386">
        <f t="shared" si="155"/>
        <v>3.5705707640845685E-2</v>
      </c>
      <c r="F75" s="386">
        <f t="shared" si="155"/>
        <v>3.4391534391534417E-2</v>
      </c>
      <c r="G75" s="500"/>
      <c r="H75" s="385">
        <f t="shared" si="155"/>
        <v>5.4845020777078868E-2</v>
      </c>
      <c r="I75" s="385">
        <f t="shared" si="155"/>
        <v>6.534954407294824E-2</v>
      </c>
      <c r="J75" s="385"/>
      <c r="K75" s="385">
        <f t="shared" si="155"/>
        <v>2.6847129157360095E-2</v>
      </c>
      <c r="L75" s="385">
        <f t="shared" si="155"/>
        <v>2.8169014084507005E-2</v>
      </c>
      <c r="M75" s="385"/>
      <c r="N75" s="385">
        <f t="shared" si="155"/>
        <v>2.0901215926249717E-2</v>
      </c>
      <c r="O75" s="385">
        <f t="shared" si="155"/>
        <v>2.0432692307692402E-2</v>
      </c>
      <c r="P75" s="385"/>
      <c r="Q75" s="385">
        <f t="shared" si="155"/>
        <v>2.8752365514574607E-2</v>
      </c>
      <c r="R75" s="385">
        <f t="shared" si="155"/>
        <v>1.5681544028950611E-2</v>
      </c>
      <c r="S75" s="385"/>
      <c r="T75" s="385">
        <f t="shared" si="155"/>
        <v>3.0130060925549818E-2</v>
      </c>
      <c r="U75" s="385">
        <f t="shared" si="155"/>
        <v>2.8717948717948749E-2</v>
      </c>
      <c r="V75" s="385"/>
      <c r="W75" s="385">
        <f t="shared" si="155"/>
        <v>4.5798476279829359E-2</v>
      </c>
      <c r="X75" s="385">
        <f t="shared" si="155"/>
        <v>5.1162790697674487E-2</v>
      </c>
      <c r="Y75" s="385"/>
      <c r="Z75" s="385">
        <f t="shared" si="155"/>
        <v>2.1794812520227413E-2</v>
      </c>
      <c r="AA75" s="385">
        <f t="shared" si="155"/>
        <v>2.3809523809523836E-2</v>
      </c>
      <c r="AB75" s="385"/>
      <c r="AC75" s="385">
        <f t="shared" si="155"/>
        <v>1.2193776208342499E-2</v>
      </c>
      <c r="AD75" s="385">
        <f t="shared" si="155"/>
        <v>1.1152416356877359E-2</v>
      </c>
      <c r="AE75" s="385"/>
      <c r="AF75" s="385">
        <f t="shared" si="155"/>
        <v>2.8805989912486618E-2</v>
      </c>
      <c r="AG75" s="385">
        <f t="shared" si="155"/>
        <v>2.8169014084507005E-2</v>
      </c>
      <c r="AH75" s="385"/>
      <c r="AI75" s="385">
        <f t="shared" ref="AI75:AJ75" si="156">AI51-AI50</f>
        <v>2.887669994169928E-2</v>
      </c>
      <c r="AJ75" s="385">
        <f t="shared" si="156"/>
        <v>2.5064822817631782E-2</v>
      </c>
      <c r="AK75" s="385"/>
      <c r="AL75" s="385">
        <f t="shared" si="155"/>
        <v>2.2482315934022057E-2</v>
      </c>
      <c r="AM75" s="385">
        <f t="shared" si="155"/>
        <v>2.352941176470591E-2</v>
      </c>
      <c r="AN75" s="491"/>
      <c r="AO75" s="458">
        <f t="shared" si="126"/>
        <v>3.024277873228351E-2</v>
      </c>
      <c r="AP75" s="458">
        <f t="shared" si="123"/>
        <v>2.9836453732785585E-2</v>
      </c>
      <c r="AQ75" s="458"/>
    </row>
    <row r="76" spans="1:43" hidden="1" outlineLevel="1" x14ac:dyDescent="0.25">
      <c r="A76" s="488">
        <v>18</v>
      </c>
      <c r="B76" s="387">
        <f t="shared" ref="B76:AM76" si="157">B52-B51</f>
        <v>4.205629962306523E-2</v>
      </c>
      <c r="C76" s="387">
        <f t="shared" si="157"/>
        <v>4.8991354466858761E-2</v>
      </c>
      <c r="D76" s="501"/>
      <c r="E76" s="387">
        <f t="shared" si="157"/>
        <v>3.4405188018816535E-2</v>
      </c>
      <c r="F76" s="387">
        <f t="shared" si="157"/>
        <v>3.9682539682539653E-2</v>
      </c>
      <c r="G76" s="501"/>
      <c r="H76" s="384">
        <f t="shared" si="157"/>
        <v>4.1562242307630171E-2</v>
      </c>
      <c r="I76" s="384">
        <f t="shared" si="157"/>
        <v>4.1033434650455947E-2</v>
      </c>
      <c r="J76" s="384"/>
      <c r="K76" s="384">
        <f t="shared" si="157"/>
        <v>2.7680545832361014E-2</v>
      </c>
      <c r="L76" s="384">
        <f t="shared" si="157"/>
        <v>2.8169014084507005E-2</v>
      </c>
      <c r="M76" s="384"/>
      <c r="N76" s="384">
        <f t="shared" si="157"/>
        <v>2.0319813281913346E-2</v>
      </c>
      <c r="O76" s="384">
        <f t="shared" si="157"/>
        <v>2.1033653846153855E-2</v>
      </c>
      <c r="P76" s="384"/>
      <c r="Q76" s="384">
        <f t="shared" si="157"/>
        <v>3.0570514741092958E-2</v>
      </c>
      <c r="R76" s="384">
        <f t="shared" si="157"/>
        <v>3.0156815440289475E-2</v>
      </c>
      <c r="S76" s="384"/>
      <c r="T76" s="384">
        <f t="shared" si="157"/>
        <v>2.7969580434688668E-2</v>
      </c>
      <c r="U76" s="384">
        <f t="shared" si="157"/>
        <v>2.4615384615384595E-2</v>
      </c>
      <c r="V76" s="384"/>
      <c r="W76" s="384">
        <f t="shared" si="157"/>
        <v>2.7373102951013362E-2</v>
      </c>
      <c r="X76" s="384">
        <f t="shared" si="157"/>
        <v>3.100775193798444E-2</v>
      </c>
      <c r="Y76" s="384"/>
      <c r="Z76" s="384">
        <f t="shared" si="157"/>
        <v>2.8017938878357795E-2</v>
      </c>
      <c r="AA76" s="384">
        <f t="shared" si="157"/>
        <v>2.6785714285714191E-2</v>
      </c>
      <c r="AB76" s="384"/>
      <c r="AC76" s="384">
        <f t="shared" si="157"/>
        <v>3.63606267932024E-2</v>
      </c>
      <c r="AD76" s="384">
        <f t="shared" si="157"/>
        <v>4.0892193308550207E-2</v>
      </c>
      <c r="AE76" s="384"/>
      <c r="AF76" s="384">
        <f t="shared" si="157"/>
        <v>2.3938784763601451E-2</v>
      </c>
      <c r="AG76" s="384">
        <f t="shared" si="157"/>
        <v>2.7288732394366133E-2</v>
      </c>
      <c r="AH76" s="384"/>
      <c r="AI76" s="384">
        <f t="shared" ref="AI76:AJ76" si="158">AI52-AI51</f>
        <v>3.0387759229954625E-2</v>
      </c>
      <c r="AJ76" s="384">
        <f t="shared" si="158"/>
        <v>2.3336214347450257E-2</v>
      </c>
      <c r="AK76" s="384"/>
      <c r="AL76" s="384">
        <f t="shared" si="157"/>
        <v>4.165934820444861E-2</v>
      </c>
      <c r="AM76" s="384">
        <f t="shared" si="157"/>
        <v>4.2352941176470593E-2</v>
      </c>
      <c r="AN76" s="506"/>
      <c r="AO76" s="458">
        <f t="shared" si="126"/>
        <v>3.0886866404641462E-2</v>
      </c>
      <c r="AP76" s="458">
        <f t="shared" si="123"/>
        <v>3.1916066921687879E-2</v>
      </c>
      <c r="AQ76" s="458"/>
    </row>
    <row r="77" spans="1:43" hidden="1" outlineLevel="1" x14ac:dyDescent="0.25">
      <c r="A77" s="488">
        <v>19</v>
      </c>
      <c r="B77" s="386">
        <f t="shared" ref="B77:AM77" si="159">B53-B52</f>
        <v>4.6755954767824237E-2</v>
      </c>
      <c r="C77" s="386">
        <f t="shared" si="159"/>
        <v>4.8991354466858761E-2</v>
      </c>
      <c r="D77" s="500"/>
      <c r="E77" s="386">
        <f t="shared" si="159"/>
        <v>4.7580271937481378E-2</v>
      </c>
      <c r="F77" s="386">
        <f t="shared" si="159"/>
        <v>4.7619047619047672E-2</v>
      </c>
      <c r="G77" s="500"/>
      <c r="H77" s="385">
        <f t="shared" si="159"/>
        <v>7.4344753989684209E-2</v>
      </c>
      <c r="I77" s="385">
        <f t="shared" si="159"/>
        <v>5.3191489361702149E-2</v>
      </c>
      <c r="J77" s="385"/>
      <c r="K77" s="385">
        <f t="shared" si="159"/>
        <v>5.204964940938539E-2</v>
      </c>
      <c r="L77" s="385">
        <f t="shared" si="159"/>
        <v>4.8289738430583484E-2</v>
      </c>
      <c r="M77" s="385"/>
      <c r="N77" s="385">
        <f t="shared" si="159"/>
        <v>3.7925019972644858E-2</v>
      </c>
      <c r="O77" s="385">
        <f t="shared" si="159"/>
        <v>3.8461538461538436E-2</v>
      </c>
      <c r="P77" s="385"/>
      <c r="Q77" s="385">
        <f t="shared" si="159"/>
        <v>4.8165589861385305E-2</v>
      </c>
      <c r="R77" s="385">
        <f t="shared" si="159"/>
        <v>4.8250904704463249E-2</v>
      </c>
      <c r="S77" s="385"/>
      <c r="T77" s="385">
        <f t="shared" si="159"/>
        <v>4.3957136067061309E-2</v>
      </c>
      <c r="U77" s="385">
        <f t="shared" si="159"/>
        <v>4.7179487179487167E-2</v>
      </c>
      <c r="V77" s="385"/>
      <c r="W77" s="385">
        <f t="shared" si="159"/>
        <v>3.9152832434216744E-2</v>
      </c>
      <c r="X77" s="385">
        <f t="shared" si="159"/>
        <v>4.3410852713178349E-2</v>
      </c>
      <c r="Y77" s="385"/>
      <c r="Z77" s="385">
        <f t="shared" si="159"/>
        <v>3.8772019048499695E-2</v>
      </c>
      <c r="AA77" s="385">
        <f t="shared" si="159"/>
        <v>4.0476190476190554E-2</v>
      </c>
      <c r="AB77" s="385"/>
      <c r="AC77" s="385">
        <f t="shared" si="159"/>
        <v>3.9864268373427492E-2</v>
      </c>
      <c r="AD77" s="385">
        <f t="shared" si="159"/>
        <v>4.4609665427509326E-2</v>
      </c>
      <c r="AE77" s="385"/>
      <c r="AF77" s="385">
        <f t="shared" si="159"/>
        <v>6.9525196714536164E-2</v>
      </c>
      <c r="AG77" s="385">
        <f t="shared" si="159"/>
        <v>6.9542253521126862E-2</v>
      </c>
      <c r="AH77" s="385"/>
      <c r="AI77" s="385">
        <f t="shared" ref="AI77:AJ77" si="160">AI53-AI52</f>
        <v>6.4190274489273835E-2</v>
      </c>
      <c r="AJ77" s="385">
        <f t="shared" si="160"/>
        <v>7.0008643042350993E-2</v>
      </c>
      <c r="AK77" s="385"/>
      <c r="AL77" s="385">
        <f t="shared" si="159"/>
        <v>5.1495361425583197E-2</v>
      </c>
      <c r="AM77" s="385">
        <f t="shared" si="159"/>
        <v>4.9411764705882266E-2</v>
      </c>
      <c r="AN77" s="491"/>
      <c r="AO77" s="458">
        <f t="shared" si="126"/>
        <v>5.0190247255451716E-2</v>
      </c>
      <c r="AP77" s="458">
        <f t="shared" si="123"/>
        <v>5.0002597117003084E-2</v>
      </c>
      <c r="AQ77" s="458"/>
    </row>
    <row r="78" spans="1:43" hidden="1" outlineLevel="1" x14ac:dyDescent="0.25">
      <c r="A78" s="488">
        <v>20</v>
      </c>
      <c r="B78" s="387">
        <f t="shared" ref="B78:AM78" si="161">B54-B53</f>
        <v>8.077632528671097E-2</v>
      </c>
      <c r="C78" s="387">
        <f t="shared" si="161"/>
        <v>9.5100864553314124E-2</v>
      </c>
      <c r="D78" s="501"/>
      <c r="E78" s="387">
        <f t="shared" si="161"/>
        <v>3.9730288633341271E-2</v>
      </c>
      <c r="F78" s="387">
        <f t="shared" si="161"/>
        <v>5.1587301587301515E-2</v>
      </c>
      <c r="G78" s="501"/>
      <c r="H78" s="387">
        <f t="shared" si="161"/>
        <v>6.2185716364577037E-2</v>
      </c>
      <c r="I78" s="387">
        <f t="shared" si="161"/>
        <v>5.3191489361702149E-2</v>
      </c>
      <c r="J78" s="387"/>
      <c r="K78" s="384">
        <f t="shared" si="161"/>
        <v>8.4008400840084096E-2</v>
      </c>
      <c r="L78" s="384">
        <f t="shared" si="161"/>
        <v>7.8470824949698259E-2</v>
      </c>
      <c r="M78" s="384"/>
      <c r="N78" s="384">
        <f t="shared" si="161"/>
        <v>3.6435959962689779E-2</v>
      </c>
      <c r="O78" s="384">
        <f t="shared" si="161"/>
        <v>3.7259615384615308E-2</v>
      </c>
      <c r="P78" s="384"/>
      <c r="Q78" s="384">
        <f t="shared" si="161"/>
        <v>7.9883331156675896E-2</v>
      </c>
      <c r="R78" s="384">
        <f t="shared" si="161"/>
        <v>7.9010856453558431E-2</v>
      </c>
      <c r="S78" s="384"/>
      <c r="T78" s="384">
        <f t="shared" si="161"/>
        <v>3.5721384435898562E-2</v>
      </c>
      <c r="U78" s="384">
        <f t="shared" si="161"/>
        <v>3.6923076923076947E-2</v>
      </c>
      <c r="V78" s="384"/>
      <c r="W78" s="384">
        <f t="shared" si="161"/>
        <v>7.0400389182803003E-2</v>
      </c>
      <c r="X78" s="384">
        <f t="shared" si="161"/>
        <v>6.0465116279069697E-2</v>
      </c>
      <c r="Y78" s="384"/>
      <c r="Z78" s="384">
        <f t="shared" si="161"/>
        <v>4.8512028603572288E-2</v>
      </c>
      <c r="AA78" s="384">
        <f t="shared" si="161"/>
        <v>4.7023809523809468E-2</v>
      </c>
      <c r="AB78" s="384"/>
      <c r="AC78" s="384">
        <f t="shared" si="161"/>
        <v>9.4625910395056301E-2</v>
      </c>
      <c r="AD78" s="384">
        <f t="shared" si="161"/>
        <v>0.10780669144981414</v>
      </c>
      <c r="AE78" s="384"/>
      <c r="AF78" s="384">
        <f t="shared" si="161"/>
        <v>6.700131209899729E-2</v>
      </c>
      <c r="AG78" s="384">
        <f t="shared" si="161"/>
        <v>7.4823943661971759E-2</v>
      </c>
      <c r="AH78" s="384"/>
      <c r="AI78" s="384">
        <f t="shared" ref="AI78:AJ78" si="162">AI54-AI53</f>
        <v>5.8098444917724645E-2</v>
      </c>
      <c r="AJ78" s="384">
        <f t="shared" si="162"/>
        <v>6.9144338807260119E-2</v>
      </c>
      <c r="AK78" s="384"/>
      <c r="AL78" s="384">
        <f t="shared" si="161"/>
        <v>5.3443403005093648E-2</v>
      </c>
      <c r="AM78" s="384">
        <f t="shared" si="161"/>
        <v>5.6470588235294161E-2</v>
      </c>
      <c r="AN78" s="506"/>
      <c r="AO78" s="458">
        <f t="shared" si="126"/>
        <v>6.3114957656510928E-2</v>
      </c>
      <c r="AP78" s="458">
        <f t="shared" si="123"/>
        <v>6.5900660744599326E-2</v>
      </c>
      <c r="AQ78" s="458"/>
    </row>
    <row r="79" spans="1:43" hidden="1" outlineLevel="1" x14ac:dyDescent="0.25">
      <c r="A79" s="400">
        <v>21</v>
      </c>
      <c r="B79" s="386">
        <f t="shared" ref="B79:AM79" si="163">B55-B54</f>
        <v>0.12403560830860538</v>
      </c>
      <c r="C79" s="386">
        <f t="shared" si="163"/>
        <v>0.13544668587896258</v>
      </c>
      <c r="D79" s="500"/>
      <c r="E79" s="386">
        <f t="shared" si="163"/>
        <v>0.23653639990392561</v>
      </c>
      <c r="F79" s="386">
        <f t="shared" si="163"/>
        <v>0.23809523809523814</v>
      </c>
      <c r="G79" s="500"/>
      <c r="H79" s="386">
        <f t="shared" si="163"/>
        <v>0.11990880721781172</v>
      </c>
      <c r="I79" s="386">
        <f t="shared" si="163"/>
        <v>0.11246200607902734</v>
      </c>
      <c r="J79" s="386"/>
      <c r="K79" s="385">
        <f t="shared" si="163"/>
        <v>0.12221222122212216</v>
      </c>
      <c r="L79" s="385">
        <f t="shared" si="163"/>
        <v>0.11468812877263579</v>
      </c>
      <c r="M79" s="385"/>
      <c r="N79" s="385">
        <f t="shared" si="163"/>
        <v>7.6042446575789402E-2</v>
      </c>
      <c r="O79" s="385">
        <f t="shared" si="163"/>
        <v>7.1514423076923128E-2</v>
      </c>
      <c r="P79" s="385"/>
      <c r="Q79" s="385">
        <f t="shared" si="163"/>
        <v>0.15280391900785384</v>
      </c>
      <c r="R79" s="385">
        <f t="shared" si="163"/>
        <v>0.14294330518697229</v>
      </c>
      <c r="S79" s="385"/>
      <c r="T79" s="385">
        <f t="shared" si="163"/>
        <v>0.11002462947759584</v>
      </c>
      <c r="U79" s="385">
        <f t="shared" si="163"/>
        <v>0.11487179487179489</v>
      </c>
      <c r="V79" s="385"/>
      <c r="W79" s="385">
        <f t="shared" si="163"/>
        <v>0.13387714680357565</v>
      </c>
      <c r="X79" s="385">
        <f t="shared" si="163"/>
        <v>0.1348837209302326</v>
      </c>
      <c r="Y79" s="385"/>
      <c r="Z79" s="385">
        <f t="shared" si="163"/>
        <v>8.8692650299751929E-2</v>
      </c>
      <c r="AA79" s="385">
        <f t="shared" si="163"/>
        <v>8.7500000000000022E-2</v>
      </c>
      <c r="AB79" s="385"/>
      <c r="AC79" s="385">
        <f t="shared" si="163"/>
        <v>0.16856102405649964</v>
      </c>
      <c r="AD79" s="385">
        <f t="shared" si="163"/>
        <v>0.15613382899628248</v>
      </c>
      <c r="AE79" s="385"/>
      <c r="AF79" s="385">
        <f t="shared" si="163"/>
        <v>0.14027822918798327</v>
      </c>
      <c r="AG79" s="385">
        <f t="shared" si="163"/>
        <v>0.13292253521126762</v>
      </c>
      <c r="AH79" s="385"/>
      <c r="AI79" s="385">
        <f t="shared" ref="AI79:AJ79" si="164">AI55-AI54</f>
        <v>8.8379121205991895E-2</v>
      </c>
      <c r="AJ79" s="385">
        <f t="shared" si="164"/>
        <v>8.98876404494382E-2</v>
      </c>
      <c r="AK79" s="385"/>
      <c r="AL79" s="385">
        <f t="shared" si="163"/>
        <v>6.4812301403547989E-2</v>
      </c>
      <c r="AM79" s="385">
        <f t="shared" si="163"/>
        <v>7.7647058823529402E-2</v>
      </c>
      <c r="AN79" s="491"/>
      <c r="AO79" s="458">
        <f t="shared" si="126"/>
        <v>0.13011268360562553</v>
      </c>
      <c r="AP79" s="458">
        <f t="shared" si="123"/>
        <v>0.12761244229573124</v>
      </c>
      <c r="AQ79" s="458"/>
    </row>
    <row r="80" spans="1:43" hidden="1" outlineLevel="1" x14ac:dyDescent="0.25">
      <c r="AO80" s="13"/>
      <c r="AP80" s="13"/>
      <c r="AQ80" s="13"/>
    </row>
    <row r="81" spans="1:110" hidden="1" outlineLevel="1" x14ac:dyDescent="0.25">
      <c r="A81" s="480" t="s">
        <v>429</v>
      </c>
      <c r="W81" s="21"/>
      <c r="AD81" s="21"/>
      <c r="AE81" s="21"/>
      <c r="AL81" s="739" t="s">
        <v>245</v>
      </c>
      <c r="AM81" s="739"/>
      <c r="AN81" s="509"/>
    </row>
    <row r="82" spans="1:110" hidden="1" outlineLevel="1" x14ac:dyDescent="0.25">
      <c r="A82" s="333" t="s">
        <v>31</v>
      </c>
      <c r="B82" s="388" t="str">
        <f>Tabelle3[[#Headers],[Ned (€)]]</f>
        <v>Ned (€)</v>
      </c>
      <c r="C82" s="389" t="str">
        <f>Tabelle3[[#Headers],[Ned (Backer)]]</f>
        <v>Ned (Backer)</v>
      </c>
      <c r="D82" s="493" t="str">
        <f>Tabelle3[[#Headers],[Ned (€/B)]]</f>
        <v>Ned (€/B)</v>
      </c>
      <c r="E82" s="391" t="str">
        <f>Tabelle3[[#Headers],[Werkzeuge (€)]]</f>
        <v>Werkzeuge (€)</v>
      </c>
      <c r="F82" s="392" t="str">
        <f>Tabelle3[[#Headers],[Werkzeuge (Backer)]]</f>
        <v>Werkzeuge (Backer)</v>
      </c>
      <c r="G82" s="493" t="str">
        <f>Tabelle3[[#Headers],[Werkz (€/B)]]</f>
        <v>Werkz (€/B)</v>
      </c>
      <c r="H82" s="395" t="str">
        <f>Tabelle3[[#Headers],[DSK Fasar (€)]]</f>
        <v>DSK Fasar (€)</v>
      </c>
      <c r="I82" s="396" t="str">
        <f>Tabelle3[[#Headers],[DSK Fasar (Backer)]]</f>
        <v>DSK Fasar (Backer)</v>
      </c>
      <c r="J82" s="398" t="str">
        <f>Tabelle3[[#Headers],[DSK Fasar (€/B)]]</f>
        <v>DSK Fasar (€/B)</v>
      </c>
      <c r="K82" s="388" t="str">
        <f>Tabelle3[[#Headers],[Mythen (€)]]</f>
        <v>Mythen (€)</v>
      </c>
      <c r="L82" s="389" t="str">
        <f>Tabelle3[[#Headers],[Mythen (Backer)]]</f>
        <v>Mythen (Backer)</v>
      </c>
      <c r="M82" s="389" t="str">
        <f>Tabelle3[[#Headers],[Mythen (€/B)]]</f>
        <v>Mythen (€/B)</v>
      </c>
      <c r="N82" s="393" t="str">
        <f>Tabelle3[[#Headers],[SOK (€)]]</f>
        <v>SOK (€)</v>
      </c>
      <c r="O82" s="394" t="str">
        <f>Tabelle3[[#Headers],[SOK (Backer)]]</f>
        <v>SOK (Backer)</v>
      </c>
      <c r="P82" s="394" t="str">
        <f>Tabelle3[[#Headers],[SOK (€/B)]]</f>
        <v>SOK (€/B)</v>
      </c>
      <c r="Q82" s="390" t="str">
        <f>Tabelle3[[#Headers],[RE (€)]]</f>
        <v>RE (€)</v>
      </c>
      <c r="R82" s="390" t="str">
        <f>Tabelle3[[#Headers],[RE (Backer)]]</f>
        <v>RE (Backer)</v>
      </c>
      <c r="S82" s="390" t="str">
        <f>Tabelle3[[#Headers],[RE (€/B)]]</f>
        <v>RE (€/B)</v>
      </c>
      <c r="T82" s="390" t="str">
        <f>Tabelle3[[#Headers],[DGG (€)]]</f>
        <v>DGG (€)</v>
      </c>
      <c r="U82" s="390" t="str">
        <f>Tabelle3[[#Headers],[DGG (Backer)]]</f>
        <v>DGG (Backer)</v>
      </c>
      <c r="V82" s="390" t="str">
        <f>Tabelle3[[#Headers],[DGG (€/B)]]</f>
        <v>DGG (€/B)</v>
      </c>
      <c r="W82" s="395" t="str">
        <f>Tabelle3[[#Headers],[DSK SV (€)]]</f>
        <v>DSK SV (€)</v>
      </c>
      <c r="X82" s="396" t="str">
        <f>Tabelle3[[#Headers],[DSK SV (Backer)]]</f>
        <v>DSK SV (Backer)</v>
      </c>
      <c r="Y82" s="398" t="str">
        <f>Tabelle3[[#Headers],[DSK SV (€/B)]]</f>
        <v>DSK SV (€/B)</v>
      </c>
      <c r="Z82" s="393" t="str">
        <f>Tabelle3[[#Headers],[WW (€)]]</f>
        <v>WW (€)</v>
      </c>
      <c r="AA82" s="394" t="str">
        <f>Tabelle3[[#Headers],[WW (Backer)]]</f>
        <v>WW (Backer)</v>
      </c>
      <c r="AB82" s="394" t="str">
        <f>Tabelle3[[#Headers],[WW (€/B)]]</f>
        <v>WW (€/B)</v>
      </c>
      <c r="AC82" s="395" t="str">
        <f>Tabelle3[[#Headers],[DSK R (€)]]</f>
        <v>DSK R (€)</v>
      </c>
      <c r="AD82" s="396" t="str">
        <f>Tabelle3[[#Headers],[DSK R (Backer)]]</f>
        <v>DSK R (Backer)</v>
      </c>
      <c r="AE82" s="398" t="str">
        <f>Tabelle3[[#Headers],[DSK R (€/B)]]</f>
        <v>DSK R (€/B)</v>
      </c>
      <c r="AF82" s="390" t="str">
        <f>Tabelle3[[#Headers],[Ära (€)]]</f>
        <v>Ära (€)</v>
      </c>
      <c r="AG82" s="390" t="str">
        <f>Tabelle3[[#Headers],[Ära (Backer)]]</f>
        <v>Ära (Backer)</v>
      </c>
      <c r="AH82" s="390" t="str">
        <f>Tabelle3[[#Headers],[Ära (€/B)]]</f>
        <v>Ära (€/B)</v>
      </c>
      <c r="AI82" s="390" t="str">
        <f>Tabelle3[[#Headers],[Mosaik (€)]]</f>
        <v>Mosaik (€)</v>
      </c>
      <c r="AJ82" s="390" t="str">
        <f>Tabelle3[[#Headers],[Mosaik (Backer)]]</f>
        <v>Mosaik (Backer)</v>
      </c>
      <c r="AK82" s="390" t="str">
        <f>Tabelle3[[#Headers],[Mosaik (€/B)]]</f>
        <v>Mosaik (€/B)</v>
      </c>
      <c r="AL82" s="575" t="str">
        <f>Tabelle3[[#Headers],[DSK ES (€)]]</f>
        <v>DSK ES (€)</v>
      </c>
      <c r="AM82" s="575" t="str">
        <f>Tabelle3[[#Headers],[DSK ES (Backer)]]</f>
        <v>DSK ES (Backer)</v>
      </c>
      <c r="AN82" s="575" t="str">
        <f>Tabelle3[[#Headers],[DSK ES (€/B)]]</f>
        <v>DSK ES (€/B)</v>
      </c>
      <c r="AO82" s="738" t="s">
        <v>246</v>
      </c>
      <c r="AP82" s="738"/>
      <c r="AQ82" s="463"/>
      <c r="BM82" s="203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</row>
    <row r="83" spans="1:110" hidden="1" outlineLevel="2" x14ac:dyDescent="0.25">
      <c r="A83" s="488">
        <v>1</v>
      </c>
      <c r="B83" s="385"/>
      <c r="C83" s="385"/>
      <c r="D83" s="494"/>
      <c r="E83" s="385"/>
      <c r="F83" s="385"/>
      <c r="G83" s="494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5"/>
      <c r="AL83" s="385"/>
      <c r="AM83" s="385"/>
      <c r="AN83" s="491"/>
      <c r="AO83" s="458" t="e">
        <f t="shared" ref="AO83:AO93" si="165">AVERAGE(B83,E83,H83,K83,N83,Q83,T83,W83,Z83,AC83,AF83)</f>
        <v>#DIV/0!</v>
      </c>
      <c r="AP83" s="458" t="e">
        <f t="shared" ref="AP83:AP93" si="166">AVERAGE(C83,F83,I83,L83,O83,R83,U83,X83,AA83,AD83,AG83)</f>
        <v>#DIV/0!</v>
      </c>
      <c r="AQ83" s="458"/>
    </row>
    <row r="84" spans="1:110" hidden="1" outlineLevel="2" x14ac:dyDescent="0.25">
      <c r="A84" s="577">
        <v>2</v>
      </c>
      <c r="B84" s="385"/>
      <c r="C84" s="385"/>
      <c r="D84" s="494"/>
      <c r="E84" s="385"/>
      <c r="F84" s="385"/>
      <c r="G84" s="494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5"/>
      <c r="AK84" s="385"/>
      <c r="AL84" s="385"/>
      <c r="AM84" s="385"/>
      <c r="AN84" s="491"/>
      <c r="AO84" s="458" t="e">
        <f t="shared" si="165"/>
        <v>#DIV/0!</v>
      </c>
      <c r="AP84" s="458" t="e">
        <f t="shared" si="166"/>
        <v>#DIV/0!</v>
      </c>
      <c r="AQ84" s="458"/>
    </row>
    <row r="85" spans="1:110" hidden="1" outlineLevel="2" x14ac:dyDescent="0.25">
      <c r="A85" s="488">
        <v>3</v>
      </c>
      <c r="B85" s="385"/>
      <c r="C85" s="385"/>
      <c r="D85" s="494"/>
      <c r="E85" s="385"/>
      <c r="F85" s="385"/>
      <c r="G85" s="494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5"/>
      <c r="AJ85" s="385"/>
      <c r="AK85" s="385"/>
      <c r="AL85" s="385"/>
      <c r="AM85" s="385"/>
      <c r="AN85" s="491"/>
      <c r="AO85" s="458" t="e">
        <f t="shared" si="165"/>
        <v>#DIV/0!</v>
      </c>
      <c r="AP85" s="458" t="e">
        <f t="shared" si="166"/>
        <v>#DIV/0!</v>
      </c>
      <c r="AQ85" s="458"/>
    </row>
    <row r="86" spans="1:110" hidden="1" outlineLevel="2" x14ac:dyDescent="0.25">
      <c r="A86" s="577">
        <v>4</v>
      </c>
      <c r="B86" s="385"/>
      <c r="C86" s="385"/>
      <c r="D86" s="494"/>
      <c r="E86" s="385"/>
      <c r="F86" s="385"/>
      <c r="G86" s="494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5"/>
      <c r="AL86" s="385"/>
      <c r="AM86" s="385"/>
      <c r="AN86" s="491"/>
      <c r="AO86" s="458" t="e">
        <f t="shared" si="165"/>
        <v>#DIV/0!</v>
      </c>
      <c r="AP86" s="458" t="e">
        <f t="shared" si="166"/>
        <v>#DIV/0!</v>
      </c>
      <c r="AQ86" s="458"/>
    </row>
    <row r="87" spans="1:110" hidden="1" outlineLevel="2" x14ac:dyDescent="0.25">
      <c r="A87" s="488">
        <v>5</v>
      </c>
      <c r="B87" s="385"/>
      <c r="C87" s="385"/>
      <c r="D87" s="494"/>
      <c r="E87" s="385"/>
      <c r="F87" s="385"/>
      <c r="G87" s="494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491"/>
      <c r="AO87" s="458" t="e">
        <f t="shared" si="165"/>
        <v>#DIV/0!</v>
      </c>
      <c r="AP87" s="458" t="e">
        <f t="shared" si="166"/>
        <v>#DIV/0!</v>
      </c>
      <c r="AQ87" s="458"/>
    </row>
    <row r="88" spans="1:110" hidden="1" outlineLevel="2" x14ac:dyDescent="0.25">
      <c r="A88" s="577">
        <v>6</v>
      </c>
      <c r="B88" s="385"/>
      <c r="C88" s="385"/>
      <c r="D88" s="494"/>
      <c r="E88" s="385"/>
      <c r="F88" s="385"/>
      <c r="G88" s="494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85"/>
      <c r="AL88" s="385"/>
      <c r="AM88" s="385"/>
      <c r="AN88" s="491"/>
      <c r="AO88" s="458" t="e">
        <f t="shared" si="165"/>
        <v>#DIV/0!</v>
      </c>
      <c r="AP88" s="458" t="e">
        <f t="shared" si="166"/>
        <v>#DIV/0!</v>
      </c>
      <c r="AQ88" s="458"/>
    </row>
    <row r="89" spans="1:110" hidden="1" outlineLevel="2" x14ac:dyDescent="0.25">
      <c r="A89" s="488">
        <v>7</v>
      </c>
      <c r="B89" s="385"/>
      <c r="C89" s="385"/>
      <c r="D89" s="494"/>
      <c r="E89" s="385"/>
      <c r="F89" s="385"/>
      <c r="G89" s="494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  <c r="W89" s="385"/>
      <c r="X89" s="385"/>
      <c r="Y89" s="385"/>
      <c r="Z89" s="385"/>
      <c r="AA89" s="385"/>
      <c r="AB89" s="385"/>
      <c r="AC89" s="385"/>
      <c r="AD89" s="385"/>
      <c r="AE89" s="385"/>
      <c r="AF89" s="385"/>
      <c r="AG89" s="385"/>
      <c r="AH89" s="385"/>
      <c r="AI89" s="385"/>
      <c r="AJ89" s="385"/>
      <c r="AK89" s="385"/>
      <c r="AL89" s="385"/>
      <c r="AM89" s="385"/>
      <c r="AN89" s="491"/>
      <c r="AO89" s="458" t="e">
        <f t="shared" si="165"/>
        <v>#DIV/0!</v>
      </c>
      <c r="AP89" s="458" t="e">
        <f t="shared" si="166"/>
        <v>#DIV/0!</v>
      </c>
      <c r="AQ89" s="458"/>
    </row>
    <row r="90" spans="1:110" hidden="1" outlineLevel="2" x14ac:dyDescent="0.25">
      <c r="A90" s="577">
        <v>8</v>
      </c>
      <c r="B90" s="385"/>
      <c r="C90" s="385"/>
      <c r="D90" s="494"/>
      <c r="E90" s="385"/>
      <c r="F90" s="385"/>
      <c r="G90" s="494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5"/>
      <c r="AA90" s="385"/>
      <c r="AB90" s="385"/>
      <c r="AC90" s="385"/>
      <c r="AD90" s="385"/>
      <c r="AE90" s="385"/>
      <c r="AF90" s="385"/>
      <c r="AG90" s="385"/>
      <c r="AH90" s="385"/>
      <c r="AI90" s="385"/>
      <c r="AJ90" s="385"/>
      <c r="AK90" s="385"/>
      <c r="AL90" s="385"/>
      <c r="AM90" s="385"/>
      <c r="AN90" s="491"/>
      <c r="AO90" s="458" t="e">
        <f t="shared" si="165"/>
        <v>#DIV/0!</v>
      </c>
      <c r="AP90" s="458" t="e">
        <f t="shared" si="166"/>
        <v>#DIV/0!</v>
      </c>
      <c r="AQ90" s="458"/>
    </row>
    <row r="91" spans="1:110" hidden="1" outlineLevel="2" x14ac:dyDescent="0.25">
      <c r="A91" s="488">
        <v>9</v>
      </c>
      <c r="B91" s="385"/>
      <c r="C91" s="385"/>
      <c r="D91" s="494"/>
      <c r="E91" s="385"/>
      <c r="F91" s="385"/>
      <c r="G91" s="494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  <c r="X91" s="385"/>
      <c r="Y91" s="385"/>
      <c r="Z91" s="385"/>
      <c r="AA91" s="385"/>
      <c r="AB91" s="385"/>
      <c r="AC91" s="385"/>
      <c r="AD91" s="385"/>
      <c r="AE91" s="385"/>
      <c r="AF91" s="385"/>
      <c r="AG91" s="385"/>
      <c r="AH91" s="385"/>
      <c r="AI91" s="385"/>
      <c r="AJ91" s="385"/>
      <c r="AK91" s="385"/>
      <c r="AL91" s="385"/>
      <c r="AM91" s="385"/>
      <c r="AN91" s="491"/>
      <c r="AO91" s="458" t="e">
        <f t="shared" si="165"/>
        <v>#DIV/0!</v>
      </c>
      <c r="AP91" s="458" t="e">
        <f t="shared" si="166"/>
        <v>#DIV/0!</v>
      </c>
      <c r="AQ91" s="458"/>
    </row>
    <row r="92" spans="1:110" hidden="1" outlineLevel="2" x14ac:dyDescent="0.25">
      <c r="A92" s="577">
        <v>10</v>
      </c>
      <c r="B92" s="385"/>
      <c r="C92" s="385"/>
      <c r="D92" s="494"/>
      <c r="E92" s="385"/>
      <c r="F92" s="385"/>
      <c r="G92" s="494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385"/>
      <c r="AE92" s="385"/>
      <c r="AF92" s="385"/>
      <c r="AG92" s="385"/>
      <c r="AH92" s="385"/>
      <c r="AI92" s="385"/>
      <c r="AJ92" s="385"/>
      <c r="AK92" s="385"/>
      <c r="AL92" s="385"/>
      <c r="AM92" s="385"/>
      <c r="AN92" s="491"/>
      <c r="AO92" s="458" t="e">
        <f t="shared" si="165"/>
        <v>#DIV/0!</v>
      </c>
      <c r="AP92" s="458" t="e">
        <f t="shared" si="166"/>
        <v>#DIV/0!</v>
      </c>
      <c r="AQ92" s="458"/>
    </row>
    <row r="93" spans="1:110" hidden="1" outlineLevel="2" x14ac:dyDescent="0.25">
      <c r="A93" s="488">
        <v>11</v>
      </c>
      <c r="B93" s="385"/>
      <c r="C93" s="385"/>
      <c r="D93" s="494"/>
      <c r="E93" s="385"/>
      <c r="F93" s="385"/>
      <c r="G93" s="494"/>
      <c r="H93" s="385"/>
      <c r="I93" s="385"/>
      <c r="J93" s="385"/>
      <c r="K93" s="385"/>
      <c r="L93" s="385"/>
      <c r="M93" s="385"/>
      <c r="N93" s="385"/>
      <c r="O93" s="385"/>
      <c r="P93" s="385"/>
      <c r="Q93" s="385"/>
      <c r="R93" s="385"/>
      <c r="S93" s="385"/>
      <c r="T93" s="385"/>
      <c r="U93" s="385"/>
      <c r="V93" s="385"/>
      <c r="W93" s="385"/>
      <c r="X93" s="385"/>
      <c r="Y93" s="385"/>
      <c r="Z93" s="385"/>
      <c r="AA93" s="385"/>
      <c r="AB93" s="385"/>
      <c r="AC93" s="385"/>
      <c r="AD93" s="385"/>
      <c r="AE93" s="385"/>
      <c r="AF93" s="385"/>
      <c r="AG93" s="385"/>
      <c r="AH93" s="385"/>
      <c r="AI93" s="385"/>
      <c r="AJ93" s="385"/>
      <c r="AK93" s="385"/>
      <c r="AL93" s="385"/>
      <c r="AM93" s="385"/>
      <c r="AN93" s="491"/>
      <c r="AO93" s="458" t="e">
        <f t="shared" si="165"/>
        <v>#DIV/0!</v>
      </c>
      <c r="AP93" s="458" t="e">
        <f t="shared" si="166"/>
        <v>#DIV/0!</v>
      </c>
      <c r="AQ93" s="458"/>
    </row>
    <row r="94" spans="1:110" hidden="1" outlineLevel="2" x14ac:dyDescent="0.25">
      <c r="A94" s="400">
        <v>12</v>
      </c>
      <c r="B94" s="385">
        <f t="shared" ref="B94:C94" si="167">B70/SUM(B$70:B$79)</f>
        <v>8.2591708270024058E-2</v>
      </c>
      <c r="C94" s="385">
        <f t="shared" si="167"/>
        <v>8.875739644970411E-2</v>
      </c>
      <c r="D94" s="494"/>
      <c r="E94" s="385">
        <f t="shared" ref="E94:F94" si="168">E70/SUM(E$70:E$79)</f>
        <v>3.5281096315567403E-2</v>
      </c>
      <c r="F94" s="385">
        <f t="shared" si="168"/>
        <v>3.7500000000000082E-2</v>
      </c>
      <c r="G94" s="494"/>
      <c r="H94" s="385">
        <f t="shared" ref="H94:I94" si="169">H70/SUM(H$70:H$79)</f>
        <v>2.9948543293969586E-2</v>
      </c>
      <c r="I94" s="385">
        <f t="shared" si="169"/>
        <v>3.3088235294117488E-2</v>
      </c>
      <c r="J94" s="385"/>
      <c r="K94" s="385">
        <f t="shared" ref="K94:L94" si="170">K70/SUM(K$70:K$79)</f>
        <v>9.9075729720200539E-2</v>
      </c>
      <c r="L94" s="385">
        <f t="shared" si="170"/>
        <v>9.7087378640776781E-2</v>
      </c>
      <c r="M94" s="385"/>
      <c r="N94" s="385">
        <f t="shared" ref="N94:O94" si="171">N70/SUM(N$70:N$79)</f>
        <v>4.6441545574636797E-2</v>
      </c>
      <c r="O94" s="385">
        <f t="shared" si="171"/>
        <v>5.1896207584830344E-2</v>
      </c>
      <c r="P94" s="385"/>
      <c r="Q94" s="385">
        <f t="shared" ref="Q94:R94" si="172">Q70/SUM(Q$70:Q$79)</f>
        <v>5.1037346733215853E-2</v>
      </c>
      <c r="R94" s="385">
        <f t="shared" si="172"/>
        <v>5.6708160442600387E-2</v>
      </c>
      <c r="S94" s="385"/>
      <c r="T94" s="385">
        <f t="shared" ref="T94:U94" si="173">T70/SUM(T$70:T$79)</f>
        <v>3.6911508282475934E-2</v>
      </c>
      <c r="U94" s="385">
        <f t="shared" si="173"/>
        <v>4.0712468193384185E-2</v>
      </c>
      <c r="V94" s="385"/>
      <c r="W94" s="385">
        <f t="shared" ref="W94:X94" si="174">W70/SUM(W$70:W$79)</f>
        <v>4.6434268373341428E-2</v>
      </c>
      <c r="X94" s="385">
        <f t="shared" si="174"/>
        <v>5.333333333333333E-2</v>
      </c>
      <c r="Y94" s="385"/>
      <c r="Z94" s="385">
        <f t="shared" ref="Z94:AA94" si="175">Z70/SUM(Z$70:Z$79)</f>
        <v>5.2837734195244894E-2</v>
      </c>
      <c r="AA94" s="385">
        <f t="shared" si="175"/>
        <v>5.7291666666666789E-2</v>
      </c>
      <c r="AB94" s="385"/>
      <c r="AC94" s="385">
        <f t="shared" ref="AC94:AD94" si="176">AC70/SUM(AC$70:AC$79)</f>
        <v>6.2971387525440084E-2</v>
      </c>
      <c r="AD94" s="385">
        <f t="shared" si="176"/>
        <v>3.361344537815112E-2</v>
      </c>
      <c r="AE94" s="385"/>
      <c r="AF94" s="385">
        <f t="shared" ref="AF94:AG94" si="177">AF70/SUM(AF$70:AF$79)</f>
        <v>5.5101504931646408E-2</v>
      </c>
      <c r="AG94" s="385">
        <f t="shared" si="177"/>
        <v>5.185185185185201E-2</v>
      </c>
      <c r="AH94" s="385"/>
      <c r="AI94" s="385">
        <f t="shared" ref="AI94:AJ94" si="178">AI70/SUM(AI$70:AI$79)</f>
        <v>5.293396391662273E-2</v>
      </c>
      <c r="AJ94" s="385">
        <f t="shared" si="178"/>
        <v>5.4455445544554497E-2</v>
      </c>
      <c r="AK94" s="385"/>
      <c r="AL94" s="385">
        <f t="shared" ref="AL94:AM94" si="179">AL70/SUM(AL$70:AL$79)</f>
        <v>7.9717666597467346E-2</v>
      </c>
      <c r="AM94" s="385">
        <f t="shared" si="179"/>
        <v>8.2840236686390567E-2</v>
      </c>
      <c r="AN94" s="491"/>
      <c r="AO94" s="458">
        <f t="shared" ref="AO94:AO96" si="180">AVERAGE(B94,E94,H94,K94,N94,Q94,T94,W94,Z94,AC94,AF94,AI94)</f>
        <v>5.4297194761032147E-2</v>
      </c>
      <c r="AP94" s="458">
        <f t="shared" ref="AP94:AP96" si="181">AVERAGE(C94,F94,I94,L94,O94,R94,U94,X94,AA94,AD94,AG94,AJ94)</f>
        <v>5.4691299114997594E-2</v>
      </c>
      <c r="AQ94" s="458"/>
    </row>
    <row r="95" spans="1:110" hidden="1" outlineLevel="2" x14ac:dyDescent="0.25">
      <c r="A95" s="400">
        <v>13</v>
      </c>
      <c r="B95" s="385">
        <f t="shared" ref="B95:C95" si="182">B71/SUM(B$70:B$79)</f>
        <v>2.5974965632009125E-2</v>
      </c>
      <c r="C95" s="385">
        <f t="shared" si="182"/>
        <v>2.3668639053254396E-2</v>
      </c>
      <c r="D95" s="494"/>
      <c r="E95" s="385">
        <f t="shared" ref="E95:F95" si="183">E71/SUM(E$70:E$79)</f>
        <v>3.3181574413217826E-2</v>
      </c>
      <c r="F95" s="385">
        <f t="shared" si="183"/>
        <v>3.7499999999999971E-2</v>
      </c>
      <c r="G95" s="494"/>
      <c r="H95" s="385">
        <f t="shared" ref="H95:I95" si="184">H71/SUM(H$70:H$79)</f>
        <v>5.1697330914744662E-2</v>
      </c>
      <c r="I95" s="385">
        <f t="shared" si="184"/>
        <v>5.5147058823529327E-2</v>
      </c>
      <c r="J95" s="385"/>
      <c r="K95" s="385">
        <f t="shared" ref="K95:L95" si="185">K71/SUM(K$70:K$79)</f>
        <v>3.4427179086810866E-2</v>
      </c>
      <c r="L95" s="385">
        <f t="shared" si="185"/>
        <v>3.8834951456310662E-2</v>
      </c>
      <c r="M95" s="385"/>
      <c r="N95" s="385">
        <f t="shared" ref="N95:O95" si="186">N71/SUM(N$70:N$79)</f>
        <v>3.6547776309995686E-2</v>
      </c>
      <c r="O95" s="385">
        <f t="shared" si="186"/>
        <v>3.1936127744510871E-2</v>
      </c>
      <c r="P95" s="385"/>
      <c r="Q95" s="385">
        <f t="shared" ref="Q95:R95" si="187">Q71/SUM(Q$70:Q$79)</f>
        <v>4.4099193643684087E-2</v>
      </c>
      <c r="R95" s="385">
        <f t="shared" si="187"/>
        <v>4.8409405255878259E-2</v>
      </c>
      <c r="S95" s="385"/>
      <c r="T95" s="385">
        <f t="shared" ref="T95:U95" si="188">T71/SUM(T$70:T$79)</f>
        <v>7.2874891020052429E-2</v>
      </c>
      <c r="U95" s="385">
        <f t="shared" si="188"/>
        <v>6.6157760814249511E-2</v>
      </c>
      <c r="V95" s="385"/>
      <c r="W95" s="385">
        <f t="shared" ref="W95:X95" si="189">W71/SUM(W$70:W$79)</f>
        <v>4.26798428199043E-2</v>
      </c>
      <c r="X95" s="385">
        <f t="shared" si="189"/>
        <v>4.6666666666666842E-2</v>
      </c>
      <c r="Y95" s="385"/>
      <c r="Z95" s="385">
        <f t="shared" ref="Z95:AA95" si="190">Z71/SUM(Z$70:Z$79)</f>
        <v>3.6832109857200042E-2</v>
      </c>
      <c r="AA95" s="385">
        <f t="shared" si="190"/>
        <v>3.8194444444444309E-2</v>
      </c>
      <c r="AB95" s="385"/>
      <c r="AC95" s="385">
        <f t="shared" ref="AC95:AD95" si="191">AC71/SUM(AC$70:AC$79)</f>
        <v>1.2869627678678157E-2</v>
      </c>
      <c r="AD95" s="385">
        <f t="shared" si="191"/>
        <v>8.4033613445378425E-3</v>
      </c>
      <c r="AE95" s="385"/>
      <c r="AF95" s="385">
        <f t="shared" ref="AF95:AG95" si="192">AF71/SUM(AF$70:AF$79)</f>
        <v>4.8102013687164505E-2</v>
      </c>
      <c r="AG95" s="385">
        <f t="shared" si="192"/>
        <v>5.9259259259259178E-2</v>
      </c>
      <c r="AH95" s="385"/>
      <c r="AI95" s="385">
        <f t="shared" ref="AI95:AJ95" si="193">AI71/SUM(AI$70:AI$79)</f>
        <v>2.9427220178665482E-2</v>
      </c>
      <c r="AJ95" s="385">
        <f t="shared" si="193"/>
        <v>3.4653465346534448E-2</v>
      </c>
      <c r="AK95" s="385"/>
      <c r="AL95" s="385">
        <f t="shared" ref="AL95:AM95" si="194">AL71/SUM(AL$70:AL$79)</f>
        <v>6.688810462943727E-2</v>
      </c>
      <c r="AM95" s="385">
        <f t="shared" si="194"/>
        <v>7.1005917159763496E-2</v>
      </c>
      <c r="AN95" s="491"/>
      <c r="AO95" s="458">
        <f t="shared" si="180"/>
        <v>3.9059477103510598E-2</v>
      </c>
      <c r="AP95" s="458">
        <f t="shared" si="181"/>
        <v>4.0735928350764637E-2</v>
      </c>
      <c r="AQ95" s="458"/>
    </row>
    <row r="96" spans="1:110" hidden="1" outlineLevel="2" x14ac:dyDescent="0.25">
      <c r="A96" s="401">
        <v>14</v>
      </c>
      <c r="B96" s="385">
        <f t="shared" ref="B96:C96" si="195">B72/SUM(B$70:B$79)</f>
        <v>3.0280008682439689E-2</v>
      </c>
      <c r="C96" s="385">
        <f t="shared" si="195"/>
        <v>4.733727810650902E-2</v>
      </c>
      <c r="D96" s="494"/>
      <c r="E96" s="385">
        <f t="shared" ref="E96:F96" si="196">E72/SUM(E$70:E$79)</f>
        <v>4.6178071406565518E-2</v>
      </c>
      <c r="F96" s="385">
        <f t="shared" si="196"/>
        <v>4.249999999999992E-2</v>
      </c>
      <c r="G96" s="494"/>
      <c r="H96" s="385">
        <f t="shared" ref="H96:I96" si="197">H72/SUM(H$70:H$79)</f>
        <v>2.4654795839040573E-2</v>
      </c>
      <c r="I96" s="385">
        <f t="shared" si="197"/>
        <v>2.5735294117647235E-2</v>
      </c>
      <c r="J96" s="385"/>
      <c r="K96" s="385">
        <f t="shared" ref="K96:L96" si="198">K72/SUM(K$70:K$79)</f>
        <v>5.220741934671469E-2</v>
      </c>
      <c r="L96" s="385">
        <f t="shared" si="198"/>
        <v>5.3398058252427258E-2</v>
      </c>
      <c r="M96" s="385"/>
      <c r="N96" s="385">
        <f t="shared" ref="N96:O96" si="199">N72/SUM(N$70:N$79)</f>
        <v>5.7697600176133804E-2</v>
      </c>
      <c r="O96" s="385">
        <f t="shared" si="199"/>
        <v>5.3892215568862367E-2</v>
      </c>
      <c r="P96" s="385"/>
      <c r="Q96" s="385">
        <f t="shared" ref="Q96:R96" si="200">Q72/SUM(Q$70:Q$79)</f>
        <v>6.2403988453292571E-2</v>
      </c>
      <c r="R96" s="385">
        <f t="shared" si="200"/>
        <v>6.7773167358229469E-2</v>
      </c>
      <c r="S96" s="385"/>
      <c r="T96" s="385">
        <f t="shared" ref="T96:U96" si="201">T72/SUM(T$70:T$79)</f>
        <v>6.7959895379249999E-2</v>
      </c>
      <c r="U96" s="385">
        <f t="shared" si="201"/>
        <v>6.6157760814249233E-2</v>
      </c>
      <c r="V96" s="385"/>
      <c r="W96" s="385">
        <f t="shared" ref="W96:X96" si="202">W72/SUM(W$70:W$79)</f>
        <v>6.5362019997665791E-2</v>
      </c>
      <c r="X96" s="385">
        <f t="shared" si="202"/>
        <v>6.6666666666666541E-2</v>
      </c>
      <c r="Y96" s="385"/>
      <c r="Z96" s="385">
        <f t="shared" ref="Z96:AA96" si="203">Z72/SUM(Z$70:Z$79)</f>
        <v>7.2212483108725162E-2</v>
      </c>
      <c r="AA96" s="385">
        <f t="shared" si="203"/>
        <v>8.3333333333333356E-2</v>
      </c>
      <c r="AB96" s="385"/>
      <c r="AC96" s="385">
        <f t="shared" ref="AC96:AD96" si="204">AC72/SUM(AC$70:AC$79)</f>
        <v>3.6932838501137509E-2</v>
      </c>
      <c r="AD96" s="385">
        <f t="shared" si="204"/>
        <v>3.361344537815137E-2</v>
      </c>
      <c r="AE96" s="385"/>
      <c r="AF96" s="385">
        <f t="shared" ref="AF96:AG96" si="205">AF72/SUM(AF$70:AF$79)</f>
        <v>7.3162325833292352E-2</v>
      </c>
      <c r="AG96" s="385">
        <f t="shared" si="205"/>
        <v>7.4074074074073973E-2</v>
      </c>
      <c r="AH96" s="385"/>
      <c r="AI96" s="385">
        <f t="shared" ref="AI96:AJ96" si="206">AI72/SUM(AI$70:AI$79)</f>
        <v>4.2424242424242226E-2</v>
      </c>
      <c r="AJ96" s="385">
        <f t="shared" si="206"/>
        <v>4.2079207920792283E-2</v>
      </c>
      <c r="AK96" s="385"/>
      <c r="AL96" s="385">
        <f t="shared" ref="AL96:AM96" si="207">AL72/SUM(AL$70:AL$79)</f>
        <v>6.3857172514013044E-2</v>
      </c>
      <c r="AM96" s="385">
        <f t="shared" si="207"/>
        <v>7.1005917159763218E-2</v>
      </c>
      <c r="AN96" s="491"/>
      <c r="AO96" s="458">
        <f t="shared" si="180"/>
        <v>5.2622974095708319E-2</v>
      </c>
      <c r="AP96" s="458">
        <f t="shared" si="181"/>
        <v>5.4713375132578491E-2</v>
      </c>
      <c r="AQ96" s="458"/>
    </row>
    <row r="97" spans="1:94" hidden="1" outlineLevel="2" x14ac:dyDescent="0.25">
      <c r="A97" s="400">
        <v>15</v>
      </c>
      <c r="B97" s="385">
        <f t="shared" ref="B97:C103" si="208">B73/SUM(B$70:B$79)</f>
        <v>6.7288908183199561E-2</v>
      </c>
      <c r="C97" s="385">
        <f t="shared" si="208"/>
        <v>5.3254437869822507E-2</v>
      </c>
      <c r="D97" s="494"/>
      <c r="E97" s="385">
        <f t="shared" ref="E97:F103" si="209">E73/SUM(E$70:E$79)</f>
        <v>4.9715309394219566E-2</v>
      </c>
      <c r="F97" s="385">
        <f t="shared" si="209"/>
        <v>4.7500000000000181E-2</v>
      </c>
      <c r="G97" s="494"/>
      <c r="H97" s="385">
        <f t="shared" ref="H97:I103" si="210">H73/SUM(H$70:H$79)</f>
        <v>2.9707918409654411E-2</v>
      </c>
      <c r="I97" s="385">
        <f t="shared" si="210"/>
        <v>3.6764705882352887E-2</v>
      </c>
      <c r="J97" s="385"/>
      <c r="K97" s="385">
        <f t="shared" ref="K97:L103" si="211">K73/SUM(K$70:K$79)</f>
        <v>3.7675976528068152E-2</v>
      </c>
      <c r="L97" s="385">
        <f t="shared" si="211"/>
        <v>3.3980582524271795E-2</v>
      </c>
      <c r="M97" s="385"/>
      <c r="N97" s="385">
        <f t="shared" ref="N97:O103" si="212">N73/SUM(N$70:N$79)</f>
        <v>0.16022677234698368</v>
      </c>
      <c r="O97" s="385">
        <f t="shared" si="212"/>
        <v>0.16167664670658674</v>
      </c>
      <c r="P97" s="385"/>
      <c r="Q97" s="385">
        <f t="shared" ref="Q97:R103" si="213">Q73/SUM(Q$70:Q$79)</f>
        <v>4.6192456376292046E-2</v>
      </c>
      <c r="R97" s="385">
        <f t="shared" si="213"/>
        <v>4.9792531120331988E-2</v>
      </c>
      <c r="S97" s="385"/>
      <c r="T97" s="385">
        <f t="shared" ref="T97:U103" si="214">T73/SUM(T$70:T$79)</f>
        <v>9.9956408020924328E-2</v>
      </c>
      <c r="U97" s="385">
        <f t="shared" si="214"/>
        <v>0.10178117048346073</v>
      </c>
      <c r="V97" s="385"/>
      <c r="W97" s="385">
        <f t="shared" ref="W97:X103" si="215">W73/SUM(W$70:W$79)</f>
        <v>6.8921915729681399E-2</v>
      </c>
      <c r="X97" s="385">
        <f t="shared" si="215"/>
        <v>6.6666666666666777E-2</v>
      </c>
      <c r="Y97" s="385"/>
      <c r="Z97" s="385">
        <f t="shared" ref="Z97:AA103" si="216">Z73/SUM(Z$70:Z$79)</f>
        <v>9.2016361710675149E-2</v>
      </c>
      <c r="AA97" s="385">
        <f t="shared" si="216"/>
        <v>8.6805555555555566E-2</v>
      </c>
      <c r="AB97" s="385"/>
      <c r="AC97" s="385">
        <f t="shared" ref="AC97:AD103" si="217">AC73/SUM(AC$70:AC$79)</f>
        <v>6.5665030527953971E-2</v>
      </c>
      <c r="AD97" s="385">
        <f t="shared" si="217"/>
        <v>4.2016806722688961E-2</v>
      </c>
      <c r="AE97" s="385"/>
      <c r="AF97" s="385">
        <f t="shared" ref="AF97:AG103" si="218">AF73/SUM(AF$70:AF$79)</f>
        <v>9.000869807821707E-2</v>
      </c>
      <c r="AG97" s="385">
        <f t="shared" si="218"/>
        <v>5.7407407407407504E-2</v>
      </c>
      <c r="AH97" s="385"/>
      <c r="AI97" s="385">
        <f t="shared" ref="AI97:AJ103" si="219">AI73/SUM(AI$70:AI$79)</f>
        <v>4.5472061657032707E-2</v>
      </c>
      <c r="AJ97" s="385">
        <f t="shared" si="219"/>
        <v>4.7029702970296974E-2</v>
      </c>
      <c r="AK97" s="385"/>
      <c r="AL97" s="385">
        <f t="shared" ref="AL97:AM103" si="220">AL73/SUM(AL$70:AL$79)</f>
        <v>9.715590616566315E-2</v>
      </c>
      <c r="AM97" s="385">
        <f t="shared" si="220"/>
        <v>8.2840236686390567E-2</v>
      </c>
      <c r="AN97" s="491"/>
      <c r="AO97" s="458">
        <f t="shared" ref="AO97:AO103" si="221">AVERAGE(B97,E97,H97,K97,N97,Q97,T97,W97,Z97,AC97,AF97,AI97)</f>
        <v>7.1070651413575173E-2</v>
      </c>
      <c r="AP97" s="458">
        <f t="shared" ref="AP97:AP103" si="222">AVERAGE(C97,F97,I97,L97,O97,R97,U97,X97,AA97,AD97,AG97,AJ97)</f>
        <v>6.5389684492453554E-2</v>
      </c>
      <c r="AQ97" s="458"/>
    </row>
    <row r="98" spans="1:94" hidden="1" outlineLevel="2" x14ac:dyDescent="0.25">
      <c r="A98" s="401">
        <v>16</v>
      </c>
      <c r="B98" s="385">
        <f t="shared" si="208"/>
        <v>6.7867737500904537E-2</v>
      </c>
      <c r="C98" s="385">
        <f t="shared" si="208"/>
        <v>5.9171597633135994E-2</v>
      </c>
      <c r="D98" s="494"/>
      <c r="E98" s="385">
        <f t="shared" si="209"/>
        <v>6.8302924497084513E-2</v>
      </c>
      <c r="F98" s="385">
        <f t="shared" si="209"/>
        <v>5.7499999999999871E-2</v>
      </c>
      <c r="G98" s="494"/>
      <c r="H98" s="385">
        <f t="shared" si="210"/>
        <v>5.6139636471328865E-2</v>
      </c>
      <c r="I98" s="385">
        <f t="shared" si="210"/>
        <v>6.2500000000000111E-2</v>
      </c>
      <c r="J98" s="385"/>
      <c r="K98" s="385">
        <f t="shared" si="211"/>
        <v>6.7695872264336265E-2</v>
      </c>
      <c r="L98" s="385">
        <f t="shared" si="211"/>
        <v>5.8252427184466125E-2</v>
      </c>
      <c r="M98" s="385"/>
      <c r="N98" s="385">
        <f t="shared" si="212"/>
        <v>6.8678445618670078E-2</v>
      </c>
      <c r="O98" s="385">
        <f t="shared" si="212"/>
        <v>7.3852295409181479E-2</v>
      </c>
      <c r="P98" s="385"/>
      <c r="Q98" s="385">
        <f t="shared" si="213"/>
        <v>4.8764018389200754E-2</v>
      </c>
      <c r="R98" s="385">
        <f t="shared" si="213"/>
        <v>5.2558782849239198E-2</v>
      </c>
      <c r="S98" s="385"/>
      <c r="T98" s="385">
        <f t="shared" si="214"/>
        <v>9.7308195292066219E-2</v>
      </c>
      <c r="U98" s="385">
        <f t="shared" si="214"/>
        <v>9.923664122137385E-2</v>
      </c>
      <c r="V98" s="385"/>
      <c r="W98" s="385">
        <f t="shared" si="215"/>
        <v>6.7638018908298639E-2</v>
      </c>
      <c r="X98" s="385">
        <f t="shared" si="215"/>
        <v>7.6666666666666508E-2</v>
      </c>
      <c r="Y98" s="385"/>
      <c r="Z98" s="385">
        <f t="shared" si="216"/>
        <v>7.7261604762426772E-2</v>
      </c>
      <c r="AA98" s="385">
        <f t="shared" si="216"/>
        <v>7.6388888888888937E-2</v>
      </c>
      <c r="AB98" s="385"/>
      <c r="AC98" s="385">
        <f t="shared" si="217"/>
        <v>5.8661558721417463E-2</v>
      </c>
      <c r="AD98" s="385">
        <f t="shared" si="217"/>
        <v>6.722689075630249E-2</v>
      </c>
      <c r="AE98" s="385"/>
      <c r="AF98" s="385">
        <f t="shared" si="218"/>
        <v>5.9688510331019316E-2</v>
      </c>
      <c r="AG98" s="385">
        <f t="shared" si="218"/>
        <v>5.7407407407407504E-2</v>
      </c>
      <c r="AH98" s="385"/>
      <c r="AI98" s="385">
        <f t="shared" si="219"/>
        <v>3.4962340164652529E-2</v>
      </c>
      <c r="AJ98" s="385">
        <f t="shared" si="219"/>
        <v>2.7227722772277248E-2</v>
      </c>
      <c r="AK98" s="385"/>
      <c r="AL98" s="385">
        <f t="shared" si="220"/>
        <v>8.4201785343574864E-2</v>
      </c>
      <c r="AM98" s="385">
        <f t="shared" si="220"/>
        <v>6.508875739644969E-2</v>
      </c>
      <c r="AN98" s="491"/>
      <c r="AO98" s="458">
        <f t="shared" si="221"/>
        <v>6.4414071910117165E-2</v>
      </c>
      <c r="AP98" s="458">
        <f t="shared" si="222"/>
        <v>6.3999110065744949E-2</v>
      </c>
      <c r="AQ98" s="458"/>
    </row>
    <row r="99" spans="1:94" hidden="1" outlineLevel="2" x14ac:dyDescent="0.25">
      <c r="A99" s="400">
        <v>17</v>
      </c>
      <c r="B99" s="385">
        <f t="shared" si="208"/>
        <v>6.3743578612256532E-2</v>
      </c>
      <c r="C99" s="385">
        <f t="shared" si="208"/>
        <v>5.3254437869822507E-2</v>
      </c>
      <c r="D99" s="494"/>
      <c r="E99" s="385">
        <f t="shared" si="209"/>
        <v>6.9546663015324223E-2</v>
      </c>
      <c r="F99" s="385">
        <f t="shared" si="209"/>
        <v>6.5000000000000058E-2</v>
      </c>
      <c r="G99" s="494"/>
      <c r="H99" s="385">
        <f t="shared" si="210"/>
        <v>0.12556917039943719</v>
      </c>
      <c r="I99" s="385">
        <f t="shared" si="210"/>
        <v>0.15808823529411745</v>
      </c>
      <c r="J99" s="385"/>
      <c r="K99" s="385">
        <f t="shared" si="211"/>
        <v>6.084569471377823E-2</v>
      </c>
      <c r="L99" s="385">
        <f t="shared" si="211"/>
        <v>6.796116504854359E-2</v>
      </c>
      <c r="M99" s="385"/>
      <c r="N99" s="385">
        <f t="shared" si="212"/>
        <v>6.8761008366358484E-2</v>
      </c>
      <c r="O99" s="385">
        <f t="shared" si="212"/>
        <v>6.786427145708615E-2</v>
      </c>
      <c r="P99" s="385"/>
      <c r="Q99" s="385">
        <f t="shared" si="213"/>
        <v>6.3180521402485951E-2</v>
      </c>
      <c r="R99" s="385">
        <f t="shared" si="213"/>
        <v>3.5961272475795454E-2</v>
      </c>
      <c r="S99" s="385"/>
      <c r="T99" s="385">
        <f t="shared" si="214"/>
        <v>7.599171752397553E-2</v>
      </c>
      <c r="U99" s="385">
        <f t="shared" si="214"/>
        <v>7.124681933842246E-2</v>
      </c>
      <c r="V99" s="385"/>
      <c r="W99" s="385">
        <f t="shared" si="215"/>
        <v>0.10255612185348009</v>
      </c>
      <c r="X99" s="385">
        <f t="shared" si="215"/>
        <v>0.11000000000000014</v>
      </c>
      <c r="Y99" s="385"/>
      <c r="Z99" s="385">
        <f t="shared" si="216"/>
        <v>6.456119206749189E-2</v>
      </c>
      <c r="AA99" s="385">
        <f t="shared" si="216"/>
        <v>6.9444444444444517E-2</v>
      </c>
      <c r="AB99" s="385"/>
      <c r="AC99" s="385">
        <f t="shared" si="217"/>
        <v>2.6457560158026989E-2</v>
      </c>
      <c r="AD99" s="385">
        <f t="shared" si="217"/>
        <v>2.5210084033613529E-2</v>
      </c>
      <c r="AE99" s="385"/>
      <c r="AF99" s="385">
        <f t="shared" si="218"/>
        <v>5.8908965585150921E-2</v>
      </c>
      <c r="AG99" s="385">
        <f t="shared" si="218"/>
        <v>5.9259259259259178E-2</v>
      </c>
      <c r="AH99" s="385"/>
      <c r="AI99" s="385">
        <f t="shared" si="219"/>
        <v>8.5023646873357839E-2</v>
      </c>
      <c r="AJ99" s="385">
        <f t="shared" si="219"/>
        <v>7.1782178217821721E-2</v>
      </c>
      <c r="AK99" s="385"/>
      <c r="AL99" s="385">
        <f t="shared" si="220"/>
        <v>5.8459622171475996E-2</v>
      </c>
      <c r="AM99" s="385">
        <f t="shared" si="220"/>
        <v>5.9171597633136154E-2</v>
      </c>
      <c r="AN99" s="491"/>
      <c r="AO99" s="458">
        <f t="shared" si="221"/>
        <v>7.2095486714260318E-2</v>
      </c>
      <c r="AP99" s="458">
        <f t="shared" si="222"/>
        <v>7.1256013953243894E-2</v>
      </c>
      <c r="AQ99" s="458"/>
    </row>
    <row r="100" spans="1:94" hidden="1" outlineLevel="2" x14ac:dyDescent="0.25">
      <c r="A100" s="401">
        <v>18</v>
      </c>
      <c r="B100" s="385">
        <f t="shared" si="208"/>
        <v>9.4855654438897388E-2</v>
      </c>
      <c r="C100" s="385">
        <f t="shared" si="208"/>
        <v>0.10059171597633131</v>
      </c>
      <c r="D100" s="494"/>
      <c r="E100" s="385">
        <f t="shared" si="209"/>
        <v>6.7013544198359198E-2</v>
      </c>
      <c r="F100" s="385">
        <f t="shared" si="209"/>
        <v>7.4999999999999942E-2</v>
      </c>
      <c r="G100" s="494"/>
      <c r="H100" s="385">
        <f t="shared" si="210"/>
        <v>9.5157886943323708E-2</v>
      </c>
      <c r="I100" s="385">
        <f t="shared" si="210"/>
        <v>9.9264705882353005E-2</v>
      </c>
      <c r="J100" s="385"/>
      <c r="K100" s="385">
        <f t="shared" si="211"/>
        <v>6.2734530435439598E-2</v>
      </c>
      <c r="L100" s="385">
        <f t="shared" si="211"/>
        <v>6.796116504854359E-2</v>
      </c>
      <c r="M100" s="385"/>
      <c r="N100" s="385">
        <f t="shared" si="212"/>
        <v>6.6848304711580764E-2</v>
      </c>
      <c r="O100" s="385">
        <f t="shared" si="212"/>
        <v>6.9860279441117806E-2</v>
      </c>
      <c r="P100" s="385"/>
      <c r="Q100" s="385">
        <f t="shared" si="213"/>
        <v>6.7175727155582246E-2</v>
      </c>
      <c r="R100" s="385">
        <f t="shared" si="213"/>
        <v>6.9156293222683199E-2</v>
      </c>
      <c r="S100" s="385"/>
      <c r="T100" s="385">
        <f t="shared" si="214"/>
        <v>7.0542720139494322E-2</v>
      </c>
      <c r="U100" s="385">
        <f t="shared" si="214"/>
        <v>6.1068702290076278E-2</v>
      </c>
      <c r="V100" s="385"/>
      <c r="W100" s="385">
        <f t="shared" si="215"/>
        <v>6.1296346729953731E-2</v>
      </c>
      <c r="X100" s="385">
        <f t="shared" si="215"/>
        <v>6.6666666666666541E-2</v>
      </c>
      <c r="Y100" s="385"/>
      <c r="Z100" s="385">
        <f t="shared" si="216"/>
        <v>8.2995507833899529E-2</v>
      </c>
      <c r="AA100" s="385">
        <f t="shared" si="216"/>
        <v>7.8124999999999722E-2</v>
      </c>
      <c r="AB100" s="385"/>
      <c r="AC100" s="385">
        <f t="shared" si="217"/>
        <v>7.8893810606967582E-2</v>
      </c>
      <c r="AD100" s="385">
        <f t="shared" si="217"/>
        <v>9.2436974789916013E-2</v>
      </c>
      <c r="AE100" s="385"/>
      <c r="AF100" s="385">
        <f t="shared" si="218"/>
        <v>4.8955410040536239E-2</v>
      </c>
      <c r="AG100" s="385">
        <f t="shared" si="218"/>
        <v>5.7407407407407268E-2</v>
      </c>
      <c r="AH100" s="385"/>
      <c r="AI100" s="385">
        <f t="shared" si="219"/>
        <v>8.9472762305132125E-2</v>
      </c>
      <c r="AJ100" s="385">
        <f t="shared" si="219"/>
        <v>6.6831683168316711E-2</v>
      </c>
      <c r="AK100" s="385"/>
      <c r="AL100" s="385">
        <f t="shared" si="220"/>
        <v>0.10832468341291272</v>
      </c>
      <c r="AM100" s="385">
        <f t="shared" si="220"/>
        <v>0.10650887573964497</v>
      </c>
      <c r="AN100" s="491"/>
      <c r="AO100" s="458">
        <f t="shared" si="221"/>
        <v>7.3828517128263868E-2</v>
      </c>
      <c r="AP100" s="458">
        <f t="shared" si="222"/>
        <v>7.536421615778427E-2</v>
      </c>
      <c r="AQ100" s="458"/>
    </row>
    <row r="101" spans="1:94" hidden="1" outlineLevel="2" x14ac:dyDescent="0.25">
      <c r="A101" s="400">
        <v>19</v>
      </c>
      <c r="B101" s="385">
        <f t="shared" si="208"/>
        <v>0.10545546631936914</v>
      </c>
      <c r="C101" s="385">
        <f t="shared" si="208"/>
        <v>0.10059171597633131</v>
      </c>
      <c r="D101" s="494"/>
      <c r="E101" s="385">
        <f t="shared" si="209"/>
        <v>9.2675635276532248E-2</v>
      </c>
      <c r="F101" s="385">
        <f t="shared" si="209"/>
        <v>9.0000000000000108E-2</v>
      </c>
      <c r="G101" s="494"/>
      <c r="H101" s="385">
        <f t="shared" si="210"/>
        <v>0.17021434124310517</v>
      </c>
      <c r="I101" s="385">
        <f t="shared" si="210"/>
        <v>0.12867647058823536</v>
      </c>
      <c r="J101" s="385"/>
      <c r="K101" s="385">
        <f t="shared" si="211"/>
        <v>0.11796408693681217</v>
      </c>
      <c r="L101" s="385">
        <f t="shared" si="211"/>
        <v>0.11650485436893199</v>
      </c>
      <c r="M101" s="385"/>
      <c r="N101" s="385">
        <f t="shared" si="212"/>
        <v>0.12476607221488352</v>
      </c>
      <c r="O101" s="385">
        <f t="shared" si="212"/>
        <v>0.12774451097804385</v>
      </c>
      <c r="P101" s="385"/>
      <c r="Q101" s="385">
        <f t="shared" si="213"/>
        <v>0.10583919015491265</v>
      </c>
      <c r="R101" s="385">
        <f t="shared" si="213"/>
        <v>0.11065006915629332</v>
      </c>
      <c r="S101" s="385"/>
      <c r="T101" s="385">
        <f t="shared" si="214"/>
        <v>0.11086530078465562</v>
      </c>
      <c r="U101" s="385">
        <f t="shared" si="214"/>
        <v>0.11704834605597961</v>
      </c>
      <c r="V101" s="385"/>
      <c r="W101" s="385">
        <f t="shared" si="215"/>
        <v>8.7674590514725759E-2</v>
      </c>
      <c r="X101" s="385">
        <f t="shared" si="215"/>
        <v>9.3333333333333435E-2</v>
      </c>
      <c r="Y101" s="385"/>
      <c r="Z101" s="385">
        <f t="shared" si="216"/>
        <v>0.11485153938862715</v>
      </c>
      <c r="AA101" s="385">
        <f t="shared" si="216"/>
        <v>0.11805555555555579</v>
      </c>
      <c r="AB101" s="385"/>
      <c r="AC101" s="385">
        <f t="shared" si="217"/>
        <v>8.649586974739612E-2</v>
      </c>
      <c r="AD101" s="385">
        <f t="shared" si="217"/>
        <v>0.10084033613445385</v>
      </c>
      <c r="AE101" s="385"/>
      <c r="AF101" s="385">
        <f t="shared" si="218"/>
        <v>0.14218075591223137</v>
      </c>
      <c r="AG101" s="385">
        <f t="shared" si="218"/>
        <v>0.14629629629629651</v>
      </c>
      <c r="AH101" s="385"/>
      <c r="AI101" s="385">
        <f t="shared" si="219"/>
        <v>0.18899982483797506</v>
      </c>
      <c r="AJ101" s="385">
        <f t="shared" si="219"/>
        <v>0.20049504950495076</v>
      </c>
      <c r="AK101" s="385"/>
      <c r="AL101" s="385">
        <f t="shared" si="220"/>
        <v>0.1339007681129333</v>
      </c>
      <c r="AM101" s="385">
        <f t="shared" si="220"/>
        <v>0.12426035502958556</v>
      </c>
      <c r="AN101" s="491"/>
      <c r="AO101" s="458">
        <f t="shared" si="221"/>
        <v>0.12066522277760217</v>
      </c>
      <c r="AP101" s="458">
        <f t="shared" si="222"/>
        <v>0.12085304482903382</v>
      </c>
      <c r="AQ101" s="458"/>
    </row>
    <row r="102" spans="1:94" hidden="1" outlineLevel="2" x14ac:dyDescent="0.25">
      <c r="A102" s="401">
        <v>20</v>
      </c>
      <c r="B102" s="385">
        <f t="shared" si="208"/>
        <v>0.18218652774763025</v>
      </c>
      <c r="C102" s="385">
        <f t="shared" si="208"/>
        <v>0.19526627218934911</v>
      </c>
      <c r="D102" s="494"/>
      <c r="E102" s="385">
        <f t="shared" si="209"/>
        <v>7.7385638813770002E-2</v>
      </c>
      <c r="F102" s="385">
        <f t="shared" si="209"/>
        <v>9.7499999999999865E-2</v>
      </c>
      <c r="G102" s="494"/>
      <c r="H102" s="385">
        <f t="shared" si="210"/>
        <v>0.14237589308851281</v>
      </c>
      <c r="I102" s="385">
        <f t="shared" si="210"/>
        <v>0.12867647058823536</v>
      </c>
      <c r="J102" s="385"/>
      <c r="K102" s="385">
        <f t="shared" si="211"/>
        <v>0.19039464074344595</v>
      </c>
      <c r="L102" s="385">
        <f t="shared" si="211"/>
        <v>0.1893203883495147</v>
      </c>
      <c r="M102" s="385"/>
      <c r="N102" s="385">
        <f t="shared" si="212"/>
        <v>0.11986734918538068</v>
      </c>
      <c r="O102" s="385">
        <f t="shared" si="212"/>
        <v>0.1237524950099798</v>
      </c>
      <c r="P102" s="385"/>
      <c r="Q102" s="385">
        <f t="shared" si="213"/>
        <v>0.17553583587019539</v>
      </c>
      <c r="R102" s="385">
        <f t="shared" si="213"/>
        <v>0.18118948824342998</v>
      </c>
      <c r="S102" s="385"/>
      <c r="T102" s="385">
        <f t="shared" si="214"/>
        <v>9.0093722755013136E-2</v>
      </c>
      <c r="U102" s="385">
        <f t="shared" si="214"/>
        <v>9.1603053435114559E-2</v>
      </c>
      <c r="V102" s="385"/>
      <c r="W102" s="385">
        <f t="shared" si="215"/>
        <v>0.15764696728008409</v>
      </c>
      <c r="X102" s="385">
        <f t="shared" si="215"/>
        <v>0.12999999999999984</v>
      </c>
      <c r="Y102" s="385"/>
      <c r="Z102" s="385">
        <f t="shared" si="216"/>
        <v>0.14370366312406394</v>
      </c>
      <c r="AA102" s="385">
        <f t="shared" si="216"/>
        <v>0.13715277777777762</v>
      </c>
      <c r="AB102" s="385"/>
      <c r="AC102" s="385">
        <f t="shared" si="217"/>
        <v>0.20531545552496114</v>
      </c>
      <c r="AD102" s="385">
        <f t="shared" si="217"/>
        <v>0.24369747899159669</v>
      </c>
      <c r="AE102" s="385"/>
      <c r="AF102" s="385">
        <f t="shared" si="218"/>
        <v>0.1370193491211659</v>
      </c>
      <c r="AG102" s="385">
        <f t="shared" si="218"/>
        <v>0.15740740740740725</v>
      </c>
      <c r="AH102" s="385"/>
      <c r="AI102" s="385">
        <f t="shared" si="219"/>
        <v>0.17106323349097927</v>
      </c>
      <c r="AJ102" s="385">
        <f t="shared" si="219"/>
        <v>0.19801980198019792</v>
      </c>
      <c r="AK102" s="385"/>
      <c r="AL102" s="385">
        <f t="shared" si="220"/>
        <v>0.13896616151131408</v>
      </c>
      <c r="AM102" s="385">
        <f t="shared" si="220"/>
        <v>0.14201183431952671</v>
      </c>
      <c r="AN102" s="491"/>
      <c r="AO102" s="458">
        <f t="shared" si="221"/>
        <v>0.14938235639543354</v>
      </c>
      <c r="AP102" s="458">
        <f t="shared" si="222"/>
        <v>0.15613213616438357</v>
      </c>
      <c r="AQ102" s="458"/>
    </row>
    <row r="103" spans="1:94" hidden="1" outlineLevel="2" x14ac:dyDescent="0.25">
      <c r="A103" s="400">
        <v>21</v>
      </c>
      <c r="B103" s="385">
        <f t="shared" si="208"/>
        <v>0.27975544461326973</v>
      </c>
      <c r="C103" s="385">
        <f t="shared" si="208"/>
        <v>0.27810650887573973</v>
      </c>
      <c r="D103" s="494"/>
      <c r="E103" s="385">
        <f t="shared" si="209"/>
        <v>0.46071954266935961</v>
      </c>
      <c r="F103" s="385">
        <f t="shared" si="209"/>
        <v>0.45000000000000012</v>
      </c>
      <c r="G103" s="494"/>
      <c r="H103" s="385">
        <f t="shared" si="210"/>
        <v>0.27453448339688302</v>
      </c>
      <c r="I103" s="385">
        <f t="shared" si="210"/>
        <v>0.2720588235294118</v>
      </c>
      <c r="J103" s="385"/>
      <c r="K103" s="385">
        <f t="shared" si="211"/>
        <v>0.27697887022439355</v>
      </c>
      <c r="L103" s="385">
        <f t="shared" si="211"/>
        <v>0.27669902912621347</v>
      </c>
      <c r="M103" s="385"/>
      <c r="N103" s="385">
        <f t="shared" si="212"/>
        <v>0.25016512549537651</v>
      </c>
      <c r="O103" s="385">
        <f t="shared" si="212"/>
        <v>0.2375249500998006</v>
      </c>
      <c r="P103" s="385"/>
      <c r="Q103" s="385">
        <f t="shared" si="213"/>
        <v>0.33577172182113846</v>
      </c>
      <c r="R103" s="385">
        <f t="shared" si="213"/>
        <v>0.32780082987551873</v>
      </c>
      <c r="S103" s="385"/>
      <c r="T103" s="385">
        <f t="shared" si="214"/>
        <v>0.27749564080209249</v>
      </c>
      <c r="U103" s="385">
        <f t="shared" si="214"/>
        <v>0.28498727735368956</v>
      </c>
      <c r="V103" s="385"/>
      <c r="W103" s="385">
        <f t="shared" si="215"/>
        <v>0.29978990779286474</v>
      </c>
      <c r="X103" s="385">
        <f t="shared" si="215"/>
        <v>0.29000000000000004</v>
      </c>
      <c r="Y103" s="385"/>
      <c r="Z103" s="385">
        <f t="shared" si="216"/>
        <v>0.26272780395164547</v>
      </c>
      <c r="AA103" s="385">
        <f t="shared" si="216"/>
        <v>0.25520833333333337</v>
      </c>
      <c r="AB103" s="385"/>
      <c r="AC103" s="385">
        <f t="shared" si="217"/>
        <v>0.365736861008021</v>
      </c>
      <c r="AD103" s="385">
        <f t="shared" si="217"/>
        <v>0.35294117647058815</v>
      </c>
      <c r="AE103" s="385"/>
      <c r="AF103" s="385">
        <f t="shared" si="218"/>
        <v>0.28687246647957593</v>
      </c>
      <c r="AG103" s="385">
        <f t="shared" si="218"/>
        <v>0.27962962962962967</v>
      </c>
      <c r="AH103" s="385"/>
      <c r="AI103" s="385">
        <f t="shared" si="219"/>
        <v>0.26022070415134002</v>
      </c>
      <c r="AJ103" s="385">
        <f t="shared" si="219"/>
        <v>0.25742574257425743</v>
      </c>
      <c r="AK103" s="385"/>
      <c r="AL103" s="385">
        <f t="shared" si="220"/>
        <v>0.16852812954120822</v>
      </c>
      <c r="AM103" s="385">
        <f t="shared" si="220"/>
        <v>0.19526627218934905</v>
      </c>
      <c r="AN103" s="491"/>
      <c r="AO103" s="458">
        <f t="shared" si="221"/>
        <v>0.30256404770049672</v>
      </c>
      <c r="AP103" s="458">
        <f t="shared" si="222"/>
        <v>0.29686519173901527</v>
      </c>
      <c r="AQ103" s="458"/>
    </row>
    <row r="104" spans="1:94" s="581" customFormat="1" hidden="1" outlineLevel="2" x14ac:dyDescent="0.25">
      <c r="B104" s="581">
        <f>SUM(B94:B103)</f>
        <v>1</v>
      </c>
      <c r="C104" s="581">
        <f t="shared" ref="C104" si="223">SUM(C94:C103)</f>
        <v>1</v>
      </c>
      <c r="E104" s="581">
        <f t="shared" ref="E104" si="224">SUM(E94:E103)</f>
        <v>1.0000000000000002</v>
      </c>
      <c r="F104" s="581">
        <f t="shared" ref="F104" si="225">SUM(F94:F103)</f>
        <v>1.0000000000000002</v>
      </c>
      <c r="H104" s="581">
        <f t="shared" ref="H104" si="226">SUM(H94:H103)</f>
        <v>1</v>
      </c>
      <c r="I104" s="581">
        <f t="shared" ref="I104" si="227">SUM(I94:I103)</f>
        <v>1</v>
      </c>
      <c r="K104" s="581">
        <f t="shared" ref="K104" si="228">SUM(K94:K103)</f>
        <v>1</v>
      </c>
      <c r="L104" s="581">
        <f t="shared" ref="L104" si="229">SUM(L94:L103)</f>
        <v>1</v>
      </c>
      <c r="N104" s="581">
        <f t="shared" ref="N104" si="230">SUM(N94:N103)</f>
        <v>1</v>
      </c>
      <c r="O104" s="581">
        <f t="shared" ref="O104" si="231">SUM(O94:O103)</f>
        <v>1</v>
      </c>
      <c r="Q104" s="581">
        <f t="shared" ref="Q104" si="232">SUM(Q94:Q103)</f>
        <v>1</v>
      </c>
      <c r="R104" s="581">
        <f t="shared" ref="R104" si="233">SUM(R94:R103)</f>
        <v>1</v>
      </c>
      <c r="T104" s="581">
        <f t="shared" ref="T104" si="234">SUM(T94:T103)</f>
        <v>1</v>
      </c>
      <c r="U104" s="581">
        <f t="shared" ref="U104" si="235">SUM(U94:U103)</f>
        <v>1</v>
      </c>
      <c r="W104" s="581">
        <f t="shared" ref="W104" si="236">SUM(W94:W103)</f>
        <v>1</v>
      </c>
      <c r="X104" s="581">
        <f t="shared" ref="X104" si="237">SUM(X94:X103)</f>
        <v>1</v>
      </c>
      <c r="Z104" s="581">
        <f t="shared" ref="Z104" si="238">SUM(Z94:Z103)</f>
        <v>1</v>
      </c>
      <c r="AA104" s="581">
        <f t="shared" ref="AA104" si="239">SUM(AA94:AA103)</f>
        <v>1</v>
      </c>
      <c r="AC104" s="581">
        <f t="shared" ref="AC104" si="240">SUM(AC94:AC103)</f>
        <v>1</v>
      </c>
      <c r="AD104" s="581">
        <f t="shared" ref="AD104" si="241">SUM(AD94:AD103)</f>
        <v>1</v>
      </c>
      <c r="AF104" s="581">
        <f t="shared" ref="AF104" si="242">SUM(AF94:AF103)</f>
        <v>1</v>
      </c>
      <c r="AG104" s="581">
        <f t="shared" ref="AG104" si="243">SUM(AG94:AG103)</f>
        <v>1</v>
      </c>
      <c r="AI104" s="581">
        <f t="shared" ref="AI104" si="244">SUM(AI94:AI103)</f>
        <v>1</v>
      </c>
      <c r="AJ104" s="581">
        <f t="shared" ref="AJ104" si="245">SUM(AJ94:AJ103)</f>
        <v>1</v>
      </c>
      <c r="AL104" s="581">
        <f t="shared" ref="AL104" si="246">SUM(AL94:AL103)</f>
        <v>1</v>
      </c>
      <c r="AM104" s="581">
        <f t="shared" ref="AM104" si="247">SUM(AM94:AM103)</f>
        <v>1</v>
      </c>
      <c r="AO104" s="581">
        <f t="shared" ref="AO104" si="248">SUM(AO94:AO103)</f>
        <v>1</v>
      </c>
      <c r="AP104" s="581">
        <f t="shared" ref="AP104" si="249">SUM(AP94:AP103)</f>
        <v>1</v>
      </c>
      <c r="AX104" s="583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583"/>
      <c r="BV104" s="582"/>
      <c r="BW104" s="582"/>
    </row>
    <row r="105" spans="1:94" hidden="1" outlineLevel="2" x14ac:dyDescent="0.25">
      <c r="A105" s="13" t="s">
        <v>426</v>
      </c>
      <c r="B105" s="21">
        <f>SUM(B101:B103)/1</f>
        <v>0.56739743868026915</v>
      </c>
      <c r="C105" s="21">
        <f>SUM(C101:C103)/1</f>
        <v>0.57396449704142016</v>
      </c>
      <c r="E105" s="21">
        <f t="shared" ref="E105:F105" si="250">SUM(E101:E103)/1</f>
        <v>0.6307808167596618</v>
      </c>
      <c r="F105" s="21">
        <f t="shared" si="250"/>
        <v>0.63750000000000007</v>
      </c>
      <c r="H105" s="21">
        <f t="shared" ref="H105:I105" si="251">SUM(H101:H103)/1</f>
        <v>0.58712471772850106</v>
      </c>
      <c r="I105" s="21">
        <f t="shared" si="251"/>
        <v>0.52941176470588247</v>
      </c>
      <c r="J105" s="21"/>
      <c r="K105" s="21">
        <f t="shared" ref="K105:L105" si="252">SUM(K101:K103)/1</f>
        <v>0.58533759790465167</v>
      </c>
      <c r="L105" s="21">
        <f t="shared" si="252"/>
        <v>0.58252427184466016</v>
      </c>
      <c r="M105" s="21"/>
      <c r="N105" s="21">
        <f t="shared" ref="N105:O105" si="253">SUM(N101:N103)/1</f>
        <v>0.49479854689564073</v>
      </c>
      <c r="O105" s="21">
        <f t="shared" si="253"/>
        <v>0.48902195608782428</v>
      </c>
      <c r="P105" s="21"/>
      <c r="Q105" s="21">
        <f t="shared" ref="Q105:R105" si="254">SUM(Q101:Q103)/1</f>
        <v>0.61714674784624646</v>
      </c>
      <c r="R105" s="21">
        <f t="shared" si="254"/>
        <v>0.61964038727524207</v>
      </c>
      <c r="S105" s="21"/>
      <c r="T105" s="21">
        <f t="shared" ref="T105:U105" si="255">SUM(T101:T103)/1</f>
        <v>0.47845466434176126</v>
      </c>
      <c r="U105" s="21">
        <f t="shared" si="255"/>
        <v>0.49363867684478374</v>
      </c>
      <c r="V105" s="21"/>
      <c r="W105" s="21">
        <f t="shared" ref="W105:X105" si="256">SUM(W101:W103)/1</f>
        <v>0.54511146558767454</v>
      </c>
      <c r="X105" s="21">
        <f t="shared" si="256"/>
        <v>0.51333333333333331</v>
      </c>
      <c r="Y105" s="21"/>
      <c r="Z105" s="21">
        <f t="shared" ref="Z105:AA105" si="257">SUM(Z101:Z103)/1</f>
        <v>0.52128300646433656</v>
      </c>
      <c r="AA105" s="21">
        <f t="shared" si="257"/>
        <v>0.51041666666666674</v>
      </c>
      <c r="AB105" s="21"/>
      <c r="AC105" s="21">
        <f t="shared" ref="AC105:AD105" si="258">SUM(AC101:AC103)/1</f>
        <v>0.65754818628037826</v>
      </c>
      <c r="AD105" s="21">
        <f t="shared" si="258"/>
        <v>0.69747899159663862</v>
      </c>
      <c r="AE105" s="21"/>
      <c r="AF105" s="21">
        <f t="shared" ref="AF105:AG105" si="259">SUM(AF101:AF103)/1</f>
        <v>0.56607257151297319</v>
      </c>
      <c r="AG105" s="21">
        <f t="shared" si="259"/>
        <v>0.58333333333333348</v>
      </c>
      <c r="AH105" s="21"/>
      <c r="AI105" s="21">
        <f t="shared" ref="AI105:AJ105" si="260">SUM(AI101:AI103)/1</f>
        <v>0.62028376248029438</v>
      </c>
      <c r="AJ105" s="21">
        <f t="shared" si="260"/>
        <v>0.65594059405940608</v>
      </c>
      <c r="AK105" s="21"/>
      <c r="AL105" s="21">
        <f t="shared" ref="AL105:AM105" si="261">SUM(AL101:AL103)/1</f>
        <v>0.44139505916545563</v>
      </c>
      <c r="AM105" s="21">
        <f t="shared" si="261"/>
        <v>0.46153846153846134</v>
      </c>
      <c r="AN105" s="21"/>
      <c r="AO105" s="21">
        <f t="shared" ref="AO105:AP105" si="262">SUM(AO101:AO103)/1</f>
        <v>0.5726116268735324</v>
      </c>
      <c r="AP105" s="21">
        <f t="shared" si="262"/>
        <v>0.57385037273243267</v>
      </c>
      <c r="AQ105" s="21"/>
    </row>
    <row r="106" spans="1:94" hidden="1" outlineLevel="2" x14ac:dyDescent="0.25">
      <c r="A106" s="13" t="s">
        <v>427</v>
      </c>
      <c r="E106" s="745" t="s">
        <v>226</v>
      </c>
      <c r="F106" s="745"/>
      <c r="H106" s="745"/>
      <c r="I106" s="745"/>
      <c r="J106" s="464"/>
      <c r="N106" s="745" t="s">
        <v>227</v>
      </c>
      <c r="O106" s="745"/>
      <c r="T106" s="745" t="s">
        <v>227</v>
      </c>
      <c r="U106" s="745"/>
      <c r="W106" s="745"/>
      <c r="X106" s="745"/>
      <c r="Y106" s="464"/>
      <c r="AC106" s="745" t="s">
        <v>226</v>
      </c>
      <c r="AD106" s="745"/>
      <c r="AE106" s="464"/>
      <c r="AI106" s="745" t="s">
        <v>226</v>
      </c>
      <c r="AJ106" s="745"/>
    </row>
    <row r="107" spans="1:94" hidden="1" outlineLevel="2" x14ac:dyDescent="0.25">
      <c r="A107" s="13" t="s">
        <v>411</v>
      </c>
      <c r="B107" s="21">
        <f>SUM(B99:B103)/1</f>
        <v>0.72599667173142302</v>
      </c>
      <c r="C107" s="21">
        <f>SUM(C99:C103)/1</f>
        <v>0.72781065088757391</v>
      </c>
      <c r="E107" s="21">
        <f t="shared" ref="E107:F107" si="263">SUM(E99:E103)/1</f>
        <v>0.76734102397334536</v>
      </c>
      <c r="F107" s="21">
        <f t="shared" si="263"/>
        <v>0.77750000000000008</v>
      </c>
      <c r="H107" s="21">
        <f t="shared" ref="H107:I107" si="264">SUM(H99:H103)/1</f>
        <v>0.80785177507126193</v>
      </c>
      <c r="I107" s="21">
        <f t="shared" si="264"/>
        <v>0.78676470588235303</v>
      </c>
      <c r="J107" s="21"/>
      <c r="K107" s="21">
        <f t="shared" ref="K107:L107" si="265">SUM(K99:K103)/1</f>
        <v>0.70891782305386952</v>
      </c>
      <c r="L107" s="21">
        <f t="shared" si="265"/>
        <v>0.71844660194174736</v>
      </c>
      <c r="M107" s="21"/>
      <c r="N107" s="21">
        <f t="shared" ref="N107:O107" si="266">SUM(N99:N103)/1</f>
        <v>0.63040785997357995</v>
      </c>
      <c r="O107" s="21">
        <f t="shared" si="266"/>
        <v>0.62674650698602818</v>
      </c>
      <c r="P107" s="21"/>
      <c r="Q107" s="21">
        <f t="shared" ref="Q107:R107" si="267">SUM(Q99:Q103)/1</f>
        <v>0.74750299640431472</v>
      </c>
      <c r="R107" s="21">
        <f t="shared" si="267"/>
        <v>0.7247579529737207</v>
      </c>
      <c r="S107" s="21"/>
      <c r="T107" s="21">
        <f t="shared" ref="T107:U107" si="268">SUM(T99:T103)/1</f>
        <v>0.62498910200523117</v>
      </c>
      <c r="U107" s="21">
        <f t="shared" si="268"/>
        <v>0.62595419847328249</v>
      </c>
      <c r="V107" s="21"/>
      <c r="W107" s="21">
        <f t="shared" ref="W107:X107" si="269">SUM(W99:W103)/1</f>
        <v>0.70896393417110848</v>
      </c>
      <c r="X107" s="21">
        <f t="shared" si="269"/>
        <v>0.69</v>
      </c>
      <c r="Y107" s="21"/>
      <c r="Z107" s="21">
        <f t="shared" ref="Z107:AA107" si="270">SUM(Z99:Z103)/1</f>
        <v>0.66883970636572787</v>
      </c>
      <c r="AA107" s="21">
        <f t="shared" si="270"/>
        <v>0.65798611111111105</v>
      </c>
      <c r="AB107" s="21"/>
      <c r="AC107" s="21">
        <f t="shared" ref="AC107:AD107" si="271">SUM(AC99:AC103)/1</f>
        <v>0.76289955704537282</v>
      </c>
      <c r="AD107" s="21">
        <f t="shared" si="271"/>
        <v>0.81512605042016828</v>
      </c>
      <c r="AE107" s="21"/>
      <c r="AF107" s="21">
        <f t="shared" ref="AF107:AG107" si="272">SUM(AF99:AF103)/1</f>
        <v>0.67393694713866026</v>
      </c>
      <c r="AG107" s="21">
        <f t="shared" si="272"/>
        <v>0.69999999999999984</v>
      </c>
      <c r="AH107" s="21"/>
      <c r="AI107" s="21">
        <f t="shared" ref="AI107:AJ107" si="273">SUM(AI99:AI103)/1</f>
        <v>0.79478017165878434</v>
      </c>
      <c r="AJ107" s="21">
        <f t="shared" si="273"/>
        <v>0.79455445544554459</v>
      </c>
      <c r="AK107" s="21"/>
      <c r="AL107" s="21">
        <f t="shared" ref="AL107:AP107" si="274">SUM(AL99:AL103)/1</f>
        <v>0.60817936474984435</v>
      </c>
      <c r="AM107" s="21">
        <f t="shared" si="274"/>
        <v>0.62721893491124248</v>
      </c>
      <c r="AN107" s="21"/>
      <c r="AO107" s="21">
        <f t="shared" si="274"/>
        <v>0.71853563071605664</v>
      </c>
      <c r="AP107" s="21">
        <f t="shared" si="274"/>
        <v>0.72047060284346076</v>
      </c>
      <c r="AQ107" s="21"/>
    </row>
    <row r="108" spans="1:94" hidden="1" outlineLevel="2" x14ac:dyDescent="0.25">
      <c r="A108" s="13" t="s">
        <v>228</v>
      </c>
      <c r="E108" s="745"/>
      <c r="F108" s="745"/>
      <c r="H108" s="745" t="s">
        <v>226</v>
      </c>
      <c r="I108" s="745"/>
      <c r="J108" s="464"/>
      <c r="N108" s="745" t="s">
        <v>227</v>
      </c>
      <c r="O108" s="745"/>
      <c r="T108" s="745" t="s">
        <v>227</v>
      </c>
      <c r="U108" s="745"/>
      <c r="W108" s="745"/>
      <c r="X108" s="745"/>
      <c r="Y108" s="464"/>
      <c r="AC108" s="745"/>
      <c r="AD108" s="745"/>
      <c r="AE108" s="464"/>
      <c r="AI108" s="745"/>
      <c r="AJ108" s="745"/>
    </row>
    <row r="109" spans="1:94" hidden="1" outlineLevel="2" x14ac:dyDescent="0.25">
      <c r="A109" s="13" t="s">
        <v>412</v>
      </c>
      <c r="B109" s="21">
        <f>SUM(B98:B103)/1</f>
        <v>0.79386440923232759</v>
      </c>
      <c r="C109" s="21">
        <f>SUM(C98:C103)/1</f>
        <v>0.78698224852070997</v>
      </c>
      <c r="E109" s="21">
        <f t="shared" ref="E109:F109" si="275">SUM(E98:E103)/1</f>
        <v>0.83564394847042989</v>
      </c>
      <c r="F109" s="21">
        <f t="shared" si="275"/>
        <v>0.83499999999999996</v>
      </c>
      <c r="H109" s="21">
        <f t="shared" ref="H109:I109" si="276">SUM(H98:H103)/1</f>
        <v>0.86399141154259074</v>
      </c>
      <c r="I109" s="21">
        <f t="shared" si="276"/>
        <v>0.84926470588235314</v>
      </c>
      <c r="J109" s="21"/>
      <c r="K109" s="21">
        <f t="shared" ref="K109:L109" si="277">SUM(K98:K103)/1</f>
        <v>0.77661369531820568</v>
      </c>
      <c r="L109" s="21">
        <f t="shared" si="277"/>
        <v>0.77669902912621347</v>
      </c>
      <c r="M109" s="21"/>
      <c r="N109" s="21">
        <f t="shared" ref="N109:O109" si="278">SUM(N98:N103)/1</f>
        <v>0.69908630559225005</v>
      </c>
      <c r="O109" s="21">
        <f t="shared" si="278"/>
        <v>0.70059880239520966</v>
      </c>
      <c r="P109" s="21"/>
      <c r="Q109" s="21">
        <f t="shared" ref="Q109:R109" si="279">SUM(Q98:Q103)/1</f>
        <v>0.79626701479351547</v>
      </c>
      <c r="R109" s="21">
        <f t="shared" si="279"/>
        <v>0.7773167358229599</v>
      </c>
      <c r="S109" s="21"/>
      <c r="T109" s="21">
        <f t="shared" ref="T109:U109" si="280">SUM(T98:T103)/1</f>
        <v>0.7222972972972973</v>
      </c>
      <c r="U109" s="21">
        <f t="shared" si="280"/>
        <v>0.72519083969465625</v>
      </c>
      <c r="V109" s="21"/>
      <c r="W109" s="21">
        <f t="shared" ref="W109:X109" si="281">SUM(W98:W103)/1</f>
        <v>0.77660195307940705</v>
      </c>
      <c r="X109" s="21">
        <f t="shared" si="281"/>
        <v>0.7666666666666665</v>
      </c>
      <c r="Y109" s="21"/>
      <c r="Z109" s="21">
        <f t="shared" ref="Z109:AA109" si="282">SUM(Z98:Z103)/1</f>
        <v>0.7461013111281547</v>
      </c>
      <c r="AA109" s="21">
        <f t="shared" si="282"/>
        <v>0.734375</v>
      </c>
      <c r="AB109" s="21"/>
      <c r="AC109" s="21">
        <f t="shared" ref="AC109:AD109" si="283">SUM(AC98:AC103)/1</f>
        <v>0.82156111576679036</v>
      </c>
      <c r="AD109" s="21">
        <f t="shared" si="283"/>
        <v>0.88235294117647078</v>
      </c>
      <c r="AE109" s="21"/>
      <c r="AF109" s="21">
        <f t="shared" ref="AF109:AG109" si="284">SUM(AF98:AF103)/1</f>
        <v>0.73362545746967966</v>
      </c>
      <c r="AG109" s="21">
        <f t="shared" si="284"/>
        <v>0.75740740740740731</v>
      </c>
      <c r="AH109" s="21"/>
      <c r="AI109" s="21">
        <f t="shared" ref="AI109:AJ109" si="285">SUM(AI98:AI103)/1</f>
        <v>0.82974251182343683</v>
      </c>
      <c r="AJ109" s="21">
        <f t="shared" si="285"/>
        <v>0.82178217821782185</v>
      </c>
      <c r="AK109" s="21"/>
      <c r="AL109" s="21">
        <f t="shared" ref="AL109:AM109" si="286">SUM(AL98:AL103)/1</f>
        <v>0.69238115009341916</v>
      </c>
      <c r="AM109" s="21">
        <f t="shared" si="286"/>
        <v>0.69230769230769207</v>
      </c>
      <c r="AN109" s="21"/>
      <c r="AO109" s="21">
        <f t="shared" ref="AO109:AP109" si="287">SUM(AO98:AO103)/1</f>
        <v>0.7829497026261738</v>
      </c>
      <c r="AP109" s="21">
        <f t="shared" si="287"/>
        <v>0.78446971290920575</v>
      </c>
      <c r="AQ109" s="21"/>
    </row>
    <row r="110" spans="1:94" hidden="1" outlineLevel="2" x14ac:dyDescent="0.25">
      <c r="A110" s="13" t="s">
        <v>229</v>
      </c>
      <c r="E110" s="745"/>
      <c r="F110" s="745"/>
      <c r="H110" s="745" t="s">
        <v>226</v>
      </c>
      <c r="I110" s="745"/>
      <c r="N110" s="745" t="s">
        <v>227</v>
      </c>
      <c r="O110" s="745"/>
      <c r="Q110" s="745"/>
      <c r="R110" s="745"/>
      <c r="S110" s="464"/>
      <c r="T110" s="745"/>
      <c r="U110" s="745"/>
      <c r="V110" s="464"/>
    </row>
    <row r="111" spans="1:94" s="5" customFormat="1" hidden="1" outlineLevel="2" x14ac:dyDescent="0.25">
      <c r="A111" s="5" t="s">
        <v>53</v>
      </c>
      <c r="B111" s="607">
        <f>SUM(B105:B110)</f>
        <v>2.0872585196440196</v>
      </c>
      <c r="C111" s="607">
        <f>SUM(C105:C110)</f>
        <v>2.0887573964497039</v>
      </c>
      <c r="D111" s="607"/>
      <c r="E111" s="607">
        <f t="shared" ref="E111:F111" si="288">SUM(E105:E110)</f>
        <v>2.2337657892034368</v>
      </c>
      <c r="F111" s="607">
        <f t="shared" si="288"/>
        <v>2.25</v>
      </c>
      <c r="G111" s="607"/>
      <c r="H111" s="607">
        <f t="shared" ref="H111:I111" si="289">SUM(H105:H110)</f>
        <v>2.2589679043423536</v>
      </c>
      <c r="I111" s="607">
        <f t="shared" si="289"/>
        <v>2.1654411764705888</v>
      </c>
      <c r="J111" s="607"/>
      <c r="K111" s="607">
        <f t="shared" ref="K111:L111" si="290">SUM(K105:K110)</f>
        <v>2.070869116276727</v>
      </c>
      <c r="L111" s="607">
        <f t="shared" si="290"/>
        <v>2.0776699029126213</v>
      </c>
      <c r="M111" s="607"/>
      <c r="N111" s="607">
        <f t="shared" ref="N111:O111" si="291">SUM(N105:N110)</f>
        <v>1.8242927124614707</v>
      </c>
      <c r="O111" s="607">
        <f t="shared" si="291"/>
        <v>1.8163672654690621</v>
      </c>
      <c r="P111" s="607"/>
      <c r="Q111" s="607">
        <f t="shared" ref="Q111:R111" si="292">SUM(Q105:Q110)</f>
        <v>2.1609167590440768</v>
      </c>
      <c r="R111" s="607">
        <f t="shared" si="292"/>
        <v>2.1217150760719226</v>
      </c>
      <c r="S111" s="607"/>
      <c r="T111" s="607">
        <f t="shared" ref="T111:U111" si="293">SUM(T105:T110)</f>
        <v>1.8257410636442897</v>
      </c>
      <c r="U111" s="607">
        <f t="shared" si="293"/>
        <v>1.8447837150127224</v>
      </c>
      <c r="V111" s="607"/>
      <c r="W111" s="607">
        <f t="shared" ref="W111:X111" si="294">SUM(W105:W110)</f>
        <v>2.0306773528381901</v>
      </c>
      <c r="X111" s="607">
        <f t="shared" si="294"/>
        <v>1.9699999999999998</v>
      </c>
      <c r="Y111" s="607"/>
      <c r="Z111" s="607">
        <f t="shared" ref="Z111:AA111" si="295">SUM(Z105:Z110)</f>
        <v>1.9362240239582191</v>
      </c>
      <c r="AA111" s="607">
        <f t="shared" si="295"/>
        <v>1.9027777777777777</v>
      </c>
      <c r="AB111" s="607"/>
      <c r="AC111" s="607">
        <f t="shared" ref="AC111:AD111" si="296">SUM(AC105:AC110)</f>
        <v>2.2420088590925413</v>
      </c>
      <c r="AD111" s="607">
        <f t="shared" si="296"/>
        <v>2.3949579831932777</v>
      </c>
      <c r="AE111" s="607"/>
      <c r="AF111" s="607">
        <f t="shared" ref="AF111:AG111" si="297">SUM(AF105:AF110)</f>
        <v>1.973634976121313</v>
      </c>
      <c r="AG111" s="607">
        <f t="shared" si="297"/>
        <v>2.0407407407407403</v>
      </c>
      <c r="AH111" s="607"/>
      <c r="AI111" s="607">
        <f t="shared" ref="AI111:AJ111" si="298">SUM(AI105:AI110)</f>
        <v>2.2448064459625154</v>
      </c>
      <c r="AJ111" s="607">
        <f t="shared" si="298"/>
        <v>2.2722772277227725</v>
      </c>
      <c r="AK111" s="607"/>
      <c r="AL111" s="607">
        <f t="shared" ref="AL111:AM111" si="299">SUM(AL105:AL110)</f>
        <v>1.7419555740087191</v>
      </c>
      <c r="AM111" s="607">
        <f t="shared" si="299"/>
        <v>1.781065088757396</v>
      </c>
      <c r="AN111" s="607"/>
      <c r="AO111" s="607">
        <f t="shared" ref="AO111:AP111" si="300">SUM(AO105:AO110)</f>
        <v>2.0740969602157628</v>
      </c>
      <c r="AP111" s="607">
        <f t="shared" si="300"/>
        <v>2.0787906884850988</v>
      </c>
      <c r="AQ111" s="607"/>
      <c r="AX111" s="608"/>
      <c r="AY111" s="608"/>
      <c r="AZ111" s="608"/>
      <c r="BA111" s="608"/>
      <c r="BB111" s="608"/>
      <c r="BC111" s="608"/>
      <c r="BD111" s="608"/>
      <c r="BE111" s="608"/>
      <c r="BF111" s="608"/>
      <c r="BG111" s="608"/>
      <c r="BH111" s="608"/>
      <c r="BI111" s="608"/>
      <c r="BJ111" s="608"/>
      <c r="BK111" s="608"/>
      <c r="BL111" s="608"/>
      <c r="BM111" s="608"/>
      <c r="BT111" s="7"/>
      <c r="BV111" s="12"/>
      <c r="BW111" s="14"/>
      <c r="BX111" s="7"/>
      <c r="BZ111" s="7"/>
      <c r="CB111" s="7"/>
      <c r="CD111" s="7"/>
      <c r="CF111" s="7"/>
      <c r="CH111" s="7"/>
      <c r="CJ111" s="7"/>
      <c r="CL111" s="7"/>
      <c r="CN111" s="7"/>
      <c r="CP111" s="7"/>
    </row>
    <row r="112" spans="1:94" hidden="1" outlineLevel="1" collapsed="1" x14ac:dyDescent="0.25">
      <c r="A112" s="487"/>
      <c r="AL112" s="537"/>
      <c r="AM112" s="537"/>
      <c r="AN112" s="509"/>
    </row>
    <row r="113" spans="1:110" hidden="1" outlineLevel="1" x14ac:dyDescent="0.25">
      <c r="A113" s="487" t="s">
        <v>278</v>
      </c>
      <c r="AL113" s="740" t="s">
        <v>245</v>
      </c>
      <c r="AM113" s="740"/>
      <c r="AN113" s="509"/>
    </row>
    <row r="114" spans="1:110" hidden="1" outlineLevel="1" x14ac:dyDescent="0.25">
      <c r="A114" s="333" t="s">
        <v>31</v>
      </c>
      <c r="B114" s="388" t="str">
        <f>Tabelle3[[#Headers],[Ned (€)]]</f>
        <v>Ned (€)</v>
      </c>
      <c r="C114" s="389" t="str">
        <f>Tabelle3[[#Headers],[Ned (Backer)]]</f>
        <v>Ned (Backer)</v>
      </c>
      <c r="D114" s="493" t="str">
        <f>Tabelle3[[#Headers],[Ned (€/B)]]</f>
        <v>Ned (€/B)</v>
      </c>
      <c r="E114" s="391" t="str">
        <f>Tabelle3[[#Headers],[Werkzeuge (€)]]</f>
        <v>Werkzeuge (€)</v>
      </c>
      <c r="F114" s="392" t="str">
        <f>Tabelle3[[#Headers],[Werkzeuge (Backer)]]</f>
        <v>Werkzeuge (Backer)</v>
      </c>
      <c r="G114" s="493" t="str">
        <f>Tabelle3[[#Headers],[Werkz (€/B)]]</f>
        <v>Werkz (€/B)</v>
      </c>
      <c r="H114" s="395" t="str">
        <f>Tabelle3[[#Headers],[DSK Fasar (€)]]</f>
        <v>DSK Fasar (€)</v>
      </c>
      <c r="I114" s="396" t="str">
        <f>Tabelle3[[#Headers],[DSK Fasar (Backer)]]</f>
        <v>DSK Fasar (Backer)</v>
      </c>
      <c r="J114" s="398" t="str">
        <f>Tabelle3[[#Headers],[DSK Fasar (€/B)]]</f>
        <v>DSK Fasar (€/B)</v>
      </c>
      <c r="K114" s="388" t="str">
        <f>Tabelle3[[#Headers],[Mythen (€)]]</f>
        <v>Mythen (€)</v>
      </c>
      <c r="L114" s="389" t="str">
        <f>Tabelle3[[#Headers],[Mythen (Backer)]]</f>
        <v>Mythen (Backer)</v>
      </c>
      <c r="M114" s="389" t="str">
        <f>Tabelle3[[#Headers],[Mythen (€/B)]]</f>
        <v>Mythen (€/B)</v>
      </c>
      <c r="N114" s="393" t="str">
        <f>Tabelle3[[#Headers],[SOK (€)]]</f>
        <v>SOK (€)</v>
      </c>
      <c r="O114" s="394" t="str">
        <f>Tabelle3[[#Headers],[SOK (Backer)]]</f>
        <v>SOK (Backer)</v>
      </c>
      <c r="P114" s="394" t="str">
        <f>Tabelle3[[#Headers],[SOK (€/B)]]</f>
        <v>SOK (€/B)</v>
      </c>
      <c r="Q114" s="390" t="str">
        <f>Tabelle3[[#Headers],[RE (€)]]</f>
        <v>RE (€)</v>
      </c>
      <c r="R114" s="390" t="str">
        <f>Tabelle3[[#Headers],[RE (Backer)]]</f>
        <v>RE (Backer)</v>
      </c>
      <c r="S114" s="390" t="str">
        <f>Tabelle3[[#Headers],[RE (€/B)]]</f>
        <v>RE (€/B)</v>
      </c>
      <c r="T114" s="390" t="str">
        <f>Tabelle3[[#Headers],[DGG (€)]]</f>
        <v>DGG (€)</v>
      </c>
      <c r="U114" s="390" t="str">
        <f>Tabelle3[[#Headers],[DGG (Backer)]]</f>
        <v>DGG (Backer)</v>
      </c>
      <c r="V114" s="390" t="str">
        <f>Tabelle3[[#Headers],[DGG (€/B)]]</f>
        <v>DGG (€/B)</v>
      </c>
      <c r="W114" s="395" t="str">
        <f>Tabelle3[[#Headers],[DSK SV (€)]]</f>
        <v>DSK SV (€)</v>
      </c>
      <c r="X114" s="396" t="str">
        <f>Tabelle3[[#Headers],[DSK SV (Backer)]]</f>
        <v>DSK SV (Backer)</v>
      </c>
      <c r="Y114" s="398" t="str">
        <f>Tabelle3[[#Headers],[DSK SV (€/B)]]</f>
        <v>DSK SV (€/B)</v>
      </c>
      <c r="Z114" s="393" t="str">
        <f>Tabelle3[[#Headers],[WW (€)]]</f>
        <v>WW (€)</v>
      </c>
      <c r="AA114" s="394" t="str">
        <f>Tabelle3[[#Headers],[WW (Backer)]]</f>
        <v>WW (Backer)</v>
      </c>
      <c r="AB114" s="394" t="str">
        <f>Tabelle3[[#Headers],[WW (€/B)]]</f>
        <v>WW (€/B)</v>
      </c>
      <c r="AC114" s="395" t="str">
        <f>Tabelle3[[#Headers],[DSK R (€)]]</f>
        <v>DSK R (€)</v>
      </c>
      <c r="AD114" s="396" t="str">
        <f>Tabelle3[[#Headers],[DSK R (Backer)]]</f>
        <v>DSK R (Backer)</v>
      </c>
      <c r="AE114" s="398" t="str">
        <f>Tabelle3[[#Headers],[DSK R (€/B)]]</f>
        <v>DSK R (€/B)</v>
      </c>
      <c r="AF114" s="390" t="str">
        <f>Tabelle3[[#Headers],[Ära (€)]]</f>
        <v>Ära (€)</v>
      </c>
      <c r="AG114" s="390" t="str">
        <f>Tabelle3[[#Headers],[Ära (Backer)]]</f>
        <v>Ära (Backer)</v>
      </c>
      <c r="AH114" s="390" t="str">
        <f>Tabelle3[[#Headers],[Ära (€/B)]]</f>
        <v>Ära (€/B)</v>
      </c>
      <c r="AI114" s="390" t="str">
        <f>Tabelle3[[#Headers],[Mosaik (€)]]</f>
        <v>Mosaik (€)</v>
      </c>
      <c r="AJ114" s="390" t="str">
        <f>Tabelle3[[#Headers],[Mosaik (Backer)]]</f>
        <v>Mosaik (Backer)</v>
      </c>
      <c r="AK114" s="390" t="str">
        <f>Tabelle3[[#Headers],[Mosaik (€/B)]]</f>
        <v>Mosaik (€/B)</v>
      </c>
      <c r="AL114" s="575" t="str">
        <f>Tabelle3[[#Headers],[DSK ES (€)]]</f>
        <v>DSK ES (€)</v>
      </c>
      <c r="AM114" s="575" t="str">
        <f>Tabelle3[[#Headers],[DSK ES (Backer)]]</f>
        <v>DSK ES (Backer)</v>
      </c>
      <c r="AN114" s="575" t="str">
        <f>Tabelle3[[#Headers],[DSK ES (€/B)]]</f>
        <v>DSK ES (€/B)</v>
      </c>
      <c r="AO114" s="738" t="s">
        <v>246</v>
      </c>
      <c r="AP114" s="738"/>
      <c r="AQ114" s="463"/>
      <c r="BM114" s="203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2"/>
      <c r="CQ114" s="202"/>
      <c r="CR114" s="202"/>
      <c r="CS114" s="202"/>
      <c r="CT114" s="202"/>
      <c r="CU114" s="202"/>
      <c r="CV114" s="202"/>
      <c r="CW114" s="202"/>
      <c r="CX114" s="202"/>
      <c r="CY114" s="202"/>
      <c r="CZ114" s="202"/>
      <c r="DA114" s="202"/>
      <c r="DB114" s="202"/>
      <c r="DC114" s="202"/>
      <c r="DD114" s="202"/>
      <c r="DE114" s="202"/>
      <c r="DF114" s="202"/>
    </row>
    <row r="115" spans="1:110" hidden="1" outlineLevel="1" x14ac:dyDescent="0.25">
      <c r="A115" s="488">
        <v>1</v>
      </c>
      <c r="B115" s="481">
        <f t="shared" ref="B115:B135" si="301">ROUND(B$30*B35,2)</f>
        <v>15840.99</v>
      </c>
      <c r="C115" s="484">
        <f t="shared" ref="C115:C135" si="302">ROUND(C$30*C35,)</f>
        <v>95</v>
      </c>
      <c r="D115" s="502">
        <f t="shared" ref="D115:D135" si="303">B115/C115</f>
        <v>166.74726315789474</v>
      </c>
      <c r="E115" s="481">
        <f t="shared" ref="E115:E135" si="304">ROUND(E$30*E35,2)</f>
        <v>19520.72</v>
      </c>
      <c r="F115" s="484">
        <f t="shared" ref="F115:F135" si="305">ROUND(F$30*F35,)</f>
        <v>122</v>
      </c>
      <c r="G115" s="502">
        <f t="shared" ref="G115:G135" si="306">E115/F115</f>
        <v>160.00590163934427</v>
      </c>
      <c r="H115" s="481">
        <f t="shared" ref="H115:H135" si="307">ROUND(H$30*H35,2)</f>
        <v>19584.36</v>
      </c>
      <c r="I115" s="484">
        <f t="shared" ref="I115:I135" si="308">ROUND(I$30*I35,)</f>
        <v>131</v>
      </c>
      <c r="J115" s="502">
        <f t="shared" ref="J115:J135" si="309">H115/I115</f>
        <v>149.49893129770993</v>
      </c>
      <c r="K115" s="481">
        <f t="shared" ref="K115:K135" si="310">ROUND(K$30*K35,2)</f>
        <v>14540.98</v>
      </c>
      <c r="L115" s="484">
        <f t="shared" ref="L115:L135" si="311">ROUND(L$30*L35,)</f>
        <v>102</v>
      </c>
      <c r="M115" s="502">
        <f t="shared" ref="M115:M135" si="312">K115/L115</f>
        <v>142.5586274509804</v>
      </c>
      <c r="N115" s="481">
        <f t="shared" ref="N115:N135" si="313">ROUND(N$30*N35,2)</f>
        <v>23792.080000000002</v>
      </c>
      <c r="O115" s="484">
        <f t="shared" ref="O115:O135" si="314">ROUND(O$30*O35,)</f>
        <v>159</v>
      </c>
      <c r="P115" s="502">
        <f t="shared" ref="P115:P135" si="315">N115/O115</f>
        <v>149.63572327044025</v>
      </c>
      <c r="Q115" s="481">
        <f t="shared" ref="Q115:Q135" si="316">ROUND(Q$30*Q35,2)</f>
        <v>14687.5</v>
      </c>
      <c r="R115" s="484">
        <f t="shared" ref="R115:R135" si="317">ROUND(R$30*R35,)</f>
        <v>94</v>
      </c>
      <c r="S115" s="502">
        <f t="shared" ref="S115:S135" si="318">Q115/R115</f>
        <v>156.25</v>
      </c>
      <c r="T115" s="481">
        <f t="shared" ref="T115:T135" si="319">ROUND(T$30*T35,2)</f>
        <v>21743.58</v>
      </c>
      <c r="U115" s="484">
        <f t="shared" ref="U115:U135" si="320">ROUND(U$30*U35,)</f>
        <v>144</v>
      </c>
      <c r="V115" s="502">
        <f t="shared" ref="V115:V135" si="321">T115/U115</f>
        <v>150.99708333333334</v>
      </c>
      <c r="W115" s="481">
        <f t="shared" ref="W115:W135" si="322">ROUND(W$30*W35,2)</f>
        <v>15699.08</v>
      </c>
      <c r="X115" s="484">
        <f t="shared" ref="X115:X135" si="323">ROUND(X$30*X35,)</f>
        <v>96</v>
      </c>
      <c r="Y115" s="502">
        <f t="shared" ref="Y115:Y135" si="324">W115/X115</f>
        <v>163.53208333333333</v>
      </c>
      <c r="Z115" s="481">
        <f t="shared" ref="Z115:Z135" si="325">ROUND(Z$30*Z35,2)</f>
        <v>19251.21</v>
      </c>
      <c r="AA115" s="484">
        <f t="shared" ref="AA115:AA135" si="326">ROUND(AA$30*AA35,)</f>
        <v>125</v>
      </c>
      <c r="AB115" s="502">
        <f t="shared" ref="AB115:AB135" si="327">Z115/AA115</f>
        <v>154.00968</v>
      </c>
      <c r="AC115" s="481">
        <f t="shared" ref="AC115:AC135" si="328">ROUND(AC$30*AC35,2)</f>
        <v>16240.39</v>
      </c>
      <c r="AD115" s="484">
        <f t="shared" ref="AD115:AD135" si="329">ROUND(AD$30*AD35,)</f>
        <v>116</v>
      </c>
      <c r="AE115" s="502">
        <f t="shared" ref="AE115:AE135" si="330">AC115/AD115</f>
        <v>140.00336206896552</v>
      </c>
      <c r="AF115" s="481">
        <f t="shared" ref="AF115:AF135" si="331">ROUND(AF$30*AF35,2)</f>
        <v>10823.62</v>
      </c>
      <c r="AG115" s="484">
        <f t="shared" ref="AG115:AG135" si="332">ROUND(AG$30*AG35,)</f>
        <v>72</v>
      </c>
      <c r="AH115" s="502">
        <f t="shared" ref="AH115:AH135" si="333">AF115/AG115</f>
        <v>150.32805555555558</v>
      </c>
      <c r="AI115" s="481">
        <f t="shared" ref="AI115:AI135" si="334">ROUND(AI$30*AI35,2)</f>
        <v>19843.97</v>
      </c>
      <c r="AJ115" s="484">
        <f t="shared" ref="AJ115:AJ135" si="335">ROUND(AJ$30*AJ35,)</f>
        <v>129</v>
      </c>
      <c r="AK115" s="502">
        <f t="shared" ref="AK115:AK135" si="336">AI115/AJ115</f>
        <v>153.82922480620155</v>
      </c>
      <c r="AL115" s="481">
        <f>AL6</f>
        <v>17251</v>
      </c>
      <c r="AM115" s="484">
        <f>AM6</f>
        <v>121</v>
      </c>
      <c r="AN115" s="502">
        <f t="shared" ref="AN115:AN135" si="337">AL115/AM115</f>
        <v>142.5702479338843</v>
      </c>
      <c r="AO115" s="481">
        <f>AVERAGE(B115,E115,H115,K115,N115,Q115,T115,W115,Z115,AC115,AF115,AI115)</f>
        <v>17630.706666666669</v>
      </c>
      <c r="AP115" s="484">
        <f>AVERAGE(C115,F115,I115,L115,O115,R115,U115,X115,AA115,AD115,AG115,AJ115)</f>
        <v>115.41666666666667</v>
      </c>
      <c r="AQ115" s="502">
        <f t="shared" ref="AQ115:AQ135" si="338">AVERAGE(D115,G115,J115,M115,P115,S115,V115,Y115,AB115,AE115,AH115)</f>
        <v>153.05151919159616</v>
      </c>
      <c r="AR115" s="481">
        <f t="shared" ref="AR115:AR135" si="339">MIN(B115,E115,H115,K115,N115,Q115,T115,W115,Z115,AC115,AF115)</f>
        <v>10823.62</v>
      </c>
      <c r="AS115" s="484">
        <f t="shared" ref="AS115:AS135" si="340">MIN(C115,F115,I115,L115,O115,R115,U115,X115,AA115,AD115,AG115)</f>
        <v>72</v>
      </c>
      <c r="AT115" s="502">
        <f t="shared" ref="AT115:AT135" si="341">MIN(D115,G115,J115,M115,P115,S115,V115,Y115,AB115,AE115,AH115)</f>
        <v>140.00336206896552</v>
      </c>
      <c r="AU115" s="481">
        <f t="shared" ref="AU115:AU135" si="342">MAX(B115,E115,H115,K115,N115,Q115,T115,W115,Z115,AC115,AF115)</f>
        <v>23792.080000000002</v>
      </c>
      <c r="AV115" s="484">
        <f t="shared" ref="AV115:AV135" si="343">MAX(C115,F115,I115,L115,O115,R115,U115,X115,AA115,AD115,AG115)</f>
        <v>159</v>
      </c>
      <c r="AW115" s="502">
        <f t="shared" ref="AW115:AW135" si="344">MAX(D115,G115,J115,M115,P115,S115,V115,Y115,AB115,AE115,AH115)</f>
        <v>166.74726315789474</v>
      </c>
    </row>
    <row r="116" spans="1:110" hidden="1" outlineLevel="1" x14ac:dyDescent="0.25">
      <c r="A116" s="577">
        <v>2</v>
      </c>
      <c r="B116" s="482">
        <f t="shared" si="301"/>
        <v>17978.36</v>
      </c>
      <c r="C116" s="485">
        <f t="shared" si="302"/>
        <v>107</v>
      </c>
      <c r="D116" s="503">
        <f t="shared" si="303"/>
        <v>168.02205607476637</v>
      </c>
      <c r="E116" s="482">
        <f t="shared" si="304"/>
        <v>22255.34</v>
      </c>
      <c r="F116" s="485">
        <f t="shared" si="305"/>
        <v>140</v>
      </c>
      <c r="G116" s="503">
        <f t="shared" si="306"/>
        <v>158.96671428571429</v>
      </c>
      <c r="H116" s="482">
        <f t="shared" si="307"/>
        <v>22950.639999999999</v>
      </c>
      <c r="I116" s="485">
        <f t="shared" si="308"/>
        <v>156</v>
      </c>
      <c r="J116" s="503">
        <f t="shared" si="309"/>
        <v>147.11948717948718</v>
      </c>
      <c r="K116" s="482">
        <f t="shared" si="310"/>
        <v>18188.830000000002</v>
      </c>
      <c r="L116" s="485">
        <f t="shared" si="311"/>
        <v>129</v>
      </c>
      <c r="M116" s="503">
        <f t="shared" si="312"/>
        <v>140.99868217054265</v>
      </c>
      <c r="N116" s="482">
        <f t="shared" si="313"/>
        <v>30226.43</v>
      </c>
      <c r="O116" s="485">
        <f t="shared" si="314"/>
        <v>200</v>
      </c>
      <c r="P116" s="503">
        <f t="shared" si="315"/>
        <v>151.13215</v>
      </c>
      <c r="Q116" s="482">
        <f t="shared" si="316"/>
        <v>17052.98</v>
      </c>
      <c r="R116" s="485">
        <f t="shared" si="317"/>
        <v>111</v>
      </c>
      <c r="S116" s="503">
        <f t="shared" si="318"/>
        <v>153.63045045045044</v>
      </c>
      <c r="T116" s="482">
        <f t="shared" si="319"/>
        <v>28491.64</v>
      </c>
      <c r="U116" s="485">
        <f t="shared" si="320"/>
        <v>189</v>
      </c>
      <c r="V116" s="503">
        <f t="shared" si="321"/>
        <v>150.74941798941799</v>
      </c>
      <c r="W116" s="482">
        <f t="shared" si="322"/>
        <v>19042.150000000001</v>
      </c>
      <c r="X116" s="485">
        <f t="shared" si="323"/>
        <v>121</v>
      </c>
      <c r="Y116" s="503">
        <f t="shared" si="324"/>
        <v>157.37314049586777</v>
      </c>
      <c r="Z116" s="482">
        <f t="shared" si="325"/>
        <v>24047.03</v>
      </c>
      <c r="AA116" s="485">
        <f t="shared" si="326"/>
        <v>158</v>
      </c>
      <c r="AB116" s="503">
        <f t="shared" si="327"/>
        <v>152.19639240506328</v>
      </c>
      <c r="AC116" s="482">
        <f t="shared" si="328"/>
        <v>22218.06</v>
      </c>
      <c r="AD116" s="485">
        <f t="shared" si="329"/>
        <v>154</v>
      </c>
      <c r="AE116" s="503">
        <f t="shared" si="330"/>
        <v>144.2731168831169</v>
      </c>
      <c r="AF116" s="482">
        <f t="shared" si="331"/>
        <v>15204.63</v>
      </c>
      <c r="AG116" s="485">
        <f t="shared" si="332"/>
        <v>102</v>
      </c>
      <c r="AH116" s="503">
        <f t="shared" si="333"/>
        <v>149.065</v>
      </c>
      <c r="AI116" s="482">
        <f t="shared" si="334"/>
        <v>27298.46</v>
      </c>
      <c r="AJ116" s="485">
        <f t="shared" si="335"/>
        <v>180</v>
      </c>
      <c r="AK116" s="503">
        <f t="shared" si="336"/>
        <v>151.65811111111111</v>
      </c>
      <c r="AL116" s="584"/>
      <c r="AM116" s="585"/>
      <c r="AN116" s="586"/>
      <c r="AO116" s="482">
        <f t="shared" ref="AO116:AO135" si="345">AVERAGE(B116,E116,H116,K116,N116,Q116,T116,W116,Z116,AC116,AF116,AI116)</f>
        <v>22079.545833333334</v>
      </c>
      <c r="AP116" s="485">
        <f t="shared" ref="AP116:AP135" si="346">AVERAGE(C116,F116,I116,L116,O116,R116,U116,X116,AA116,AD116,AG116,AJ116)</f>
        <v>145.58333333333334</v>
      </c>
      <c r="AQ116" s="503">
        <f t="shared" si="338"/>
        <v>152.13878253949335</v>
      </c>
      <c r="AR116" s="482">
        <f t="shared" si="339"/>
        <v>15204.63</v>
      </c>
      <c r="AS116" s="485">
        <f t="shared" si="340"/>
        <v>102</v>
      </c>
      <c r="AT116" s="503">
        <f t="shared" si="341"/>
        <v>140.99868217054265</v>
      </c>
      <c r="AU116" s="482">
        <f t="shared" si="342"/>
        <v>30226.43</v>
      </c>
      <c r="AV116" s="485">
        <f t="shared" si="343"/>
        <v>200</v>
      </c>
      <c r="AW116" s="503">
        <f t="shared" si="344"/>
        <v>168.02205607476637</v>
      </c>
    </row>
    <row r="117" spans="1:110" hidden="1" outlineLevel="1" x14ac:dyDescent="0.25">
      <c r="A117" s="488">
        <v>3</v>
      </c>
      <c r="B117" s="481">
        <f t="shared" si="301"/>
        <v>18954.27</v>
      </c>
      <c r="C117" s="484">
        <f t="shared" si="302"/>
        <v>118</v>
      </c>
      <c r="D117" s="502">
        <f t="shared" si="303"/>
        <v>160.62940677966102</v>
      </c>
      <c r="E117" s="481">
        <f t="shared" si="304"/>
        <v>24223.27</v>
      </c>
      <c r="F117" s="484">
        <f t="shared" si="305"/>
        <v>152</v>
      </c>
      <c r="G117" s="502">
        <f t="shared" si="306"/>
        <v>159.36361842105262</v>
      </c>
      <c r="H117" s="481">
        <f t="shared" si="307"/>
        <v>24356.98</v>
      </c>
      <c r="I117" s="484">
        <f t="shared" si="308"/>
        <v>166</v>
      </c>
      <c r="J117" s="502">
        <f t="shared" si="309"/>
        <v>146.7287951807229</v>
      </c>
      <c r="K117" s="481">
        <f t="shared" si="310"/>
        <v>20516.189999999999</v>
      </c>
      <c r="L117" s="484">
        <f t="shared" si="311"/>
        <v>144</v>
      </c>
      <c r="M117" s="502">
        <f t="shared" si="312"/>
        <v>142.47354166666665</v>
      </c>
      <c r="N117" s="481">
        <f t="shared" si="313"/>
        <v>32484.34</v>
      </c>
      <c r="O117" s="484">
        <f t="shared" si="314"/>
        <v>216</v>
      </c>
      <c r="P117" s="502">
        <f t="shared" si="315"/>
        <v>150.39046296296297</v>
      </c>
      <c r="Q117" s="481">
        <f t="shared" si="316"/>
        <v>20384.509999999998</v>
      </c>
      <c r="R117" s="484">
        <f t="shared" si="317"/>
        <v>132</v>
      </c>
      <c r="S117" s="502">
        <f t="shared" si="318"/>
        <v>154.42810606060604</v>
      </c>
      <c r="T117" s="481">
        <f t="shared" si="319"/>
        <v>31417.95</v>
      </c>
      <c r="U117" s="484">
        <f t="shared" si="320"/>
        <v>208</v>
      </c>
      <c r="V117" s="502">
        <f t="shared" si="321"/>
        <v>151.04783653846155</v>
      </c>
      <c r="W117" s="481">
        <f t="shared" si="322"/>
        <v>22434.560000000001</v>
      </c>
      <c r="X117" s="484">
        <f t="shared" si="323"/>
        <v>140</v>
      </c>
      <c r="Y117" s="502">
        <f t="shared" si="324"/>
        <v>160.24685714285715</v>
      </c>
      <c r="Z117" s="481">
        <f t="shared" si="325"/>
        <v>28493.02</v>
      </c>
      <c r="AA117" s="484">
        <f t="shared" si="326"/>
        <v>187</v>
      </c>
      <c r="AB117" s="502">
        <f t="shared" si="327"/>
        <v>152.36909090909091</v>
      </c>
      <c r="AC117" s="481">
        <f t="shared" si="328"/>
        <v>25570.3</v>
      </c>
      <c r="AD117" s="484">
        <f t="shared" si="329"/>
        <v>174</v>
      </c>
      <c r="AE117" s="502">
        <f t="shared" si="330"/>
        <v>146.95574712643679</v>
      </c>
      <c r="AF117" s="481">
        <f t="shared" si="331"/>
        <v>17901.78</v>
      </c>
      <c r="AG117" s="484">
        <f t="shared" si="332"/>
        <v>120</v>
      </c>
      <c r="AH117" s="502">
        <f t="shared" si="333"/>
        <v>149.1815</v>
      </c>
      <c r="AI117" s="481">
        <f t="shared" si="334"/>
        <v>30072.48</v>
      </c>
      <c r="AJ117" s="484">
        <f t="shared" si="335"/>
        <v>200</v>
      </c>
      <c r="AK117" s="502">
        <f t="shared" si="336"/>
        <v>150.36240000000001</v>
      </c>
      <c r="AL117" s="587"/>
      <c r="AM117" s="588"/>
      <c r="AN117" s="589"/>
      <c r="AO117" s="481">
        <f t="shared" si="345"/>
        <v>24734.137499999997</v>
      </c>
      <c r="AP117" s="484">
        <f t="shared" si="346"/>
        <v>163.08333333333334</v>
      </c>
      <c r="AQ117" s="502">
        <f t="shared" si="338"/>
        <v>152.16499661713806</v>
      </c>
      <c r="AR117" s="481">
        <f t="shared" si="339"/>
        <v>17901.78</v>
      </c>
      <c r="AS117" s="484">
        <f t="shared" si="340"/>
        <v>118</v>
      </c>
      <c r="AT117" s="502">
        <f t="shared" si="341"/>
        <v>142.47354166666665</v>
      </c>
      <c r="AU117" s="481">
        <f t="shared" si="342"/>
        <v>32484.34</v>
      </c>
      <c r="AV117" s="484">
        <f t="shared" si="343"/>
        <v>216</v>
      </c>
      <c r="AW117" s="502">
        <f t="shared" si="344"/>
        <v>160.62940677966102</v>
      </c>
    </row>
    <row r="118" spans="1:110" hidden="1" outlineLevel="1" x14ac:dyDescent="0.25">
      <c r="A118" s="577">
        <v>4</v>
      </c>
      <c r="B118" s="482">
        <f t="shared" si="301"/>
        <v>20248.71</v>
      </c>
      <c r="C118" s="485">
        <f t="shared" si="302"/>
        <v>124</v>
      </c>
      <c r="D118" s="503">
        <f t="shared" si="303"/>
        <v>163.29604838709676</v>
      </c>
      <c r="E118" s="482">
        <f t="shared" si="304"/>
        <v>26947.55</v>
      </c>
      <c r="F118" s="485">
        <f t="shared" si="305"/>
        <v>168</v>
      </c>
      <c r="G118" s="503">
        <f t="shared" si="306"/>
        <v>160.40208333333334</v>
      </c>
      <c r="H118" s="482">
        <f t="shared" si="307"/>
        <v>25800.97</v>
      </c>
      <c r="I118" s="485">
        <f t="shared" si="308"/>
        <v>177</v>
      </c>
      <c r="J118" s="503">
        <f t="shared" si="309"/>
        <v>145.76819209039547</v>
      </c>
      <c r="K118" s="482">
        <f t="shared" si="310"/>
        <v>22483.21</v>
      </c>
      <c r="L118" s="485">
        <f t="shared" si="311"/>
        <v>159</v>
      </c>
      <c r="M118" s="503">
        <f t="shared" si="312"/>
        <v>141.40383647798743</v>
      </c>
      <c r="N118" s="482">
        <f t="shared" si="313"/>
        <v>33832.559999999998</v>
      </c>
      <c r="O118" s="485">
        <f t="shared" si="314"/>
        <v>226</v>
      </c>
      <c r="P118" s="503">
        <f t="shared" si="315"/>
        <v>149.70159292035396</v>
      </c>
      <c r="Q118" s="482">
        <f t="shared" si="316"/>
        <v>21922.37</v>
      </c>
      <c r="R118" s="485">
        <f t="shared" si="317"/>
        <v>143</v>
      </c>
      <c r="S118" s="503">
        <f t="shared" si="318"/>
        <v>153.3032867132867</v>
      </c>
      <c r="T118" s="482">
        <f t="shared" si="319"/>
        <v>33362.089999999997</v>
      </c>
      <c r="U118" s="485">
        <f t="shared" si="320"/>
        <v>221</v>
      </c>
      <c r="V118" s="503">
        <f t="shared" si="321"/>
        <v>150.95968325791853</v>
      </c>
      <c r="W118" s="482">
        <f t="shared" si="322"/>
        <v>24435.35</v>
      </c>
      <c r="X118" s="485">
        <f t="shared" si="323"/>
        <v>153</v>
      </c>
      <c r="Y118" s="503">
        <f t="shared" si="324"/>
        <v>159.70816993464052</v>
      </c>
      <c r="Z118" s="482">
        <f t="shared" si="325"/>
        <v>31068.61</v>
      </c>
      <c r="AA118" s="485">
        <f t="shared" si="326"/>
        <v>204</v>
      </c>
      <c r="AB118" s="503">
        <f t="shared" si="327"/>
        <v>152.29710784313727</v>
      </c>
      <c r="AC118" s="482">
        <f t="shared" si="328"/>
        <v>27663.26</v>
      </c>
      <c r="AD118" s="485">
        <f t="shared" si="329"/>
        <v>190</v>
      </c>
      <c r="AE118" s="503">
        <f t="shared" si="330"/>
        <v>145.59610526315788</v>
      </c>
      <c r="AF118" s="482">
        <f t="shared" si="331"/>
        <v>19089.22</v>
      </c>
      <c r="AG118" s="485">
        <f t="shared" si="332"/>
        <v>129</v>
      </c>
      <c r="AH118" s="503">
        <f t="shared" si="333"/>
        <v>147.9784496124031</v>
      </c>
      <c r="AI118" s="482">
        <f t="shared" si="334"/>
        <v>33065.129999999997</v>
      </c>
      <c r="AJ118" s="485">
        <f t="shared" si="335"/>
        <v>218</v>
      </c>
      <c r="AK118" s="503">
        <f t="shared" si="336"/>
        <v>151.67490825688071</v>
      </c>
      <c r="AL118" s="584"/>
      <c r="AM118" s="585"/>
      <c r="AN118" s="586"/>
      <c r="AO118" s="482">
        <f t="shared" si="345"/>
        <v>26659.91916666667</v>
      </c>
      <c r="AP118" s="485">
        <f t="shared" si="346"/>
        <v>176</v>
      </c>
      <c r="AQ118" s="503">
        <f t="shared" si="338"/>
        <v>151.85586871215554</v>
      </c>
      <c r="AR118" s="482">
        <f t="shared" si="339"/>
        <v>19089.22</v>
      </c>
      <c r="AS118" s="485">
        <f t="shared" si="340"/>
        <v>124</v>
      </c>
      <c r="AT118" s="503">
        <f t="shared" si="341"/>
        <v>141.40383647798743</v>
      </c>
      <c r="AU118" s="482">
        <f t="shared" si="342"/>
        <v>33832.559999999998</v>
      </c>
      <c r="AV118" s="485">
        <f t="shared" si="343"/>
        <v>226</v>
      </c>
      <c r="AW118" s="503">
        <f t="shared" si="344"/>
        <v>163.29604838709676</v>
      </c>
    </row>
    <row r="119" spans="1:110" hidden="1" outlineLevel="1" x14ac:dyDescent="0.25">
      <c r="A119" s="488">
        <v>5</v>
      </c>
      <c r="B119" s="481">
        <f t="shared" si="301"/>
        <v>23471.38</v>
      </c>
      <c r="C119" s="484">
        <f t="shared" si="302"/>
        <v>145</v>
      </c>
      <c r="D119" s="502">
        <f t="shared" si="303"/>
        <v>161.87158620689655</v>
      </c>
      <c r="E119" s="481">
        <f t="shared" si="304"/>
        <v>28364.07</v>
      </c>
      <c r="F119" s="484">
        <f t="shared" si="305"/>
        <v>180</v>
      </c>
      <c r="G119" s="502">
        <f t="shared" si="306"/>
        <v>157.57816666666668</v>
      </c>
      <c r="H119" s="481">
        <f t="shared" si="307"/>
        <v>27310.61</v>
      </c>
      <c r="I119" s="484">
        <f t="shared" si="308"/>
        <v>188</v>
      </c>
      <c r="J119" s="502">
        <f t="shared" si="309"/>
        <v>145.26920212765958</v>
      </c>
      <c r="K119" s="481">
        <f t="shared" si="310"/>
        <v>24186.28</v>
      </c>
      <c r="L119" s="484">
        <f t="shared" si="311"/>
        <v>170</v>
      </c>
      <c r="M119" s="502">
        <f t="shared" si="312"/>
        <v>142.27223529411765</v>
      </c>
      <c r="N119" s="481">
        <f t="shared" si="313"/>
        <v>34805.61</v>
      </c>
      <c r="O119" s="484">
        <f t="shared" si="314"/>
        <v>233</v>
      </c>
      <c r="P119" s="502">
        <f t="shared" si="315"/>
        <v>149.38030042918456</v>
      </c>
      <c r="Q119" s="481">
        <f t="shared" si="316"/>
        <v>23368.36</v>
      </c>
      <c r="R119" s="484">
        <f t="shared" si="317"/>
        <v>156</v>
      </c>
      <c r="S119" s="502">
        <f t="shared" si="318"/>
        <v>149.79717948717948</v>
      </c>
      <c r="T119" s="481">
        <f t="shared" si="319"/>
        <v>34227.39</v>
      </c>
      <c r="U119" s="484">
        <f t="shared" si="320"/>
        <v>226</v>
      </c>
      <c r="V119" s="502">
        <f t="shared" si="321"/>
        <v>151.44862831858407</v>
      </c>
      <c r="W119" s="481">
        <f t="shared" si="322"/>
        <v>26057.24</v>
      </c>
      <c r="X119" s="484">
        <f t="shared" si="323"/>
        <v>165</v>
      </c>
      <c r="Y119" s="502">
        <f t="shared" si="324"/>
        <v>157.92266666666669</v>
      </c>
      <c r="Z119" s="481">
        <f t="shared" si="325"/>
        <v>33070.93</v>
      </c>
      <c r="AA119" s="484">
        <f t="shared" si="326"/>
        <v>217</v>
      </c>
      <c r="AB119" s="502">
        <f t="shared" si="327"/>
        <v>152.400599078341</v>
      </c>
      <c r="AC119" s="481">
        <f t="shared" si="328"/>
        <v>29179.06</v>
      </c>
      <c r="AD119" s="484">
        <f t="shared" si="329"/>
        <v>200</v>
      </c>
      <c r="AE119" s="502">
        <f t="shared" si="330"/>
        <v>145.89530000000002</v>
      </c>
      <c r="AF119" s="481">
        <f t="shared" si="331"/>
        <v>20651.97</v>
      </c>
      <c r="AG119" s="484">
        <f t="shared" si="332"/>
        <v>140</v>
      </c>
      <c r="AH119" s="502">
        <f t="shared" si="333"/>
        <v>147.51407142857144</v>
      </c>
      <c r="AI119" s="481">
        <f t="shared" si="334"/>
        <v>34372.269999999997</v>
      </c>
      <c r="AJ119" s="484">
        <f t="shared" si="335"/>
        <v>227</v>
      </c>
      <c r="AK119" s="502">
        <f t="shared" si="336"/>
        <v>151.41969162995593</v>
      </c>
      <c r="AL119" s="587"/>
      <c r="AM119" s="588"/>
      <c r="AN119" s="589"/>
      <c r="AO119" s="481">
        <f t="shared" si="345"/>
        <v>28255.430833333336</v>
      </c>
      <c r="AP119" s="484">
        <f t="shared" si="346"/>
        <v>187.25</v>
      </c>
      <c r="AQ119" s="502">
        <f t="shared" si="338"/>
        <v>151.03181233671523</v>
      </c>
      <c r="AR119" s="481">
        <f t="shared" si="339"/>
        <v>20651.97</v>
      </c>
      <c r="AS119" s="484">
        <f t="shared" si="340"/>
        <v>140</v>
      </c>
      <c r="AT119" s="502">
        <f t="shared" si="341"/>
        <v>142.27223529411765</v>
      </c>
      <c r="AU119" s="481">
        <f t="shared" si="342"/>
        <v>34805.61</v>
      </c>
      <c r="AV119" s="484">
        <f t="shared" si="343"/>
        <v>233</v>
      </c>
      <c r="AW119" s="502">
        <f t="shared" si="344"/>
        <v>161.87158620689655</v>
      </c>
    </row>
    <row r="120" spans="1:110" hidden="1" outlineLevel="1" x14ac:dyDescent="0.25">
      <c r="A120" s="577">
        <v>6</v>
      </c>
      <c r="B120" s="482">
        <f t="shared" si="301"/>
        <v>24206</v>
      </c>
      <c r="C120" s="485">
        <f t="shared" si="302"/>
        <v>150</v>
      </c>
      <c r="D120" s="503">
        <f t="shared" si="303"/>
        <v>161.37333333333333</v>
      </c>
      <c r="E120" s="482">
        <f t="shared" si="304"/>
        <v>29277.71</v>
      </c>
      <c r="F120" s="485">
        <f t="shared" si="305"/>
        <v>186</v>
      </c>
      <c r="G120" s="503">
        <f t="shared" si="306"/>
        <v>157.40704301075269</v>
      </c>
      <c r="H120" s="482">
        <f t="shared" si="307"/>
        <v>28960.12</v>
      </c>
      <c r="I120" s="485">
        <f t="shared" si="308"/>
        <v>197</v>
      </c>
      <c r="J120" s="503">
        <f t="shared" si="309"/>
        <v>147.00568527918782</v>
      </c>
      <c r="K120" s="482">
        <f t="shared" si="310"/>
        <v>27789.64</v>
      </c>
      <c r="L120" s="485">
        <f t="shared" si="311"/>
        <v>196</v>
      </c>
      <c r="M120" s="503">
        <f t="shared" si="312"/>
        <v>141.7838775510204</v>
      </c>
      <c r="N120" s="482">
        <f t="shared" si="313"/>
        <v>35950.74</v>
      </c>
      <c r="O120" s="485">
        <f t="shared" si="314"/>
        <v>242</v>
      </c>
      <c r="P120" s="503">
        <f t="shared" si="315"/>
        <v>148.55677685950411</v>
      </c>
      <c r="Q120" s="482">
        <f t="shared" si="316"/>
        <v>26723.96</v>
      </c>
      <c r="R120" s="485">
        <f t="shared" si="317"/>
        <v>180</v>
      </c>
      <c r="S120" s="503">
        <f t="shared" si="318"/>
        <v>148.46644444444445</v>
      </c>
      <c r="T120" s="482">
        <f t="shared" si="319"/>
        <v>35032.120000000003</v>
      </c>
      <c r="U120" s="485">
        <f t="shared" si="320"/>
        <v>231</v>
      </c>
      <c r="V120" s="503">
        <f t="shared" si="321"/>
        <v>151.65419913419913</v>
      </c>
      <c r="W120" s="482">
        <f t="shared" si="322"/>
        <v>26762.16</v>
      </c>
      <c r="X120" s="485">
        <f t="shared" si="323"/>
        <v>169</v>
      </c>
      <c r="Y120" s="503">
        <f t="shared" si="324"/>
        <v>158.35597633136095</v>
      </c>
      <c r="Z120" s="482">
        <f t="shared" si="325"/>
        <v>34853.57</v>
      </c>
      <c r="AA120" s="485">
        <f t="shared" si="326"/>
        <v>230</v>
      </c>
      <c r="AB120" s="503">
        <f t="shared" si="327"/>
        <v>151.53726086956522</v>
      </c>
      <c r="AC120" s="482">
        <f t="shared" si="328"/>
        <v>31553.81</v>
      </c>
      <c r="AD120" s="485">
        <f t="shared" si="329"/>
        <v>212</v>
      </c>
      <c r="AE120" s="503">
        <f t="shared" si="330"/>
        <v>148.83872641509436</v>
      </c>
      <c r="AF120" s="482">
        <f t="shared" si="331"/>
        <v>23345.03</v>
      </c>
      <c r="AG120" s="485">
        <f t="shared" si="332"/>
        <v>157</v>
      </c>
      <c r="AH120" s="503">
        <f t="shared" si="333"/>
        <v>148.6944585987261</v>
      </c>
      <c r="AI120" s="482">
        <f t="shared" si="334"/>
        <v>35560.15</v>
      </c>
      <c r="AJ120" s="485">
        <f t="shared" si="335"/>
        <v>236</v>
      </c>
      <c r="AK120" s="503">
        <f t="shared" si="336"/>
        <v>150.67860169491527</v>
      </c>
      <c r="AL120" s="584"/>
      <c r="AM120" s="585"/>
      <c r="AN120" s="586"/>
      <c r="AO120" s="482">
        <f t="shared" si="345"/>
        <v>30001.250833333335</v>
      </c>
      <c r="AP120" s="485">
        <f t="shared" si="346"/>
        <v>198.83333333333334</v>
      </c>
      <c r="AQ120" s="503">
        <f t="shared" si="338"/>
        <v>151.24307107519897</v>
      </c>
      <c r="AR120" s="482">
        <f t="shared" si="339"/>
        <v>23345.03</v>
      </c>
      <c r="AS120" s="485">
        <f t="shared" si="340"/>
        <v>150</v>
      </c>
      <c r="AT120" s="503">
        <f t="shared" si="341"/>
        <v>141.7838775510204</v>
      </c>
      <c r="AU120" s="482">
        <f t="shared" si="342"/>
        <v>35950.74</v>
      </c>
      <c r="AV120" s="485">
        <f t="shared" si="343"/>
        <v>242</v>
      </c>
      <c r="AW120" s="503">
        <f t="shared" si="344"/>
        <v>161.37333333333333</v>
      </c>
    </row>
    <row r="121" spans="1:110" hidden="1" outlineLevel="1" x14ac:dyDescent="0.25">
      <c r="A121" s="488">
        <v>7</v>
      </c>
      <c r="B121" s="481">
        <f t="shared" si="301"/>
        <v>25931.56</v>
      </c>
      <c r="C121" s="484">
        <f t="shared" si="302"/>
        <v>162</v>
      </c>
      <c r="D121" s="502">
        <f t="shared" si="303"/>
        <v>160.07135802469136</v>
      </c>
      <c r="E121" s="481">
        <f t="shared" si="304"/>
        <v>31288.79</v>
      </c>
      <c r="F121" s="484">
        <f t="shared" si="305"/>
        <v>201</v>
      </c>
      <c r="G121" s="502">
        <f t="shared" si="306"/>
        <v>155.66562189054727</v>
      </c>
      <c r="H121" s="481">
        <f t="shared" si="307"/>
        <v>30117.9</v>
      </c>
      <c r="I121" s="484">
        <f t="shared" si="308"/>
        <v>207</v>
      </c>
      <c r="J121" s="502">
        <f t="shared" si="309"/>
        <v>145.49710144927536</v>
      </c>
      <c r="K121" s="481">
        <f t="shared" si="310"/>
        <v>29822.65</v>
      </c>
      <c r="L121" s="484">
        <f t="shared" si="311"/>
        <v>210</v>
      </c>
      <c r="M121" s="502">
        <f t="shared" si="312"/>
        <v>142.01261904761907</v>
      </c>
      <c r="N121" s="481">
        <f t="shared" si="313"/>
        <v>39053.910000000003</v>
      </c>
      <c r="O121" s="484">
        <f t="shared" si="314"/>
        <v>265</v>
      </c>
      <c r="P121" s="502">
        <f t="shared" si="315"/>
        <v>147.37324528301889</v>
      </c>
      <c r="Q121" s="481">
        <f t="shared" si="316"/>
        <v>29119.89</v>
      </c>
      <c r="R121" s="484">
        <f t="shared" si="317"/>
        <v>196</v>
      </c>
      <c r="S121" s="502">
        <f t="shared" si="318"/>
        <v>148.57086734693877</v>
      </c>
      <c r="T121" s="481">
        <f t="shared" si="319"/>
        <v>36031.629999999997</v>
      </c>
      <c r="U121" s="484">
        <f t="shared" si="320"/>
        <v>238</v>
      </c>
      <c r="V121" s="502">
        <f t="shared" si="321"/>
        <v>151.39340336134453</v>
      </c>
      <c r="W121" s="481">
        <f t="shared" si="322"/>
        <v>29382.69</v>
      </c>
      <c r="X121" s="484">
        <f t="shared" si="323"/>
        <v>184</v>
      </c>
      <c r="Y121" s="502">
        <f t="shared" si="324"/>
        <v>159.68853260869565</v>
      </c>
      <c r="Z121" s="481">
        <f t="shared" si="325"/>
        <v>36623.919999999998</v>
      </c>
      <c r="AA121" s="484">
        <f t="shared" si="326"/>
        <v>244</v>
      </c>
      <c r="AB121" s="502">
        <f t="shared" si="327"/>
        <v>150.09803278688523</v>
      </c>
      <c r="AC121" s="481">
        <f t="shared" si="328"/>
        <v>32506.04</v>
      </c>
      <c r="AD121" s="484">
        <f t="shared" si="329"/>
        <v>219</v>
      </c>
      <c r="AE121" s="502">
        <f t="shared" si="330"/>
        <v>148.42940639269406</v>
      </c>
      <c r="AF121" s="481">
        <f t="shared" si="331"/>
        <v>25817.77</v>
      </c>
      <c r="AG121" s="484">
        <f t="shared" si="332"/>
        <v>173</v>
      </c>
      <c r="AH121" s="502">
        <f t="shared" si="333"/>
        <v>149.23566473988438</v>
      </c>
      <c r="AI121" s="481">
        <f t="shared" si="334"/>
        <v>37128.71</v>
      </c>
      <c r="AJ121" s="484">
        <f t="shared" si="335"/>
        <v>246</v>
      </c>
      <c r="AK121" s="502">
        <f t="shared" si="336"/>
        <v>150.92971544715448</v>
      </c>
      <c r="AL121" s="481">
        <f t="shared" ref="AL121:AM135" si="347">AL12</f>
        <v>31356</v>
      </c>
      <c r="AM121" s="484">
        <f t="shared" si="347"/>
        <v>220</v>
      </c>
      <c r="AN121" s="502">
        <f t="shared" si="337"/>
        <v>142.52727272727273</v>
      </c>
      <c r="AO121" s="481">
        <f t="shared" si="345"/>
        <v>31902.12166666667</v>
      </c>
      <c r="AP121" s="484">
        <f t="shared" si="346"/>
        <v>212.08333333333334</v>
      </c>
      <c r="AQ121" s="502">
        <f t="shared" si="338"/>
        <v>150.7305320846904</v>
      </c>
      <c r="AR121" s="481">
        <f t="shared" si="339"/>
        <v>25817.77</v>
      </c>
      <c r="AS121" s="484">
        <f t="shared" si="340"/>
        <v>162</v>
      </c>
      <c r="AT121" s="502">
        <f t="shared" si="341"/>
        <v>142.01261904761907</v>
      </c>
      <c r="AU121" s="481">
        <f t="shared" si="342"/>
        <v>39053.910000000003</v>
      </c>
      <c r="AV121" s="484">
        <f t="shared" si="343"/>
        <v>265</v>
      </c>
      <c r="AW121" s="502">
        <f t="shared" si="344"/>
        <v>160.07135802469136</v>
      </c>
    </row>
    <row r="122" spans="1:110" hidden="1" outlineLevel="1" x14ac:dyDescent="0.25">
      <c r="A122" s="577">
        <v>8</v>
      </c>
      <c r="B122" s="482">
        <f t="shared" si="301"/>
        <v>28611.58</v>
      </c>
      <c r="C122" s="485">
        <f t="shared" si="302"/>
        <v>178</v>
      </c>
      <c r="D122" s="503">
        <f t="shared" si="303"/>
        <v>160.73921348314607</v>
      </c>
      <c r="E122" s="482">
        <f t="shared" si="304"/>
        <v>32708.9</v>
      </c>
      <c r="F122" s="485">
        <f t="shared" si="305"/>
        <v>210</v>
      </c>
      <c r="G122" s="503">
        <f t="shared" si="306"/>
        <v>155.75666666666666</v>
      </c>
      <c r="H122" s="482">
        <f t="shared" si="307"/>
        <v>31631.84</v>
      </c>
      <c r="I122" s="485">
        <f t="shared" si="308"/>
        <v>218</v>
      </c>
      <c r="J122" s="503">
        <f t="shared" si="309"/>
        <v>145.10018348623854</v>
      </c>
      <c r="K122" s="482">
        <f t="shared" si="310"/>
        <v>32449.55</v>
      </c>
      <c r="L122" s="485">
        <f t="shared" si="311"/>
        <v>225</v>
      </c>
      <c r="M122" s="503">
        <f t="shared" si="312"/>
        <v>144.22022222222222</v>
      </c>
      <c r="N122" s="482">
        <f t="shared" si="313"/>
        <v>40871.949999999997</v>
      </c>
      <c r="O122" s="485">
        <f t="shared" si="314"/>
        <v>275</v>
      </c>
      <c r="P122" s="503">
        <f t="shared" si="315"/>
        <v>148.62527272727272</v>
      </c>
      <c r="Q122" s="482">
        <f t="shared" si="316"/>
        <v>32371.41</v>
      </c>
      <c r="R122" s="485">
        <f t="shared" si="317"/>
        <v>218</v>
      </c>
      <c r="S122" s="503">
        <f t="shared" si="318"/>
        <v>148.49270642201836</v>
      </c>
      <c r="T122" s="482">
        <f t="shared" si="319"/>
        <v>36980.53</v>
      </c>
      <c r="U122" s="485">
        <f t="shared" si="320"/>
        <v>245</v>
      </c>
      <c r="V122" s="503">
        <f t="shared" si="321"/>
        <v>150.9409387755102</v>
      </c>
      <c r="W122" s="482">
        <f t="shared" si="322"/>
        <v>32004.39</v>
      </c>
      <c r="X122" s="485">
        <f t="shared" si="323"/>
        <v>202</v>
      </c>
      <c r="Y122" s="503">
        <f t="shared" si="324"/>
        <v>158.43757425742575</v>
      </c>
      <c r="Z122" s="482">
        <f t="shared" si="325"/>
        <v>38288.69</v>
      </c>
      <c r="AA122" s="485">
        <f t="shared" si="326"/>
        <v>254</v>
      </c>
      <c r="AB122" s="503">
        <f t="shared" si="327"/>
        <v>150.74287401574804</v>
      </c>
      <c r="AC122" s="482">
        <f t="shared" si="328"/>
        <v>34342.480000000003</v>
      </c>
      <c r="AD122" s="485">
        <f t="shared" si="329"/>
        <v>231</v>
      </c>
      <c r="AE122" s="503">
        <f t="shared" si="330"/>
        <v>148.6687445887446</v>
      </c>
      <c r="AF122" s="482">
        <f t="shared" si="331"/>
        <v>28175.15</v>
      </c>
      <c r="AG122" s="485">
        <f t="shared" si="332"/>
        <v>189</v>
      </c>
      <c r="AH122" s="503">
        <f t="shared" si="333"/>
        <v>149.07486772486774</v>
      </c>
      <c r="AI122" s="482">
        <f t="shared" si="334"/>
        <v>38476.36</v>
      </c>
      <c r="AJ122" s="485">
        <f t="shared" si="335"/>
        <v>256</v>
      </c>
      <c r="AK122" s="503">
        <f t="shared" si="336"/>
        <v>150.29828125</v>
      </c>
      <c r="AL122" s="482">
        <f t="shared" si="347"/>
        <v>33362</v>
      </c>
      <c r="AM122" s="485">
        <f t="shared" si="347"/>
        <v>234</v>
      </c>
      <c r="AN122" s="503">
        <f t="shared" si="337"/>
        <v>142.57264957264957</v>
      </c>
      <c r="AO122" s="482">
        <f t="shared" si="345"/>
        <v>33909.402500000004</v>
      </c>
      <c r="AP122" s="485">
        <f t="shared" si="346"/>
        <v>225.08333333333334</v>
      </c>
      <c r="AQ122" s="503">
        <f t="shared" si="338"/>
        <v>150.98175130635101</v>
      </c>
      <c r="AR122" s="482">
        <f t="shared" si="339"/>
        <v>28175.15</v>
      </c>
      <c r="AS122" s="485">
        <f t="shared" si="340"/>
        <v>178</v>
      </c>
      <c r="AT122" s="503">
        <f t="shared" si="341"/>
        <v>144.22022222222222</v>
      </c>
      <c r="AU122" s="482">
        <f t="shared" si="342"/>
        <v>40871.949999999997</v>
      </c>
      <c r="AV122" s="485">
        <f t="shared" si="343"/>
        <v>275</v>
      </c>
      <c r="AW122" s="503">
        <f t="shared" si="344"/>
        <v>160.73921348314607</v>
      </c>
    </row>
    <row r="123" spans="1:110" hidden="1" outlineLevel="1" x14ac:dyDescent="0.25">
      <c r="A123" s="488">
        <v>9</v>
      </c>
      <c r="B123" s="481">
        <f t="shared" si="301"/>
        <v>29886.71</v>
      </c>
      <c r="C123" s="484">
        <f t="shared" si="302"/>
        <v>186</v>
      </c>
      <c r="D123" s="502">
        <f t="shared" si="303"/>
        <v>160.68123655913979</v>
      </c>
      <c r="E123" s="481">
        <f t="shared" si="304"/>
        <v>34422.92</v>
      </c>
      <c r="F123" s="484">
        <f t="shared" si="305"/>
        <v>224</v>
      </c>
      <c r="G123" s="502">
        <f t="shared" si="306"/>
        <v>153.67374999999998</v>
      </c>
      <c r="H123" s="481">
        <f t="shared" si="307"/>
        <v>34055.54</v>
      </c>
      <c r="I123" s="484">
        <f t="shared" si="308"/>
        <v>235</v>
      </c>
      <c r="J123" s="502">
        <f t="shared" si="309"/>
        <v>144.9171914893617</v>
      </c>
      <c r="K123" s="481">
        <f t="shared" si="310"/>
        <v>34084.410000000003</v>
      </c>
      <c r="L123" s="484">
        <f t="shared" si="311"/>
        <v>238</v>
      </c>
      <c r="M123" s="502">
        <f t="shared" si="312"/>
        <v>143.21180672268909</v>
      </c>
      <c r="N123" s="481">
        <f t="shared" si="313"/>
        <v>42061.89</v>
      </c>
      <c r="O123" s="484">
        <f t="shared" si="314"/>
        <v>282</v>
      </c>
      <c r="P123" s="502">
        <f t="shared" si="315"/>
        <v>149.15563829787234</v>
      </c>
      <c r="Q123" s="481">
        <f t="shared" si="316"/>
        <v>34520.910000000003</v>
      </c>
      <c r="R123" s="484">
        <f t="shared" si="317"/>
        <v>235</v>
      </c>
      <c r="S123" s="502">
        <f t="shared" si="318"/>
        <v>146.89748936170216</v>
      </c>
      <c r="T123" s="481">
        <f t="shared" si="319"/>
        <v>37880.519999999997</v>
      </c>
      <c r="U123" s="484">
        <f t="shared" si="320"/>
        <v>250</v>
      </c>
      <c r="V123" s="502">
        <f t="shared" si="321"/>
        <v>151.52207999999999</v>
      </c>
      <c r="W123" s="481">
        <f t="shared" si="322"/>
        <v>35518.400000000001</v>
      </c>
      <c r="X123" s="484">
        <f t="shared" si="323"/>
        <v>228</v>
      </c>
      <c r="Y123" s="502">
        <f t="shared" si="324"/>
        <v>155.78245614035089</v>
      </c>
      <c r="Z123" s="481">
        <f t="shared" si="325"/>
        <v>40017.64</v>
      </c>
      <c r="AA123" s="484">
        <f t="shared" si="326"/>
        <v>266</v>
      </c>
      <c r="AB123" s="502">
        <f t="shared" si="327"/>
        <v>150.44225563909774</v>
      </c>
      <c r="AC123" s="481">
        <f t="shared" si="328"/>
        <v>34944.910000000003</v>
      </c>
      <c r="AD123" s="484">
        <f t="shared" si="329"/>
        <v>238</v>
      </c>
      <c r="AE123" s="502">
        <f t="shared" si="330"/>
        <v>146.82735294117649</v>
      </c>
      <c r="AF123" s="481">
        <f t="shared" si="331"/>
        <v>30929.439999999999</v>
      </c>
      <c r="AG123" s="484">
        <f t="shared" si="332"/>
        <v>209</v>
      </c>
      <c r="AH123" s="502">
        <f t="shared" si="333"/>
        <v>147.98775119617224</v>
      </c>
      <c r="AI123" s="481">
        <f t="shared" si="334"/>
        <v>39470.089999999997</v>
      </c>
      <c r="AJ123" s="484">
        <f t="shared" si="335"/>
        <v>262</v>
      </c>
      <c r="AK123" s="502">
        <f t="shared" si="336"/>
        <v>150.64919847328244</v>
      </c>
      <c r="AL123" s="481">
        <f t="shared" si="347"/>
        <v>35984</v>
      </c>
      <c r="AM123" s="484">
        <f t="shared" si="347"/>
        <v>240</v>
      </c>
      <c r="AN123" s="502">
        <f t="shared" si="337"/>
        <v>149.93333333333334</v>
      </c>
      <c r="AO123" s="481">
        <f t="shared" si="345"/>
        <v>35649.448333333341</v>
      </c>
      <c r="AP123" s="484">
        <f t="shared" si="346"/>
        <v>237.75</v>
      </c>
      <c r="AQ123" s="502">
        <f t="shared" si="338"/>
        <v>150.09990984977841</v>
      </c>
      <c r="AR123" s="481">
        <f t="shared" si="339"/>
        <v>29886.71</v>
      </c>
      <c r="AS123" s="484">
        <f t="shared" si="340"/>
        <v>186</v>
      </c>
      <c r="AT123" s="502">
        <f t="shared" si="341"/>
        <v>143.21180672268909</v>
      </c>
      <c r="AU123" s="481">
        <f t="shared" si="342"/>
        <v>42061.89</v>
      </c>
      <c r="AV123" s="484">
        <f t="shared" si="343"/>
        <v>282</v>
      </c>
      <c r="AW123" s="502">
        <f t="shared" si="344"/>
        <v>160.68123655913979</v>
      </c>
    </row>
    <row r="124" spans="1:110" hidden="1" outlineLevel="1" x14ac:dyDescent="0.25">
      <c r="A124" s="577">
        <v>10</v>
      </c>
      <c r="B124" s="482">
        <f t="shared" si="301"/>
        <v>33875.11</v>
      </c>
      <c r="C124" s="485">
        <f t="shared" si="302"/>
        <v>210</v>
      </c>
      <c r="D124" s="503">
        <f t="shared" si="303"/>
        <v>161.31004761904762</v>
      </c>
      <c r="E124" s="482">
        <f t="shared" si="304"/>
        <v>36548.6</v>
      </c>
      <c r="F124" s="485">
        <f t="shared" si="305"/>
        <v>238</v>
      </c>
      <c r="G124" s="503">
        <f t="shared" si="306"/>
        <v>153.56554621848738</v>
      </c>
      <c r="H124" s="482">
        <f t="shared" si="307"/>
        <v>35857.85</v>
      </c>
      <c r="I124" s="485">
        <f t="shared" si="308"/>
        <v>248</v>
      </c>
      <c r="J124" s="503">
        <f t="shared" si="309"/>
        <v>144.58810483870968</v>
      </c>
      <c r="K124" s="482">
        <f t="shared" si="310"/>
        <v>36221.22</v>
      </c>
      <c r="L124" s="485">
        <f t="shared" si="311"/>
        <v>251</v>
      </c>
      <c r="M124" s="503">
        <f t="shared" si="312"/>
        <v>144.30764940239044</v>
      </c>
      <c r="N124" s="482">
        <f t="shared" si="313"/>
        <v>43268.79</v>
      </c>
      <c r="O124" s="485">
        <f t="shared" si="314"/>
        <v>289</v>
      </c>
      <c r="P124" s="503">
        <f t="shared" si="315"/>
        <v>149.71899653979239</v>
      </c>
      <c r="Q124" s="482">
        <f t="shared" si="316"/>
        <v>36092.410000000003</v>
      </c>
      <c r="R124" s="485">
        <f t="shared" si="317"/>
        <v>246</v>
      </c>
      <c r="S124" s="503">
        <f t="shared" si="318"/>
        <v>146.71711382113821</v>
      </c>
      <c r="T124" s="482">
        <f t="shared" si="319"/>
        <v>38875.760000000002</v>
      </c>
      <c r="U124" s="485">
        <f t="shared" si="320"/>
        <v>257</v>
      </c>
      <c r="V124" s="503">
        <f t="shared" si="321"/>
        <v>151.2675486381323</v>
      </c>
      <c r="W124" s="482">
        <f t="shared" si="322"/>
        <v>36777.85</v>
      </c>
      <c r="X124" s="485">
        <f t="shared" si="323"/>
        <v>236</v>
      </c>
      <c r="Y124" s="503">
        <f t="shared" si="324"/>
        <v>155.83834745762712</v>
      </c>
      <c r="Z124" s="482">
        <f t="shared" si="325"/>
        <v>41404.480000000003</v>
      </c>
      <c r="AA124" s="485">
        <f t="shared" si="326"/>
        <v>274</v>
      </c>
      <c r="AB124" s="503">
        <f t="shared" si="327"/>
        <v>151.11124087591242</v>
      </c>
      <c r="AC124" s="482">
        <f t="shared" si="328"/>
        <v>36009.86</v>
      </c>
      <c r="AD124" s="485">
        <f t="shared" si="329"/>
        <v>247</v>
      </c>
      <c r="AE124" s="503">
        <f t="shared" si="330"/>
        <v>145.78890688259111</v>
      </c>
      <c r="AF124" s="482">
        <f t="shared" si="331"/>
        <v>32984.49</v>
      </c>
      <c r="AG124" s="485">
        <f t="shared" si="332"/>
        <v>224</v>
      </c>
      <c r="AH124" s="503">
        <f t="shared" si="333"/>
        <v>147.25218749999999</v>
      </c>
      <c r="AI124" s="482">
        <f t="shared" si="334"/>
        <v>41015.72</v>
      </c>
      <c r="AJ124" s="485">
        <f t="shared" si="335"/>
        <v>271</v>
      </c>
      <c r="AK124" s="503">
        <f t="shared" si="336"/>
        <v>151.34952029520295</v>
      </c>
      <c r="AL124" s="482">
        <f t="shared" si="347"/>
        <v>37454</v>
      </c>
      <c r="AM124" s="485">
        <f t="shared" si="347"/>
        <v>250</v>
      </c>
      <c r="AN124" s="503">
        <f t="shared" si="337"/>
        <v>149.816</v>
      </c>
      <c r="AO124" s="482">
        <f t="shared" si="345"/>
        <v>37411.011666666665</v>
      </c>
      <c r="AP124" s="485">
        <f t="shared" si="346"/>
        <v>249.25</v>
      </c>
      <c r="AQ124" s="503">
        <f t="shared" si="338"/>
        <v>150.13324452671171</v>
      </c>
      <c r="AR124" s="482">
        <f t="shared" si="339"/>
        <v>32984.49</v>
      </c>
      <c r="AS124" s="485">
        <f t="shared" si="340"/>
        <v>210</v>
      </c>
      <c r="AT124" s="503">
        <f t="shared" si="341"/>
        <v>144.30764940239044</v>
      </c>
      <c r="AU124" s="482">
        <f t="shared" si="342"/>
        <v>43268.79</v>
      </c>
      <c r="AV124" s="485">
        <f t="shared" si="343"/>
        <v>289</v>
      </c>
      <c r="AW124" s="503">
        <f t="shared" si="344"/>
        <v>161.31004761904762</v>
      </c>
    </row>
    <row r="125" spans="1:110" hidden="1" outlineLevel="1" x14ac:dyDescent="0.25">
      <c r="A125" s="488">
        <v>11</v>
      </c>
      <c r="B125" s="481">
        <f t="shared" si="301"/>
        <v>37216.83</v>
      </c>
      <c r="C125" s="484">
        <f t="shared" si="302"/>
        <v>233</v>
      </c>
      <c r="D125" s="502">
        <f t="shared" si="303"/>
        <v>159.72888412017167</v>
      </c>
      <c r="E125" s="481">
        <f t="shared" si="304"/>
        <v>37328.31</v>
      </c>
      <c r="F125" s="484">
        <f t="shared" si="305"/>
        <v>242</v>
      </c>
      <c r="G125" s="502">
        <f t="shared" si="306"/>
        <v>154.24921487603305</v>
      </c>
      <c r="H125" s="481">
        <f t="shared" si="307"/>
        <v>37481.54</v>
      </c>
      <c r="I125" s="484">
        <f t="shared" si="308"/>
        <v>259</v>
      </c>
      <c r="J125" s="502">
        <f t="shared" si="309"/>
        <v>144.71637065637066</v>
      </c>
      <c r="K125" s="481">
        <f t="shared" si="310"/>
        <v>37282.21</v>
      </c>
      <c r="L125" s="484">
        <f t="shared" si="311"/>
        <v>259</v>
      </c>
      <c r="M125" s="502">
        <f t="shared" si="312"/>
        <v>143.94675675675674</v>
      </c>
      <c r="N125" s="481">
        <f t="shared" si="313"/>
        <v>44120.15</v>
      </c>
      <c r="O125" s="484">
        <f t="shared" si="314"/>
        <v>295</v>
      </c>
      <c r="P125" s="502">
        <f t="shared" si="315"/>
        <v>149.55983050847459</v>
      </c>
      <c r="Q125" s="481">
        <f t="shared" si="316"/>
        <v>37670.99</v>
      </c>
      <c r="R125" s="484">
        <f t="shared" si="317"/>
        <v>258</v>
      </c>
      <c r="S125" s="502">
        <f t="shared" si="318"/>
        <v>146.01158914728683</v>
      </c>
      <c r="T125" s="481">
        <f t="shared" si="319"/>
        <v>39716.03</v>
      </c>
      <c r="U125" s="484">
        <f t="shared" si="320"/>
        <v>264</v>
      </c>
      <c r="V125" s="502">
        <f t="shared" si="321"/>
        <v>150.43950757575757</v>
      </c>
      <c r="W125" s="481">
        <f t="shared" si="322"/>
        <v>37423.440000000002</v>
      </c>
      <c r="X125" s="484">
        <f t="shared" si="323"/>
        <v>242</v>
      </c>
      <c r="Y125" s="502">
        <f t="shared" si="324"/>
        <v>154.64231404958679</v>
      </c>
      <c r="Z125" s="481">
        <f t="shared" si="325"/>
        <v>42572.24</v>
      </c>
      <c r="AA125" s="484">
        <f t="shared" si="326"/>
        <v>282</v>
      </c>
      <c r="AB125" s="502">
        <f t="shared" si="327"/>
        <v>150.96539007092198</v>
      </c>
      <c r="AC125" s="481">
        <f t="shared" si="328"/>
        <v>37976.5</v>
      </c>
      <c r="AD125" s="484">
        <f t="shared" si="329"/>
        <v>259</v>
      </c>
      <c r="AE125" s="502">
        <f t="shared" si="330"/>
        <v>146.62741312741312</v>
      </c>
      <c r="AF125" s="481">
        <f t="shared" si="331"/>
        <v>34812.120000000003</v>
      </c>
      <c r="AG125" s="484">
        <f t="shared" si="332"/>
        <v>237</v>
      </c>
      <c r="AH125" s="502">
        <f t="shared" si="333"/>
        <v>146.88658227848103</v>
      </c>
      <c r="AI125" s="481">
        <f t="shared" si="334"/>
        <v>42426.04</v>
      </c>
      <c r="AJ125" s="484">
        <f t="shared" si="335"/>
        <v>280</v>
      </c>
      <c r="AK125" s="502">
        <f t="shared" si="336"/>
        <v>151.52157142857143</v>
      </c>
      <c r="AL125" s="481">
        <f t="shared" si="347"/>
        <v>38542</v>
      </c>
      <c r="AM125" s="484">
        <f t="shared" si="347"/>
        <v>256</v>
      </c>
      <c r="AN125" s="502">
        <f t="shared" si="337"/>
        <v>150.5546875</v>
      </c>
      <c r="AO125" s="481">
        <f t="shared" si="345"/>
        <v>38835.533333333326</v>
      </c>
      <c r="AP125" s="484">
        <f t="shared" si="346"/>
        <v>259.16666666666669</v>
      </c>
      <c r="AQ125" s="502">
        <f t="shared" si="338"/>
        <v>149.79762301520489</v>
      </c>
      <c r="AR125" s="481">
        <f t="shared" si="339"/>
        <v>34812.120000000003</v>
      </c>
      <c r="AS125" s="484">
        <f t="shared" si="340"/>
        <v>233</v>
      </c>
      <c r="AT125" s="502">
        <f t="shared" si="341"/>
        <v>143.94675675675674</v>
      </c>
      <c r="AU125" s="481">
        <f t="shared" si="342"/>
        <v>44120.15</v>
      </c>
      <c r="AV125" s="484">
        <f t="shared" si="343"/>
        <v>295</v>
      </c>
      <c r="AW125" s="502">
        <f t="shared" si="344"/>
        <v>159.72888412017167</v>
      </c>
    </row>
    <row r="126" spans="1:110" hidden="1" outlineLevel="1" x14ac:dyDescent="0.25">
      <c r="A126" s="488">
        <v>12</v>
      </c>
      <c r="B126" s="482">
        <f t="shared" si="301"/>
        <v>39665.199999999997</v>
      </c>
      <c r="C126" s="485">
        <f t="shared" si="302"/>
        <v>252</v>
      </c>
      <c r="D126" s="503">
        <f t="shared" si="303"/>
        <v>157.40158730158728</v>
      </c>
      <c r="E126" s="482">
        <f t="shared" si="304"/>
        <v>38717.870000000003</v>
      </c>
      <c r="F126" s="485">
        <f t="shared" si="305"/>
        <v>252</v>
      </c>
      <c r="G126" s="503">
        <f t="shared" si="306"/>
        <v>153.64234126984127</v>
      </c>
      <c r="H126" s="482">
        <f t="shared" si="307"/>
        <v>38352.03</v>
      </c>
      <c r="I126" s="485">
        <f t="shared" si="308"/>
        <v>265</v>
      </c>
      <c r="J126" s="503">
        <f t="shared" si="309"/>
        <v>144.72464150943395</v>
      </c>
      <c r="K126" s="482">
        <f t="shared" si="310"/>
        <v>40199</v>
      </c>
      <c r="L126" s="485">
        <f t="shared" si="311"/>
        <v>277</v>
      </c>
      <c r="M126" s="503">
        <f t="shared" si="312"/>
        <v>145.12274368231047</v>
      </c>
      <c r="N126" s="482">
        <f t="shared" si="313"/>
        <v>45014.98</v>
      </c>
      <c r="O126" s="485">
        <f t="shared" si="314"/>
        <v>302</v>
      </c>
      <c r="P126" s="503">
        <f t="shared" si="315"/>
        <v>149.05622516556292</v>
      </c>
      <c r="Q126" s="482">
        <f t="shared" si="316"/>
        <v>39276.65</v>
      </c>
      <c r="R126" s="485">
        <f t="shared" si="317"/>
        <v>269</v>
      </c>
      <c r="S126" s="503">
        <f t="shared" si="318"/>
        <v>146.00985130111525</v>
      </c>
      <c r="T126" s="482">
        <f t="shared" si="319"/>
        <v>40679.15</v>
      </c>
      <c r="U126" s="485">
        <f t="shared" si="320"/>
        <v>272</v>
      </c>
      <c r="V126" s="503">
        <f t="shared" si="321"/>
        <v>149.55569852941176</v>
      </c>
      <c r="W126" s="482">
        <f t="shared" si="322"/>
        <v>38825.629999999997</v>
      </c>
      <c r="X126" s="485">
        <f t="shared" si="323"/>
        <v>254</v>
      </c>
      <c r="Y126" s="503">
        <f t="shared" si="324"/>
        <v>152.85681102362204</v>
      </c>
      <c r="Z126" s="482">
        <f t="shared" si="325"/>
        <v>43718.6</v>
      </c>
      <c r="AA126" s="485">
        <f t="shared" si="326"/>
        <v>291</v>
      </c>
      <c r="AB126" s="503">
        <f t="shared" si="327"/>
        <v>150.23573883161512</v>
      </c>
      <c r="AC126" s="482">
        <f t="shared" si="328"/>
        <v>40020.879999999997</v>
      </c>
      <c r="AD126" s="485">
        <f t="shared" si="329"/>
        <v>266</v>
      </c>
      <c r="AE126" s="503">
        <f t="shared" si="330"/>
        <v>150.45443609022556</v>
      </c>
      <c r="AF126" s="482">
        <f t="shared" si="331"/>
        <v>36647.68</v>
      </c>
      <c r="AG126" s="485">
        <f t="shared" si="332"/>
        <v>248</v>
      </c>
      <c r="AH126" s="503">
        <f t="shared" si="333"/>
        <v>147.77290322580646</v>
      </c>
      <c r="AI126" s="482">
        <f t="shared" si="334"/>
        <v>43581.06</v>
      </c>
      <c r="AJ126" s="485">
        <f t="shared" si="335"/>
        <v>289</v>
      </c>
      <c r="AK126" s="503">
        <f t="shared" si="336"/>
        <v>150.79951557093426</v>
      </c>
      <c r="AL126" s="482">
        <f t="shared" si="347"/>
        <v>40462</v>
      </c>
      <c r="AM126" s="485">
        <f t="shared" si="347"/>
        <v>270</v>
      </c>
      <c r="AN126" s="503">
        <f t="shared" si="337"/>
        <v>149.85925925925926</v>
      </c>
      <c r="AO126" s="482">
        <f t="shared" si="345"/>
        <v>40391.560833333329</v>
      </c>
      <c r="AP126" s="485">
        <f t="shared" si="346"/>
        <v>269.75</v>
      </c>
      <c r="AQ126" s="503">
        <f t="shared" si="338"/>
        <v>149.71208890277563</v>
      </c>
      <c r="AR126" s="482">
        <f t="shared" si="339"/>
        <v>36647.68</v>
      </c>
      <c r="AS126" s="485">
        <f t="shared" si="340"/>
        <v>248</v>
      </c>
      <c r="AT126" s="503">
        <f t="shared" si="341"/>
        <v>144.72464150943395</v>
      </c>
      <c r="AU126" s="482">
        <f t="shared" si="342"/>
        <v>45014.98</v>
      </c>
      <c r="AV126" s="485">
        <f t="shared" si="343"/>
        <v>302</v>
      </c>
      <c r="AW126" s="503">
        <f t="shared" si="344"/>
        <v>157.40158730158728</v>
      </c>
    </row>
    <row r="127" spans="1:110" hidden="1" outlineLevel="1" x14ac:dyDescent="0.25">
      <c r="A127" s="488">
        <v>13</v>
      </c>
      <c r="B127" s="481">
        <f t="shared" si="301"/>
        <v>40435.21</v>
      </c>
      <c r="C127" s="484">
        <f t="shared" si="302"/>
        <v>257</v>
      </c>
      <c r="D127" s="502">
        <f t="shared" si="303"/>
        <v>157.33544747081712</v>
      </c>
      <c r="E127" s="481">
        <f t="shared" si="304"/>
        <v>40024.730000000003</v>
      </c>
      <c r="F127" s="484">
        <f t="shared" si="305"/>
        <v>263</v>
      </c>
      <c r="G127" s="502">
        <f t="shared" si="306"/>
        <v>152.18528517110266</v>
      </c>
      <c r="H127" s="481">
        <f t="shared" si="307"/>
        <v>39854.67</v>
      </c>
      <c r="I127" s="484">
        <f t="shared" si="308"/>
        <v>275</v>
      </c>
      <c r="J127" s="502">
        <f t="shared" si="309"/>
        <v>144.92607272727273</v>
      </c>
      <c r="K127" s="481">
        <f t="shared" si="310"/>
        <v>41212.54</v>
      </c>
      <c r="L127" s="484">
        <f t="shared" si="311"/>
        <v>284</v>
      </c>
      <c r="M127" s="502">
        <f t="shared" si="312"/>
        <v>145.11457746478874</v>
      </c>
      <c r="N127" s="481">
        <f t="shared" si="313"/>
        <v>45719.19</v>
      </c>
      <c r="O127" s="484">
        <f t="shared" si="314"/>
        <v>306</v>
      </c>
      <c r="P127" s="502">
        <f t="shared" si="315"/>
        <v>149.40911764705882</v>
      </c>
      <c r="Q127" s="481">
        <f t="shared" si="316"/>
        <v>40664.04</v>
      </c>
      <c r="R127" s="484">
        <f t="shared" si="317"/>
        <v>279</v>
      </c>
      <c r="S127" s="502">
        <f t="shared" si="318"/>
        <v>145.74924731182796</v>
      </c>
      <c r="T127" s="481">
        <f t="shared" si="319"/>
        <v>42580.639999999999</v>
      </c>
      <c r="U127" s="484">
        <f t="shared" si="320"/>
        <v>283</v>
      </c>
      <c r="V127" s="502">
        <f t="shared" si="321"/>
        <v>150.4616254416961</v>
      </c>
      <c r="W127" s="481">
        <f t="shared" si="322"/>
        <v>40114.46</v>
      </c>
      <c r="X127" s="484">
        <f t="shared" si="323"/>
        <v>263</v>
      </c>
      <c r="Y127" s="502">
        <f t="shared" si="324"/>
        <v>152.52646387832698</v>
      </c>
      <c r="Z127" s="481">
        <f t="shared" si="325"/>
        <v>44517.7</v>
      </c>
      <c r="AA127" s="484">
        <f t="shared" si="326"/>
        <v>296</v>
      </c>
      <c r="AB127" s="502">
        <f t="shared" si="327"/>
        <v>150.39763513513512</v>
      </c>
      <c r="AC127" s="481">
        <f t="shared" si="328"/>
        <v>40438.699999999997</v>
      </c>
      <c r="AD127" s="484">
        <f t="shared" si="329"/>
        <v>268</v>
      </c>
      <c r="AE127" s="502">
        <f t="shared" si="330"/>
        <v>150.89067164179104</v>
      </c>
      <c r="AF127" s="481">
        <f t="shared" si="331"/>
        <v>38250.06</v>
      </c>
      <c r="AG127" s="484">
        <f t="shared" si="332"/>
        <v>261</v>
      </c>
      <c r="AH127" s="502">
        <f t="shared" si="333"/>
        <v>146.5519540229885</v>
      </c>
      <c r="AI127" s="481">
        <f t="shared" si="334"/>
        <v>44223.16</v>
      </c>
      <c r="AJ127" s="484">
        <f t="shared" si="335"/>
        <v>294</v>
      </c>
      <c r="AK127" s="502">
        <f t="shared" si="336"/>
        <v>150.41891156462586</v>
      </c>
      <c r="AL127" s="481">
        <f t="shared" si="347"/>
        <v>42073</v>
      </c>
      <c r="AM127" s="484">
        <f t="shared" si="347"/>
        <v>282</v>
      </c>
      <c r="AN127" s="502">
        <f t="shared" si="337"/>
        <v>149.1950354609929</v>
      </c>
      <c r="AO127" s="481">
        <f t="shared" si="345"/>
        <v>41502.92500000001</v>
      </c>
      <c r="AP127" s="484">
        <f t="shared" si="346"/>
        <v>277.41666666666669</v>
      </c>
      <c r="AQ127" s="502">
        <f t="shared" si="338"/>
        <v>149.59528162843685</v>
      </c>
      <c r="AR127" s="481">
        <f t="shared" si="339"/>
        <v>38250.06</v>
      </c>
      <c r="AS127" s="484">
        <f t="shared" si="340"/>
        <v>257</v>
      </c>
      <c r="AT127" s="502">
        <f t="shared" si="341"/>
        <v>144.92607272727273</v>
      </c>
      <c r="AU127" s="481">
        <f t="shared" si="342"/>
        <v>45719.19</v>
      </c>
      <c r="AV127" s="484">
        <f t="shared" si="343"/>
        <v>306</v>
      </c>
      <c r="AW127" s="502">
        <f t="shared" si="344"/>
        <v>157.33544747081712</v>
      </c>
    </row>
    <row r="128" spans="1:110" hidden="1" outlineLevel="1" x14ac:dyDescent="0.25">
      <c r="A128" s="577">
        <v>14</v>
      </c>
      <c r="B128" s="482">
        <f t="shared" si="301"/>
        <v>41332.839999999997</v>
      </c>
      <c r="C128" s="485">
        <f t="shared" si="302"/>
        <v>268</v>
      </c>
      <c r="D128" s="503">
        <f t="shared" si="303"/>
        <v>154.22701492537311</v>
      </c>
      <c r="E128" s="482">
        <f t="shared" si="304"/>
        <v>41843.47</v>
      </c>
      <c r="F128" s="485">
        <f t="shared" si="305"/>
        <v>274</v>
      </c>
      <c r="G128" s="503">
        <f t="shared" si="306"/>
        <v>152.71339416058396</v>
      </c>
      <c r="H128" s="482">
        <f t="shared" si="307"/>
        <v>40571.29</v>
      </c>
      <c r="I128" s="485">
        <f t="shared" si="308"/>
        <v>280</v>
      </c>
      <c r="J128" s="503">
        <f t="shared" si="309"/>
        <v>144.89746428571428</v>
      </c>
      <c r="K128" s="482">
        <f t="shared" si="310"/>
        <v>42749.53</v>
      </c>
      <c r="L128" s="485">
        <f t="shared" si="311"/>
        <v>294</v>
      </c>
      <c r="M128" s="503">
        <f t="shared" si="312"/>
        <v>145.40656462585034</v>
      </c>
      <c r="N128" s="482">
        <f t="shared" si="313"/>
        <v>46830.91</v>
      </c>
      <c r="O128" s="485">
        <f t="shared" si="314"/>
        <v>313</v>
      </c>
      <c r="P128" s="503">
        <f t="shared" si="315"/>
        <v>149.61952076677318</v>
      </c>
      <c r="Q128" s="482">
        <f t="shared" si="316"/>
        <v>42627.31</v>
      </c>
      <c r="R128" s="485">
        <f t="shared" si="317"/>
        <v>292</v>
      </c>
      <c r="S128" s="503">
        <f t="shared" si="318"/>
        <v>145.98393835616437</v>
      </c>
      <c r="T128" s="482">
        <f t="shared" si="319"/>
        <v>44353.89</v>
      </c>
      <c r="U128" s="485">
        <f t="shared" si="320"/>
        <v>295</v>
      </c>
      <c r="V128" s="503">
        <f t="shared" si="321"/>
        <v>150.35216949152542</v>
      </c>
      <c r="W128" s="482">
        <f t="shared" si="322"/>
        <v>42088.22</v>
      </c>
      <c r="X128" s="485">
        <f t="shared" si="323"/>
        <v>277</v>
      </c>
      <c r="Y128" s="503">
        <f t="shared" si="324"/>
        <v>151.94303249097473</v>
      </c>
      <c r="Z128" s="482">
        <f t="shared" si="325"/>
        <v>46084.41</v>
      </c>
      <c r="AA128" s="485">
        <f t="shared" si="326"/>
        <v>309</v>
      </c>
      <c r="AB128" s="503">
        <f t="shared" si="327"/>
        <v>149.14048543689321</v>
      </c>
      <c r="AC128" s="482">
        <f t="shared" si="328"/>
        <v>41637.730000000003</v>
      </c>
      <c r="AD128" s="485">
        <f t="shared" si="329"/>
        <v>275</v>
      </c>
      <c r="AE128" s="503">
        <f t="shared" si="330"/>
        <v>151.40992727272729</v>
      </c>
      <c r="AF128" s="482">
        <f t="shared" si="331"/>
        <v>40687.26</v>
      </c>
      <c r="AG128" s="485">
        <f t="shared" si="332"/>
        <v>277</v>
      </c>
      <c r="AH128" s="503">
        <f t="shared" si="333"/>
        <v>146.88541516245488</v>
      </c>
      <c r="AI128" s="482">
        <f t="shared" si="334"/>
        <v>45148.86</v>
      </c>
      <c r="AJ128" s="485">
        <f t="shared" si="335"/>
        <v>300</v>
      </c>
      <c r="AK128" s="503">
        <f t="shared" si="336"/>
        <v>150.49620000000002</v>
      </c>
      <c r="AL128" s="482">
        <f t="shared" si="347"/>
        <v>43611</v>
      </c>
      <c r="AM128" s="485">
        <f t="shared" si="347"/>
        <v>294</v>
      </c>
      <c r="AN128" s="503">
        <f t="shared" si="337"/>
        <v>148.33673469387756</v>
      </c>
      <c r="AO128" s="482">
        <f t="shared" si="345"/>
        <v>42996.31</v>
      </c>
      <c r="AP128" s="485">
        <f t="shared" si="346"/>
        <v>287.83333333333331</v>
      </c>
      <c r="AQ128" s="503">
        <f t="shared" si="338"/>
        <v>149.32535699773044</v>
      </c>
      <c r="AR128" s="482">
        <f t="shared" si="339"/>
        <v>40571.29</v>
      </c>
      <c r="AS128" s="485">
        <f t="shared" si="340"/>
        <v>268</v>
      </c>
      <c r="AT128" s="503">
        <f t="shared" si="341"/>
        <v>144.89746428571428</v>
      </c>
      <c r="AU128" s="482">
        <f t="shared" si="342"/>
        <v>46830.91</v>
      </c>
      <c r="AV128" s="485">
        <f t="shared" si="343"/>
        <v>313</v>
      </c>
      <c r="AW128" s="503">
        <f t="shared" si="344"/>
        <v>154.22701492537311</v>
      </c>
    </row>
    <row r="129" spans="1:110" hidden="1" outlineLevel="1" x14ac:dyDescent="0.25">
      <c r="A129" s="488">
        <v>15</v>
      </c>
      <c r="B129" s="481">
        <f t="shared" si="301"/>
        <v>43327.58</v>
      </c>
      <c r="C129" s="484">
        <f t="shared" si="302"/>
        <v>280</v>
      </c>
      <c r="D129" s="502">
        <f t="shared" si="303"/>
        <v>154.74135714285714</v>
      </c>
      <c r="E129" s="481">
        <f t="shared" si="304"/>
        <v>43801.52</v>
      </c>
      <c r="F129" s="484">
        <f t="shared" si="305"/>
        <v>287</v>
      </c>
      <c r="G129" s="502">
        <f t="shared" si="306"/>
        <v>152.61853658536583</v>
      </c>
      <c r="H129" s="481">
        <f t="shared" si="307"/>
        <v>41434.78</v>
      </c>
      <c r="I129" s="484">
        <f t="shared" si="308"/>
        <v>287</v>
      </c>
      <c r="J129" s="502">
        <f t="shared" si="309"/>
        <v>144.37205574912892</v>
      </c>
      <c r="K129" s="481">
        <f t="shared" si="310"/>
        <v>43858.71</v>
      </c>
      <c r="L129" s="484">
        <f t="shared" si="311"/>
        <v>300</v>
      </c>
      <c r="M129" s="502">
        <f t="shared" si="312"/>
        <v>146.19569999999999</v>
      </c>
      <c r="N129" s="481">
        <f t="shared" si="313"/>
        <v>49918.17</v>
      </c>
      <c r="O129" s="484">
        <f t="shared" si="314"/>
        <v>333</v>
      </c>
      <c r="P129" s="502">
        <f t="shared" si="315"/>
        <v>149.90441441441442</v>
      </c>
      <c r="Q129" s="481">
        <f t="shared" si="316"/>
        <v>44080.55</v>
      </c>
      <c r="R129" s="484">
        <f t="shared" si="317"/>
        <v>302</v>
      </c>
      <c r="S129" s="502">
        <f t="shared" si="318"/>
        <v>145.96208609271525</v>
      </c>
      <c r="T129" s="481">
        <f t="shared" si="319"/>
        <v>46962</v>
      </c>
      <c r="U129" s="484">
        <f t="shared" si="320"/>
        <v>313</v>
      </c>
      <c r="V129" s="502">
        <f t="shared" si="321"/>
        <v>150.03833865814696</v>
      </c>
      <c r="W129" s="481">
        <f t="shared" si="322"/>
        <v>44169.49</v>
      </c>
      <c r="X129" s="484">
        <f t="shared" si="323"/>
        <v>292</v>
      </c>
      <c r="Y129" s="502">
        <f t="shared" si="324"/>
        <v>151.26537671232876</v>
      </c>
      <c r="Z129" s="481">
        <f t="shared" si="325"/>
        <v>48080.79</v>
      </c>
      <c r="AA129" s="484">
        <f t="shared" si="326"/>
        <v>321</v>
      </c>
      <c r="AB129" s="502">
        <f t="shared" si="327"/>
        <v>149.78439252336449</v>
      </c>
      <c r="AC129" s="481">
        <f t="shared" si="328"/>
        <v>43769.56</v>
      </c>
      <c r="AD129" s="484">
        <f t="shared" si="329"/>
        <v>283</v>
      </c>
      <c r="AE129" s="502">
        <f t="shared" si="330"/>
        <v>154.66275618374559</v>
      </c>
      <c r="AF129" s="481">
        <f t="shared" si="331"/>
        <v>43685.66</v>
      </c>
      <c r="AG129" s="484">
        <f t="shared" si="332"/>
        <v>289</v>
      </c>
      <c r="AH129" s="502">
        <f t="shared" si="333"/>
        <v>151.16145328719725</v>
      </c>
      <c r="AI129" s="481">
        <f t="shared" si="334"/>
        <v>46141.06</v>
      </c>
      <c r="AJ129" s="484">
        <f t="shared" si="335"/>
        <v>307</v>
      </c>
      <c r="AK129" s="502">
        <f t="shared" si="336"/>
        <v>150.29661237785015</v>
      </c>
      <c r="AL129" s="481">
        <f t="shared" si="347"/>
        <v>45951</v>
      </c>
      <c r="AM129" s="484">
        <f t="shared" si="347"/>
        <v>308</v>
      </c>
      <c r="AN129" s="502">
        <f t="shared" si="337"/>
        <v>149.19155844155844</v>
      </c>
      <c r="AO129" s="481">
        <f t="shared" si="345"/>
        <v>44935.822499999987</v>
      </c>
      <c r="AP129" s="484">
        <f t="shared" si="346"/>
        <v>299.5</v>
      </c>
      <c r="AQ129" s="502">
        <f t="shared" si="338"/>
        <v>150.06422430447859</v>
      </c>
      <c r="AR129" s="481">
        <f t="shared" si="339"/>
        <v>41434.78</v>
      </c>
      <c r="AS129" s="484">
        <f t="shared" si="340"/>
        <v>280</v>
      </c>
      <c r="AT129" s="502">
        <f t="shared" si="341"/>
        <v>144.37205574912892</v>
      </c>
      <c r="AU129" s="481">
        <f t="shared" si="342"/>
        <v>49918.17</v>
      </c>
      <c r="AV129" s="484">
        <f t="shared" si="343"/>
        <v>333</v>
      </c>
      <c r="AW129" s="502">
        <f t="shared" si="344"/>
        <v>154.74135714285714</v>
      </c>
    </row>
    <row r="130" spans="1:110" hidden="1" outlineLevel="1" x14ac:dyDescent="0.25">
      <c r="A130" s="488">
        <v>16</v>
      </c>
      <c r="B130" s="482">
        <f t="shared" si="301"/>
        <v>45339.47</v>
      </c>
      <c r="C130" s="485">
        <f t="shared" si="302"/>
        <v>293</v>
      </c>
      <c r="D130" s="503">
        <f t="shared" si="303"/>
        <v>154.74221843003414</v>
      </c>
      <c r="E130" s="482">
        <f t="shared" si="304"/>
        <v>46491.64</v>
      </c>
      <c r="F130" s="485">
        <f t="shared" si="305"/>
        <v>303</v>
      </c>
      <c r="G130" s="503">
        <f t="shared" si="306"/>
        <v>153.43775577557756</v>
      </c>
      <c r="H130" s="482">
        <f t="shared" si="307"/>
        <v>43066.54</v>
      </c>
      <c r="I130" s="485">
        <f t="shared" si="308"/>
        <v>298</v>
      </c>
      <c r="J130" s="503">
        <f t="shared" si="309"/>
        <v>144.51859060402685</v>
      </c>
      <c r="K130" s="482">
        <f t="shared" si="310"/>
        <v>45851.69</v>
      </c>
      <c r="L130" s="485">
        <f t="shared" si="311"/>
        <v>311</v>
      </c>
      <c r="M130" s="503">
        <f t="shared" si="312"/>
        <v>147.43308681672028</v>
      </c>
      <c r="N130" s="482">
        <f t="shared" si="313"/>
        <v>51241.47</v>
      </c>
      <c r="O130" s="485">
        <f t="shared" si="314"/>
        <v>343</v>
      </c>
      <c r="P130" s="503">
        <f t="shared" si="315"/>
        <v>149.39204081632653</v>
      </c>
      <c r="Q130" s="482">
        <f t="shared" si="316"/>
        <v>45614.69</v>
      </c>
      <c r="R130" s="485">
        <f t="shared" si="317"/>
        <v>313</v>
      </c>
      <c r="S130" s="503">
        <f t="shared" si="318"/>
        <v>145.73383386581472</v>
      </c>
      <c r="T130" s="482">
        <f t="shared" si="319"/>
        <v>49501.02</v>
      </c>
      <c r="U130" s="485">
        <f t="shared" si="320"/>
        <v>331</v>
      </c>
      <c r="V130" s="503">
        <f t="shared" si="321"/>
        <v>149.5499093655589</v>
      </c>
      <c r="W130" s="482">
        <f t="shared" si="322"/>
        <v>46211.99</v>
      </c>
      <c r="X130" s="485">
        <f t="shared" si="323"/>
        <v>308</v>
      </c>
      <c r="Y130" s="503">
        <f t="shared" si="324"/>
        <v>150.03892857142856</v>
      </c>
      <c r="Z130" s="482">
        <f t="shared" si="325"/>
        <v>49757.05</v>
      </c>
      <c r="AA130" s="485">
        <f t="shared" si="326"/>
        <v>333</v>
      </c>
      <c r="AB130" s="503">
        <f t="shared" si="327"/>
        <v>149.42057057057059</v>
      </c>
      <c r="AC130" s="482">
        <f t="shared" si="328"/>
        <v>45674.02</v>
      </c>
      <c r="AD130" s="485">
        <f t="shared" si="329"/>
        <v>297</v>
      </c>
      <c r="AE130" s="503">
        <f t="shared" si="330"/>
        <v>153.78457912457912</v>
      </c>
      <c r="AF130" s="482">
        <f t="shared" si="331"/>
        <v>45674.01</v>
      </c>
      <c r="AG130" s="485">
        <f t="shared" si="332"/>
        <v>302</v>
      </c>
      <c r="AH130" s="503">
        <f t="shared" si="333"/>
        <v>151.23844370860928</v>
      </c>
      <c r="AI130" s="482">
        <f t="shared" si="334"/>
        <v>46903.93</v>
      </c>
      <c r="AJ130" s="485">
        <f t="shared" si="335"/>
        <v>311</v>
      </c>
      <c r="AK130" s="503">
        <f t="shared" si="336"/>
        <v>150.81649517684889</v>
      </c>
      <c r="AL130" s="482">
        <f t="shared" si="347"/>
        <v>47979</v>
      </c>
      <c r="AM130" s="485">
        <f t="shared" si="347"/>
        <v>319</v>
      </c>
      <c r="AN130" s="503">
        <f t="shared" si="337"/>
        <v>150.40438871473353</v>
      </c>
      <c r="AO130" s="482">
        <f t="shared" si="345"/>
        <v>46777.293333333335</v>
      </c>
      <c r="AP130" s="485">
        <f t="shared" si="346"/>
        <v>311.91666666666669</v>
      </c>
      <c r="AQ130" s="503">
        <f t="shared" si="338"/>
        <v>149.93545069538607</v>
      </c>
      <c r="AR130" s="482">
        <f t="shared" si="339"/>
        <v>43066.54</v>
      </c>
      <c r="AS130" s="485">
        <f t="shared" si="340"/>
        <v>293</v>
      </c>
      <c r="AT130" s="503">
        <f t="shared" si="341"/>
        <v>144.51859060402685</v>
      </c>
      <c r="AU130" s="482">
        <f t="shared" si="342"/>
        <v>51241.47</v>
      </c>
      <c r="AV130" s="485">
        <f t="shared" si="343"/>
        <v>343</v>
      </c>
      <c r="AW130" s="503">
        <f t="shared" si="344"/>
        <v>154.74221843003414</v>
      </c>
    </row>
    <row r="131" spans="1:110" hidden="1" outlineLevel="1" x14ac:dyDescent="0.25">
      <c r="A131" s="488">
        <v>17</v>
      </c>
      <c r="B131" s="481">
        <f t="shared" si="301"/>
        <v>47229.11</v>
      </c>
      <c r="C131" s="484">
        <f t="shared" si="302"/>
        <v>304</v>
      </c>
      <c r="D131" s="502">
        <f t="shared" si="303"/>
        <v>155.35891447368422</v>
      </c>
      <c r="E131" s="481">
        <f t="shared" si="304"/>
        <v>49230.75</v>
      </c>
      <c r="F131" s="484">
        <f t="shared" si="305"/>
        <v>321</v>
      </c>
      <c r="G131" s="502">
        <f t="shared" si="306"/>
        <v>153.36682242990653</v>
      </c>
      <c r="H131" s="481">
        <f t="shared" si="307"/>
        <v>46716.35</v>
      </c>
      <c r="I131" s="484">
        <f t="shared" si="308"/>
        <v>327</v>
      </c>
      <c r="J131" s="502">
        <f t="shared" si="309"/>
        <v>142.86345565749235</v>
      </c>
      <c r="K131" s="481">
        <f t="shared" si="310"/>
        <v>47642.99</v>
      </c>
      <c r="L131" s="484">
        <f t="shared" si="311"/>
        <v>323</v>
      </c>
      <c r="M131" s="502">
        <f t="shared" si="312"/>
        <v>147.50151702786377</v>
      </c>
      <c r="N131" s="481">
        <f t="shared" si="313"/>
        <v>52566.36</v>
      </c>
      <c r="O131" s="484">
        <f t="shared" si="314"/>
        <v>351</v>
      </c>
      <c r="P131" s="502">
        <f t="shared" si="315"/>
        <v>149.7617094017094</v>
      </c>
      <c r="Q131" s="481">
        <f t="shared" si="316"/>
        <v>47602.39</v>
      </c>
      <c r="R131" s="484">
        <f t="shared" si="317"/>
        <v>320</v>
      </c>
      <c r="S131" s="502">
        <f t="shared" si="318"/>
        <v>148.75746874999999</v>
      </c>
      <c r="T131" s="481">
        <f t="shared" si="319"/>
        <v>51483.83</v>
      </c>
      <c r="U131" s="484">
        <f t="shared" si="320"/>
        <v>344</v>
      </c>
      <c r="V131" s="502">
        <f t="shared" si="321"/>
        <v>149.66229651162791</v>
      </c>
      <c r="W131" s="481">
        <f t="shared" si="322"/>
        <v>49308.92</v>
      </c>
      <c r="X131" s="484">
        <f t="shared" si="323"/>
        <v>331</v>
      </c>
      <c r="Y131" s="502">
        <f t="shared" si="324"/>
        <v>148.96954682779455</v>
      </c>
      <c r="Z131" s="481">
        <f t="shared" si="325"/>
        <v>51157.760000000002</v>
      </c>
      <c r="AA131" s="484">
        <f t="shared" si="326"/>
        <v>343</v>
      </c>
      <c r="AB131" s="502">
        <f t="shared" si="327"/>
        <v>149.14798833819242</v>
      </c>
      <c r="AC131" s="481">
        <f t="shared" si="328"/>
        <v>46532.97</v>
      </c>
      <c r="AD131" s="484">
        <f t="shared" si="329"/>
        <v>302</v>
      </c>
      <c r="AE131" s="502">
        <f t="shared" si="330"/>
        <v>154.08268211920532</v>
      </c>
      <c r="AF131" s="481">
        <f t="shared" si="331"/>
        <v>47636.4</v>
      </c>
      <c r="AG131" s="484">
        <f t="shared" si="332"/>
        <v>314</v>
      </c>
      <c r="AH131" s="502">
        <f t="shared" si="333"/>
        <v>151.70828025477707</v>
      </c>
      <c r="AI131" s="481">
        <f t="shared" si="334"/>
        <v>48759.15</v>
      </c>
      <c r="AJ131" s="484">
        <f t="shared" si="335"/>
        <v>322</v>
      </c>
      <c r="AK131" s="502">
        <f t="shared" si="336"/>
        <v>151.42593167701864</v>
      </c>
      <c r="AL131" s="481">
        <f t="shared" si="347"/>
        <v>49387</v>
      </c>
      <c r="AM131" s="484">
        <f t="shared" si="347"/>
        <v>329</v>
      </c>
      <c r="AN131" s="502">
        <f t="shared" si="337"/>
        <v>150.11246200607903</v>
      </c>
      <c r="AO131" s="481">
        <f t="shared" si="345"/>
        <v>48822.248333333344</v>
      </c>
      <c r="AP131" s="484">
        <f t="shared" si="346"/>
        <v>325.16666666666669</v>
      </c>
      <c r="AQ131" s="502">
        <f t="shared" si="338"/>
        <v>150.1073347083867</v>
      </c>
      <c r="AR131" s="481">
        <f t="shared" si="339"/>
        <v>46532.97</v>
      </c>
      <c r="AS131" s="484">
        <f t="shared" si="340"/>
        <v>302</v>
      </c>
      <c r="AT131" s="502">
        <f t="shared" si="341"/>
        <v>142.86345565749235</v>
      </c>
      <c r="AU131" s="481">
        <f t="shared" si="342"/>
        <v>52566.36</v>
      </c>
      <c r="AV131" s="484">
        <f t="shared" si="343"/>
        <v>351</v>
      </c>
      <c r="AW131" s="502">
        <f t="shared" si="344"/>
        <v>155.35891447368422</v>
      </c>
    </row>
    <row r="132" spans="1:110" hidden="1" outlineLevel="1" x14ac:dyDescent="0.25">
      <c r="A132" s="488">
        <v>18</v>
      </c>
      <c r="B132" s="482">
        <f t="shared" si="301"/>
        <v>50041.04</v>
      </c>
      <c r="C132" s="485">
        <f t="shared" si="302"/>
        <v>327</v>
      </c>
      <c r="D132" s="503">
        <f t="shared" si="303"/>
        <v>153.03070336391437</v>
      </c>
      <c r="E132" s="482">
        <f t="shared" si="304"/>
        <v>51870.1</v>
      </c>
      <c r="F132" s="485">
        <f t="shared" si="305"/>
        <v>341</v>
      </c>
      <c r="G132" s="503">
        <f t="shared" si="306"/>
        <v>152.11173020527858</v>
      </c>
      <c r="H132" s="482">
        <f t="shared" si="307"/>
        <v>49482.22</v>
      </c>
      <c r="I132" s="485">
        <f t="shared" si="308"/>
        <v>345</v>
      </c>
      <c r="J132" s="503">
        <f t="shared" si="309"/>
        <v>143.42672463768116</v>
      </c>
      <c r="K132" s="482">
        <f t="shared" si="310"/>
        <v>49489.9</v>
      </c>
      <c r="L132" s="485">
        <f t="shared" si="311"/>
        <v>336</v>
      </c>
      <c r="M132" s="503">
        <f t="shared" si="312"/>
        <v>147.29136904761904</v>
      </c>
      <c r="N132" s="482">
        <f t="shared" si="313"/>
        <v>53854.39</v>
      </c>
      <c r="O132" s="485">
        <f t="shared" si="314"/>
        <v>360</v>
      </c>
      <c r="P132" s="503">
        <f t="shared" si="315"/>
        <v>149.59552777777779</v>
      </c>
      <c r="Q132" s="482">
        <f t="shared" si="316"/>
        <v>49715.78</v>
      </c>
      <c r="R132" s="485">
        <f t="shared" si="317"/>
        <v>334</v>
      </c>
      <c r="S132" s="503">
        <f t="shared" si="318"/>
        <v>148.84964071856288</v>
      </c>
      <c r="T132" s="482">
        <f t="shared" si="319"/>
        <v>53324.47</v>
      </c>
      <c r="U132" s="485">
        <f t="shared" si="320"/>
        <v>355</v>
      </c>
      <c r="V132" s="503">
        <f t="shared" si="321"/>
        <v>150.20977464788731</v>
      </c>
      <c r="W132" s="482">
        <f t="shared" si="322"/>
        <v>51159.91</v>
      </c>
      <c r="X132" s="485">
        <f t="shared" si="323"/>
        <v>345</v>
      </c>
      <c r="Y132" s="503">
        <f t="shared" si="324"/>
        <v>148.28959420289857</v>
      </c>
      <c r="Z132" s="482">
        <f t="shared" si="325"/>
        <v>52958.42</v>
      </c>
      <c r="AA132" s="485">
        <f t="shared" si="326"/>
        <v>354</v>
      </c>
      <c r="AB132" s="503">
        <f t="shared" si="327"/>
        <v>149.60005649717513</v>
      </c>
      <c r="AC132" s="482">
        <f t="shared" si="328"/>
        <v>49094.28</v>
      </c>
      <c r="AD132" s="485">
        <f t="shared" si="329"/>
        <v>321</v>
      </c>
      <c r="AE132" s="503">
        <f t="shared" si="330"/>
        <v>152.94168224299065</v>
      </c>
      <c r="AF132" s="482">
        <f t="shared" si="331"/>
        <v>49267.22</v>
      </c>
      <c r="AG132" s="485">
        <f t="shared" si="332"/>
        <v>327</v>
      </c>
      <c r="AH132" s="503">
        <f t="shared" si="333"/>
        <v>150.66428134556574</v>
      </c>
      <c r="AI132" s="482">
        <f t="shared" si="334"/>
        <v>50711.44</v>
      </c>
      <c r="AJ132" s="485">
        <f t="shared" si="335"/>
        <v>332</v>
      </c>
      <c r="AK132" s="503">
        <f t="shared" si="336"/>
        <v>152.74530120481927</v>
      </c>
      <c r="AL132" s="482">
        <f t="shared" si="347"/>
        <v>51996</v>
      </c>
      <c r="AM132" s="485">
        <f t="shared" si="347"/>
        <v>347</v>
      </c>
      <c r="AN132" s="503">
        <f t="shared" si="337"/>
        <v>149.84438040345822</v>
      </c>
      <c r="AO132" s="482">
        <f t="shared" si="345"/>
        <v>50914.097499999996</v>
      </c>
      <c r="AP132" s="485">
        <f t="shared" si="346"/>
        <v>339.75</v>
      </c>
      <c r="AQ132" s="503">
        <f t="shared" si="338"/>
        <v>149.63737133521374</v>
      </c>
      <c r="AR132" s="482">
        <f t="shared" si="339"/>
        <v>49094.28</v>
      </c>
      <c r="AS132" s="485">
        <f t="shared" si="340"/>
        <v>321</v>
      </c>
      <c r="AT132" s="503">
        <f t="shared" si="341"/>
        <v>143.42672463768116</v>
      </c>
      <c r="AU132" s="482">
        <f t="shared" si="342"/>
        <v>53854.39</v>
      </c>
      <c r="AV132" s="485">
        <f t="shared" si="343"/>
        <v>360</v>
      </c>
      <c r="AW132" s="503">
        <f t="shared" si="344"/>
        <v>153.03070336391437</v>
      </c>
    </row>
    <row r="133" spans="1:110" hidden="1" outlineLevel="1" x14ac:dyDescent="0.25">
      <c r="A133" s="400">
        <v>19</v>
      </c>
      <c r="B133" s="481">
        <f t="shared" si="301"/>
        <v>53167.199999999997</v>
      </c>
      <c r="C133" s="484">
        <f t="shared" si="302"/>
        <v>349</v>
      </c>
      <c r="D133" s="502">
        <f t="shared" si="303"/>
        <v>152.34154727793697</v>
      </c>
      <c r="E133" s="481">
        <f t="shared" si="304"/>
        <v>55520.15</v>
      </c>
      <c r="F133" s="484">
        <f t="shared" si="305"/>
        <v>365</v>
      </c>
      <c r="G133" s="502">
        <f t="shared" si="306"/>
        <v>152.11000000000001</v>
      </c>
      <c r="H133" s="481">
        <f t="shared" si="307"/>
        <v>54429.69</v>
      </c>
      <c r="I133" s="484">
        <f t="shared" si="308"/>
        <v>369</v>
      </c>
      <c r="J133" s="502">
        <f t="shared" si="309"/>
        <v>147.50593495934959</v>
      </c>
      <c r="K133" s="481">
        <f t="shared" si="310"/>
        <v>52962.77</v>
      </c>
      <c r="L133" s="484">
        <f t="shared" si="311"/>
        <v>357</v>
      </c>
      <c r="M133" s="502">
        <f t="shared" si="312"/>
        <v>148.35509803921568</v>
      </c>
      <c r="N133" s="481">
        <f t="shared" si="313"/>
        <v>56258.39</v>
      </c>
      <c r="O133" s="484">
        <f t="shared" si="314"/>
        <v>376</v>
      </c>
      <c r="P133" s="502">
        <f t="shared" si="315"/>
        <v>149.62337765957446</v>
      </c>
      <c r="Q133" s="481">
        <f t="shared" si="316"/>
        <v>53045.54</v>
      </c>
      <c r="R133" s="484">
        <f t="shared" si="317"/>
        <v>356</v>
      </c>
      <c r="S133" s="502">
        <f t="shared" si="318"/>
        <v>149.00432584269663</v>
      </c>
      <c r="T133" s="481">
        <f t="shared" si="319"/>
        <v>56217.23</v>
      </c>
      <c r="U133" s="484">
        <f t="shared" si="320"/>
        <v>376</v>
      </c>
      <c r="V133" s="502">
        <f t="shared" si="321"/>
        <v>149.5139095744681</v>
      </c>
      <c r="W133" s="481">
        <f t="shared" si="322"/>
        <v>53807.46</v>
      </c>
      <c r="X133" s="484">
        <f t="shared" si="323"/>
        <v>365</v>
      </c>
      <c r="Y133" s="502">
        <f t="shared" si="324"/>
        <v>147.41769863013698</v>
      </c>
      <c r="Z133" s="481">
        <f t="shared" si="325"/>
        <v>55450.22</v>
      </c>
      <c r="AA133" s="484">
        <f t="shared" si="326"/>
        <v>372</v>
      </c>
      <c r="AB133" s="502">
        <f t="shared" si="327"/>
        <v>149.0597311827957</v>
      </c>
      <c r="AC133" s="481">
        <f t="shared" si="328"/>
        <v>51902.39</v>
      </c>
      <c r="AD133" s="484">
        <f t="shared" si="329"/>
        <v>342</v>
      </c>
      <c r="AE133" s="502">
        <f t="shared" si="330"/>
        <v>151.76137426900584</v>
      </c>
      <c r="AF133" s="481">
        <f t="shared" si="331"/>
        <v>54003.58</v>
      </c>
      <c r="AG133" s="484">
        <f t="shared" si="332"/>
        <v>358</v>
      </c>
      <c r="AH133" s="502">
        <f t="shared" si="333"/>
        <v>150.84798882681565</v>
      </c>
      <c r="AI133" s="481">
        <f t="shared" si="334"/>
        <v>54835.41</v>
      </c>
      <c r="AJ133" s="484">
        <f t="shared" si="335"/>
        <v>362</v>
      </c>
      <c r="AK133" s="502">
        <f t="shared" si="336"/>
        <v>151.47903314917127</v>
      </c>
      <c r="AL133" s="481">
        <f t="shared" si="347"/>
        <v>55221</v>
      </c>
      <c r="AM133" s="484">
        <f t="shared" si="347"/>
        <v>368</v>
      </c>
      <c r="AN133" s="502">
        <f t="shared" si="337"/>
        <v>150.05706521739131</v>
      </c>
      <c r="AO133" s="481">
        <f t="shared" si="345"/>
        <v>54300.002500000002</v>
      </c>
      <c r="AP133" s="484">
        <f t="shared" si="346"/>
        <v>362.25</v>
      </c>
      <c r="AQ133" s="502">
        <f t="shared" si="338"/>
        <v>149.77645329654507</v>
      </c>
      <c r="AR133" s="481">
        <f t="shared" si="339"/>
        <v>51902.39</v>
      </c>
      <c r="AS133" s="484">
        <f t="shared" si="340"/>
        <v>342</v>
      </c>
      <c r="AT133" s="502">
        <f t="shared" si="341"/>
        <v>147.41769863013698</v>
      </c>
      <c r="AU133" s="481">
        <f t="shared" si="342"/>
        <v>56258.39</v>
      </c>
      <c r="AV133" s="484">
        <f t="shared" si="343"/>
        <v>376</v>
      </c>
      <c r="AW133" s="502">
        <f t="shared" si="344"/>
        <v>152.34154727793697</v>
      </c>
    </row>
    <row r="134" spans="1:110" hidden="1" outlineLevel="1" x14ac:dyDescent="0.25">
      <c r="A134" s="401">
        <v>20</v>
      </c>
      <c r="B134" s="483">
        <f t="shared" si="301"/>
        <v>58568</v>
      </c>
      <c r="C134" s="486">
        <f t="shared" si="302"/>
        <v>392</v>
      </c>
      <c r="D134" s="504">
        <f t="shared" si="303"/>
        <v>149.40816326530611</v>
      </c>
      <c r="E134" s="483">
        <f t="shared" si="304"/>
        <v>58568</v>
      </c>
      <c r="F134" s="486">
        <f t="shared" si="305"/>
        <v>392</v>
      </c>
      <c r="G134" s="504">
        <f t="shared" si="306"/>
        <v>149.40816326530611</v>
      </c>
      <c r="H134" s="483">
        <f t="shared" si="307"/>
        <v>58568</v>
      </c>
      <c r="I134" s="486">
        <f t="shared" si="308"/>
        <v>392</v>
      </c>
      <c r="J134" s="504">
        <f t="shared" si="309"/>
        <v>149.40816326530611</v>
      </c>
      <c r="K134" s="483">
        <f t="shared" si="310"/>
        <v>58568</v>
      </c>
      <c r="L134" s="486">
        <f t="shared" si="311"/>
        <v>392</v>
      </c>
      <c r="M134" s="504">
        <f t="shared" si="312"/>
        <v>149.40816326530611</v>
      </c>
      <c r="N134" s="483">
        <f t="shared" si="313"/>
        <v>58568</v>
      </c>
      <c r="O134" s="486">
        <f t="shared" si="314"/>
        <v>392</v>
      </c>
      <c r="P134" s="504">
        <f t="shared" si="315"/>
        <v>149.40816326530611</v>
      </c>
      <c r="Q134" s="483">
        <f t="shared" si="316"/>
        <v>58568</v>
      </c>
      <c r="R134" s="486">
        <f t="shared" si="317"/>
        <v>392</v>
      </c>
      <c r="S134" s="504">
        <f t="shared" si="318"/>
        <v>149.40816326530611</v>
      </c>
      <c r="T134" s="483">
        <f t="shared" si="319"/>
        <v>58568</v>
      </c>
      <c r="U134" s="486">
        <f t="shared" si="320"/>
        <v>392</v>
      </c>
      <c r="V134" s="504">
        <f t="shared" si="321"/>
        <v>149.40816326530611</v>
      </c>
      <c r="W134" s="483">
        <f t="shared" si="322"/>
        <v>58568</v>
      </c>
      <c r="X134" s="486">
        <f t="shared" si="323"/>
        <v>392</v>
      </c>
      <c r="Y134" s="504">
        <f t="shared" si="324"/>
        <v>149.40816326530611</v>
      </c>
      <c r="Z134" s="483">
        <f t="shared" si="325"/>
        <v>58568</v>
      </c>
      <c r="AA134" s="486">
        <f t="shared" si="326"/>
        <v>392</v>
      </c>
      <c r="AB134" s="504">
        <f t="shared" si="327"/>
        <v>149.40816326530611</v>
      </c>
      <c r="AC134" s="483">
        <f t="shared" si="328"/>
        <v>58568</v>
      </c>
      <c r="AD134" s="486">
        <f t="shared" si="329"/>
        <v>392</v>
      </c>
      <c r="AE134" s="504">
        <f t="shared" si="330"/>
        <v>149.40816326530611</v>
      </c>
      <c r="AF134" s="483">
        <f t="shared" si="331"/>
        <v>58568</v>
      </c>
      <c r="AG134" s="486">
        <f t="shared" si="332"/>
        <v>392</v>
      </c>
      <c r="AH134" s="504">
        <f t="shared" si="333"/>
        <v>149.40816326530611</v>
      </c>
      <c r="AI134" s="483">
        <f t="shared" si="334"/>
        <v>58568</v>
      </c>
      <c r="AJ134" s="486">
        <f t="shared" si="335"/>
        <v>392</v>
      </c>
      <c r="AK134" s="504">
        <f t="shared" si="336"/>
        <v>149.40816326530611</v>
      </c>
      <c r="AL134" s="483">
        <f t="shared" si="347"/>
        <v>58568</v>
      </c>
      <c r="AM134" s="486">
        <f t="shared" si="347"/>
        <v>392</v>
      </c>
      <c r="AN134" s="504">
        <f t="shared" si="337"/>
        <v>149.40816326530611</v>
      </c>
      <c r="AO134" s="483">
        <f t="shared" si="345"/>
        <v>58568</v>
      </c>
      <c r="AP134" s="486">
        <f t="shared" si="346"/>
        <v>392</v>
      </c>
      <c r="AQ134" s="504">
        <f t="shared" si="338"/>
        <v>149.40816326530609</v>
      </c>
      <c r="AR134" s="483">
        <f t="shared" si="339"/>
        <v>58568</v>
      </c>
      <c r="AS134" s="486">
        <f t="shared" si="340"/>
        <v>392</v>
      </c>
      <c r="AT134" s="504">
        <f t="shared" si="341"/>
        <v>149.40816326530611</v>
      </c>
      <c r="AU134" s="483">
        <f t="shared" si="342"/>
        <v>58568</v>
      </c>
      <c r="AV134" s="486">
        <f t="shared" si="343"/>
        <v>392</v>
      </c>
      <c r="AW134" s="504">
        <f t="shared" si="344"/>
        <v>149.40816326530611</v>
      </c>
    </row>
    <row r="135" spans="1:110" hidden="1" outlineLevel="1" x14ac:dyDescent="0.25">
      <c r="A135" s="400">
        <v>21</v>
      </c>
      <c r="B135" s="481">
        <f t="shared" si="301"/>
        <v>66861.17</v>
      </c>
      <c r="C135" s="484">
        <f t="shared" si="302"/>
        <v>453</v>
      </c>
      <c r="D135" s="502">
        <f t="shared" si="303"/>
        <v>147.59640176600442</v>
      </c>
      <c r="E135" s="481">
        <f t="shared" si="304"/>
        <v>76713.55</v>
      </c>
      <c r="F135" s="484">
        <f t="shared" si="305"/>
        <v>515</v>
      </c>
      <c r="G135" s="502">
        <f t="shared" si="306"/>
        <v>148.95834951456311</v>
      </c>
      <c r="H135" s="481">
        <f t="shared" si="307"/>
        <v>66547.649999999994</v>
      </c>
      <c r="I135" s="484">
        <f t="shared" si="308"/>
        <v>442</v>
      </c>
      <c r="J135" s="502">
        <f t="shared" si="309"/>
        <v>150.56029411764703</v>
      </c>
      <c r="K135" s="481">
        <f t="shared" si="310"/>
        <v>66722.28</v>
      </c>
      <c r="L135" s="484">
        <f t="shared" si="311"/>
        <v>443</v>
      </c>
      <c r="M135" s="502">
        <f t="shared" si="312"/>
        <v>150.61462753950337</v>
      </c>
      <c r="N135" s="481">
        <f t="shared" si="313"/>
        <v>63388.19</v>
      </c>
      <c r="O135" s="484">
        <f t="shared" si="314"/>
        <v>422</v>
      </c>
      <c r="P135" s="502">
        <f t="shared" si="315"/>
        <v>150.20898104265405</v>
      </c>
      <c r="Q135" s="481">
        <f t="shared" si="316"/>
        <v>69131.58</v>
      </c>
      <c r="R135" s="484">
        <f t="shared" si="317"/>
        <v>457</v>
      </c>
      <c r="S135" s="502">
        <f t="shared" si="318"/>
        <v>151.27260393873087</v>
      </c>
      <c r="T135" s="481">
        <f t="shared" si="319"/>
        <v>65808.56</v>
      </c>
      <c r="U135" s="484">
        <f t="shared" si="320"/>
        <v>443</v>
      </c>
      <c r="V135" s="502">
        <f t="shared" si="321"/>
        <v>148.55205417607223</v>
      </c>
      <c r="W135" s="481">
        <f t="shared" si="322"/>
        <v>67620.89</v>
      </c>
      <c r="X135" s="484">
        <f t="shared" si="323"/>
        <v>453</v>
      </c>
      <c r="Y135" s="502">
        <f t="shared" si="324"/>
        <v>149.27348785871965</v>
      </c>
      <c r="Z135" s="481">
        <f t="shared" si="325"/>
        <v>64268.11</v>
      </c>
      <c r="AA135" s="484">
        <f t="shared" si="326"/>
        <v>430</v>
      </c>
      <c r="AB135" s="502">
        <f t="shared" si="327"/>
        <v>149.46072093023255</v>
      </c>
      <c r="AC135" s="481">
        <f t="shared" si="328"/>
        <v>70441.73</v>
      </c>
      <c r="AD135" s="484">
        <f t="shared" si="329"/>
        <v>465</v>
      </c>
      <c r="AE135" s="502">
        <f t="shared" si="330"/>
        <v>151.48759139784946</v>
      </c>
      <c r="AF135" s="481">
        <f t="shared" si="331"/>
        <v>68124.37</v>
      </c>
      <c r="AG135" s="484">
        <f t="shared" si="332"/>
        <v>452</v>
      </c>
      <c r="AH135" s="502">
        <f t="shared" si="333"/>
        <v>150.71763274336283</v>
      </c>
      <c r="AI135" s="481">
        <f t="shared" si="334"/>
        <v>64246.01</v>
      </c>
      <c r="AJ135" s="484">
        <f t="shared" si="335"/>
        <v>431</v>
      </c>
      <c r="AK135" s="502">
        <f t="shared" si="336"/>
        <v>149.06266821345707</v>
      </c>
      <c r="AL135" s="481">
        <f t="shared" si="347"/>
        <v>62627</v>
      </c>
      <c r="AM135" s="484">
        <f t="shared" si="347"/>
        <v>425</v>
      </c>
      <c r="AN135" s="502">
        <f t="shared" si="337"/>
        <v>147.35764705882352</v>
      </c>
      <c r="AO135" s="481">
        <f t="shared" si="345"/>
        <v>67489.507499999992</v>
      </c>
      <c r="AP135" s="484">
        <f t="shared" si="346"/>
        <v>450.5</v>
      </c>
      <c r="AQ135" s="502">
        <f t="shared" si="338"/>
        <v>149.88206772957631</v>
      </c>
      <c r="AR135" s="481">
        <f t="shared" si="339"/>
        <v>63388.19</v>
      </c>
      <c r="AS135" s="484">
        <f t="shared" si="340"/>
        <v>422</v>
      </c>
      <c r="AT135" s="502">
        <f t="shared" si="341"/>
        <v>147.59640176600442</v>
      </c>
      <c r="AU135" s="481">
        <f t="shared" si="342"/>
        <v>76713.55</v>
      </c>
      <c r="AV135" s="484">
        <f t="shared" si="343"/>
        <v>515</v>
      </c>
      <c r="AW135" s="502">
        <f t="shared" si="344"/>
        <v>151.48759139784946</v>
      </c>
    </row>
    <row r="136" spans="1:110" hidden="1" outlineLevel="1" x14ac:dyDescent="0.25">
      <c r="A136" s="487" t="s">
        <v>279</v>
      </c>
    </row>
    <row r="137" spans="1:110" hidden="1" outlineLevel="1" x14ac:dyDescent="0.25">
      <c r="A137" s="333" t="s">
        <v>31</v>
      </c>
      <c r="B137" s="397" t="str">
        <f>Tabelle3[[#Headers],[Ned (€)]]</f>
        <v>Ned (€)</v>
      </c>
      <c r="C137" s="389" t="str">
        <f>Tabelle3[[#Headers],[Ned (Backer)]]</f>
        <v>Ned (Backer)</v>
      </c>
      <c r="D137" s="493" t="str">
        <f>Tabelle3[[#Headers],[Ned (€/B)]]</f>
        <v>Ned (€/B)</v>
      </c>
      <c r="E137" s="391" t="str">
        <f>Tabelle3[[#Headers],[Werkzeuge (€)]]</f>
        <v>Werkzeuge (€)</v>
      </c>
      <c r="F137" s="392" t="str">
        <f>Tabelle3[[#Headers],[Werkzeuge (Backer)]]</f>
        <v>Werkzeuge (Backer)</v>
      </c>
      <c r="G137" s="493" t="str">
        <f>Tabelle3[[#Headers],[Werkz (€/B)]]</f>
        <v>Werkz (€/B)</v>
      </c>
      <c r="H137" s="395" t="str">
        <f>Tabelle3[[#Headers],[DSK Fasar (€)]]</f>
        <v>DSK Fasar (€)</v>
      </c>
      <c r="I137" s="398" t="str">
        <f>Tabelle3[[#Headers],[DSK Fasar (Backer)]]</f>
        <v>DSK Fasar (Backer)</v>
      </c>
      <c r="J137" s="398" t="str">
        <f>Tabelle3[[#Headers],[DSK Fasar (€/B)]]</f>
        <v>DSK Fasar (€/B)</v>
      </c>
      <c r="K137" s="397" t="str">
        <f>Tabelle3[[#Headers],[Mythen (€)]]</f>
        <v>Mythen (€)</v>
      </c>
      <c r="L137" s="389" t="str">
        <f>Tabelle3[[#Headers],[Mythen (Backer)]]</f>
        <v>Mythen (Backer)</v>
      </c>
      <c r="M137" s="389" t="str">
        <f>Tabelle3[[#Headers],[Mythen (€/B)]]</f>
        <v>Mythen (€/B)</v>
      </c>
      <c r="N137" s="393" t="str">
        <f>Tabelle3[[#Headers],[SOK (€)]]</f>
        <v>SOK (€)</v>
      </c>
      <c r="O137" s="394" t="str">
        <f>Tabelle3[[#Headers],[SOK (Backer)]]</f>
        <v>SOK (Backer)</v>
      </c>
      <c r="P137" s="394" t="str">
        <f>Tabelle3[[#Headers],[SOK (€/B)]]</f>
        <v>SOK (€/B)</v>
      </c>
      <c r="Q137" s="390" t="str">
        <f>Tabelle3[[#Headers],[RE (€)]]</f>
        <v>RE (€)</v>
      </c>
      <c r="R137" s="390" t="str">
        <f>Tabelle3[[#Headers],[RE (Backer)]]</f>
        <v>RE (Backer)</v>
      </c>
      <c r="S137" s="390" t="str">
        <f>Tabelle3[[#Headers],[RE (€/B)]]</f>
        <v>RE (€/B)</v>
      </c>
      <c r="T137" s="390" t="str">
        <f>Tabelle3[[#Headers],[DGG (€)]]</f>
        <v>DGG (€)</v>
      </c>
      <c r="U137" s="390" t="str">
        <f>Tabelle3[[#Headers],[DGG (Backer)]]</f>
        <v>DGG (Backer)</v>
      </c>
      <c r="V137" s="390" t="str">
        <f>Tabelle3[[#Headers],[DGG (€/B)]]</f>
        <v>DGG (€/B)</v>
      </c>
      <c r="W137" s="395" t="str">
        <f>Tabelle3[[#Headers],[DSK SV (€)]]</f>
        <v>DSK SV (€)</v>
      </c>
      <c r="X137" s="398" t="str">
        <f>Tabelle3[[#Headers],[DSK SV (Backer)]]</f>
        <v>DSK SV (Backer)</v>
      </c>
      <c r="Y137" s="398" t="str">
        <f>Tabelle3[[#Headers],[DSK SV (€/B)]]</f>
        <v>DSK SV (€/B)</v>
      </c>
      <c r="Z137" s="393" t="str">
        <f>Tabelle3[[#Headers],[WW (€)]]</f>
        <v>WW (€)</v>
      </c>
      <c r="AA137" s="394" t="str">
        <f>Tabelle3[[#Headers],[WW (Backer)]]</f>
        <v>WW (Backer)</v>
      </c>
      <c r="AB137" s="394" t="str">
        <f>Tabelle3[[#Headers],[WW (€/B)]]</f>
        <v>WW (€/B)</v>
      </c>
      <c r="AC137" s="395" t="str">
        <f>Tabelle3[[#Headers],[DSK R (€)]]</f>
        <v>DSK R (€)</v>
      </c>
      <c r="AD137" s="398" t="str">
        <f>Tabelle3[[#Headers],[DSK R (Backer)]]</f>
        <v>DSK R (Backer)</v>
      </c>
      <c r="AE137" s="398" t="str">
        <f>Tabelle3[[#Headers],[DSK R (€/B)]]</f>
        <v>DSK R (€/B)</v>
      </c>
      <c r="AF137" s="390" t="str">
        <f>Tabelle3[[#Headers],[Ära (€)]]</f>
        <v>Ära (€)</v>
      </c>
      <c r="AG137" s="390" t="str">
        <f>Tabelle3[[#Headers],[Ära (Backer)]]</f>
        <v>Ära (Backer)</v>
      </c>
      <c r="AH137" s="390" t="str">
        <f>Tabelle3[[#Headers],[Ära (€/B)]]</f>
        <v>Ära (€/B)</v>
      </c>
      <c r="AI137" s="390" t="str">
        <f>Tabelle3[[#Headers],[Mosaik (€)]]</f>
        <v>Mosaik (€)</v>
      </c>
      <c r="AJ137" s="390" t="str">
        <f>Tabelle3[[#Headers],[Mosaik (Backer)]]</f>
        <v>Mosaik (Backer)</v>
      </c>
      <c r="AK137" s="390" t="str">
        <f>Tabelle3[[#Headers],[Mosaik (€/B)]]</f>
        <v>Mosaik (€/B)</v>
      </c>
      <c r="AL137" s="575" t="str">
        <f>Tabelle3[[#Headers],[DSK ES (€)]]</f>
        <v>DSK ES (€)</v>
      </c>
      <c r="AM137" s="575" t="str">
        <f>Tabelle3[[#Headers],[DSK ES (Backer)]]</f>
        <v>DSK ES (Backer)</v>
      </c>
      <c r="AN137" s="575" t="str">
        <f>Tabelle3[[#Headers],[DSK ES (€/B)]]</f>
        <v>DSK ES (€/B)</v>
      </c>
      <c r="AO137" s="738" t="s">
        <v>246</v>
      </c>
      <c r="AP137" s="738"/>
      <c r="AQ137" s="463"/>
      <c r="BM137" s="203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2"/>
      <c r="BZ137" s="202"/>
      <c r="CA137" s="202"/>
      <c r="CB137" s="202"/>
      <c r="CC137" s="202"/>
      <c r="CD137" s="202"/>
      <c r="CE137" s="202"/>
      <c r="CF137" s="202"/>
      <c r="CG137" s="202"/>
      <c r="CH137" s="202"/>
      <c r="CI137" s="202"/>
      <c r="CJ137" s="202"/>
      <c r="CK137" s="202"/>
      <c r="CL137" s="202"/>
      <c r="CM137" s="202"/>
      <c r="CN137" s="202"/>
      <c r="CO137" s="202"/>
      <c r="CP137" s="202"/>
      <c r="CQ137" s="202"/>
      <c r="CR137" s="202"/>
      <c r="CS137" s="202"/>
      <c r="CT137" s="202"/>
      <c r="CU137" s="202"/>
      <c r="CV137" s="202"/>
      <c r="CW137" s="202"/>
      <c r="CX137" s="202"/>
      <c r="CY137" s="202"/>
      <c r="CZ137" s="202"/>
      <c r="DA137" s="202"/>
      <c r="DB137" s="202"/>
      <c r="DC137" s="202"/>
      <c r="DD137" s="202"/>
      <c r="DE137" s="202"/>
      <c r="DF137" s="202"/>
    </row>
    <row r="138" spans="1:110" hidden="1" outlineLevel="1" x14ac:dyDescent="0.25">
      <c r="A138" s="488">
        <v>1</v>
      </c>
      <c r="B138" s="481">
        <f>$AL115-B115</f>
        <v>1410.0100000000002</v>
      </c>
      <c r="C138" s="484">
        <f>$AM115-C115</f>
        <v>26</v>
      </c>
      <c r="D138" s="511">
        <f>$AN115-D115</f>
        <v>-24.177015224010432</v>
      </c>
      <c r="E138" s="481">
        <f t="shared" ref="E138" si="348">$AL115-E115</f>
        <v>-2269.7200000000012</v>
      </c>
      <c r="F138" s="484">
        <f t="shared" ref="F138" si="349">$AM115-F115</f>
        <v>-1</v>
      </c>
      <c r="G138" s="511">
        <f>$AN115-G115</f>
        <v>-17.43565370545997</v>
      </c>
      <c r="H138" s="481">
        <f t="shared" ref="H138" si="350">$AL115-H115</f>
        <v>-2333.3600000000006</v>
      </c>
      <c r="I138" s="484">
        <f t="shared" ref="I138" si="351">$AM115-I115</f>
        <v>-10</v>
      </c>
      <c r="J138" s="511">
        <f>$AN115-J115</f>
        <v>-6.9286833638256269</v>
      </c>
      <c r="K138" s="481">
        <f t="shared" ref="K138" si="352">$AL115-K115</f>
        <v>2710.0200000000004</v>
      </c>
      <c r="L138" s="484">
        <f t="shared" ref="L138" si="353">$AM115-L115</f>
        <v>19</v>
      </c>
      <c r="M138" s="511">
        <f>$AN115-M115</f>
        <v>1.1620482903907714E-2</v>
      </c>
      <c r="N138" s="481">
        <f t="shared" ref="N138" si="354">$AL115-N115</f>
        <v>-6541.0800000000017</v>
      </c>
      <c r="O138" s="484">
        <f t="shared" ref="O138" si="355">$AM115-O115</f>
        <v>-38</v>
      </c>
      <c r="P138" s="511">
        <f>$AN115-P115</f>
        <v>-7.0654753365559486</v>
      </c>
      <c r="Q138" s="481">
        <f t="shared" ref="Q138" si="356">$AL115-Q115</f>
        <v>2563.5</v>
      </c>
      <c r="R138" s="484">
        <f t="shared" ref="R138" si="357">$AM115-R115</f>
        <v>27</v>
      </c>
      <c r="S138" s="511">
        <f>$AN115-S115</f>
        <v>-13.679752066115697</v>
      </c>
      <c r="T138" s="481">
        <f t="shared" ref="T138" si="358">$AL115-T115</f>
        <v>-4492.5800000000017</v>
      </c>
      <c r="U138" s="484">
        <f t="shared" ref="U138" si="359">$AM115-U115</f>
        <v>-23</v>
      </c>
      <c r="V138" s="511">
        <f>$AN115-V115</f>
        <v>-8.4268353994490326</v>
      </c>
      <c r="W138" s="481">
        <f t="shared" ref="W138" si="360">$AL115-W115</f>
        <v>1551.92</v>
      </c>
      <c r="X138" s="484">
        <f t="shared" ref="X138" si="361">$AM115-X115</f>
        <v>25</v>
      </c>
      <c r="Y138" s="511">
        <f>$AN115-Y115</f>
        <v>-20.961835399449029</v>
      </c>
      <c r="Z138" s="481">
        <f t="shared" ref="Z138" si="362">$AL115-Z115</f>
        <v>-2000.2099999999991</v>
      </c>
      <c r="AA138" s="484">
        <f t="shared" ref="AA138" si="363">$AM115-AA115</f>
        <v>-4</v>
      </c>
      <c r="AB138" s="511">
        <f>$AN115-AB115</f>
        <v>-11.4394320661157</v>
      </c>
      <c r="AC138" s="481">
        <f t="shared" ref="AC138" si="364">$AL115-AC115</f>
        <v>1010.6100000000006</v>
      </c>
      <c r="AD138" s="484">
        <f t="shared" ref="AD138" si="365">$AM115-AD115</f>
        <v>5</v>
      </c>
      <c r="AE138" s="511">
        <f>$AN115-AE115</f>
        <v>2.5668858649187882</v>
      </c>
      <c r="AF138" s="481">
        <f t="shared" ref="AF138" si="366">$AL115-AF115</f>
        <v>6427.3799999999992</v>
      </c>
      <c r="AG138" s="484">
        <f t="shared" ref="AG138" si="367">$AM115-AG115</f>
        <v>49</v>
      </c>
      <c r="AH138" s="511">
        <f>$AN115-AH115</f>
        <v>-7.7578076216712759</v>
      </c>
      <c r="AI138" s="481">
        <f t="shared" ref="AI138:AI158" si="368">$AL115-AI115</f>
        <v>-2592.9700000000012</v>
      </c>
      <c r="AJ138" s="484">
        <f t="shared" ref="AJ138:AJ158" si="369">$AM115-AJ115</f>
        <v>-8</v>
      </c>
      <c r="AK138" s="511">
        <f>$AN115-AK115</f>
        <v>-11.258976872317248</v>
      </c>
      <c r="AL138" s="481"/>
      <c r="AM138" s="484"/>
      <c r="AN138" s="484"/>
      <c r="AO138" s="481">
        <f>AVERAGE(B138,E138,H138,K138,N138,Q138,T138,W138,Z138,AC138,AF138,AI138)</f>
        <v>-379.7066666666671</v>
      </c>
      <c r="AP138" s="484">
        <f t="shared" ref="AP138:AP158" si="370">AVERAGE(C138,F138,I138,L138,O138,R138,U138,X138,AA138,AD138,AG138,AJ138)</f>
        <v>5.583333333333333</v>
      </c>
      <c r="AQ138" s="511">
        <f t="shared" ref="AQ138:AQ158" si="371">AVERAGE(D138,G138,J138,M138,P138,S138,V138,Y138,AB138,AE138,AH138)</f>
        <v>-10.481271257711819</v>
      </c>
      <c r="AR138" s="481">
        <f t="shared" ref="AR138:AR158" si="372">MIN(B138,E138,H138,K138,N138,Q138,T138,W138,Z138,AC138,AF138)</f>
        <v>-6541.0800000000017</v>
      </c>
      <c r="AS138" s="484">
        <f t="shared" ref="AS138:AS158" si="373">MIN(C138,F138,I138,L138,O138,R138,U138,X138,AA138,AD138,AG138)</f>
        <v>-38</v>
      </c>
      <c r="AT138" s="511">
        <f t="shared" ref="AT138:AT158" si="374">MIN(D138,G138,J138,M138,P138,S138,V138,Y138,AB138,AE138,AH138)</f>
        <v>-24.177015224010432</v>
      </c>
      <c r="AU138" s="481">
        <f t="shared" ref="AU138:AU158" si="375">MAX(B138,E138,H138,K138,N138,Q138,T138,W138,Z138,AC138,AF138)</f>
        <v>6427.3799999999992</v>
      </c>
      <c r="AV138" s="484">
        <f t="shared" ref="AV138:AV158" si="376">MAX(C138,F138,I138,L138,O138,R138,U138,X138,AA138,AD138,AG138)</f>
        <v>49</v>
      </c>
      <c r="AW138" s="511">
        <f t="shared" ref="AW138:AW158" si="377">MAX(D138,G138,J138,M138,P138,S138,V138,Y138,AB138,AE138,AH138)</f>
        <v>2.5668858649187882</v>
      </c>
    </row>
    <row r="139" spans="1:110" hidden="1" outlineLevel="1" x14ac:dyDescent="0.25">
      <c r="A139" s="577">
        <v>2</v>
      </c>
      <c r="B139" s="595"/>
      <c r="C139" s="596"/>
      <c r="D139" s="597"/>
      <c r="E139" s="595"/>
      <c r="F139" s="596"/>
      <c r="G139" s="597"/>
      <c r="H139" s="595"/>
      <c r="I139" s="596"/>
      <c r="J139" s="597"/>
      <c r="K139" s="595"/>
      <c r="L139" s="596"/>
      <c r="M139" s="597"/>
      <c r="N139" s="595"/>
      <c r="O139" s="596"/>
      <c r="P139" s="597"/>
      <c r="Q139" s="595"/>
      <c r="R139" s="596"/>
      <c r="S139" s="597"/>
      <c r="T139" s="595"/>
      <c r="U139" s="596"/>
      <c r="V139" s="597"/>
      <c r="W139" s="595"/>
      <c r="X139" s="596"/>
      <c r="Y139" s="597"/>
      <c r="Z139" s="595"/>
      <c r="AA139" s="596"/>
      <c r="AB139" s="597"/>
      <c r="AC139" s="595"/>
      <c r="AD139" s="596"/>
      <c r="AE139" s="597"/>
      <c r="AF139" s="595"/>
      <c r="AG139" s="596"/>
      <c r="AH139" s="597"/>
      <c r="AI139" s="595"/>
      <c r="AJ139" s="596"/>
      <c r="AK139" s="597"/>
      <c r="AL139" s="482"/>
      <c r="AM139" s="485"/>
      <c r="AN139" s="485"/>
      <c r="AO139" s="482" t="e">
        <f t="shared" ref="AO139:AO158" si="378">AVERAGE(B139,E139,H139,K139,N139,Q139,T139,W139,Z139,AC139,AF139,AI139)</f>
        <v>#DIV/0!</v>
      </c>
      <c r="AP139" s="485" t="e">
        <f t="shared" si="370"/>
        <v>#DIV/0!</v>
      </c>
      <c r="AQ139" s="512" t="e">
        <f t="shared" si="371"/>
        <v>#DIV/0!</v>
      </c>
      <c r="AR139" s="482">
        <f t="shared" si="372"/>
        <v>0</v>
      </c>
      <c r="AS139" s="485">
        <f t="shared" si="373"/>
        <v>0</v>
      </c>
      <c r="AT139" s="512">
        <f t="shared" si="374"/>
        <v>0</v>
      </c>
      <c r="AU139" s="482">
        <f t="shared" si="375"/>
        <v>0</v>
      </c>
      <c r="AV139" s="485">
        <f t="shared" si="376"/>
        <v>0</v>
      </c>
      <c r="AW139" s="512">
        <f t="shared" si="377"/>
        <v>0</v>
      </c>
    </row>
    <row r="140" spans="1:110" hidden="1" outlineLevel="1" x14ac:dyDescent="0.25">
      <c r="A140" s="488">
        <v>3</v>
      </c>
      <c r="B140" s="598"/>
      <c r="C140" s="599"/>
      <c r="D140" s="600"/>
      <c r="E140" s="598"/>
      <c r="F140" s="599"/>
      <c r="G140" s="600"/>
      <c r="H140" s="598"/>
      <c r="I140" s="599"/>
      <c r="J140" s="600"/>
      <c r="K140" s="598"/>
      <c r="L140" s="599"/>
      <c r="M140" s="600"/>
      <c r="N140" s="598"/>
      <c r="O140" s="599"/>
      <c r="P140" s="600"/>
      <c r="Q140" s="598"/>
      <c r="R140" s="599"/>
      <c r="S140" s="600"/>
      <c r="T140" s="598"/>
      <c r="U140" s="599"/>
      <c r="V140" s="600"/>
      <c r="W140" s="598"/>
      <c r="X140" s="599"/>
      <c r="Y140" s="600"/>
      <c r="Z140" s="598"/>
      <c r="AA140" s="599"/>
      <c r="AB140" s="600"/>
      <c r="AC140" s="598"/>
      <c r="AD140" s="599"/>
      <c r="AE140" s="600"/>
      <c r="AF140" s="598"/>
      <c r="AG140" s="599"/>
      <c r="AH140" s="600"/>
      <c r="AI140" s="598"/>
      <c r="AJ140" s="599"/>
      <c r="AK140" s="600"/>
      <c r="AL140" s="481"/>
      <c r="AM140" s="484"/>
      <c r="AN140" s="484"/>
      <c r="AO140" s="481" t="e">
        <f t="shared" si="378"/>
        <v>#DIV/0!</v>
      </c>
      <c r="AP140" s="484" t="e">
        <f t="shared" si="370"/>
        <v>#DIV/0!</v>
      </c>
      <c r="AQ140" s="511" t="e">
        <f t="shared" si="371"/>
        <v>#DIV/0!</v>
      </c>
      <c r="AR140" s="481">
        <f t="shared" si="372"/>
        <v>0</v>
      </c>
      <c r="AS140" s="484">
        <f t="shared" si="373"/>
        <v>0</v>
      </c>
      <c r="AT140" s="511">
        <f t="shared" si="374"/>
        <v>0</v>
      </c>
      <c r="AU140" s="481">
        <f t="shared" si="375"/>
        <v>0</v>
      </c>
      <c r="AV140" s="484">
        <f t="shared" si="376"/>
        <v>0</v>
      </c>
      <c r="AW140" s="511">
        <f t="shared" si="377"/>
        <v>0</v>
      </c>
    </row>
    <row r="141" spans="1:110" hidden="1" outlineLevel="1" x14ac:dyDescent="0.25">
      <c r="A141" s="577">
        <v>4</v>
      </c>
      <c r="B141" s="595"/>
      <c r="C141" s="596"/>
      <c r="D141" s="597"/>
      <c r="E141" s="595"/>
      <c r="F141" s="596"/>
      <c r="G141" s="597"/>
      <c r="H141" s="595"/>
      <c r="I141" s="596"/>
      <c r="J141" s="597"/>
      <c r="K141" s="595"/>
      <c r="L141" s="596"/>
      <c r="M141" s="597"/>
      <c r="N141" s="595"/>
      <c r="O141" s="596"/>
      <c r="P141" s="597"/>
      <c r="Q141" s="595"/>
      <c r="R141" s="596"/>
      <c r="S141" s="597"/>
      <c r="T141" s="595"/>
      <c r="U141" s="596"/>
      <c r="V141" s="597"/>
      <c r="W141" s="595"/>
      <c r="X141" s="596"/>
      <c r="Y141" s="597"/>
      <c r="Z141" s="595"/>
      <c r="AA141" s="596"/>
      <c r="AB141" s="597"/>
      <c r="AC141" s="595"/>
      <c r="AD141" s="596"/>
      <c r="AE141" s="597"/>
      <c r="AF141" s="595"/>
      <c r="AG141" s="596"/>
      <c r="AH141" s="597"/>
      <c r="AI141" s="595"/>
      <c r="AJ141" s="596"/>
      <c r="AK141" s="597"/>
      <c r="AL141" s="482"/>
      <c r="AM141" s="485"/>
      <c r="AN141" s="485"/>
      <c r="AO141" s="482" t="e">
        <f t="shared" si="378"/>
        <v>#DIV/0!</v>
      </c>
      <c r="AP141" s="485" t="e">
        <f t="shared" si="370"/>
        <v>#DIV/0!</v>
      </c>
      <c r="AQ141" s="512" t="e">
        <f t="shared" si="371"/>
        <v>#DIV/0!</v>
      </c>
      <c r="AR141" s="482">
        <f t="shared" si="372"/>
        <v>0</v>
      </c>
      <c r="AS141" s="485">
        <f t="shared" si="373"/>
        <v>0</v>
      </c>
      <c r="AT141" s="512">
        <f t="shared" si="374"/>
        <v>0</v>
      </c>
      <c r="AU141" s="482">
        <f t="shared" si="375"/>
        <v>0</v>
      </c>
      <c r="AV141" s="485">
        <f t="shared" si="376"/>
        <v>0</v>
      </c>
      <c r="AW141" s="512">
        <f t="shared" si="377"/>
        <v>0</v>
      </c>
    </row>
    <row r="142" spans="1:110" hidden="1" outlineLevel="1" x14ac:dyDescent="0.25">
      <c r="A142" s="488">
        <v>5</v>
      </c>
      <c r="B142" s="598"/>
      <c r="C142" s="599"/>
      <c r="D142" s="600"/>
      <c r="E142" s="598"/>
      <c r="F142" s="599"/>
      <c r="G142" s="600"/>
      <c r="H142" s="598"/>
      <c r="I142" s="599"/>
      <c r="J142" s="600"/>
      <c r="K142" s="598"/>
      <c r="L142" s="599"/>
      <c r="M142" s="600"/>
      <c r="N142" s="598"/>
      <c r="O142" s="599"/>
      <c r="P142" s="600"/>
      <c r="Q142" s="598"/>
      <c r="R142" s="599"/>
      <c r="S142" s="600"/>
      <c r="T142" s="598"/>
      <c r="U142" s="599"/>
      <c r="V142" s="600"/>
      <c r="W142" s="598"/>
      <c r="X142" s="599"/>
      <c r="Y142" s="600"/>
      <c r="Z142" s="598"/>
      <c r="AA142" s="599"/>
      <c r="AB142" s="600"/>
      <c r="AC142" s="598"/>
      <c r="AD142" s="599"/>
      <c r="AE142" s="600"/>
      <c r="AF142" s="598"/>
      <c r="AG142" s="599"/>
      <c r="AH142" s="600"/>
      <c r="AI142" s="598"/>
      <c r="AJ142" s="599"/>
      <c r="AK142" s="600"/>
      <c r="AL142" s="481"/>
      <c r="AM142" s="484"/>
      <c r="AN142" s="484"/>
      <c r="AO142" s="481" t="e">
        <f t="shared" si="378"/>
        <v>#DIV/0!</v>
      </c>
      <c r="AP142" s="484" t="e">
        <f t="shared" si="370"/>
        <v>#DIV/0!</v>
      </c>
      <c r="AQ142" s="511" t="e">
        <f t="shared" si="371"/>
        <v>#DIV/0!</v>
      </c>
      <c r="AR142" s="481">
        <f t="shared" si="372"/>
        <v>0</v>
      </c>
      <c r="AS142" s="484">
        <f t="shared" si="373"/>
        <v>0</v>
      </c>
      <c r="AT142" s="511">
        <f t="shared" si="374"/>
        <v>0</v>
      </c>
      <c r="AU142" s="481">
        <f t="shared" si="375"/>
        <v>0</v>
      </c>
      <c r="AV142" s="484">
        <f t="shared" si="376"/>
        <v>0</v>
      </c>
      <c r="AW142" s="511">
        <f t="shared" si="377"/>
        <v>0</v>
      </c>
    </row>
    <row r="143" spans="1:110" hidden="1" outlineLevel="1" x14ac:dyDescent="0.25">
      <c r="A143" s="577">
        <v>6</v>
      </c>
      <c r="B143" s="595"/>
      <c r="C143" s="596"/>
      <c r="D143" s="597"/>
      <c r="E143" s="595"/>
      <c r="F143" s="596"/>
      <c r="G143" s="597"/>
      <c r="H143" s="595"/>
      <c r="I143" s="596"/>
      <c r="J143" s="597"/>
      <c r="K143" s="595"/>
      <c r="L143" s="596"/>
      <c r="M143" s="597"/>
      <c r="N143" s="595"/>
      <c r="O143" s="596"/>
      <c r="P143" s="597"/>
      <c r="Q143" s="595"/>
      <c r="R143" s="596"/>
      <c r="S143" s="597"/>
      <c r="T143" s="595"/>
      <c r="U143" s="596"/>
      <c r="V143" s="597"/>
      <c r="W143" s="595"/>
      <c r="X143" s="596"/>
      <c r="Y143" s="597"/>
      <c r="Z143" s="595"/>
      <c r="AA143" s="596"/>
      <c r="AB143" s="597"/>
      <c r="AC143" s="595"/>
      <c r="AD143" s="596"/>
      <c r="AE143" s="597"/>
      <c r="AF143" s="595"/>
      <c r="AG143" s="596"/>
      <c r="AH143" s="597"/>
      <c r="AI143" s="595"/>
      <c r="AJ143" s="596"/>
      <c r="AK143" s="597"/>
      <c r="AL143" s="482"/>
      <c r="AM143" s="485"/>
      <c r="AN143" s="485"/>
      <c r="AO143" s="482" t="e">
        <f t="shared" si="378"/>
        <v>#DIV/0!</v>
      </c>
      <c r="AP143" s="485" t="e">
        <f t="shared" si="370"/>
        <v>#DIV/0!</v>
      </c>
      <c r="AQ143" s="512" t="e">
        <f t="shared" si="371"/>
        <v>#DIV/0!</v>
      </c>
      <c r="AR143" s="482">
        <f t="shared" si="372"/>
        <v>0</v>
      </c>
      <c r="AS143" s="485">
        <f t="shared" si="373"/>
        <v>0</v>
      </c>
      <c r="AT143" s="512">
        <f t="shared" si="374"/>
        <v>0</v>
      </c>
      <c r="AU143" s="482">
        <f t="shared" si="375"/>
        <v>0</v>
      </c>
      <c r="AV143" s="485">
        <f t="shared" si="376"/>
        <v>0</v>
      </c>
      <c r="AW143" s="512">
        <f t="shared" si="377"/>
        <v>0</v>
      </c>
    </row>
    <row r="144" spans="1:110" hidden="1" outlineLevel="1" x14ac:dyDescent="0.25">
      <c r="A144" s="488">
        <v>7</v>
      </c>
      <c r="B144" s="481">
        <f t="shared" ref="B144:B158" si="379">$AL121-B121</f>
        <v>5424.4399999999987</v>
      </c>
      <c r="C144" s="484">
        <f t="shared" ref="C144:C158" si="380">$AM121-C121</f>
        <v>58</v>
      </c>
      <c r="D144" s="511">
        <f t="shared" ref="D144:D158" si="381">$AN121-D121</f>
        <v>-17.544085297418633</v>
      </c>
      <c r="E144" s="481">
        <f t="shared" ref="E144" si="382">$AL121-E121</f>
        <v>67.209999999999127</v>
      </c>
      <c r="F144" s="484">
        <f t="shared" ref="F144" si="383">$AM121-F121</f>
        <v>19</v>
      </c>
      <c r="G144" s="511">
        <f t="shared" ref="G144:G158" si="384">$AN121-G121</f>
        <v>-13.13834916327454</v>
      </c>
      <c r="H144" s="481">
        <f t="shared" ref="H144" si="385">$AL121-H121</f>
        <v>1238.0999999999985</v>
      </c>
      <c r="I144" s="484">
        <f t="shared" ref="I144" si="386">$AM121-I121</f>
        <v>13</v>
      </c>
      <c r="J144" s="511">
        <f t="shared" ref="J144:J158" si="387">$AN121-J121</f>
        <v>-2.9698287220026316</v>
      </c>
      <c r="K144" s="481">
        <f t="shared" ref="K144" si="388">$AL121-K121</f>
        <v>1533.3499999999985</v>
      </c>
      <c r="L144" s="484">
        <f t="shared" ref="L144" si="389">$AM121-L121</f>
        <v>10</v>
      </c>
      <c r="M144" s="511">
        <f t="shared" ref="M144:M158" si="390">$AN121-M121</f>
        <v>0.51465367965366227</v>
      </c>
      <c r="N144" s="481">
        <f t="shared" ref="N144" si="391">$AL121-N121</f>
        <v>-7697.9100000000035</v>
      </c>
      <c r="O144" s="484">
        <f t="shared" ref="O144" si="392">$AM121-O121</f>
        <v>-45</v>
      </c>
      <c r="P144" s="511">
        <f t="shared" ref="P144:P158" si="393">$AN121-P121</f>
        <v>-4.8459725557461582</v>
      </c>
      <c r="Q144" s="481">
        <f t="shared" ref="Q144" si="394">$AL121-Q121</f>
        <v>2236.1100000000006</v>
      </c>
      <c r="R144" s="484">
        <f t="shared" ref="R144" si="395">$AM121-R121</f>
        <v>24</v>
      </c>
      <c r="S144" s="511">
        <f t="shared" ref="S144:S158" si="396">$AN121-S121</f>
        <v>-6.0435946196660382</v>
      </c>
      <c r="T144" s="481">
        <f t="shared" ref="T144" si="397">$AL121-T121</f>
        <v>-4675.6299999999974</v>
      </c>
      <c r="U144" s="484">
        <f t="shared" ref="U144" si="398">$AM121-U121</f>
        <v>-18</v>
      </c>
      <c r="V144" s="511">
        <f t="shared" ref="V144:V158" si="399">$AN121-V121</f>
        <v>-8.8661306340717942</v>
      </c>
      <c r="W144" s="481">
        <f t="shared" ref="W144" si="400">$AL121-W121</f>
        <v>1973.3100000000013</v>
      </c>
      <c r="X144" s="484">
        <f t="shared" ref="X144" si="401">$AM121-X121</f>
        <v>36</v>
      </c>
      <c r="Y144" s="511">
        <f t="shared" ref="Y144:Y158" si="402">$AN121-Y121</f>
        <v>-17.161259881422922</v>
      </c>
      <c r="Z144" s="481">
        <f t="shared" ref="Z144" si="403">$AL121-Z121</f>
        <v>-5267.9199999999983</v>
      </c>
      <c r="AA144" s="484">
        <f t="shared" ref="AA144" si="404">$AM121-AA121</f>
        <v>-24</v>
      </c>
      <c r="AB144" s="511">
        <f t="shared" ref="AB144:AB158" si="405">$AN121-AB121</f>
        <v>-7.5707600596124962</v>
      </c>
      <c r="AC144" s="481">
        <f t="shared" ref="AC144" si="406">$AL121-AC121</f>
        <v>-1150.0400000000009</v>
      </c>
      <c r="AD144" s="484">
        <f t="shared" ref="AD144" si="407">$AM121-AD121</f>
        <v>1</v>
      </c>
      <c r="AE144" s="511">
        <f t="shared" ref="AE144:AE158" si="408">$AN121-AE121</f>
        <v>-5.9021336654213314</v>
      </c>
      <c r="AF144" s="481">
        <f t="shared" ref="AF144" si="409">$AL121-AF121</f>
        <v>5538.23</v>
      </c>
      <c r="AG144" s="484">
        <f t="shared" ref="AG144" si="410">$AM121-AG121</f>
        <v>47</v>
      </c>
      <c r="AH144" s="511">
        <f t="shared" ref="AH144:AH158" si="411">$AN121-AH121</f>
        <v>-6.7083920126116539</v>
      </c>
      <c r="AI144" s="481">
        <f t="shared" si="368"/>
        <v>-5772.7099999999991</v>
      </c>
      <c r="AJ144" s="484">
        <f t="shared" si="369"/>
        <v>-26</v>
      </c>
      <c r="AK144" s="511">
        <f t="shared" ref="AK144:AK158" si="412">$AN121-AK121</f>
        <v>-8.4024427198817477</v>
      </c>
      <c r="AL144" s="481"/>
      <c r="AM144" s="484"/>
      <c r="AN144" s="484"/>
      <c r="AO144" s="481">
        <f t="shared" si="378"/>
        <v>-546.1216666666669</v>
      </c>
      <c r="AP144" s="484">
        <f t="shared" si="370"/>
        <v>7.916666666666667</v>
      </c>
      <c r="AQ144" s="511">
        <f t="shared" si="371"/>
        <v>-8.2032593574176857</v>
      </c>
      <c r="AR144" s="481">
        <f t="shared" si="372"/>
        <v>-7697.9100000000035</v>
      </c>
      <c r="AS144" s="484">
        <f t="shared" si="373"/>
        <v>-45</v>
      </c>
      <c r="AT144" s="511">
        <f t="shared" si="374"/>
        <v>-17.544085297418633</v>
      </c>
      <c r="AU144" s="481">
        <f t="shared" si="375"/>
        <v>5538.23</v>
      </c>
      <c r="AV144" s="484">
        <f t="shared" si="376"/>
        <v>58</v>
      </c>
      <c r="AW144" s="511">
        <f t="shared" si="377"/>
        <v>0.51465367965366227</v>
      </c>
    </row>
    <row r="145" spans="1:49" hidden="1" outlineLevel="1" x14ac:dyDescent="0.25">
      <c r="A145" s="577">
        <v>8</v>
      </c>
      <c r="B145" s="482">
        <f t="shared" si="379"/>
        <v>4750.4199999999983</v>
      </c>
      <c r="C145" s="485">
        <f t="shared" si="380"/>
        <v>56</v>
      </c>
      <c r="D145" s="512">
        <f t="shared" si="381"/>
        <v>-18.166563910496507</v>
      </c>
      <c r="E145" s="482">
        <f t="shared" ref="E145" si="413">$AL122-E122</f>
        <v>653.09999999999854</v>
      </c>
      <c r="F145" s="485">
        <f t="shared" ref="F145" si="414">$AM122-F122</f>
        <v>24</v>
      </c>
      <c r="G145" s="512">
        <f t="shared" si="384"/>
        <v>-13.184017094017094</v>
      </c>
      <c r="H145" s="482">
        <f t="shared" ref="H145" si="415">$AL122-H122</f>
        <v>1730.1599999999999</v>
      </c>
      <c r="I145" s="485">
        <f t="shared" ref="I145" si="416">$AM122-I122</f>
        <v>16</v>
      </c>
      <c r="J145" s="512">
        <f t="shared" si="387"/>
        <v>-2.5275339135889681</v>
      </c>
      <c r="K145" s="482">
        <f t="shared" ref="K145" si="417">$AL122-K122</f>
        <v>912.45000000000073</v>
      </c>
      <c r="L145" s="485">
        <f t="shared" ref="L145" si="418">$AM122-L122</f>
        <v>9</v>
      </c>
      <c r="M145" s="512">
        <f t="shared" si="390"/>
        <v>-1.6475726495726519</v>
      </c>
      <c r="N145" s="482">
        <f t="shared" ref="N145" si="419">$AL122-N122</f>
        <v>-7509.9499999999971</v>
      </c>
      <c r="O145" s="485">
        <f t="shared" ref="O145" si="420">$AM122-O122</f>
        <v>-41</v>
      </c>
      <c r="P145" s="512">
        <f t="shared" si="393"/>
        <v>-6.0526231546231486</v>
      </c>
      <c r="Q145" s="482">
        <f t="shared" ref="Q145" si="421">$AL122-Q122</f>
        <v>990.59000000000015</v>
      </c>
      <c r="R145" s="485">
        <f t="shared" ref="R145" si="422">$AM122-R122</f>
        <v>16</v>
      </c>
      <c r="S145" s="512">
        <f t="shared" si="396"/>
        <v>-5.9200568493687911</v>
      </c>
      <c r="T145" s="482">
        <f t="shared" ref="T145" si="423">$AL122-T122</f>
        <v>-3618.5299999999988</v>
      </c>
      <c r="U145" s="485">
        <f t="shared" ref="U145" si="424">$AM122-U122</f>
        <v>-11</v>
      </c>
      <c r="V145" s="512">
        <f t="shared" si="399"/>
        <v>-8.3682892028606375</v>
      </c>
      <c r="W145" s="482">
        <f t="shared" ref="W145" si="425">$AL122-W122</f>
        <v>1357.6100000000006</v>
      </c>
      <c r="X145" s="485">
        <f t="shared" ref="X145" si="426">$AM122-X122</f>
        <v>32</v>
      </c>
      <c r="Y145" s="512">
        <f t="shared" si="402"/>
        <v>-15.864924684776184</v>
      </c>
      <c r="Z145" s="482">
        <f t="shared" ref="Z145" si="427">$AL122-Z122</f>
        <v>-4926.6900000000023</v>
      </c>
      <c r="AA145" s="485">
        <f t="shared" ref="AA145" si="428">$AM122-AA122</f>
        <v>-20</v>
      </c>
      <c r="AB145" s="512">
        <f t="shared" si="405"/>
        <v>-8.1702244430984763</v>
      </c>
      <c r="AC145" s="482">
        <f t="shared" ref="AC145" si="429">$AL122-AC122</f>
        <v>-980.4800000000032</v>
      </c>
      <c r="AD145" s="485">
        <f t="shared" ref="AD145" si="430">$AM122-AD122</f>
        <v>3</v>
      </c>
      <c r="AE145" s="512">
        <f t="shared" si="408"/>
        <v>-6.0960950160950347</v>
      </c>
      <c r="AF145" s="482">
        <f t="shared" ref="AF145" si="431">$AL122-AF122</f>
        <v>5186.8499999999985</v>
      </c>
      <c r="AG145" s="485">
        <f t="shared" ref="AG145" si="432">$AM122-AG122</f>
        <v>45</v>
      </c>
      <c r="AH145" s="512">
        <f t="shared" si="411"/>
        <v>-6.5022181522181768</v>
      </c>
      <c r="AI145" s="482">
        <f t="shared" si="368"/>
        <v>-5114.3600000000006</v>
      </c>
      <c r="AJ145" s="485">
        <f t="shared" si="369"/>
        <v>-22</v>
      </c>
      <c r="AK145" s="512">
        <f t="shared" si="412"/>
        <v>-7.7256316773504352</v>
      </c>
      <c r="AL145" s="482"/>
      <c r="AM145" s="485"/>
      <c r="AN145" s="485"/>
      <c r="AO145" s="482">
        <f t="shared" si="378"/>
        <v>-547.40250000000049</v>
      </c>
      <c r="AP145" s="485">
        <f t="shared" si="370"/>
        <v>8.9166666666666661</v>
      </c>
      <c r="AQ145" s="512">
        <f t="shared" si="371"/>
        <v>-8.4091017337014247</v>
      </c>
      <c r="AR145" s="482">
        <f t="shared" si="372"/>
        <v>-7509.9499999999971</v>
      </c>
      <c r="AS145" s="485">
        <f t="shared" si="373"/>
        <v>-41</v>
      </c>
      <c r="AT145" s="512">
        <f t="shared" si="374"/>
        <v>-18.166563910496507</v>
      </c>
      <c r="AU145" s="482">
        <f t="shared" si="375"/>
        <v>5186.8499999999985</v>
      </c>
      <c r="AV145" s="485">
        <f t="shared" si="376"/>
        <v>56</v>
      </c>
      <c r="AW145" s="512">
        <f t="shared" si="377"/>
        <v>-1.6475726495726519</v>
      </c>
    </row>
    <row r="146" spans="1:49" hidden="1" outlineLevel="1" x14ac:dyDescent="0.25">
      <c r="A146" s="488">
        <v>9</v>
      </c>
      <c r="B146" s="481">
        <f t="shared" si="379"/>
        <v>6097.2900000000009</v>
      </c>
      <c r="C146" s="484">
        <f t="shared" si="380"/>
        <v>54</v>
      </c>
      <c r="D146" s="511">
        <f t="shared" si="381"/>
        <v>-10.747903225806454</v>
      </c>
      <c r="E146" s="481">
        <f t="shared" ref="E146" si="433">$AL123-E123</f>
        <v>1561.0800000000017</v>
      </c>
      <c r="F146" s="484">
        <f t="shared" ref="F146" si="434">$AM123-F123</f>
        <v>16</v>
      </c>
      <c r="G146" s="511">
        <f t="shared" si="384"/>
        <v>-3.740416666666647</v>
      </c>
      <c r="H146" s="481">
        <f t="shared" ref="H146" si="435">$AL123-H123</f>
        <v>1928.4599999999991</v>
      </c>
      <c r="I146" s="484">
        <f t="shared" ref="I146" si="436">$AM123-I123</f>
        <v>5</v>
      </c>
      <c r="J146" s="511">
        <f t="shared" si="387"/>
        <v>5.0161418439716385</v>
      </c>
      <c r="K146" s="481">
        <f t="shared" ref="K146" si="437">$AL123-K123</f>
        <v>1899.5899999999965</v>
      </c>
      <c r="L146" s="484">
        <f t="shared" ref="L146" si="438">$AM123-L123</f>
        <v>2</v>
      </c>
      <c r="M146" s="511">
        <f t="shared" si="390"/>
        <v>6.7215266106442471</v>
      </c>
      <c r="N146" s="481">
        <f t="shared" ref="N146" si="439">$AL123-N123</f>
        <v>-6077.8899999999994</v>
      </c>
      <c r="O146" s="484">
        <f t="shared" ref="O146" si="440">$AM123-O123</f>
        <v>-42</v>
      </c>
      <c r="P146" s="511">
        <f t="shared" si="393"/>
        <v>0.77769503546099372</v>
      </c>
      <c r="Q146" s="481">
        <f t="shared" ref="Q146" si="441">$AL123-Q123</f>
        <v>1463.0899999999965</v>
      </c>
      <c r="R146" s="484">
        <f t="shared" ref="R146" si="442">$AM123-R123</f>
        <v>5</v>
      </c>
      <c r="S146" s="511">
        <f t="shared" si="396"/>
        <v>3.0358439716311807</v>
      </c>
      <c r="T146" s="481">
        <f t="shared" ref="T146" si="443">$AL123-T123</f>
        <v>-1896.5199999999968</v>
      </c>
      <c r="U146" s="484">
        <f t="shared" ref="U146" si="444">$AM123-U123</f>
        <v>-10</v>
      </c>
      <c r="V146" s="511">
        <f t="shared" si="399"/>
        <v>-1.5887466666666512</v>
      </c>
      <c r="W146" s="481">
        <f t="shared" ref="W146" si="445">$AL123-W123</f>
        <v>465.59999999999854</v>
      </c>
      <c r="X146" s="484">
        <f t="shared" ref="X146" si="446">$AM123-X123</f>
        <v>12</v>
      </c>
      <c r="Y146" s="511">
        <f t="shared" si="402"/>
        <v>-5.8491228070175509</v>
      </c>
      <c r="Z146" s="481">
        <f t="shared" ref="Z146" si="447">$AL123-Z123</f>
        <v>-4033.6399999999994</v>
      </c>
      <c r="AA146" s="484">
        <f t="shared" ref="AA146" si="448">$AM123-AA123</f>
        <v>-26</v>
      </c>
      <c r="AB146" s="511">
        <f t="shared" si="405"/>
        <v>-0.50892230576440056</v>
      </c>
      <c r="AC146" s="481">
        <f t="shared" ref="AC146" si="449">$AL123-AC123</f>
        <v>1039.0899999999965</v>
      </c>
      <c r="AD146" s="484">
        <f t="shared" ref="AD146" si="450">$AM123-AD123</f>
        <v>2</v>
      </c>
      <c r="AE146" s="511">
        <f t="shared" si="408"/>
        <v>3.1059803921568516</v>
      </c>
      <c r="AF146" s="481">
        <f t="shared" ref="AF146" si="451">$AL123-AF123</f>
        <v>5054.5600000000013</v>
      </c>
      <c r="AG146" s="484">
        <f t="shared" ref="AG146" si="452">$AM123-AG123</f>
        <v>31</v>
      </c>
      <c r="AH146" s="511">
        <f t="shared" si="411"/>
        <v>1.9455821371610966</v>
      </c>
      <c r="AI146" s="481">
        <f t="shared" si="368"/>
        <v>-3486.0899999999965</v>
      </c>
      <c r="AJ146" s="484">
        <f t="shared" si="369"/>
        <v>-22</v>
      </c>
      <c r="AK146" s="511">
        <f t="shared" si="412"/>
        <v>-0.71586513994910206</v>
      </c>
      <c r="AL146" s="481"/>
      <c r="AM146" s="484"/>
      <c r="AN146" s="484"/>
      <c r="AO146" s="481">
        <f t="shared" si="378"/>
        <v>334.55166666666656</v>
      </c>
      <c r="AP146" s="484">
        <f t="shared" si="370"/>
        <v>2.25</v>
      </c>
      <c r="AQ146" s="511">
        <f t="shared" si="371"/>
        <v>-0.16657651644506319</v>
      </c>
      <c r="AR146" s="481">
        <f t="shared" si="372"/>
        <v>-6077.8899999999994</v>
      </c>
      <c r="AS146" s="484">
        <f t="shared" si="373"/>
        <v>-42</v>
      </c>
      <c r="AT146" s="511">
        <f t="shared" si="374"/>
        <v>-10.747903225806454</v>
      </c>
      <c r="AU146" s="481">
        <f t="shared" si="375"/>
        <v>6097.2900000000009</v>
      </c>
      <c r="AV146" s="484">
        <f t="shared" si="376"/>
        <v>54</v>
      </c>
      <c r="AW146" s="511">
        <f t="shared" si="377"/>
        <v>6.7215266106442471</v>
      </c>
    </row>
    <row r="147" spans="1:49" hidden="1" outlineLevel="1" x14ac:dyDescent="0.25">
      <c r="A147" s="577">
        <v>10</v>
      </c>
      <c r="B147" s="482">
        <f t="shared" si="379"/>
        <v>3578.8899999999994</v>
      </c>
      <c r="C147" s="485">
        <f t="shared" si="380"/>
        <v>40</v>
      </c>
      <c r="D147" s="512">
        <f t="shared" si="381"/>
        <v>-11.49404761904762</v>
      </c>
      <c r="E147" s="482">
        <f t="shared" ref="E147" si="453">$AL124-E124</f>
        <v>905.40000000000146</v>
      </c>
      <c r="F147" s="485">
        <f t="shared" ref="F147" si="454">$AM124-F124</f>
        <v>12</v>
      </c>
      <c r="G147" s="512">
        <f t="shared" si="384"/>
        <v>-3.7495462184873816</v>
      </c>
      <c r="H147" s="482">
        <f t="shared" ref="H147" si="455">$AL124-H124</f>
        <v>1596.1500000000015</v>
      </c>
      <c r="I147" s="485">
        <f t="shared" ref="I147" si="456">$AM124-I124</f>
        <v>2</v>
      </c>
      <c r="J147" s="512">
        <f t="shared" si="387"/>
        <v>5.2278951612903199</v>
      </c>
      <c r="K147" s="482">
        <f t="shared" ref="K147" si="457">$AL124-K124</f>
        <v>1232.7799999999988</v>
      </c>
      <c r="L147" s="485">
        <f t="shared" ref="L147" si="458">$AM124-L124</f>
        <v>-1</v>
      </c>
      <c r="M147" s="512">
        <f t="shared" si="390"/>
        <v>5.5083505976095637</v>
      </c>
      <c r="N147" s="482">
        <f t="shared" ref="N147" si="459">$AL124-N124</f>
        <v>-5814.7900000000009</v>
      </c>
      <c r="O147" s="485">
        <f t="shared" ref="O147" si="460">$AM124-O124</f>
        <v>-39</v>
      </c>
      <c r="P147" s="512">
        <f t="shared" si="393"/>
        <v>9.7003460207616854E-2</v>
      </c>
      <c r="Q147" s="482">
        <f t="shared" ref="Q147" si="461">$AL124-Q124</f>
        <v>1361.5899999999965</v>
      </c>
      <c r="R147" s="485">
        <f t="shared" ref="R147" si="462">$AM124-R124</f>
        <v>4</v>
      </c>
      <c r="S147" s="512">
        <f t="shared" si="396"/>
        <v>3.0988861788617896</v>
      </c>
      <c r="T147" s="482">
        <f t="shared" ref="T147" si="463">$AL124-T124</f>
        <v>-1421.760000000002</v>
      </c>
      <c r="U147" s="485">
        <f t="shared" ref="U147" si="464">$AM124-U124</f>
        <v>-7</v>
      </c>
      <c r="V147" s="512">
        <f t="shared" si="399"/>
        <v>-1.4515486381322944</v>
      </c>
      <c r="W147" s="482">
        <f t="shared" ref="W147" si="465">$AL124-W124</f>
        <v>676.15000000000146</v>
      </c>
      <c r="X147" s="485">
        <f t="shared" ref="X147" si="466">$AM124-X124</f>
        <v>14</v>
      </c>
      <c r="Y147" s="512">
        <f t="shared" si="402"/>
        <v>-6.0223474576271201</v>
      </c>
      <c r="Z147" s="482">
        <f t="shared" ref="Z147" si="467">$AL124-Z124</f>
        <v>-3950.4800000000032</v>
      </c>
      <c r="AA147" s="485">
        <f t="shared" ref="AA147" si="468">$AM124-AA124</f>
        <v>-24</v>
      </c>
      <c r="AB147" s="512">
        <f t="shared" si="405"/>
        <v>-1.2952408759124125</v>
      </c>
      <c r="AC147" s="482">
        <f t="shared" ref="AC147" si="469">$AL124-AC124</f>
        <v>1444.1399999999994</v>
      </c>
      <c r="AD147" s="485">
        <f t="shared" ref="AD147" si="470">$AM124-AD124</f>
        <v>3</v>
      </c>
      <c r="AE147" s="512">
        <f t="shared" si="408"/>
        <v>4.0270931174088958</v>
      </c>
      <c r="AF147" s="482">
        <f t="shared" ref="AF147" si="471">$AL124-AF124</f>
        <v>4469.510000000002</v>
      </c>
      <c r="AG147" s="485">
        <f t="shared" ref="AG147" si="472">$AM124-AG124</f>
        <v>26</v>
      </c>
      <c r="AH147" s="512">
        <f t="shared" si="411"/>
        <v>2.5638125000000116</v>
      </c>
      <c r="AI147" s="482">
        <f t="shared" si="368"/>
        <v>-3561.7200000000012</v>
      </c>
      <c r="AJ147" s="485">
        <f t="shared" si="369"/>
        <v>-21</v>
      </c>
      <c r="AK147" s="512">
        <f t="shared" si="412"/>
        <v>-1.5335202952029476</v>
      </c>
      <c r="AL147" s="482"/>
      <c r="AM147" s="485"/>
      <c r="AN147" s="485"/>
      <c r="AO147" s="482">
        <f t="shared" si="378"/>
        <v>42.988333333332776</v>
      </c>
      <c r="AP147" s="485">
        <f t="shared" si="370"/>
        <v>0.75</v>
      </c>
      <c r="AQ147" s="512">
        <f t="shared" si="371"/>
        <v>-0.31724452671169379</v>
      </c>
      <c r="AR147" s="482">
        <f t="shared" si="372"/>
        <v>-5814.7900000000009</v>
      </c>
      <c r="AS147" s="485">
        <f t="shared" si="373"/>
        <v>-39</v>
      </c>
      <c r="AT147" s="512">
        <f t="shared" si="374"/>
        <v>-11.49404761904762</v>
      </c>
      <c r="AU147" s="482">
        <f t="shared" si="375"/>
        <v>4469.510000000002</v>
      </c>
      <c r="AV147" s="485">
        <f t="shared" si="376"/>
        <v>40</v>
      </c>
      <c r="AW147" s="512">
        <f t="shared" si="377"/>
        <v>5.5083505976095637</v>
      </c>
    </row>
    <row r="148" spans="1:49" hidden="1" outlineLevel="1" x14ac:dyDescent="0.25">
      <c r="A148" s="488">
        <v>11</v>
      </c>
      <c r="B148" s="481">
        <f t="shared" si="379"/>
        <v>1325.1699999999983</v>
      </c>
      <c r="C148" s="484">
        <f t="shared" si="380"/>
        <v>23</v>
      </c>
      <c r="D148" s="511">
        <f t="shared" si="381"/>
        <v>-9.1741966201716707</v>
      </c>
      <c r="E148" s="481">
        <f t="shared" ref="E148" si="473">$AL125-E125</f>
        <v>1213.6900000000023</v>
      </c>
      <c r="F148" s="484">
        <f t="shared" ref="F148" si="474">$AM125-F125</f>
        <v>14</v>
      </c>
      <c r="G148" s="511">
        <f t="shared" si="384"/>
        <v>-3.6945273760330508</v>
      </c>
      <c r="H148" s="481">
        <f t="shared" ref="H148" si="475">$AL125-H125</f>
        <v>1060.4599999999991</v>
      </c>
      <c r="I148" s="484">
        <f t="shared" ref="I148" si="476">$AM125-I125</f>
        <v>-3</v>
      </c>
      <c r="J148" s="511">
        <f t="shared" si="387"/>
        <v>5.8383168436293431</v>
      </c>
      <c r="K148" s="481">
        <f t="shared" ref="K148" si="477">$AL125-K125</f>
        <v>1259.7900000000009</v>
      </c>
      <c r="L148" s="484">
        <f t="shared" ref="L148" si="478">$AM125-L125</f>
        <v>-3</v>
      </c>
      <c r="M148" s="511">
        <f t="shared" si="390"/>
        <v>6.6079307432432586</v>
      </c>
      <c r="N148" s="481">
        <f t="shared" ref="N148" si="479">$AL125-N125</f>
        <v>-5578.1500000000015</v>
      </c>
      <c r="O148" s="484">
        <f t="shared" ref="O148" si="480">$AM125-O125</f>
        <v>-39</v>
      </c>
      <c r="P148" s="511">
        <f t="shared" si="393"/>
        <v>0.99485699152540974</v>
      </c>
      <c r="Q148" s="481">
        <f t="shared" ref="Q148" si="481">$AL125-Q125</f>
        <v>871.01000000000204</v>
      </c>
      <c r="R148" s="484">
        <f t="shared" ref="R148" si="482">$AM125-R125</f>
        <v>-2</v>
      </c>
      <c r="S148" s="511">
        <f t="shared" si="396"/>
        <v>4.543098352713173</v>
      </c>
      <c r="T148" s="481">
        <f t="shared" ref="T148" si="483">$AL125-T125</f>
        <v>-1174.0299999999988</v>
      </c>
      <c r="U148" s="484">
        <f t="shared" ref="U148" si="484">$AM125-U125</f>
        <v>-8</v>
      </c>
      <c r="V148" s="511">
        <f t="shared" si="399"/>
        <v>0.11517992424242607</v>
      </c>
      <c r="W148" s="481">
        <f t="shared" ref="W148" si="485">$AL125-W125</f>
        <v>1118.5599999999977</v>
      </c>
      <c r="X148" s="484">
        <f t="shared" ref="X148" si="486">$AM125-X125</f>
        <v>14</v>
      </c>
      <c r="Y148" s="511">
        <f t="shared" si="402"/>
        <v>-4.087626549586787</v>
      </c>
      <c r="Z148" s="481">
        <f t="shared" ref="Z148" si="487">$AL125-Z125</f>
        <v>-4030.239999999998</v>
      </c>
      <c r="AA148" s="484">
        <f t="shared" ref="AA148" si="488">$AM125-AA125</f>
        <v>-26</v>
      </c>
      <c r="AB148" s="511">
        <f t="shared" si="405"/>
        <v>-0.41070257092198403</v>
      </c>
      <c r="AC148" s="481">
        <f t="shared" ref="AC148" si="489">$AL125-AC125</f>
        <v>565.5</v>
      </c>
      <c r="AD148" s="484">
        <f t="shared" ref="AD148" si="490">$AM125-AD125</f>
        <v>-3</v>
      </c>
      <c r="AE148" s="511">
        <f t="shared" si="408"/>
        <v>3.9272743725868793</v>
      </c>
      <c r="AF148" s="481">
        <f t="shared" ref="AF148" si="491">$AL125-AF125</f>
        <v>3729.8799999999974</v>
      </c>
      <c r="AG148" s="484">
        <f t="shared" ref="AG148" si="492">$AM125-AG125</f>
        <v>19</v>
      </c>
      <c r="AH148" s="511">
        <f t="shared" si="411"/>
        <v>3.6681052215189709</v>
      </c>
      <c r="AI148" s="481">
        <f t="shared" si="368"/>
        <v>-3884.0400000000009</v>
      </c>
      <c r="AJ148" s="484">
        <f t="shared" si="369"/>
        <v>-24</v>
      </c>
      <c r="AK148" s="511">
        <f t="shared" si="412"/>
        <v>-0.96688392857143413</v>
      </c>
      <c r="AL148" s="481"/>
      <c r="AM148" s="484"/>
      <c r="AN148" s="484"/>
      <c r="AO148" s="481">
        <f t="shared" si="378"/>
        <v>-293.53333333333347</v>
      </c>
      <c r="AP148" s="484">
        <f t="shared" si="370"/>
        <v>-3.1666666666666665</v>
      </c>
      <c r="AQ148" s="511">
        <f t="shared" si="371"/>
        <v>0.75706448479508803</v>
      </c>
      <c r="AR148" s="481">
        <f t="shared" si="372"/>
        <v>-5578.1500000000015</v>
      </c>
      <c r="AS148" s="484">
        <f t="shared" si="373"/>
        <v>-39</v>
      </c>
      <c r="AT148" s="511">
        <f t="shared" si="374"/>
        <v>-9.1741966201716707</v>
      </c>
      <c r="AU148" s="481">
        <f t="shared" si="375"/>
        <v>3729.8799999999974</v>
      </c>
      <c r="AV148" s="484">
        <f t="shared" si="376"/>
        <v>23</v>
      </c>
      <c r="AW148" s="511">
        <f t="shared" si="377"/>
        <v>6.6079307432432586</v>
      </c>
    </row>
    <row r="149" spans="1:49" hidden="1" outlineLevel="1" x14ac:dyDescent="0.25">
      <c r="A149" s="577">
        <v>12</v>
      </c>
      <c r="B149" s="482">
        <f t="shared" si="379"/>
        <v>796.80000000000291</v>
      </c>
      <c r="C149" s="485">
        <f t="shared" si="380"/>
        <v>18</v>
      </c>
      <c r="D149" s="512">
        <f t="shared" si="381"/>
        <v>-7.5423280423280232</v>
      </c>
      <c r="E149" s="482">
        <f t="shared" ref="E149" si="493">$AL126-E126</f>
        <v>1744.1299999999974</v>
      </c>
      <c r="F149" s="485">
        <f t="shared" ref="F149" si="494">$AM126-F126</f>
        <v>18</v>
      </c>
      <c r="G149" s="512">
        <f t="shared" si="384"/>
        <v>-3.7830820105820067</v>
      </c>
      <c r="H149" s="482">
        <f t="shared" ref="H149" si="495">$AL126-H126</f>
        <v>2109.9700000000012</v>
      </c>
      <c r="I149" s="485">
        <f t="shared" ref="I149" si="496">$AM126-I126</f>
        <v>5</v>
      </c>
      <c r="J149" s="512">
        <f t="shared" si="387"/>
        <v>5.1346177498253098</v>
      </c>
      <c r="K149" s="482">
        <f t="shared" ref="K149" si="497">$AL126-K126</f>
        <v>263</v>
      </c>
      <c r="L149" s="485">
        <f t="shared" ref="L149" si="498">$AM126-L126</f>
        <v>-7</v>
      </c>
      <c r="M149" s="512">
        <f t="shared" si="390"/>
        <v>4.7365155769487899</v>
      </c>
      <c r="N149" s="482">
        <f t="shared" ref="N149" si="499">$AL126-N126</f>
        <v>-4552.9800000000032</v>
      </c>
      <c r="O149" s="485">
        <f t="shared" ref="O149" si="500">$AM126-O126</f>
        <v>-32</v>
      </c>
      <c r="P149" s="512">
        <f t="shared" si="393"/>
        <v>0.80303409369633982</v>
      </c>
      <c r="Q149" s="482">
        <f t="shared" ref="Q149" si="501">$AL126-Q126</f>
        <v>1185.3499999999985</v>
      </c>
      <c r="R149" s="485">
        <f t="shared" ref="R149" si="502">$AM126-R126</f>
        <v>1</v>
      </c>
      <c r="S149" s="512">
        <f t="shared" si="396"/>
        <v>3.8494079581440133</v>
      </c>
      <c r="T149" s="482">
        <f t="shared" ref="T149" si="503">$AL126-T126</f>
        <v>-217.15000000000146</v>
      </c>
      <c r="U149" s="485">
        <f t="shared" ref="U149" si="504">$AM126-U126</f>
        <v>-2</v>
      </c>
      <c r="V149" s="512">
        <f t="shared" si="399"/>
        <v>0.30356072984750426</v>
      </c>
      <c r="W149" s="482">
        <f t="shared" ref="W149" si="505">$AL126-W126</f>
        <v>1636.3700000000026</v>
      </c>
      <c r="X149" s="485">
        <f t="shared" ref="X149" si="506">$AM126-X126</f>
        <v>16</v>
      </c>
      <c r="Y149" s="512">
        <f t="shared" si="402"/>
        <v>-2.9975517643627825</v>
      </c>
      <c r="Z149" s="482">
        <f t="shared" ref="Z149" si="507">$AL126-Z126</f>
        <v>-3256.5999999999985</v>
      </c>
      <c r="AA149" s="485">
        <f t="shared" ref="AA149" si="508">$AM126-AA126</f>
        <v>-21</v>
      </c>
      <c r="AB149" s="512">
        <f t="shared" si="405"/>
        <v>-0.37647957235586205</v>
      </c>
      <c r="AC149" s="482">
        <f t="shared" ref="AC149" si="509">$AL126-AC126</f>
        <v>441.12000000000262</v>
      </c>
      <c r="AD149" s="485">
        <f t="shared" ref="AD149" si="510">$AM126-AD126</f>
        <v>4</v>
      </c>
      <c r="AE149" s="512">
        <f t="shared" si="408"/>
        <v>-0.59517683096629526</v>
      </c>
      <c r="AF149" s="482">
        <f t="shared" ref="AF149" si="511">$AL126-AF126</f>
        <v>3814.3199999999997</v>
      </c>
      <c r="AG149" s="485">
        <f t="shared" ref="AG149" si="512">$AM126-AG126</f>
        <v>22</v>
      </c>
      <c r="AH149" s="512">
        <f t="shared" si="411"/>
        <v>2.0863560334528017</v>
      </c>
      <c r="AI149" s="482">
        <f t="shared" si="368"/>
        <v>-3119.0599999999977</v>
      </c>
      <c r="AJ149" s="485">
        <f t="shared" si="369"/>
        <v>-19</v>
      </c>
      <c r="AK149" s="512">
        <f t="shared" si="412"/>
        <v>-0.94025631167500023</v>
      </c>
      <c r="AL149" s="482"/>
      <c r="AM149" s="485"/>
      <c r="AN149" s="485"/>
      <c r="AO149" s="482">
        <f t="shared" si="378"/>
        <v>70.439166666667006</v>
      </c>
      <c r="AP149" s="485">
        <f t="shared" si="370"/>
        <v>0.25</v>
      </c>
      <c r="AQ149" s="512">
        <f t="shared" si="371"/>
        <v>0.1471703564836172</v>
      </c>
      <c r="AR149" s="482">
        <f t="shared" si="372"/>
        <v>-4552.9800000000032</v>
      </c>
      <c r="AS149" s="485">
        <f t="shared" si="373"/>
        <v>-32</v>
      </c>
      <c r="AT149" s="512">
        <f t="shared" si="374"/>
        <v>-7.5423280423280232</v>
      </c>
      <c r="AU149" s="482">
        <f t="shared" si="375"/>
        <v>3814.3199999999997</v>
      </c>
      <c r="AV149" s="485">
        <f t="shared" si="376"/>
        <v>22</v>
      </c>
      <c r="AW149" s="512">
        <f t="shared" si="377"/>
        <v>5.1346177498253098</v>
      </c>
    </row>
    <row r="150" spans="1:49" hidden="1" outlineLevel="1" x14ac:dyDescent="0.25">
      <c r="A150" s="488">
        <v>13</v>
      </c>
      <c r="B150" s="481">
        <f t="shared" si="379"/>
        <v>1637.7900000000009</v>
      </c>
      <c r="C150" s="484">
        <f t="shared" si="380"/>
        <v>25</v>
      </c>
      <c r="D150" s="511">
        <f t="shared" si="381"/>
        <v>-8.1404120098242174</v>
      </c>
      <c r="E150" s="481">
        <f t="shared" ref="E150" si="513">$AL127-E127</f>
        <v>2048.2699999999968</v>
      </c>
      <c r="F150" s="484">
        <f t="shared" ref="F150" si="514">$AM127-F127</f>
        <v>19</v>
      </c>
      <c r="G150" s="511">
        <f t="shared" si="384"/>
        <v>-2.9902497101097651</v>
      </c>
      <c r="H150" s="481">
        <f t="shared" ref="H150" si="515">$AL127-H127</f>
        <v>2218.3300000000017</v>
      </c>
      <c r="I150" s="484">
        <f t="shared" ref="I150" si="516">$AM127-I127</f>
        <v>7</v>
      </c>
      <c r="J150" s="511">
        <f t="shared" si="387"/>
        <v>4.2689627337201728</v>
      </c>
      <c r="K150" s="481">
        <f t="shared" ref="K150" si="517">$AL127-K127</f>
        <v>860.45999999999913</v>
      </c>
      <c r="L150" s="484">
        <f t="shared" ref="L150" si="518">$AM127-L127</f>
        <v>-2</v>
      </c>
      <c r="M150" s="511">
        <f t="shared" si="390"/>
        <v>4.0804579962041601</v>
      </c>
      <c r="N150" s="481">
        <f t="shared" ref="N150" si="519">$AL127-N127</f>
        <v>-3646.1900000000023</v>
      </c>
      <c r="O150" s="484">
        <f t="shared" ref="O150" si="520">$AM127-O127</f>
        <v>-24</v>
      </c>
      <c r="P150" s="511">
        <f t="shared" si="393"/>
        <v>-0.214082186065923</v>
      </c>
      <c r="Q150" s="481">
        <f t="shared" ref="Q150" si="521">$AL127-Q127</f>
        <v>1408.9599999999991</v>
      </c>
      <c r="R150" s="484">
        <f t="shared" ref="R150" si="522">$AM127-R127</f>
        <v>3</v>
      </c>
      <c r="S150" s="511">
        <f t="shared" si="396"/>
        <v>3.4457881491649403</v>
      </c>
      <c r="T150" s="481">
        <f t="shared" ref="T150" si="523">$AL127-T127</f>
        <v>-507.63999999999942</v>
      </c>
      <c r="U150" s="484">
        <f t="shared" ref="U150" si="524">$AM127-U127</f>
        <v>-1</v>
      </c>
      <c r="V150" s="511">
        <f t="shared" si="399"/>
        <v>-1.2665899807032019</v>
      </c>
      <c r="W150" s="481">
        <f t="shared" ref="W150" si="525">$AL127-W127</f>
        <v>1958.5400000000009</v>
      </c>
      <c r="X150" s="484">
        <f t="shared" ref="X150" si="526">$AM127-X127</f>
        <v>19</v>
      </c>
      <c r="Y150" s="511">
        <f t="shared" si="402"/>
        <v>-3.3314284173340809</v>
      </c>
      <c r="Z150" s="481">
        <f t="shared" ref="Z150" si="527">$AL127-Z127</f>
        <v>-2444.6999999999971</v>
      </c>
      <c r="AA150" s="484">
        <f t="shared" ref="AA150" si="528">$AM127-AA127</f>
        <v>-14</v>
      </c>
      <c r="AB150" s="511">
        <f t="shared" si="405"/>
        <v>-1.2025996741422205</v>
      </c>
      <c r="AC150" s="481">
        <f t="shared" ref="AC150" si="529">$AL127-AC127</f>
        <v>1634.3000000000029</v>
      </c>
      <c r="AD150" s="484">
        <f t="shared" ref="AD150" si="530">$AM127-AD127</f>
        <v>14</v>
      </c>
      <c r="AE150" s="511">
        <f t="shared" si="408"/>
        <v>-1.6956361807981466</v>
      </c>
      <c r="AF150" s="481">
        <f t="shared" ref="AF150" si="531">$AL127-AF127</f>
        <v>3822.9400000000023</v>
      </c>
      <c r="AG150" s="484">
        <f t="shared" ref="AG150" si="532">$AM127-AG127</f>
        <v>21</v>
      </c>
      <c r="AH150" s="511">
        <f t="shared" si="411"/>
        <v>2.6430814380044012</v>
      </c>
      <c r="AI150" s="481">
        <f t="shared" si="368"/>
        <v>-2150.1600000000035</v>
      </c>
      <c r="AJ150" s="484">
        <f t="shared" si="369"/>
        <v>-12</v>
      </c>
      <c r="AK150" s="511">
        <f t="shared" si="412"/>
        <v>-1.2238761036329606</v>
      </c>
      <c r="AL150" s="481"/>
      <c r="AM150" s="484"/>
      <c r="AN150" s="484"/>
      <c r="AO150" s="481">
        <f t="shared" si="378"/>
        <v>570.07500000000016</v>
      </c>
      <c r="AP150" s="484">
        <f t="shared" si="370"/>
        <v>4.583333333333333</v>
      </c>
      <c r="AQ150" s="511">
        <f t="shared" si="371"/>
        <v>-0.40024616744398922</v>
      </c>
      <c r="AR150" s="481">
        <f t="shared" si="372"/>
        <v>-3646.1900000000023</v>
      </c>
      <c r="AS150" s="484">
        <f t="shared" si="373"/>
        <v>-24</v>
      </c>
      <c r="AT150" s="511">
        <f t="shared" si="374"/>
        <v>-8.1404120098242174</v>
      </c>
      <c r="AU150" s="481">
        <f t="shared" si="375"/>
        <v>3822.9400000000023</v>
      </c>
      <c r="AV150" s="484">
        <f t="shared" si="376"/>
        <v>25</v>
      </c>
      <c r="AW150" s="511">
        <f t="shared" si="377"/>
        <v>4.2689627337201728</v>
      </c>
    </row>
    <row r="151" spans="1:49" hidden="1" outlineLevel="1" x14ac:dyDescent="0.25">
      <c r="A151" s="577">
        <v>14</v>
      </c>
      <c r="B151" s="482">
        <f t="shared" si="379"/>
        <v>2278.1600000000035</v>
      </c>
      <c r="C151" s="485">
        <f t="shared" si="380"/>
        <v>26</v>
      </c>
      <c r="D151" s="512">
        <f t="shared" si="381"/>
        <v>-5.8902802314955522</v>
      </c>
      <c r="E151" s="482">
        <f t="shared" ref="E151" si="533">$AL128-E128</f>
        <v>1767.5299999999988</v>
      </c>
      <c r="F151" s="485">
        <f t="shared" ref="F151" si="534">$AM128-F128</f>
        <v>20</v>
      </c>
      <c r="G151" s="512">
        <f t="shared" si="384"/>
        <v>-4.3766594667063998</v>
      </c>
      <c r="H151" s="482">
        <f t="shared" ref="H151" si="535">$AL128-H128</f>
        <v>3039.7099999999991</v>
      </c>
      <c r="I151" s="485">
        <f t="shared" ref="I151" si="536">$AM128-I128</f>
        <v>14</v>
      </c>
      <c r="J151" s="512">
        <f t="shared" si="387"/>
        <v>3.4392704081632814</v>
      </c>
      <c r="K151" s="482">
        <f t="shared" ref="K151" si="537">$AL128-K128</f>
        <v>861.47000000000116</v>
      </c>
      <c r="L151" s="485">
        <f t="shared" ref="L151" si="538">$AM128-L128</f>
        <v>0</v>
      </c>
      <c r="M151" s="512">
        <f t="shared" si="390"/>
        <v>2.9301700680272234</v>
      </c>
      <c r="N151" s="482">
        <f t="shared" ref="N151" si="539">$AL128-N128</f>
        <v>-3219.9100000000035</v>
      </c>
      <c r="O151" s="485">
        <f t="shared" ref="O151" si="540">$AM128-O128</f>
        <v>-19</v>
      </c>
      <c r="P151" s="512">
        <f t="shared" si="393"/>
        <v>-1.2827860728956182</v>
      </c>
      <c r="Q151" s="482">
        <f t="shared" ref="Q151" si="541">$AL128-Q128</f>
        <v>983.69000000000233</v>
      </c>
      <c r="R151" s="485">
        <f t="shared" ref="R151" si="542">$AM128-R128</f>
        <v>2</v>
      </c>
      <c r="S151" s="512">
        <f t="shared" si="396"/>
        <v>2.3527963377131869</v>
      </c>
      <c r="T151" s="482">
        <f t="shared" ref="T151" si="543">$AL128-T128</f>
        <v>-742.88999999999942</v>
      </c>
      <c r="U151" s="485">
        <f t="shared" ref="U151" si="544">$AM128-U128</f>
        <v>-1</v>
      </c>
      <c r="V151" s="512">
        <f t="shared" si="399"/>
        <v>-2.0154347976478562</v>
      </c>
      <c r="W151" s="482">
        <f t="shared" ref="W151" si="545">$AL128-W128</f>
        <v>1522.7799999999988</v>
      </c>
      <c r="X151" s="485">
        <f t="shared" ref="X151" si="546">$AM128-X128</f>
        <v>17</v>
      </c>
      <c r="Y151" s="512">
        <f t="shared" si="402"/>
        <v>-3.6062977970971701</v>
      </c>
      <c r="Z151" s="482">
        <f t="shared" ref="Z151" si="547">$AL128-Z128</f>
        <v>-2473.4100000000035</v>
      </c>
      <c r="AA151" s="485">
        <f t="shared" ref="AA151" si="548">$AM128-AA128</f>
        <v>-15</v>
      </c>
      <c r="AB151" s="512">
        <f t="shared" si="405"/>
        <v>-0.80375074301565519</v>
      </c>
      <c r="AC151" s="482">
        <f t="shared" ref="AC151" si="549">$AL128-AC128</f>
        <v>1973.2699999999968</v>
      </c>
      <c r="AD151" s="485">
        <f t="shared" ref="AD151" si="550">$AM128-AD128</f>
        <v>19</v>
      </c>
      <c r="AE151" s="512">
        <f t="shared" si="408"/>
        <v>-3.0731925788497279</v>
      </c>
      <c r="AF151" s="482">
        <f t="shared" ref="AF151" si="551">$AL128-AF128</f>
        <v>2923.739999999998</v>
      </c>
      <c r="AG151" s="485">
        <f t="shared" ref="AG151" si="552">$AM128-AG128</f>
        <v>17</v>
      </c>
      <c r="AH151" s="512">
        <f t="shared" si="411"/>
        <v>1.4513195314226834</v>
      </c>
      <c r="AI151" s="482">
        <f t="shared" si="368"/>
        <v>-1537.8600000000006</v>
      </c>
      <c r="AJ151" s="485">
        <f t="shared" si="369"/>
        <v>-6</v>
      </c>
      <c r="AK151" s="512">
        <f t="shared" si="412"/>
        <v>-2.1594653061224562</v>
      </c>
      <c r="AL151" s="482"/>
      <c r="AM151" s="485"/>
      <c r="AN151" s="485"/>
      <c r="AO151" s="482">
        <f t="shared" si="378"/>
        <v>614.68999999999926</v>
      </c>
      <c r="AP151" s="485">
        <f t="shared" si="370"/>
        <v>6.166666666666667</v>
      </c>
      <c r="AQ151" s="512">
        <f t="shared" si="371"/>
        <v>-0.98862230385287309</v>
      </c>
      <c r="AR151" s="482">
        <f t="shared" si="372"/>
        <v>-3219.9100000000035</v>
      </c>
      <c r="AS151" s="485">
        <f t="shared" si="373"/>
        <v>-19</v>
      </c>
      <c r="AT151" s="512">
        <f t="shared" si="374"/>
        <v>-5.8902802314955522</v>
      </c>
      <c r="AU151" s="482">
        <f t="shared" si="375"/>
        <v>3039.7099999999991</v>
      </c>
      <c r="AV151" s="485">
        <f t="shared" si="376"/>
        <v>26</v>
      </c>
      <c r="AW151" s="512">
        <f t="shared" si="377"/>
        <v>3.4392704081632814</v>
      </c>
    </row>
    <row r="152" spans="1:49" hidden="1" outlineLevel="1" x14ac:dyDescent="0.25">
      <c r="A152" s="488">
        <v>15</v>
      </c>
      <c r="B152" s="481">
        <f t="shared" si="379"/>
        <v>2623.4199999999983</v>
      </c>
      <c r="C152" s="484">
        <f t="shared" si="380"/>
        <v>28</v>
      </c>
      <c r="D152" s="511">
        <f t="shared" si="381"/>
        <v>-5.5497987012986982</v>
      </c>
      <c r="E152" s="481">
        <f t="shared" ref="E152" si="553">$AL129-E129</f>
        <v>2149.4800000000032</v>
      </c>
      <c r="F152" s="484">
        <f t="shared" ref="F152" si="554">$AM129-F129</f>
        <v>21</v>
      </c>
      <c r="G152" s="511">
        <f t="shared" si="384"/>
        <v>-3.4269781438073892</v>
      </c>
      <c r="H152" s="481">
        <f t="shared" ref="H152" si="555">$AL129-H129</f>
        <v>4516.2200000000012</v>
      </c>
      <c r="I152" s="484">
        <f t="shared" ref="I152" si="556">$AM129-I129</f>
        <v>21</v>
      </c>
      <c r="J152" s="511">
        <f t="shared" si="387"/>
        <v>4.8195026924295234</v>
      </c>
      <c r="K152" s="481">
        <f t="shared" ref="K152" si="557">$AL129-K129</f>
        <v>2092.2900000000009</v>
      </c>
      <c r="L152" s="484">
        <f t="shared" ref="L152" si="558">$AM129-L129</f>
        <v>8</v>
      </c>
      <c r="M152" s="511">
        <f t="shared" si="390"/>
        <v>2.9958584415584539</v>
      </c>
      <c r="N152" s="481">
        <f t="shared" ref="N152" si="559">$AL129-N129</f>
        <v>-3967.1699999999983</v>
      </c>
      <c r="O152" s="484">
        <f t="shared" ref="O152" si="560">$AM129-O129</f>
        <v>-25</v>
      </c>
      <c r="P152" s="511">
        <f t="shared" si="393"/>
        <v>-0.71285597285597646</v>
      </c>
      <c r="Q152" s="481">
        <f t="shared" ref="Q152" si="561">$AL129-Q129</f>
        <v>1870.4499999999971</v>
      </c>
      <c r="R152" s="484">
        <f t="shared" ref="R152" si="562">$AM129-R129</f>
        <v>6</v>
      </c>
      <c r="S152" s="511">
        <f t="shared" si="396"/>
        <v>3.2294723488431885</v>
      </c>
      <c r="T152" s="481">
        <f t="shared" ref="T152" si="563">$AL129-T129</f>
        <v>-1011</v>
      </c>
      <c r="U152" s="484">
        <f t="shared" ref="U152" si="564">$AM129-U129</f>
        <v>-5</v>
      </c>
      <c r="V152" s="511">
        <f t="shared" si="399"/>
        <v>-0.84678021658851321</v>
      </c>
      <c r="W152" s="481">
        <f t="shared" ref="W152" si="565">$AL129-W129</f>
        <v>1781.510000000002</v>
      </c>
      <c r="X152" s="484">
        <f t="shared" ref="X152" si="566">$AM129-X129</f>
        <v>16</v>
      </c>
      <c r="Y152" s="511">
        <f t="shared" si="402"/>
        <v>-2.0738182707703174</v>
      </c>
      <c r="Z152" s="481">
        <f t="shared" ref="Z152" si="567">$AL129-Z129</f>
        <v>-2129.7900000000009</v>
      </c>
      <c r="AA152" s="484">
        <f t="shared" ref="AA152" si="568">$AM129-AA129</f>
        <v>-13</v>
      </c>
      <c r="AB152" s="511">
        <f t="shared" si="405"/>
        <v>-0.59283408180604624</v>
      </c>
      <c r="AC152" s="481">
        <f t="shared" ref="AC152" si="569">$AL129-AC129</f>
        <v>2181.4400000000023</v>
      </c>
      <c r="AD152" s="484">
        <f t="shared" ref="AD152" si="570">$AM129-AD129</f>
        <v>25</v>
      </c>
      <c r="AE152" s="511">
        <f t="shared" si="408"/>
        <v>-5.4711977421871438</v>
      </c>
      <c r="AF152" s="481">
        <f t="shared" ref="AF152" si="571">$AL129-AF129</f>
        <v>2265.3399999999965</v>
      </c>
      <c r="AG152" s="484">
        <f t="shared" ref="AG152" si="572">$AM129-AG129</f>
        <v>19</v>
      </c>
      <c r="AH152" s="511">
        <f t="shared" si="411"/>
        <v>-1.9698948456388052</v>
      </c>
      <c r="AI152" s="481">
        <f t="shared" si="368"/>
        <v>-190.05999999999767</v>
      </c>
      <c r="AJ152" s="484">
        <f t="shared" si="369"/>
        <v>1</v>
      </c>
      <c r="AK152" s="511">
        <f t="shared" si="412"/>
        <v>-1.1050539362917107</v>
      </c>
      <c r="AL152" s="481"/>
      <c r="AM152" s="484"/>
      <c r="AN152" s="484"/>
      <c r="AO152" s="481">
        <f t="shared" si="378"/>
        <v>1015.1775000000004</v>
      </c>
      <c r="AP152" s="484">
        <f t="shared" si="370"/>
        <v>8.5</v>
      </c>
      <c r="AQ152" s="511">
        <f t="shared" si="371"/>
        <v>-0.87266586292015669</v>
      </c>
      <c r="AR152" s="481">
        <f t="shared" si="372"/>
        <v>-3967.1699999999983</v>
      </c>
      <c r="AS152" s="484">
        <f t="shared" si="373"/>
        <v>-25</v>
      </c>
      <c r="AT152" s="511">
        <f t="shared" si="374"/>
        <v>-5.5497987012986982</v>
      </c>
      <c r="AU152" s="481">
        <f t="shared" si="375"/>
        <v>4516.2200000000012</v>
      </c>
      <c r="AV152" s="484">
        <f t="shared" si="376"/>
        <v>28</v>
      </c>
      <c r="AW152" s="511">
        <f t="shared" si="377"/>
        <v>4.8195026924295234</v>
      </c>
    </row>
    <row r="153" spans="1:49" hidden="1" outlineLevel="1" x14ac:dyDescent="0.25">
      <c r="A153" s="488">
        <v>16</v>
      </c>
      <c r="B153" s="482">
        <f t="shared" si="379"/>
        <v>2639.5299999999988</v>
      </c>
      <c r="C153" s="485">
        <f t="shared" si="380"/>
        <v>26</v>
      </c>
      <c r="D153" s="512">
        <f t="shared" si="381"/>
        <v>-4.3378297153006145</v>
      </c>
      <c r="E153" s="482">
        <f t="shared" ref="E153" si="573">$AL130-E130</f>
        <v>1487.3600000000006</v>
      </c>
      <c r="F153" s="485">
        <f t="shared" ref="F153" si="574">$AM130-F130</f>
        <v>16</v>
      </c>
      <c r="G153" s="512">
        <f t="shared" si="384"/>
        <v>-3.0333670608440286</v>
      </c>
      <c r="H153" s="482">
        <f t="shared" ref="H153" si="575">$AL130-H130</f>
        <v>4912.4599999999991</v>
      </c>
      <c r="I153" s="485">
        <f t="shared" ref="I153" si="576">$AM130-I130</f>
        <v>21</v>
      </c>
      <c r="J153" s="512">
        <f t="shared" si="387"/>
        <v>5.8857981107066735</v>
      </c>
      <c r="K153" s="482">
        <f t="shared" ref="K153" si="577">$AL130-K130</f>
        <v>2127.3099999999977</v>
      </c>
      <c r="L153" s="485">
        <f t="shared" ref="L153" si="578">$AM130-L130</f>
        <v>8</v>
      </c>
      <c r="M153" s="512">
        <f t="shared" si="390"/>
        <v>2.9713018980132517</v>
      </c>
      <c r="N153" s="482">
        <f t="shared" ref="N153" si="579">$AL130-N130</f>
        <v>-3262.4700000000012</v>
      </c>
      <c r="O153" s="485">
        <f t="shared" ref="O153" si="580">$AM130-O130</f>
        <v>-24</v>
      </c>
      <c r="P153" s="512">
        <f t="shared" si="393"/>
        <v>1.0123478984070005</v>
      </c>
      <c r="Q153" s="482">
        <f t="shared" ref="Q153" si="581">$AL130-Q130</f>
        <v>2364.3099999999977</v>
      </c>
      <c r="R153" s="485">
        <f t="shared" ref="R153" si="582">$AM130-R130</f>
        <v>6</v>
      </c>
      <c r="S153" s="512">
        <f t="shared" si="396"/>
        <v>4.6705548489188118</v>
      </c>
      <c r="T153" s="482">
        <f t="shared" ref="T153" si="583">$AL130-T130</f>
        <v>-1522.0199999999968</v>
      </c>
      <c r="U153" s="485">
        <f t="shared" ref="U153" si="584">$AM130-U130</f>
        <v>-12</v>
      </c>
      <c r="V153" s="512">
        <f t="shared" si="399"/>
        <v>0.85447934917462476</v>
      </c>
      <c r="W153" s="482">
        <f t="shared" ref="W153" si="585">$AL130-W130</f>
        <v>1767.010000000002</v>
      </c>
      <c r="X153" s="485">
        <f t="shared" ref="X153" si="586">$AM130-X130</f>
        <v>11</v>
      </c>
      <c r="Y153" s="512">
        <f t="shared" si="402"/>
        <v>0.36546014330497201</v>
      </c>
      <c r="Z153" s="482">
        <f t="shared" ref="Z153" si="587">$AL130-Z130</f>
        <v>-1778.0500000000029</v>
      </c>
      <c r="AA153" s="485">
        <f t="shared" ref="AA153" si="588">$AM130-AA130</f>
        <v>-14</v>
      </c>
      <c r="AB153" s="512">
        <f t="shared" si="405"/>
        <v>0.98381814416293878</v>
      </c>
      <c r="AC153" s="482">
        <f t="shared" ref="AC153" si="589">$AL130-AC130</f>
        <v>2304.9800000000032</v>
      </c>
      <c r="AD153" s="485">
        <f t="shared" ref="AD153" si="590">$AM130-AD130</f>
        <v>22</v>
      </c>
      <c r="AE153" s="512">
        <f t="shared" si="408"/>
        <v>-3.3801904098455964</v>
      </c>
      <c r="AF153" s="482">
        <f t="shared" ref="AF153" si="591">$AL130-AF130</f>
        <v>2304.989999999998</v>
      </c>
      <c r="AG153" s="485">
        <f t="shared" ref="AG153" si="592">$AM130-AG130</f>
        <v>17</v>
      </c>
      <c r="AH153" s="512">
        <f t="shared" si="411"/>
        <v>-0.83405499387575333</v>
      </c>
      <c r="AI153" s="482">
        <f t="shared" si="368"/>
        <v>1075.0699999999997</v>
      </c>
      <c r="AJ153" s="485">
        <f t="shared" si="369"/>
        <v>8</v>
      </c>
      <c r="AK153" s="512">
        <f t="shared" si="412"/>
        <v>-0.41210646211536073</v>
      </c>
      <c r="AL153" s="482"/>
      <c r="AM153" s="485"/>
      <c r="AN153" s="485"/>
      <c r="AO153" s="482">
        <f t="shared" si="378"/>
        <v>1201.7066666666663</v>
      </c>
      <c r="AP153" s="485">
        <f t="shared" si="370"/>
        <v>7.083333333333333</v>
      </c>
      <c r="AQ153" s="512">
        <f t="shared" si="371"/>
        <v>0.46893801934748003</v>
      </c>
      <c r="AR153" s="482">
        <f t="shared" si="372"/>
        <v>-3262.4700000000012</v>
      </c>
      <c r="AS153" s="485">
        <f t="shared" si="373"/>
        <v>-24</v>
      </c>
      <c r="AT153" s="512">
        <f t="shared" si="374"/>
        <v>-4.3378297153006145</v>
      </c>
      <c r="AU153" s="482">
        <f t="shared" si="375"/>
        <v>4912.4599999999991</v>
      </c>
      <c r="AV153" s="485">
        <f t="shared" si="376"/>
        <v>26</v>
      </c>
      <c r="AW153" s="512">
        <f t="shared" si="377"/>
        <v>5.8857981107066735</v>
      </c>
    </row>
    <row r="154" spans="1:49" hidden="1" outlineLevel="1" x14ac:dyDescent="0.25">
      <c r="A154" s="488">
        <v>17</v>
      </c>
      <c r="B154" s="481">
        <f t="shared" si="379"/>
        <v>2157.8899999999994</v>
      </c>
      <c r="C154" s="484">
        <f t="shared" si="380"/>
        <v>25</v>
      </c>
      <c r="D154" s="511">
        <f t="shared" si="381"/>
        <v>-5.2464524676051951</v>
      </c>
      <c r="E154" s="481">
        <f t="shared" ref="E154" si="593">$AL131-E131</f>
        <v>156.25</v>
      </c>
      <c r="F154" s="484">
        <f t="shared" ref="F154" si="594">$AM131-F131</f>
        <v>8</v>
      </c>
      <c r="G154" s="511">
        <f t="shared" si="384"/>
        <v>-3.2543604238275066</v>
      </c>
      <c r="H154" s="481">
        <f t="shared" ref="H154" si="595">$AL131-H131</f>
        <v>2670.6500000000015</v>
      </c>
      <c r="I154" s="484">
        <f t="shared" ref="I154" si="596">$AM131-I131</f>
        <v>2</v>
      </c>
      <c r="J154" s="511">
        <f t="shared" si="387"/>
        <v>7.2490063485866756</v>
      </c>
      <c r="K154" s="481">
        <f t="shared" ref="K154" si="597">$AL131-K131</f>
        <v>1744.010000000002</v>
      </c>
      <c r="L154" s="484">
        <f t="shared" ref="L154" si="598">$AM131-L131</f>
        <v>6</v>
      </c>
      <c r="M154" s="511">
        <f t="shared" si="390"/>
        <v>2.6109449782152581</v>
      </c>
      <c r="N154" s="481">
        <f t="shared" ref="N154" si="599">$AL131-N131</f>
        <v>-3179.3600000000006</v>
      </c>
      <c r="O154" s="484">
        <f t="shared" ref="O154" si="600">$AM131-O131</f>
        <v>-22</v>
      </c>
      <c r="P154" s="511">
        <f t="shared" si="393"/>
        <v>0.35075260436963163</v>
      </c>
      <c r="Q154" s="481">
        <f t="shared" ref="Q154" si="601">$AL131-Q131</f>
        <v>1784.6100000000006</v>
      </c>
      <c r="R154" s="484">
        <f t="shared" ref="R154" si="602">$AM131-R131</f>
        <v>9</v>
      </c>
      <c r="S154" s="511">
        <f t="shared" si="396"/>
        <v>1.354993256079041</v>
      </c>
      <c r="T154" s="481">
        <f t="shared" ref="T154" si="603">$AL131-T131</f>
        <v>-2096.8300000000017</v>
      </c>
      <c r="U154" s="484">
        <f t="shared" ref="U154" si="604">$AM131-U131</f>
        <v>-15</v>
      </c>
      <c r="V154" s="511">
        <f t="shared" si="399"/>
        <v>0.45016549445111309</v>
      </c>
      <c r="W154" s="481">
        <f t="shared" ref="W154" si="605">$AL131-W131</f>
        <v>78.080000000001746</v>
      </c>
      <c r="X154" s="484">
        <f t="shared" ref="X154" si="606">$AM131-X131</f>
        <v>-2</v>
      </c>
      <c r="Y154" s="511">
        <f t="shared" si="402"/>
        <v>1.1429151782844826</v>
      </c>
      <c r="Z154" s="481">
        <f t="shared" ref="Z154" si="607">$AL131-Z131</f>
        <v>-1770.760000000002</v>
      </c>
      <c r="AA154" s="484">
        <f t="shared" ref="AA154" si="608">$AM131-AA131</f>
        <v>-14</v>
      </c>
      <c r="AB154" s="511">
        <f t="shared" si="405"/>
        <v>0.96447366788660815</v>
      </c>
      <c r="AC154" s="481">
        <f t="shared" ref="AC154" si="609">$AL131-AC131</f>
        <v>2854.0299999999988</v>
      </c>
      <c r="AD154" s="484">
        <f t="shared" ref="AD154" si="610">$AM131-AD131</f>
        <v>27</v>
      </c>
      <c r="AE154" s="511">
        <f t="shared" si="408"/>
        <v>-3.9702201131262882</v>
      </c>
      <c r="AF154" s="481">
        <f t="shared" ref="AF154" si="611">$AL131-AF131</f>
        <v>1750.5999999999985</v>
      </c>
      <c r="AG154" s="484">
        <f t="shared" ref="AG154" si="612">$AM131-AG131</f>
        <v>15</v>
      </c>
      <c r="AH154" s="511">
        <f t="shared" si="411"/>
        <v>-1.5958182486980377</v>
      </c>
      <c r="AI154" s="481">
        <f t="shared" si="368"/>
        <v>627.84999999999854</v>
      </c>
      <c r="AJ154" s="484">
        <f t="shared" si="369"/>
        <v>7</v>
      </c>
      <c r="AK154" s="511">
        <f t="shared" si="412"/>
        <v>-1.313469670939611</v>
      </c>
      <c r="AL154" s="481"/>
      <c r="AM154" s="484"/>
      <c r="AN154" s="484"/>
      <c r="AO154" s="481">
        <f t="shared" si="378"/>
        <v>564.75166666666644</v>
      </c>
      <c r="AP154" s="484">
        <f t="shared" si="370"/>
        <v>3.8333333333333335</v>
      </c>
      <c r="AQ154" s="511">
        <f t="shared" si="371"/>
        <v>5.1272976923438691E-3</v>
      </c>
      <c r="AR154" s="481">
        <f t="shared" si="372"/>
        <v>-3179.3600000000006</v>
      </c>
      <c r="AS154" s="484">
        <f t="shared" si="373"/>
        <v>-22</v>
      </c>
      <c r="AT154" s="511">
        <f t="shared" si="374"/>
        <v>-5.2464524676051951</v>
      </c>
      <c r="AU154" s="481">
        <f t="shared" si="375"/>
        <v>2854.0299999999988</v>
      </c>
      <c r="AV154" s="484">
        <f t="shared" si="376"/>
        <v>27</v>
      </c>
      <c r="AW154" s="511">
        <f t="shared" si="377"/>
        <v>7.2490063485866756</v>
      </c>
    </row>
    <row r="155" spans="1:49" hidden="1" outlineLevel="1" x14ac:dyDescent="0.25">
      <c r="A155" s="488">
        <v>18</v>
      </c>
      <c r="B155" s="482">
        <f t="shared" si="379"/>
        <v>1954.9599999999991</v>
      </c>
      <c r="C155" s="485">
        <f t="shared" si="380"/>
        <v>20</v>
      </c>
      <c r="D155" s="512">
        <f t="shared" si="381"/>
        <v>-3.1863229604561525</v>
      </c>
      <c r="E155" s="482">
        <f t="shared" ref="E155" si="613">$AL132-E132</f>
        <v>125.90000000000146</v>
      </c>
      <c r="F155" s="485">
        <f t="shared" ref="F155" si="614">$AM132-F132</f>
        <v>6</v>
      </c>
      <c r="G155" s="512">
        <f t="shared" si="384"/>
        <v>-2.2673498018203588</v>
      </c>
      <c r="H155" s="482">
        <f t="shared" ref="H155" si="615">$AL132-H132</f>
        <v>2513.7799999999988</v>
      </c>
      <c r="I155" s="485">
        <f t="shared" ref="I155" si="616">$AM132-I132</f>
        <v>2</v>
      </c>
      <c r="J155" s="512">
        <f t="shared" si="387"/>
        <v>6.4176557657770559</v>
      </c>
      <c r="K155" s="482">
        <f t="shared" ref="K155" si="617">$AL132-K132</f>
        <v>2506.0999999999985</v>
      </c>
      <c r="L155" s="485">
        <f t="shared" ref="L155" si="618">$AM132-L132</f>
        <v>11</v>
      </c>
      <c r="M155" s="512">
        <f t="shared" si="390"/>
        <v>2.5530113558391747</v>
      </c>
      <c r="N155" s="482">
        <f t="shared" ref="N155" si="619">$AL132-N132</f>
        <v>-1858.3899999999994</v>
      </c>
      <c r="O155" s="485">
        <f t="shared" ref="O155" si="620">$AM132-O132</f>
        <v>-13</v>
      </c>
      <c r="P155" s="512">
        <f t="shared" si="393"/>
        <v>0.24885262568042776</v>
      </c>
      <c r="Q155" s="482">
        <f t="shared" ref="Q155" si="621">$AL132-Q132</f>
        <v>2280.2200000000012</v>
      </c>
      <c r="R155" s="485">
        <f t="shared" ref="R155" si="622">$AM132-R132</f>
        <v>13</v>
      </c>
      <c r="S155" s="512">
        <f t="shared" si="396"/>
        <v>0.99473968489533604</v>
      </c>
      <c r="T155" s="482">
        <f t="shared" ref="T155" si="623">$AL132-T132</f>
        <v>-1328.4700000000012</v>
      </c>
      <c r="U155" s="485">
        <f t="shared" ref="U155" si="624">$AM132-U132</f>
        <v>-8</v>
      </c>
      <c r="V155" s="512">
        <f t="shared" si="399"/>
        <v>-0.36539424442909763</v>
      </c>
      <c r="W155" s="482">
        <f t="shared" ref="W155" si="625">$AL132-W132</f>
        <v>836.08999999999651</v>
      </c>
      <c r="X155" s="485">
        <f t="shared" ref="X155" si="626">$AM132-X132</f>
        <v>2</v>
      </c>
      <c r="Y155" s="512">
        <f t="shared" si="402"/>
        <v>1.5547862005596471</v>
      </c>
      <c r="Z155" s="482">
        <f t="shared" ref="Z155" si="627">$AL132-Z132</f>
        <v>-962.41999999999825</v>
      </c>
      <c r="AA155" s="485">
        <f t="shared" ref="AA155" si="628">$AM132-AA132</f>
        <v>-7</v>
      </c>
      <c r="AB155" s="512">
        <f t="shared" si="405"/>
        <v>0.24432390628308553</v>
      </c>
      <c r="AC155" s="482">
        <f t="shared" ref="AC155" si="629">$AL132-AC132</f>
        <v>2901.7200000000012</v>
      </c>
      <c r="AD155" s="485">
        <f t="shared" ref="AD155" si="630">$AM132-AD132</f>
        <v>26</v>
      </c>
      <c r="AE155" s="512">
        <f t="shared" si="408"/>
        <v>-3.0973018395324345</v>
      </c>
      <c r="AF155" s="482">
        <f t="shared" ref="AF155" si="631">$AL132-AF132</f>
        <v>2728.7799999999988</v>
      </c>
      <c r="AG155" s="485">
        <f t="shared" ref="AG155" si="632">$AM132-AG132</f>
        <v>20</v>
      </c>
      <c r="AH155" s="512">
        <f t="shared" si="411"/>
        <v>-0.81990094210752318</v>
      </c>
      <c r="AI155" s="482">
        <f t="shared" si="368"/>
        <v>1284.5599999999977</v>
      </c>
      <c r="AJ155" s="485">
        <f t="shared" si="369"/>
        <v>15</v>
      </c>
      <c r="AK155" s="512">
        <f t="shared" si="412"/>
        <v>-2.9009208013610532</v>
      </c>
      <c r="AL155" s="482"/>
      <c r="AM155" s="485"/>
      <c r="AN155" s="485"/>
      <c r="AO155" s="482">
        <f t="shared" si="378"/>
        <v>1081.9024999999995</v>
      </c>
      <c r="AP155" s="485">
        <f t="shared" si="370"/>
        <v>7.25</v>
      </c>
      <c r="AQ155" s="512">
        <f t="shared" si="371"/>
        <v>0.20700906824446913</v>
      </c>
      <c r="AR155" s="482">
        <f t="shared" si="372"/>
        <v>-1858.3899999999994</v>
      </c>
      <c r="AS155" s="485">
        <f t="shared" si="373"/>
        <v>-13</v>
      </c>
      <c r="AT155" s="512">
        <f t="shared" si="374"/>
        <v>-3.1863229604561525</v>
      </c>
      <c r="AU155" s="482">
        <f t="shared" si="375"/>
        <v>2901.7200000000012</v>
      </c>
      <c r="AV155" s="485">
        <f t="shared" si="376"/>
        <v>26</v>
      </c>
      <c r="AW155" s="512">
        <f t="shared" si="377"/>
        <v>6.4176557657770559</v>
      </c>
    </row>
    <row r="156" spans="1:49" hidden="1" outlineLevel="1" x14ac:dyDescent="0.25">
      <c r="A156" s="400">
        <v>19</v>
      </c>
      <c r="B156" s="481">
        <f t="shared" si="379"/>
        <v>2053.8000000000029</v>
      </c>
      <c r="C156" s="484">
        <f t="shared" si="380"/>
        <v>19</v>
      </c>
      <c r="D156" s="511">
        <f t="shared" si="381"/>
        <v>-2.2844820605456562</v>
      </c>
      <c r="E156" s="481">
        <f t="shared" ref="E156" si="633">$AL133-E133</f>
        <v>-299.15000000000146</v>
      </c>
      <c r="F156" s="484">
        <f t="shared" ref="F156" si="634">$AM133-F133</f>
        <v>3</v>
      </c>
      <c r="G156" s="511">
        <f t="shared" si="384"/>
        <v>-2.0529347826087019</v>
      </c>
      <c r="H156" s="481">
        <f t="shared" ref="H156" si="635">$AL133-H133</f>
        <v>791.30999999999767</v>
      </c>
      <c r="I156" s="484">
        <f t="shared" ref="I156" si="636">$AM133-I133</f>
        <v>-1</v>
      </c>
      <c r="J156" s="511">
        <f t="shared" si="387"/>
        <v>2.5511302580417237</v>
      </c>
      <c r="K156" s="481">
        <f t="shared" ref="K156" si="637">$AL133-K133</f>
        <v>2258.2300000000032</v>
      </c>
      <c r="L156" s="484">
        <f t="shared" ref="L156" si="638">$AM133-L133</f>
        <v>11</v>
      </c>
      <c r="M156" s="511">
        <f t="shared" si="390"/>
        <v>1.7019671781756358</v>
      </c>
      <c r="N156" s="481">
        <f t="shared" ref="N156" si="639">$AL133-N133</f>
        <v>-1037.3899999999994</v>
      </c>
      <c r="O156" s="484">
        <f t="shared" ref="O156" si="640">$AM133-O133</f>
        <v>-8</v>
      </c>
      <c r="P156" s="511">
        <f t="shared" si="393"/>
        <v>0.43368755781685309</v>
      </c>
      <c r="Q156" s="481">
        <f t="shared" ref="Q156" si="641">$AL133-Q133</f>
        <v>2175.4599999999991</v>
      </c>
      <c r="R156" s="484">
        <f t="shared" ref="R156" si="642">$AM133-R133</f>
        <v>12</v>
      </c>
      <c r="S156" s="511">
        <f t="shared" si="396"/>
        <v>1.0527393746946814</v>
      </c>
      <c r="T156" s="481">
        <f t="shared" ref="T156" si="643">$AL133-T133</f>
        <v>-996.2300000000032</v>
      </c>
      <c r="U156" s="484">
        <f t="shared" ref="U156" si="644">$AM133-U133</f>
        <v>-8</v>
      </c>
      <c r="V156" s="511">
        <f t="shared" si="399"/>
        <v>0.54315564292321028</v>
      </c>
      <c r="W156" s="481">
        <f t="shared" ref="W156" si="645">$AL133-W133</f>
        <v>1413.5400000000009</v>
      </c>
      <c r="X156" s="484">
        <f t="shared" ref="X156" si="646">$AM133-X133</f>
        <v>3</v>
      </c>
      <c r="Y156" s="511">
        <f t="shared" si="402"/>
        <v>2.6393665872543295</v>
      </c>
      <c r="Z156" s="481">
        <f t="shared" ref="Z156" si="647">$AL133-Z133</f>
        <v>-229.22000000000116</v>
      </c>
      <c r="AA156" s="484">
        <f t="shared" ref="AA156" si="648">$AM133-AA133</f>
        <v>-4</v>
      </c>
      <c r="AB156" s="511">
        <f t="shared" si="405"/>
        <v>0.99733403459561032</v>
      </c>
      <c r="AC156" s="481">
        <f t="shared" ref="AC156" si="649">$AL133-AC133</f>
        <v>3318.6100000000006</v>
      </c>
      <c r="AD156" s="484">
        <f t="shared" ref="AD156" si="650">$AM133-AD133</f>
        <v>26</v>
      </c>
      <c r="AE156" s="511">
        <f t="shared" si="408"/>
        <v>-1.7043090516145298</v>
      </c>
      <c r="AF156" s="481">
        <f t="shared" ref="AF156" si="651">$AL133-AF133</f>
        <v>1217.4199999999983</v>
      </c>
      <c r="AG156" s="484">
        <f t="shared" ref="AG156" si="652">$AM133-AG133</f>
        <v>10</v>
      </c>
      <c r="AH156" s="511">
        <f t="shared" si="411"/>
        <v>-0.7909236094243397</v>
      </c>
      <c r="AI156" s="481">
        <f t="shared" si="368"/>
        <v>385.58999999999651</v>
      </c>
      <c r="AJ156" s="484">
        <f t="shared" si="369"/>
        <v>6</v>
      </c>
      <c r="AK156" s="511">
        <f t="shared" si="412"/>
        <v>-1.4219679317799603</v>
      </c>
      <c r="AL156" s="481"/>
      <c r="AM156" s="484"/>
      <c r="AN156" s="484"/>
      <c r="AO156" s="481">
        <f t="shared" si="378"/>
        <v>920.99749999999949</v>
      </c>
      <c r="AP156" s="484">
        <f t="shared" si="370"/>
        <v>5.75</v>
      </c>
      <c r="AQ156" s="511">
        <f t="shared" si="371"/>
        <v>0.28061192084625602</v>
      </c>
      <c r="AR156" s="481">
        <f t="shared" si="372"/>
        <v>-1037.3899999999994</v>
      </c>
      <c r="AS156" s="484">
        <f t="shared" si="373"/>
        <v>-8</v>
      </c>
      <c r="AT156" s="511">
        <f t="shared" si="374"/>
        <v>-2.2844820605456562</v>
      </c>
      <c r="AU156" s="481">
        <f t="shared" si="375"/>
        <v>3318.6100000000006</v>
      </c>
      <c r="AV156" s="484">
        <f t="shared" si="376"/>
        <v>26</v>
      </c>
      <c r="AW156" s="511">
        <f t="shared" si="377"/>
        <v>2.6393665872543295</v>
      </c>
    </row>
    <row r="157" spans="1:49" hidden="1" outlineLevel="1" x14ac:dyDescent="0.25">
      <c r="A157" s="401">
        <v>20</v>
      </c>
      <c r="B157" s="483">
        <f t="shared" si="379"/>
        <v>0</v>
      </c>
      <c r="C157" s="486">
        <f t="shared" si="380"/>
        <v>0</v>
      </c>
      <c r="D157" s="513">
        <f t="shared" si="381"/>
        <v>0</v>
      </c>
      <c r="E157" s="483">
        <f t="shared" ref="E157" si="653">$AL134-E134</f>
        <v>0</v>
      </c>
      <c r="F157" s="486">
        <f t="shared" ref="F157" si="654">$AM134-F134</f>
        <v>0</v>
      </c>
      <c r="G157" s="513">
        <f t="shared" si="384"/>
        <v>0</v>
      </c>
      <c r="H157" s="483">
        <f t="shared" ref="H157" si="655">$AL134-H134</f>
        <v>0</v>
      </c>
      <c r="I157" s="486">
        <f t="shared" ref="I157" si="656">$AM134-I134</f>
        <v>0</v>
      </c>
      <c r="J157" s="513">
        <f t="shared" si="387"/>
        <v>0</v>
      </c>
      <c r="K157" s="483">
        <f t="shared" ref="K157" si="657">$AL134-K134</f>
        <v>0</v>
      </c>
      <c r="L157" s="486">
        <f t="shared" ref="L157" si="658">$AM134-L134</f>
        <v>0</v>
      </c>
      <c r="M157" s="513">
        <f t="shared" si="390"/>
        <v>0</v>
      </c>
      <c r="N157" s="483">
        <f t="shared" ref="N157" si="659">$AL134-N134</f>
        <v>0</v>
      </c>
      <c r="O157" s="486">
        <f t="shared" ref="O157" si="660">$AM134-O134</f>
        <v>0</v>
      </c>
      <c r="P157" s="513">
        <f t="shared" si="393"/>
        <v>0</v>
      </c>
      <c r="Q157" s="483">
        <f t="shared" ref="Q157" si="661">$AL134-Q134</f>
        <v>0</v>
      </c>
      <c r="R157" s="486">
        <f t="shared" ref="R157" si="662">$AM134-R134</f>
        <v>0</v>
      </c>
      <c r="S157" s="513">
        <f t="shared" si="396"/>
        <v>0</v>
      </c>
      <c r="T157" s="483">
        <f t="shared" ref="T157" si="663">$AL134-T134</f>
        <v>0</v>
      </c>
      <c r="U157" s="486">
        <f t="shared" ref="U157" si="664">$AM134-U134</f>
        <v>0</v>
      </c>
      <c r="V157" s="513">
        <f t="shared" si="399"/>
        <v>0</v>
      </c>
      <c r="W157" s="483">
        <f t="shared" ref="W157" si="665">$AL134-W134</f>
        <v>0</v>
      </c>
      <c r="X157" s="486">
        <f t="shared" ref="X157" si="666">$AM134-X134</f>
        <v>0</v>
      </c>
      <c r="Y157" s="513">
        <f t="shared" si="402"/>
        <v>0</v>
      </c>
      <c r="Z157" s="483">
        <f t="shared" ref="Z157" si="667">$AL134-Z134</f>
        <v>0</v>
      </c>
      <c r="AA157" s="486">
        <f t="shared" ref="AA157" si="668">$AM134-AA134</f>
        <v>0</v>
      </c>
      <c r="AB157" s="513">
        <f t="shared" si="405"/>
        <v>0</v>
      </c>
      <c r="AC157" s="483">
        <f t="shared" ref="AC157" si="669">$AL134-AC134</f>
        <v>0</v>
      </c>
      <c r="AD157" s="486">
        <f t="shared" ref="AD157" si="670">$AM134-AD134</f>
        <v>0</v>
      </c>
      <c r="AE157" s="513">
        <f t="shared" si="408"/>
        <v>0</v>
      </c>
      <c r="AF157" s="483">
        <f t="shared" ref="AF157" si="671">$AL134-AF134</f>
        <v>0</v>
      </c>
      <c r="AG157" s="486">
        <f t="shared" ref="AG157" si="672">$AM134-AG134</f>
        <v>0</v>
      </c>
      <c r="AH157" s="513">
        <f t="shared" si="411"/>
        <v>0</v>
      </c>
      <c r="AI157" s="483">
        <f t="shared" si="368"/>
        <v>0</v>
      </c>
      <c r="AJ157" s="486">
        <f t="shared" si="369"/>
        <v>0</v>
      </c>
      <c r="AK157" s="513">
        <f t="shared" si="412"/>
        <v>0</v>
      </c>
      <c r="AL157" s="483"/>
      <c r="AM157" s="486"/>
      <c r="AN157" s="486"/>
      <c r="AO157" s="483">
        <f t="shared" si="378"/>
        <v>0</v>
      </c>
      <c r="AP157" s="486">
        <f t="shared" si="370"/>
        <v>0</v>
      </c>
      <c r="AQ157" s="513">
        <f t="shared" si="371"/>
        <v>0</v>
      </c>
      <c r="AR157" s="483">
        <f t="shared" si="372"/>
        <v>0</v>
      </c>
      <c r="AS157" s="486">
        <f t="shared" si="373"/>
        <v>0</v>
      </c>
      <c r="AT157" s="513">
        <f t="shared" si="374"/>
        <v>0</v>
      </c>
      <c r="AU157" s="483">
        <f t="shared" si="375"/>
        <v>0</v>
      </c>
      <c r="AV157" s="486">
        <f t="shared" si="376"/>
        <v>0</v>
      </c>
      <c r="AW157" s="513">
        <f t="shared" si="377"/>
        <v>0</v>
      </c>
    </row>
    <row r="158" spans="1:49" hidden="1" outlineLevel="1" x14ac:dyDescent="0.25">
      <c r="A158" s="400">
        <v>21</v>
      </c>
      <c r="B158" s="481">
        <f t="shared" si="379"/>
        <v>-4234.1699999999983</v>
      </c>
      <c r="C158" s="484">
        <f t="shared" si="380"/>
        <v>-28</v>
      </c>
      <c r="D158" s="511">
        <f t="shared" si="381"/>
        <v>-0.23875470718090241</v>
      </c>
      <c r="E158" s="481">
        <f t="shared" ref="E158" si="673">$AL135-E135</f>
        <v>-14086.550000000003</v>
      </c>
      <c r="F158" s="484">
        <f t="shared" ref="F158" si="674">$AM135-F135</f>
        <v>-90</v>
      </c>
      <c r="G158" s="511">
        <f t="shared" si="384"/>
        <v>-1.6007024557395937</v>
      </c>
      <c r="H158" s="481">
        <f t="shared" ref="H158" si="675">$AL135-H135</f>
        <v>-3920.6499999999942</v>
      </c>
      <c r="I158" s="484">
        <f t="shared" ref="I158" si="676">$AM135-I135</f>
        <v>-17</v>
      </c>
      <c r="J158" s="511">
        <f t="shared" si="387"/>
        <v>-3.2026470588235156</v>
      </c>
      <c r="K158" s="481">
        <f t="shared" ref="K158" si="677">$AL135-K135</f>
        <v>-4095.2799999999988</v>
      </c>
      <c r="L158" s="484">
        <f t="shared" ref="L158" si="678">$AM135-L135</f>
        <v>-18</v>
      </c>
      <c r="M158" s="511">
        <f t="shared" si="390"/>
        <v>-3.2569804806798572</v>
      </c>
      <c r="N158" s="481">
        <f t="shared" ref="N158" si="679">$AL135-N135</f>
        <v>-761.19000000000233</v>
      </c>
      <c r="O158" s="484">
        <f t="shared" ref="O158" si="680">$AM135-O135</f>
        <v>3</v>
      </c>
      <c r="P158" s="511">
        <f t="shared" si="393"/>
        <v>-2.8513339838305285</v>
      </c>
      <c r="Q158" s="481">
        <f t="shared" ref="Q158" si="681">$AL135-Q135</f>
        <v>-6504.5800000000017</v>
      </c>
      <c r="R158" s="484">
        <f t="shared" ref="R158" si="682">$AM135-R135</f>
        <v>-32</v>
      </c>
      <c r="S158" s="511">
        <f t="shared" si="396"/>
        <v>-3.9149568799073506</v>
      </c>
      <c r="T158" s="481">
        <f t="shared" ref="T158" si="683">$AL135-T135</f>
        <v>-3181.5599999999977</v>
      </c>
      <c r="U158" s="484">
        <f t="shared" ref="U158" si="684">$AM135-U135</f>
        <v>-18</v>
      </c>
      <c r="V158" s="511">
        <f t="shared" si="399"/>
        <v>-1.1944071172487156</v>
      </c>
      <c r="W158" s="481">
        <f t="shared" ref="W158" si="685">$AL135-W135</f>
        <v>-4993.8899999999994</v>
      </c>
      <c r="X158" s="484">
        <f t="shared" ref="X158" si="686">$AM135-X135</f>
        <v>-28</v>
      </c>
      <c r="Y158" s="511">
        <f t="shared" si="402"/>
        <v>-1.9158407998961309</v>
      </c>
      <c r="Z158" s="481">
        <f t="shared" ref="Z158" si="687">$AL135-Z135</f>
        <v>-1641.1100000000006</v>
      </c>
      <c r="AA158" s="484">
        <f t="shared" ref="AA158" si="688">$AM135-AA135</f>
        <v>-5</v>
      </c>
      <c r="AB158" s="511">
        <f t="shared" si="405"/>
        <v>-2.1030738714090376</v>
      </c>
      <c r="AC158" s="481">
        <f t="shared" ref="AC158" si="689">$AL135-AC135</f>
        <v>-7814.7299999999959</v>
      </c>
      <c r="AD158" s="484">
        <f t="shared" ref="AD158" si="690">$AM135-AD135</f>
        <v>-40</v>
      </c>
      <c r="AE158" s="511">
        <f t="shared" si="408"/>
        <v>-4.1299443390259398</v>
      </c>
      <c r="AF158" s="481">
        <f t="shared" ref="AF158" si="691">$AL135-AF135</f>
        <v>-5497.3699999999953</v>
      </c>
      <c r="AG158" s="484">
        <f t="shared" ref="AG158" si="692">$AM135-AG135</f>
        <v>-27</v>
      </c>
      <c r="AH158" s="511">
        <f t="shared" si="411"/>
        <v>-3.3599856845393106</v>
      </c>
      <c r="AI158" s="481">
        <f t="shared" si="368"/>
        <v>-1619.010000000002</v>
      </c>
      <c r="AJ158" s="484">
        <f t="shared" si="369"/>
        <v>-6</v>
      </c>
      <c r="AK158" s="511">
        <f t="shared" si="412"/>
        <v>-1.7050211546335561</v>
      </c>
      <c r="AL158" s="481"/>
      <c r="AM158" s="484"/>
      <c r="AN158" s="484"/>
      <c r="AO158" s="481">
        <f t="shared" si="378"/>
        <v>-4862.5074999999988</v>
      </c>
      <c r="AP158" s="484">
        <f t="shared" si="370"/>
        <v>-25.5</v>
      </c>
      <c r="AQ158" s="511">
        <f t="shared" si="371"/>
        <v>-2.5244206707528076</v>
      </c>
      <c r="AR158" s="481">
        <f t="shared" si="372"/>
        <v>-14086.550000000003</v>
      </c>
      <c r="AS158" s="484">
        <f t="shared" si="373"/>
        <v>-90</v>
      </c>
      <c r="AT158" s="511">
        <f t="shared" si="374"/>
        <v>-4.1299443390259398</v>
      </c>
      <c r="AU158" s="481">
        <f t="shared" si="375"/>
        <v>-761.19000000000233</v>
      </c>
      <c r="AV158" s="484">
        <f t="shared" si="376"/>
        <v>3</v>
      </c>
      <c r="AW158" s="511">
        <f t="shared" si="377"/>
        <v>-0.23875470718090241</v>
      </c>
    </row>
    <row r="159" spans="1:49" hidden="1" outlineLevel="1" x14ac:dyDescent="0.25">
      <c r="A159" s="400"/>
      <c r="B159" s="481"/>
      <c r="C159" s="484"/>
      <c r="D159" s="511"/>
      <c r="E159" s="481"/>
      <c r="F159" s="484"/>
      <c r="G159" s="511"/>
      <c r="H159" s="481"/>
      <c r="I159" s="484"/>
      <c r="J159" s="511"/>
      <c r="K159" s="481"/>
      <c r="L159" s="484"/>
      <c r="M159" s="511"/>
      <c r="N159" s="484"/>
      <c r="O159" s="484"/>
      <c r="P159" s="511"/>
      <c r="Q159" s="484"/>
      <c r="R159" s="484"/>
      <c r="S159" s="511"/>
      <c r="T159" s="481"/>
      <c r="U159" s="484"/>
      <c r="V159" s="511"/>
      <c r="W159" s="481"/>
      <c r="X159" s="484"/>
      <c r="Y159" s="511"/>
      <c r="Z159" s="481"/>
      <c r="AA159" s="484"/>
      <c r="AB159" s="511"/>
      <c r="AC159" s="481"/>
      <c r="AD159" s="484"/>
      <c r="AE159" s="511"/>
      <c r="AF159" s="481"/>
      <c r="AG159" s="484"/>
      <c r="AH159" s="511"/>
      <c r="AI159" s="481"/>
      <c r="AJ159" s="484"/>
      <c r="AK159" s="511"/>
      <c r="AL159" s="481"/>
      <c r="AM159" s="484"/>
      <c r="AN159" s="484"/>
      <c r="AO159" s="481"/>
      <c r="AP159" s="484"/>
      <c r="AQ159" s="511"/>
      <c r="AR159" s="481"/>
      <c r="AS159" s="484"/>
      <c r="AT159" s="511"/>
      <c r="AU159" s="481"/>
      <c r="AV159" s="484"/>
      <c r="AW159" s="511"/>
    </row>
    <row r="160" spans="1:49" hidden="1" outlineLevel="1" x14ac:dyDescent="0.25">
      <c r="A160" s="400" t="s">
        <v>282</v>
      </c>
      <c r="B160" s="481">
        <f>AVERAGE(B138:B158)</f>
        <v>2155.9</v>
      </c>
      <c r="C160" s="484">
        <f t="shared" ref="C160:AG160" si="693">AVERAGE(C138:C158)</f>
        <v>26</v>
      </c>
      <c r="D160" s="511">
        <f t="shared" ref="D160" si="694">AVERAGE(D138:D158)</f>
        <v>-8.3575295495616455</v>
      </c>
      <c r="E160" s="481">
        <f t="shared" si="693"/>
        <v>-173.50125000000025</v>
      </c>
      <c r="F160" s="484">
        <f t="shared" si="693"/>
        <v>6.5625</v>
      </c>
      <c r="G160" s="511">
        <f t="shared" si="693"/>
        <v>-5.1080121299990271</v>
      </c>
      <c r="H160" s="481">
        <f t="shared" si="693"/>
        <v>1504.4843750000002</v>
      </c>
      <c r="I160" s="484">
        <f t="shared" si="693"/>
        <v>4.8125</v>
      </c>
      <c r="J160" s="511">
        <f t="shared" ref="J160" si="695">AVERAGE(J138:J158)</f>
        <v>2.513725303618811</v>
      </c>
      <c r="K160" s="481">
        <f t="shared" si="693"/>
        <v>1135.348125</v>
      </c>
      <c r="L160" s="484">
        <f t="shared" si="693"/>
        <v>3.3125</v>
      </c>
      <c r="M160" s="511">
        <f t="shared" ref="M160" si="696">AVERAGE(M138:M158)</f>
        <v>2.4399847797990049</v>
      </c>
      <c r="N160" s="481">
        <f t="shared" si="693"/>
        <v>-4044.0512500000009</v>
      </c>
      <c r="O160" s="484">
        <f t="shared" si="693"/>
        <v>-25.5</v>
      </c>
      <c r="P160" s="511">
        <f t="shared" ref="P160" si="697">AVERAGE(P138:P158)</f>
        <v>-1.1441811872130643</v>
      </c>
      <c r="Q160" s="481">
        <f t="shared" si="693"/>
        <v>1064.6474999999994</v>
      </c>
      <c r="R160" s="484">
        <f t="shared" si="693"/>
        <v>5.875</v>
      </c>
      <c r="S160" s="511">
        <f t="shared" ref="S160" si="698">AVERAGE(S138:S158)</f>
        <v>0.12937250291259161</v>
      </c>
      <c r="T160" s="481">
        <f t="shared" si="693"/>
        <v>-1805.1774999999998</v>
      </c>
      <c r="U160" s="484">
        <f t="shared" si="693"/>
        <v>-9.1875</v>
      </c>
      <c r="V160" s="511">
        <f t="shared" ref="V160" si="699">AVERAGE(V138:V158)</f>
        <v>-2.0077259848224323</v>
      </c>
      <c r="W160" s="481">
        <f t="shared" si="693"/>
        <v>821.44875000000047</v>
      </c>
      <c r="X160" s="484">
        <f t="shared" si="693"/>
        <v>11.6875</v>
      </c>
      <c r="Y160" s="511">
        <f t="shared" ref="Y160" si="700">AVERAGE(Y138:Y158)</f>
        <v>-4.8855953574960402</v>
      </c>
      <c r="Z160" s="481">
        <f t="shared" si="693"/>
        <v>-2555.9525000000003</v>
      </c>
      <c r="AA160" s="484">
        <f t="shared" si="693"/>
        <v>-14.4375</v>
      </c>
      <c r="AB160" s="511">
        <f t="shared" ref="AB160" si="701">AVERAGE(AB138:AB158)</f>
        <v>-1.955254406951628</v>
      </c>
      <c r="AC160" s="481">
        <f t="shared" si="693"/>
        <v>732.72250000000031</v>
      </c>
      <c r="AD160" s="484">
        <f t="shared" si="693"/>
        <v>8.375</v>
      </c>
      <c r="AE160" s="511">
        <f t="shared" ref="AE160" si="702">AVERAGE(AE138:AE158)</f>
        <v>-1.5930102512744408</v>
      </c>
      <c r="AF160" s="481">
        <f t="shared" si="693"/>
        <v>2858.5731249999994</v>
      </c>
      <c r="AG160" s="484">
        <f t="shared" si="693"/>
        <v>20.6875</v>
      </c>
      <c r="AH160" s="511">
        <f t="shared" ref="AH160:AJ160" si="703">AVERAGE(AH138:AH158)</f>
        <v>-0.99879620307655692</v>
      </c>
      <c r="AI160" s="481">
        <f t="shared" si="703"/>
        <v>-1853.4356250000005</v>
      </c>
      <c r="AJ160" s="484">
        <f t="shared" si="703"/>
        <v>-8.0625</v>
      </c>
      <c r="AK160" s="511">
        <f t="shared" ref="AK160" si="704">AVERAGE(AK138:AK158)</f>
        <v>-2.7365911444890365</v>
      </c>
      <c r="AL160" s="481"/>
      <c r="AM160" s="484"/>
      <c r="AN160" s="484"/>
      <c r="AO160" s="481">
        <f t="shared" ref="AO160" si="705">AVERAGE(B160,E160,H160,K160,N160,Q160,T160,W160,Z160,AC160,AF160,AI160)</f>
        <v>-13.249479166666768</v>
      </c>
      <c r="AP160" s="484">
        <f t="shared" ref="AP160:AQ160" si="706">AVERAGE(C160,F160,I160,L160,O160,R160,U160,X160,AA160,AD160,AG160,AJ160)</f>
        <v>2.5104166666666665</v>
      </c>
      <c r="AQ160" s="511">
        <f t="shared" si="706"/>
        <v>-1.9753011357127888</v>
      </c>
      <c r="AR160" s="481">
        <f t="shared" ref="AR160:AT161" si="707">MIN(B160,E160,H160,K160,N160,Q160,T160,W160,Z160,AC160,AF160)</f>
        <v>-4044.0512500000009</v>
      </c>
      <c r="AS160" s="484">
        <f t="shared" si="707"/>
        <v>-25.5</v>
      </c>
      <c r="AT160" s="511">
        <f t="shared" si="707"/>
        <v>-8.3575295495616455</v>
      </c>
      <c r="AU160" s="481">
        <f>MAX(B160,E160,H160,K160,N160,Q160,T160,W160,Z160,AC160,AF160,AI160)</f>
        <v>2858.5731249999994</v>
      </c>
      <c r="AV160" s="484">
        <f t="shared" ref="AV160:AW160" si="708">MAX(C160,F160,I160,L160,O160,R160,U160,X160,AA160,AD160,AG160,AJ160)</f>
        <v>26</v>
      </c>
      <c r="AW160" s="511">
        <f t="shared" si="708"/>
        <v>2.513725303618811</v>
      </c>
    </row>
    <row r="161" spans="1:110" hidden="1" outlineLevel="1" x14ac:dyDescent="0.25">
      <c r="A161" s="488" t="s">
        <v>435</v>
      </c>
      <c r="B161" s="481">
        <f t="shared" ref="B161:AK161" si="709">_xlfn.STDEV.P(B138:B153)</f>
        <v>1697.2808705014759</v>
      </c>
      <c r="C161" s="484">
        <f t="shared" si="709"/>
        <v>14.07359640257171</v>
      </c>
      <c r="D161" s="511">
        <f t="shared" si="709"/>
        <v>5.9658708694770093</v>
      </c>
      <c r="E161" s="481">
        <f t="shared" si="709"/>
        <v>1200.0644850504243</v>
      </c>
      <c r="F161" s="484">
        <f t="shared" si="709"/>
        <v>6.2931157454097386</v>
      </c>
      <c r="G161" s="511">
        <f t="shared" si="709"/>
        <v>5.0177146210585901</v>
      </c>
      <c r="H161" s="481">
        <f t="shared" si="709"/>
        <v>1820.0095332535714</v>
      </c>
      <c r="I161" s="484">
        <f t="shared" si="709"/>
        <v>9.3525971997175894</v>
      </c>
      <c r="J161" s="511">
        <f t="shared" si="709"/>
        <v>4.2297687940581703</v>
      </c>
      <c r="K161" s="481">
        <f t="shared" si="709"/>
        <v>683.55266838737714</v>
      </c>
      <c r="L161" s="484">
        <f t="shared" si="709"/>
        <v>7.1915928878422202</v>
      </c>
      <c r="M161" s="511">
        <f t="shared" si="709"/>
        <v>2.5852283444630899</v>
      </c>
      <c r="N161" s="481">
        <f t="shared" si="709"/>
        <v>1556.5859412469322</v>
      </c>
      <c r="O161" s="484">
        <f t="shared" si="709"/>
        <v>8.5638100735132259</v>
      </c>
      <c r="P161" s="511">
        <f t="shared" si="709"/>
        <v>2.8729974960464335</v>
      </c>
      <c r="Q161" s="481">
        <f t="shared" si="709"/>
        <v>567.98568364422033</v>
      </c>
      <c r="R161" s="484">
        <f t="shared" si="709"/>
        <v>9.1579347341549298</v>
      </c>
      <c r="S161" s="511">
        <f t="shared" si="709"/>
        <v>5.7368922559561053</v>
      </c>
      <c r="T161" s="481">
        <f t="shared" si="709"/>
        <v>1512.5033518225273</v>
      </c>
      <c r="U161" s="484">
        <f t="shared" si="709"/>
        <v>6.6668044062905834</v>
      </c>
      <c r="V161" s="511">
        <f t="shared" si="709"/>
        <v>3.5798164337971152</v>
      </c>
      <c r="W161" s="481">
        <f t="shared" si="709"/>
        <v>474.60570443194132</v>
      </c>
      <c r="X161" s="484">
        <f t="shared" si="709"/>
        <v>7.8519355933415218</v>
      </c>
      <c r="Y161" s="511">
        <f t="shared" si="709"/>
        <v>6.7764952394298135</v>
      </c>
      <c r="Z161" s="481">
        <f t="shared" si="709"/>
        <v>1160.1440181508676</v>
      </c>
      <c r="AA161" s="484">
        <f t="shared" si="709"/>
        <v>6.5656254855519229</v>
      </c>
      <c r="AB161" s="511">
        <f t="shared" si="709"/>
        <v>3.9431067691601549</v>
      </c>
      <c r="AC161" s="481">
        <f t="shared" si="709"/>
        <v>1114.6646741042216</v>
      </c>
      <c r="AD161" s="484">
        <f t="shared" si="709"/>
        <v>9.1380595440938635</v>
      </c>
      <c r="AE161" s="511">
        <f t="shared" si="709"/>
        <v>3.8079652970281961</v>
      </c>
      <c r="AF161" s="481">
        <f t="shared" si="709"/>
        <v>1277.9151633839463</v>
      </c>
      <c r="AG161" s="484">
        <f t="shared" si="709"/>
        <v>12.025455095252482</v>
      </c>
      <c r="AH161" s="511">
        <f t="shared" si="709"/>
        <v>4.0591392341401926</v>
      </c>
      <c r="AI161" s="481">
        <f t="shared" si="709"/>
        <v>1916.1397295846045</v>
      </c>
      <c r="AJ161" s="484">
        <f t="shared" si="709"/>
        <v>10.69486630534745</v>
      </c>
      <c r="AK161" s="511">
        <f t="shared" si="709"/>
        <v>3.6747716649342155</v>
      </c>
      <c r="AL161" s="481"/>
      <c r="AM161" s="484"/>
      <c r="AN161" s="484"/>
      <c r="AO161" s="481">
        <f>_xlfn.STDEV.P(B161,E161,H161,K161,N161,Q161,T161,W161,Z161,AC161,AF161,AI161)</f>
        <v>460.84093827474197</v>
      </c>
      <c r="AP161" s="484">
        <f>_xlfn.STDEV.P(C161,F161,I161,L161,O161,R161,U161,X161,AA161,AD161,AG161,AJ161)</f>
        <v>2.2619403230509776</v>
      </c>
      <c r="AQ161" s="511">
        <f>_xlfn.STDEV.P(D161,G161,J161,M161,P161,S161,V161,Y161,AB161,AE161,AH161,AK161)</f>
        <v>1.2169468296306687</v>
      </c>
      <c r="AR161" s="481">
        <f t="shared" si="707"/>
        <v>474.60570443194132</v>
      </c>
      <c r="AS161" s="484">
        <f t="shared" si="707"/>
        <v>6.2931157454097386</v>
      </c>
      <c r="AT161" s="511">
        <f t="shared" si="707"/>
        <v>2.5852283444630899</v>
      </c>
      <c r="AU161" s="481">
        <f>MAX(B161,E161,H161,K161,N161,Q161,T161,W161,Z161,AC161,AF161,AI161)</f>
        <v>1916.1397295846045</v>
      </c>
      <c r="AV161" s="484">
        <f t="shared" ref="AV161" si="710">MAX(C161,F161,I161,L161,O161,R161,U161,X161,AA161,AD161,AG161,AJ161)</f>
        <v>14.07359640257171</v>
      </c>
      <c r="AW161" s="511">
        <f t="shared" ref="AW161" si="711">MAX(D161,G161,J161,M161,P161,S161,V161,Y161,AB161,AE161,AH161,AK161)</f>
        <v>6.7764952394298135</v>
      </c>
    </row>
    <row r="162" spans="1:110" hidden="1" outlineLevel="1" x14ac:dyDescent="0.25">
      <c r="A162" s="400"/>
      <c r="B162" s="481"/>
      <c r="C162" s="484"/>
      <c r="D162" s="511"/>
      <c r="E162" s="481"/>
      <c r="F162" s="484"/>
      <c r="G162" s="511"/>
      <c r="H162" s="481"/>
      <c r="I162" s="484"/>
      <c r="J162" s="511"/>
      <c r="K162" s="481"/>
      <c r="L162" s="484"/>
      <c r="M162" s="511"/>
      <c r="N162" s="734" t="s">
        <v>281</v>
      </c>
      <c r="O162" s="734"/>
      <c r="P162" s="735"/>
      <c r="Q162" s="481"/>
      <c r="R162" s="484"/>
      <c r="S162" s="511"/>
      <c r="T162" s="481"/>
      <c r="U162" s="484"/>
      <c r="V162" s="511"/>
      <c r="W162" s="481"/>
      <c r="X162" s="484"/>
      <c r="Y162" s="511"/>
      <c r="Z162" s="481"/>
      <c r="AA162" s="484"/>
      <c r="AB162" s="511"/>
      <c r="AC162" s="481"/>
      <c r="AD162" s="484"/>
      <c r="AE162" s="511"/>
      <c r="AF162" s="736" t="s">
        <v>283</v>
      </c>
      <c r="AG162" s="736"/>
      <c r="AH162" s="737"/>
      <c r="AI162" s="736" t="s">
        <v>283</v>
      </c>
      <c r="AJ162" s="736"/>
      <c r="AK162" s="737"/>
      <c r="AL162" s="481"/>
      <c r="AM162" s="484"/>
      <c r="AN162" s="484"/>
      <c r="AO162" s="481"/>
      <c r="AP162" s="484"/>
      <c r="AQ162" s="511"/>
      <c r="AR162" s="481"/>
      <c r="AS162" s="484"/>
      <c r="AT162" s="511"/>
      <c r="AU162" s="481"/>
      <c r="AV162" s="484"/>
      <c r="AW162" s="511"/>
    </row>
    <row r="163" spans="1:110" hidden="1" outlineLevel="1" x14ac:dyDescent="0.25">
      <c r="A163" s="400" t="s">
        <v>280</v>
      </c>
      <c r="B163" s="481">
        <f t="shared" ref="B163:AH163" si="712">_xlfn.STDEV.P(B138:B158)</f>
        <v>2295.8593644973112</v>
      </c>
      <c r="C163" s="484">
        <f t="shared" si="712"/>
        <v>20.402205763103165</v>
      </c>
      <c r="D163" s="511">
        <f t="shared" si="712"/>
        <v>6.5526230755891159</v>
      </c>
      <c r="E163" s="481">
        <f t="shared" si="712"/>
        <v>3754.8761494486662</v>
      </c>
      <c r="F163" s="484">
        <f t="shared" si="712"/>
        <v>26.02395230840235</v>
      </c>
      <c r="G163" s="511">
        <f t="shared" ref="G163" si="713">_xlfn.STDEV.P(G138:G158)</f>
        <v>4.7469052905966302</v>
      </c>
      <c r="H163" s="481">
        <f t="shared" si="712"/>
        <v>2146.7563386478228</v>
      </c>
      <c r="I163" s="484">
        <f t="shared" si="712"/>
        <v>10.131749293680732</v>
      </c>
      <c r="J163" s="511">
        <f t="shared" si="712"/>
        <v>4.1343016080169672</v>
      </c>
      <c r="K163" s="481">
        <f t="shared" si="712"/>
        <v>1546.5040147265163</v>
      </c>
      <c r="L163" s="484">
        <f t="shared" si="712"/>
        <v>8.5272999097017816</v>
      </c>
      <c r="M163" s="511">
        <f t="shared" si="712"/>
        <v>2.729727709858905</v>
      </c>
      <c r="N163" s="481">
        <f t="shared" si="712"/>
        <v>2299.9103582799548</v>
      </c>
      <c r="O163" s="484">
        <f t="shared" si="712"/>
        <v>14.66287829861518</v>
      </c>
      <c r="P163" s="511">
        <f t="shared" si="712"/>
        <v>2.5380674414420468</v>
      </c>
      <c r="Q163" s="481">
        <f t="shared" si="712"/>
        <v>2062.211422625297</v>
      </c>
      <c r="R163" s="484">
        <f t="shared" si="712"/>
        <v>12.643550727544854</v>
      </c>
      <c r="S163" s="511">
        <f t="shared" si="712"/>
        <v>4.8838407036420035</v>
      </c>
      <c r="T163" s="481">
        <f t="shared" si="712"/>
        <v>1402.4123016230819</v>
      </c>
      <c r="U163" s="484">
        <f t="shared" si="712"/>
        <v>6.5595231343444471</v>
      </c>
      <c r="V163" s="511">
        <f t="shared" si="712"/>
        <v>3.2505805823575549</v>
      </c>
      <c r="W163" s="481">
        <f t="shared" si="712"/>
        <v>1621.0514590069117</v>
      </c>
      <c r="X163" s="484">
        <f t="shared" si="712"/>
        <v>14.533232391660157</v>
      </c>
      <c r="Y163" s="511">
        <f t="shared" si="712"/>
        <v>6.8134603032123229</v>
      </c>
      <c r="Z163" s="481">
        <f t="shared" si="712"/>
        <v>1517.0290856493982</v>
      </c>
      <c r="AA163" s="484">
        <f t="shared" si="712"/>
        <v>8.2837849893632569</v>
      </c>
      <c r="AB163" s="511">
        <f t="shared" si="712"/>
        <v>3.5866718472406638</v>
      </c>
      <c r="AC163" s="481">
        <f t="shared" si="712"/>
        <v>2545.5814984657723</v>
      </c>
      <c r="AD163" s="484">
        <f t="shared" si="712"/>
        <v>16.389306727253597</v>
      </c>
      <c r="AE163" s="511">
        <f t="shared" si="712"/>
        <v>3.3412412363992678</v>
      </c>
      <c r="AF163" s="481">
        <f t="shared" si="712"/>
        <v>2715.1382391526554</v>
      </c>
      <c r="AG163" s="484">
        <f t="shared" si="712"/>
        <v>17.859586886319626</v>
      </c>
      <c r="AH163" s="511">
        <f t="shared" si="712"/>
        <v>3.4321278221957154</v>
      </c>
      <c r="AI163" s="481">
        <f t="shared" ref="AI163:AK163" si="714">_xlfn.STDEV.P(AI138:AI158)</f>
        <v>2148.9534099183275</v>
      </c>
      <c r="AJ163" s="484">
        <f t="shared" si="714"/>
        <v>12.837779938525196</v>
      </c>
      <c r="AK163" s="511">
        <f t="shared" si="714"/>
        <v>3.2067600290520204</v>
      </c>
      <c r="AL163" s="481"/>
      <c r="AM163" s="484"/>
      <c r="AN163" s="484"/>
      <c r="AO163" s="481">
        <f>AVERAGE(B163,E163,H163,K163,N163,Q163,T163,W163,Z163,AC163,AF163,AI163)</f>
        <v>2171.3569701701435</v>
      </c>
      <c r="AP163" s="484">
        <f t="shared" ref="AP163:AQ163" si="715">AVERAGE(C163,F163,I163,L163,O163,R163,U163,X163,AA163,AD163,AG163,AJ163)</f>
        <v>14.071237530709526</v>
      </c>
      <c r="AQ163" s="511">
        <f t="shared" si="715"/>
        <v>4.101358970800268</v>
      </c>
      <c r="AR163" s="481">
        <f>MIN(B163,E163,H163,K163,N163,Q163,T163,W163,Z163,AC163,AF163)</f>
        <v>1402.4123016230819</v>
      </c>
      <c r="AS163" s="484">
        <f>MIN(C163,F163,I163,L163,O163,R163,U163,X163,AA163,AD163,AG163)</f>
        <v>6.5595231343444471</v>
      </c>
      <c r="AT163" s="511">
        <f>MIN(D163,G163,J163,M163,P163,S163,V163,Y163,AB163,AE163,AH163)</f>
        <v>2.5380674414420468</v>
      </c>
      <c r="AU163" s="481">
        <f>MAX(B163,E163,H163,K163,N163,Q163,T163,W163,Z163,AC163,AF163,AI163)</f>
        <v>3754.8761494486662</v>
      </c>
      <c r="AV163" s="484">
        <f t="shared" ref="AV163" si="716">MAX(C163,F163,I163,L163,O163,R163,U163,X163,AA163,AD163,AG163,AJ163)</f>
        <v>26.02395230840235</v>
      </c>
      <c r="AW163" s="511">
        <f t="shared" ref="AW163" si="717">MAX(D163,G163,J163,M163,P163,S163,V163,Y163,AB163,AE163,AH163,AK163)</f>
        <v>6.8134603032123229</v>
      </c>
    </row>
    <row r="164" spans="1:110" hidden="1" outlineLevel="1" x14ac:dyDescent="0.25">
      <c r="B164" s="778" t="s">
        <v>283</v>
      </c>
      <c r="C164" s="778"/>
      <c r="D164" s="505"/>
      <c r="G164" s="13"/>
      <c r="Z164" s="777" t="s">
        <v>281</v>
      </c>
      <c r="AA164" s="777"/>
      <c r="AB164" s="508"/>
    </row>
    <row r="165" spans="1:110" hidden="1" outlineLevel="1" x14ac:dyDescent="0.25"/>
    <row r="166" spans="1:110" hidden="1" outlineLevel="1" x14ac:dyDescent="0.25"/>
    <row r="167" spans="1:110" hidden="1" outlineLevel="1" x14ac:dyDescent="0.25">
      <c r="A167" s="479" t="s">
        <v>235</v>
      </c>
      <c r="AL167" s="739" t="s">
        <v>245</v>
      </c>
      <c r="AM167" s="739"/>
      <c r="AN167" s="509"/>
    </row>
    <row r="168" spans="1:110" hidden="1" outlineLevel="1" x14ac:dyDescent="0.25">
      <c r="A168" s="333" t="s">
        <v>31</v>
      </c>
      <c r="B168" s="388" t="str">
        <f>Tabelle3[[#Headers],[Ned (€)]]</f>
        <v>Ned (€)</v>
      </c>
      <c r="C168" s="389" t="str">
        <f>Tabelle3[[#Headers],[Ned (Backer)]]</f>
        <v>Ned (Backer)</v>
      </c>
      <c r="D168" s="493" t="str">
        <f>Tabelle3[[#Headers],[Ned (€/B)]]</f>
        <v>Ned (€/B)</v>
      </c>
      <c r="E168" s="391" t="str">
        <f>Tabelle3[[#Headers],[Werkzeuge (€)]]</f>
        <v>Werkzeuge (€)</v>
      </c>
      <c r="F168" s="392" t="str">
        <f>Tabelle3[[#Headers],[Werkzeuge (Backer)]]</f>
        <v>Werkzeuge (Backer)</v>
      </c>
      <c r="G168" s="493" t="str">
        <f>Tabelle3[[#Headers],[Werkz (€/B)]]</f>
        <v>Werkz (€/B)</v>
      </c>
      <c r="H168" s="395" t="str">
        <f>Tabelle3[[#Headers],[DSK Fasar (€)]]</f>
        <v>DSK Fasar (€)</v>
      </c>
      <c r="I168" s="396" t="str">
        <f>Tabelle3[[#Headers],[DSK Fasar (Backer)]]</f>
        <v>DSK Fasar (Backer)</v>
      </c>
      <c r="J168" s="398" t="str">
        <f>Tabelle3[[#Headers],[DSK Fasar (€/B)]]</f>
        <v>DSK Fasar (€/B)</v>
      </c>
      <c r="K168" s="388" t="str">
        <f>Tabelle3[[#Headers],[Mythen (€)]]</f>
        <v>Mythen (€)</v>
      </c>
      <c r="L168" s="389" t="str">
        <f>Tabelle3[[#Headers],[Mythen (Backer)]]</f>
        <v>Mythen (Backer)</v>
      </c>
      <c r="M168" s="389" t="str">
        <f>Tabelle3[[#Headers],[Mythen (€/B)]]</f>
        <v>Mythen (€/B)</v>
      </c>
      <c r="N168" s="393" t="str">
        <f>Tabelle3[[#Headers],[SOK (€)]]</f>
        <v>SOK (€)</v>
      </c>
      <c r="O168" s="394" t="str">
        <f>Tabelle3[[#Headers],[SOK (Backer)]]</f>
        <v>SOK (Backer)</v>
      </c>
      <c r="P168" s="394" t="str">
        <f>Tabelle3[[#Headers],[SOK (€/B)]]</f>
        <v>SOK (€/B)</v>
      </c>
      <c r="Q168" s="390" t="str">
        <f>Tabelle3[[#Headers],[RE (€)]]</f>
        <v>RE (€)</v>
      </c>
      <c r="R168" s="390" t="str">
        <f>Tabelle3[[#Headers],[RE (Backer)]]</f>
        <v>RE (Backer)</v>
      </c>
      <c r="S168" s="390" t="str">
        <f>Tabelle3[[#Headers],[RE (€/B)]]</f>
        <v>RE (€/B)</v>
      </c>
      <c r="T168" s="390" t="str">
        <f>Tabelle3[[#Headers],[DGG (€)]]</f>
        <v>DGG (€)</v>
      </c>
      <c r="U168" s="390" t="str">
        <f>Tabelle3[[#Headers],[DGG (Backer)]]</f>
        <v>DGG (Backer)</v>
      </c>
      <c r="V168" s="390" t="str">
        <f>Tabelle3[[#Headers],[DGG (€/B)]]</f>
        <v>DGG (€/B)</v>
      </c>
      <c r="W168" s="395" t="str">
        <f>Tabelle3[[#Headers],[DSK SV (€)]]</f>
        <v>DSK SV (€)</v>
      </c>
      <c r="X168" s="396" t="str">
        <f>Tabelle3[[#Headers],[DSK SV (Backer)]]</f>
        <v>DSK SV (Backer)</v>
      </c>
      <c r="Y168" s="398" t="str">
        <f>Tabelle3[[#Headers],[DSK SV (€/B)]]</f>
        <v>DSK SV (€/B)</v>
      </c>
      <c r="Z168" s="393" t="str">
        <f>Tabelle3[[#Headers],[WW (€)]]</f>
        <v>WW (€)</v>
      </c>
      <c r="AA168" s="394" t="str">
        <f>Tabelle3[[#Headers],[WW (Backer)]]</f>
        <v>WW (Backer)</v>
      </c>
      <c r="AB168" s="394" t="str">
        <f>Tabelle3[[#Headers],[WW (€/B)]]</f>
        <v>WW (€/B)</v>
      </c>
      <c r="AC168" s="395" t="str">
        <f>Tabelle3[[#Headers],[DSK R (€)]]</f>
        <v>DSK R (€)</v>
      </c>
      <c r="AD168" s="396" t="str">
        <f>Tabelle3[[#Headers],[DSK R (Backer)]]</f>
        <v>DSK R (Backer)</v>
      </c>
      <c r="AE168" s="398" t="str">
        <f>Tabelle3[[#Headers],[DSK R (€/B)]]</f>
        <v>DSK R (€/B)</v>
      </c>
      <c r="AF168" s="390" t="str">
        <f>Tabelle3[[#Headers],[Ära (€)]]</f>
        <v>Ära (€)</v>
      </c>
      <c r="AG168" s="390" t="str">
        <f>Tabelle3[[#Headers],[Ära (Backer)]]</f>
        <v>Ära (Backer)</v>
      </c>
      <c r="AH168" s="390" t="str">
        <f>Tabelle3[[#Headers],[Ära (€/B)]]</f>
        <v>Ära (€/B)</v>
      </c>
      <c r="AI168" s="390" t="str">
        <f>Tabelle3[[#Headers],[Mosaik (€)]]</f>
        <v>Mosaik (€)</v>
      </c>
      <c r="AJ168" s="390" t="str">
        <f>Tabelle3[[#Headers],[Mosaik (Backer)]]</f>
        <v>Mosaik (Backer)</v>
      </c>
      <c r="AK168" s="390" t="str">
        <f>Tabelle3[[#Headers],[Mosaik (€/B)]]</f>
        <v>Mosaik (€/B)</v>
      </c>
      <c r="AL168" s="575" t="str">
        <f>Tabelle3[[#Headers],[DSK ES (€)]]</f>
        <v>DSK ES (€)</v>
      </c>
      <c r="AM168" s="575" t="str">
        <f>Tabelle3[[#Headers],[DSK ES (Backer)]]</f>
        <v>DSK ES (Backer)</v>
      </c>
      <c r="AN168" s="575" t="str">
        <f>Tabelle3[[#Headers],[DSK ES (€/B)]]</f>
        <v>DSK ES (€/B)</v>
      </c>
      <c r="AO168" s="738" t="s">
        <v>246</v>
      </c>
      <c r="AP168" s="738"/>
      <c r="AQ168" s="463"/>
      <c r="BM168" s="203"/>
      <c r="BN168" s="202"/>
      <c r="BO168" s="202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2"/>
      <c r="CM168" s="202"/>
      <c r="CN168" s="202"/>
      <c r="CO168" s="202"/>
      <c r="CP168" s="202"/>
      <c r="CQ168" s="202"/>
      <c r="CR168" s="202"/>
      <c r="CS168" s="202"/>
      <c r="CT168" s="202"/>
      <c r="CU168" s="202"/>
      <c r="CV168" s="202"/>
      <c r="CW168" s="202"/>
      <c r="CX168" s="202"/>
      <c r="CY168" s="202"/>
      <c r="CZ168" s="202"/>
      <c r="DA168" s="202"/>
      <c r="DB168" s="202"/>
      <c r="DC168" s="202"/>
      <c r="DD168" s="202"/>
      <c r="DE168" s="202"/>
      <c r="DF168" s="202"/>
    </row>
    <row r="169" spans="1:110" hidden="1" outlineLevel="1" x14ac:dyDescent="0.25">
      <c r="A169" s="400" t="s">
        <v>242</v>
      </c>
      <c r="B169" s="385">
        <f>SUM(B59:B60)</f>
        <v>0.2688908493062796</v>
      </c>
      <c r="C169" s="385">
        <f>SUM(C59:C60)</f>
        <v>0.23631123919308358</v>
      </c>
      <c r="D169" s="494"/>
      <c r="E169" s="385">
        <f>SUM(E59:E60)</f>
        <v>0.29010960685643317</v>
      </c>
      <c r="F169" s="385">
        <f>SUM(F59:F60)</f>
        <v>0.2724867724867725</v>
      </c>
      <c r="G169" s="494"/>
      <c r="H169" s="385">
        <f>SUM(H59:H60)</f>
        <v>0.34487525668181157</v>
      </c>
      <c r="I169" s="385">
        <f>SUM(I59:I60)</f>
        <v>0.35410334346504557</v>
      </c>
      <c r="J169" s="385"/>
      <c r="K169" s="385">
        <f>SUM(K59:K60)</f>
        <v>0.27260503828160593</v>
      </c>
      <c r="L169" s="385">
        <f>SUM(L59:L60)</f>
        <v>0.29175050301810868</v>
      </c>
      <c r="M169" s="385"/>
      <c r="N169" s="385">
        <f>SUM(N59:N60)</f>
        <v>0.47684637167105159</v>
      </c>
      <c r="O169" s="385">
        <f>SUM(O59:O60)</f>
        <v>0.47415865384615385</v>
      </c>
      <c r="P169" s="385"/>
      <c r="Q169" s="385">
        <f>SUM(Q59:Q60)</f>
        <v>0.24667419534092858</v>
      </c>
      <c r="R169" s="385">
        <f>SUM(R59:R60)</f>
        <v>0.24366706875753921</v>
      </c>
      <c r="S169" s="385"/>
      <c r="T169" s="385">
        <f>SUM(T59:T60)</f>
        <v>0.4329473274856328</v>
      </c>
      <c r="U169" s="385">
        <f>SUM(U59:U60)</f>
        <v>0.4276923076923077</v>
      </c>
      <c r="V169" s="385"/>
      <c r="W169" s="385">
        <f>SUM(W59:W60)</f>
        <v>0.28160155673121195</v>
      </c>
      <c r="X169" s="385">
        <f>SUM(X59:X60)</f>
        <v>0.26666666666666666</v>
      </c>
      <c r="Y169" s="385"/>
      <c r="Z169" s="385">
        <f>SUM(Z59:Z60)</f>
        <v>0.37416739870852406</v>
      </c>
      <c r="AA169" s="385">
        <f>SUM(AA59:AA60)</f>
        <v>0.36785714285714288</v>
      </c>
      <c r="AB169" s="385"/>
      <c r="AC169" s="385">
        <f>SUM(AC59:AC60)</f>
        <v>0.3154105054071949</v>
      </c>
      <c r="AD169" s="385">
        <f>SUM(AD59:AD60)</f>
        <v>0.33085501858736061</v>
      </c>
      <c r="AE169" s="385"/>
      <c r="AF169" s="385">
        <f>SUM(AF59:AF60)</f>
        <v>0.22318924319574351</v>
      </c>
      <c r="AG169" s="385">
        <f>SUM(AG59:AG60)</f>
        <v>0.22535211267605634</v>
      </c>
      <c r="AH169" s="385"/>
      <c r="AI169" s="385">
        <f>SUM(AI59:AI60)</f>
        <v>0.42490511261556035</v>
      </c>
      <c r="AJ169" s="385">
        <f>SUM(AJ59:AJ60)</f>
        <v>0.41745894554883317</v>
      </c>
      <c r="AK169" s="385"/>
      <c r="AL169" s="385">
        <f>SUM(AL59:AL60)</f>
        <v>0.27545627285356156</v>
      </c>
      <c r="AM169" s="385">
        <f>SUM(AM59:AM60)</f>
        <v>0.2847058823529412</v>
      </c>
      <c r="AN169" s="491"/>
      <c r="AO169" s="458">
        <f>AVERAGE(B169,E169,H169,K169,N169,Q169,T169,W169,Z169,AC169,AF169,AI169)</f>
        <v>0.32935187185683146</v>
      </c>
      <c r="AP169" s="458">
        <f>AVERAGE(C169,F169,I169,L169,O169,R169,U169,X169,AA169,AD169,AG169,AJ169)</f>
        <v>0.32569664789958924</v>
      </c>
      <c r="AQ169" s="458"/>
      <c r="AR169" t="s">
        <v>253</v>
      </c>
    </row>
    <row r="170" spans="1:110" hidden="1" outlineLevel="1" x14ac:dyDescent="0.25">
      <c r="A170" s="401" t="s">
        <v>243</v>
      </c>
      <c r="B170" s="384">
        <f>SUM(B61:B77)</f>
        <v>0.52629721709840405</v>
      </c>
      <c r="C170" s="384">
        <f>SUM(C61:C77)</f>
        <v>0.53314121037463968</v>
      </c>
      <c r="D170" s="495"/>
      <c r="E170" s="384">
        <f>SUM(E61:E77)</f>
        <v>0.43362370460629995</v>
      </c>
      <c r="F170" s="384">
        <f>SUM(F61:F77)</f>
        <v>0.43783068783068785</v>
      </c>
      <c r="G170" s="495"/>
      <c r="H170" s="384">
        <f>SUM(H61:H77)</f>
        <v>0.47303021973579967</v>
      </c>
      <c r="I170" s="384">
        <f>SUM(I61:I77)</f>
        <v>0.48024316109422494</v>
      </c>
      <c r="J170" s="384"/>
      <c r="K170" s="384">
        <f>SUM(K61:K77)</f>
        <v>0.52117433965618787</v>
      </c>
      <c r="L170" s="384">
        <f>SUM(L61:L77)</f>
        <v>0.51509054325955728</v>
      </c>
      <c r="M170" s="384"/>
      <c r="N170" s="384">
        <f>SUM(N61:N77)</f>
        <v>0.41067522179046922</v>
      </c>
      <c r="O170" s="384">
        <f>SUM(O61:O77)</f>
        <v>0.41706730769230771</v>
      </c>
      <c r="P170" s="384"/>
      <c r="Q170" s="384">
        <f>SUM(Q61:Q77)</f>
        <v>0.52063855449454177</v>
      </c>
      <c r="R170" s="384">
        <f>SUM(R61:R77)</f>
        <v>0.53437876960193009</v>
      </c>
      <c r="S170" s="384"/>
      <c r="T170" s="384">
        <f>SUM(T61:T77)</f>
        <v>0.4213066586008728</v>
      </c>
      <c r="U170" s="384">
        <f>SUM(U61:U77)</f>
        <v>0.42051282051282046</v>
      </c>
      <c r="V170" s="384"/>
      <c r="W170" s="384">
        <f>SUM(W61:W77)</f>
        <v>0.51412090728240933</v>
      </c>
      <c r="X170" s="384">
        <f>SUM(X61:X77)</f>
        <v>0.53798449612403099</v>
      </c>
      <c r="Y170" s="384"/>
      <c r="Z170" s="384">
        <f>SUM(Z61:Z77)</f>
        <v>0.48862792238815173</v>
      </c>
      <c r="AA170" s="384">
        <f>SUM(AA61:AA77)</f>
        <v>0.49761904761904763</v>
      </c>
      <c r="AB170" s="384"/>
      <c r="AC170" s="384">
        <f>SUM(AC61:AC77)</f>
        <v>0.42140256014124916</v>
      </c>
      <c r="AD170" s="384">
        <f>SUM(AD61:AD77)</f>
        <v>0.40520446096654278</v>
      </c>
      <c r="AE170" s="384"/>
      <c r="AF170" s="384">
        <f>SUM(AF61:AF77)</f>
        <v>0.56953121551727592</v>
      </c>
      <c r="AG170" s="384">
        <f>SUM(AG61:AG77)</f>
        <v>0.56690140845070425</v>
      </c>
      <c r="AH170" s="384"/>
      <c r="AI170" s="384">
        <f>SUM(AI61:AI77)</f>
        <v>0.42861732126072311</v>
      </c>
      <c r="AJ170" s="384">
        <f>SUM(AJ61:AJ77)</f>
        <v>0.42350907519446851</v>
      </c>
      <c r="AK170" s="384"/>
      <c r="AL170" s="384">
        <f>SUM(AL61:AL77)</f>
        <v>0.38106567454931584</v>
      </c>
      <c r="AM170" s="384">
        <f>SUM(AM61:AM77)</f>
        <v>0.34823529411764698</v>
      </c>
      <c r="AN170" s="506"/>
      <c r="AO170" s="458">
        <f t="shared" ref="AO170:AO171" si="718">AVERAGE(B170,E170,H170,K170,N170,Q170,T170,W170,Z170,AC170,AF170,AI170)</f>
        <v>0.47742048688103206</v>
      </c>
      <c r="AP170" s="458">
        <f t="shared" ref="AP170:AP171" si="719">AVERAGE(C170,F170,I170,L170,O170,R170,U170,X170,AA170,AD170,AG170,AJ170)</f>
        <v>0.48079024906008011</v>
      </c>
      <c r="AQ170" s="458"/>
      <c r="AR170" t="s">
        <v>257</v>
      </c>
    </row>
    <row r="171" spans="1:110" hidden="1" outlineLevel="1" x14ac:dyDescent="0.25">
      <c r="A171" s="400" t="s">
        <v>244</v>
      </c>
      <c r="B171" s="385">
        <f>SUM(B78:B79)</f>
        <v>0.20481193359531635</v>
      </c>
      <c r="C171" s="385">
        <f>SUM(C78:C79)</f>
        <v>0.2305475504322767</v>
      </c>
      <c r="D171" s="494"/>
      <c r="E171" s="385">
        <f>SUM(E78:E79)</f>
        <v>0.27626668853726688</v>
      </c>
      <c r="F171" s="385">
        <f>SUM(F78:F79)</f>
        <v>0.28968253968253965</v>
      </c>
      <c r="G171" s="494"/>
      <c r="H171" s="385">
        <f>SUM(H78:H79)</f>
        <v>0.18209452358238876</v>
      </c>
      <c r="I171" s="385">
        <f>SUM(I78:I79)</f>
        <v>0.16565349544072949</v>
      </c>
      <c r="J171" s="385"/>
      <c r="K171" s="385">
        <f>SUM(K78:K79)</f>
        <v>0.20622062206220626</v>
      </c>
      <c r="L171" s="385">
        <f>SUM(L78:L79)</f>
        <v>0.19315895372233405</v>
      </c>
      <c r="M171" s="385"/>
      <c r="N171" s="385">
        <f>SUM(N78:N79)</f>
        <v>0.11247840653847918</v>
      </c>
      <c r="O171" s="385">
        <f>SUM(O78:O79)</f>
        <v>0.10877403846153844</v>
      </c>
      <c r="P171" s="385"/>
      <c r="Q171" s="385">
        <f>SUM(Q78:Q79)</f>
        <v>0.23268725016452974</v>
      </c>
      <c r="R171" s="385">
        <f>SUM(R78:R79)</f>
        <v>0.22195416164053072</v>
      </c>
      <c r="S171" s="385"/>
      <c r="T171" s="385">
        <f>SUM(T78:T79)</f>
        <v>0.1457460139134944</v>
      </c>
      <c r="U171" s="385">
        <f>SUM(U78:U79)</f>
        <v>0.15179487179487183</v>
      </c>
      <c r="V171" s="385"/>
      <c r="W171" s="385">
        <f>SUM(W78:W79)</f>
        <v>0.20427753598637866</v>
      </c>
      <c r="X171" s="385">
        <f>SUM(X78:X79)</f>
        <v>0.1953488372093023</v>
      </c>
      <c r="Y171" s="385"/>
      <c r="Z171" s="385">
        <f>SUM(Z78:Z79)</f>
        <v>0.13720467890332422</v>
      </c>
      <c r="AA171" s="385">
        <f>SUM(AA78:AA79)</f>
        <v>0.13452380952380949</v>
      </c>
      <c r="AB171" s="385"/>
      <c r="AC171" s="385">
        <f>SUM(AC78:AC79)</f>
        <v>0.26318693445155594</v>
      </c>
      <c r="AD171" s="385">
        <f>SUM(AD78:AD79)</f>
        <v>0.26394052044609662</v>
      </c>
      <c r="AE171" s="385"/>
      <c r="AF171" s="385">
        <f>SUM(AF78:AF79)</f>
        <v>0.20727954128698056</v>
      </c>
      <c r="AG171" s="385">
        <f>SUM(AG78:AG79)</f>
        <v>0.20774647887323938</v>
      </c>
      <c r="AH171" s="385"/>
      <c r="AI171" s="385">
        <f>SUM(AI78:AI79)</f>
        <v>0.14647756612371654</v>
      </c>
      <c r="AJ171" s="385">
        <f>SUM(AJ78:AJ79)</f>
        <v>0.15903197925669832</v>
      </c>
      <c r="AK171" s="385"/>
      <c r="AL171" s="385">
        <f>SUM(AL78:AL79)</f>
        <v>0.11825570440864164</v>
      </c>
      <c r="AM171" s="385">
        <f>SUM(AM78:AM79)</f>
        <v>0.13411764705882356</v>
      </c>
      <c r="AN171" s="491"/>
      <c r="AO171" s="458">
        <f t="shared" si="718"/>
        <v>0.19322764126213646</v>
      </c>
      <c r="AP171" s="458">
        <f t="shared" si="719"/>
        <v>0.19351310304033062</v>
      </c>
      <c r="AQ171" s="458"/>
      <c r="AR171" t="s">
        <v>256</v>
      </c>
    </row>
    <row r="172" spans="1:110" hidden="1" outlineLevel="1" x14ac:dyDescent="0.25">
      <c r="AL172" s="739" t="s">
        <v>245</v>
      </c>
      <c r="AM172" s="739"/>
      <c r="AN172" s="509"/>
    </row>
    <row r="173" spans="1:110" hidden="1" outlineLevel="1" x14ac:dyDescent="0.25">
      <c r="A173" s="333" t="s">
        <v>31</v>
      </c>
      <c r="B173" s="388" t="str">
        <f>Tabelle3[[#Headers],[Ned (€)]]</f>
        <v>Ned (€)</v>
      </c>
      <c r="C173" s="389" t="str">
        <f>Tabelle3[[#Headers],[Ned (Backer)]]</f>
        <v>Ned (Backer)</v>
      </c>
      <c r="D173" s="493" t="str">
        <f>Tabelle3[[#Headers],[Ned (€/B)]]</f>
        <v>Ned (€/B)</v>
      </c>
      <c r="E173" s="391" t="str">
        <f>Tabelle3[[#Headers],[Werkzeuge (€)]]</f>
        <v>Werkzeuge (€)</v>
      </c>
      <c r="F173" s="392" t="str">
        <f>Tabelle3[[#Headers],[Werkzeuge (Backer)]]</f>
        <v>Werkzeuge (Backer)</v>
      </c>
      <c r="G173" s="493" t="str">
        <f>Tabelle3[[#Headers],[Werkz (€/B)]]</f>
        <v>Werkz (€/B)</v>
      </c>
      <c r="H173" s="395" t="str">
        <f>Tabelle3[[#Headers],[DSK Fasar (€)]]</f>
        <v>DSK Fasar (€)</v>
      </c>
      <c r="I173" s="396" t="str">
        <f>Tabelle3[[#Headers],[DSK Fasar (Backer)]]</f>
        <v>DSK Fasar (Backer)</v>
      </c>
      <c r="J173" s="398" t="str">
        <f>Tabelle3[[#Headers],[DSK Fasar (€/B)]]</f>
        <v>DSK Fasar (€/B)</v>
      </c>
      <c r="K173" s="388" t="str">
        <f>Tabelle3[[#Headers],[Mythen (€)]]</f>
        <v>Mythen (€)</v>
      </c>
      <c r="L173" s="389" t="str">
        <f>Tabelle3[[#Headers],[Mythen (Backer)]]</f>
        <v>Mythen (Backer)</v>
      </c>
      <c r="M173" s="389" t="str">
        <f>Tabelle3[[#Headers],[Mythen (€/B)]]</f>
        <v>Mythen (€/B)</v>
      </c>
      <c r="N173" s="393" t="str">
        <f>Tabelle3[[#Headers],[SOK (€)]]</f>
        <v>SOK (€)</v>
      </c>
      <c r="O173" s="394" t="str">
        <f>Tabelle3[[#Headers],[SOK (Backer)]]</f>
        <v>SOK (Backer)</v>
      </c>
      <c r="P173" s="394" t="str">
        <f>Tabelle3[[#Headers],[SOK (€/B)]]</f>
        <v>SOK (€/B)</v>
      </c>
      <c r="Q173" s="390" t="str">
        <f>Tabelle3[[#Headers],[RE (€)]]</f>
        <v>RE (€)</v>
      </c>
      <c r="R173" s="390" t="str">
        <f>Tabelle3[[#Headers],[RE (Backer)]]</f>
        <v>RE (Backer)</v>
      </c>
      <c r="S173" s="390" t="str">
        <f>Tabelle3[[#Headers],[RE (€/B)]]</f>
        <v>RE (€/B)</v>
      </c>
      <c r="T173" s="390" t="str">
        <f>Tabelle3[[#Headers],[DGG (€)]]</f>
        <v>DGG (€)</v>
      </c>
      <c r="U173" s="390" t="str">
        <f>Tabelle3[[#Headers],[DGG (Backer)]]</f>
        <v>DGG (Backer)</v>
      </c>
      <c r="V173" s="390" t="str">
        <f>Tabelle3[[#Headers],[DGG (€/B)]]</f>
        <v>DGG (€/B)</v>
      </c>
      <c r="W173" s="395" t="str">
        <f>Tabelle3[[#Headers],[DSK SV (€)]]</f>
        <v>DSK SV (€)</v>
      </c>
      <c r="X173" s="396" t="str">
        <f>Tabelle3[[#Headers],[DSK SV (Backer)]]</f>
        <v>DSK SV (Backer)</v>
      </c>
      <c r="Y173" s="398" t="str">
        <f>Tabelle3[[#Headers],[DSK SV (€/B)]]</f>
        <v>DSK SV (€/B)</v>
      </c>
      <c r="Z173" s="393" t="str">
        <f>Tabelle3[[#Headers],[WW (€)]]</f>
        <v>WW (€)</v>
      </c>
      <c r="AA173" s="394" t="str">
        <f>Tabelle3[[#Headers],[WW (Backer)]]</f>
        <v>WW (Backer)</v>
      </c>
      <c r="AB173" s="394" t="str">
        <f>Tabelle3[[#Headers],[WW (€/B)]]</f>
        <v>WW (€/B)</v>
      </c>
      <c r="AC173" s="395" t="str">
        <f>Tabelle3[[#Headers],[DSK R (€)]]</f>
        <v>DSK R (€)</v>
      </c>
      <c r="AD173" s="396" t="str">
        <f>Tabelle3[[#Headers],[DSK R (Backer)]]</f>
        <v>DSK R (Backer)</v>
      </c>
      <c r="AE173" s="398" t="str">
        <f>Tabelle3[[#Headers],[DSK R (€/B)]]</f>
        <v>DSK R (€/B)</v>
      </c>
      <c r="AF173" s="390" t="str">
        <f>Tabelle3[[#Headers],[Ära (€)]]</f>
        <v>Ära (€)</v>
      </c>
      <c r="AG173" s="390" t="str">
        <f>Tabelle3[[#Headers],[Ära (Backer)]]</f>
        <v>Ära (Backer)</v>
      </c>
      <c r="AH173" s="390" t="str">
        <f>Tabelle3[[#Headers],[Ära (€/B)]]</f>
        <v>Ära (€/B)</v>
      </c>
      <c r="AI173" s="390" t="str">
        <f>Tabelle3[[#Headers],[Mosaik (€)]]</f>
        <v>Mosaik (€)</v>
      </c>
      <c r="AJ173" s="390" t="str">
        <f>Tabelle3[[#Headers],[Mosaik (Backer)]]</f>
        <v>Mosaik (Backer)</v>
      </c>
      <c r="AK173" s="390" t="str">
        <f>Tabelle3[[#Headers],[Mosaik (€/B)]]</f>
        <v>Mosaik (€/B)</v>
      </c>
      <c r="AL173" s="575" t="str">
        <f>Tabelle3[[#Headers],[DSK ES (€)]]</f>
        <v>DSK ES (€)</v>
      </c>
      <c r="AM173" s="575" t="str">
        <f>Tabelle3[[#Headers],[DSK ES (Backer)]]</f>
        <v>DSK ES (Backer)</v>
      </c>
      <c r="AN173" s="575" t="str">
        <f>Tabelle3[[#Headers],[DSK ES (€/B)]]</f>
        <v>DSK ES (€/B)</v>
      </c>
      <c r="AO173" s="738" t="s">
        <v>246</v>
      </c>
      <c r="AP173" s="738"/>
      <c r="AQ173" s="463"/>
      <c r="BM173" s="203"/>
      <c r="BN173" s="202"/>
      <c r="BO173" s="202"/>
      <c r="BP173" s="202"/>
      <c r="BQ173" s="202"/>
      <c r="BR173" s="202"/>
      <c r="BS173" s="202"/>
      <c r="BT173" s="202"/>
      <c r="BU173" s="202"/>
      <c r="BV173" s="202"/>
      <c r="BW173" s="202"/>
      <c r="BX173" s="202"/>
      <c r="BY173" s="202"/>
      <c r="BZ173" s="202"/>
      <c r="CA173" s="202"/>
      <c r="CB173" s="202"/>
      <c r="CC173" s="202"/>
      <c r="CD173" s="202"/>
      <c r="CE173" s="202"/>
      <c r="CF173" s="202"/>
      <c r="CG173" s="202"/>
      <c r="CH173" s="202"/>
      <c r="CI173" s="202"/>
      <c r="CJ173" s="202"/>
      <c r="CK173" s="202"/>
      <c r="CL173" s="202"/>
      <c r="CM173" s="202"/>
      <c r="CN173" s="202"/>
      <c r="CO173" s="202"/>
      <c r="CP173" s="202"/>
      <c r="CQ173" s="202"/>
      <c r="CR173" s="202"/>
      <c r="CS173" s="202"/>
      <c r="CT173" s="202"/>
      <c r="CU173" s="202"/>
      <c r="CV173" s="202"/>
      <c r="CW173" s="202"/>
      <c r="CX173" s="202"/>
      <c r="CY173" s="202"/>
      <c r="CZ173" s="202"/>
      <c r="DA173" s="202"/>
      <c r="DB173" s="202"/>
      <c r="DC173" s="202"/>
      <c r="DD173" s="202"/>
      <c r="DE173" s="202"/>
      <c r="DF173" s="202"/>
    </row>
    <row r="174" spans="1:110" hidden="1" outlineLevel="1" x14ac:dyDescent="0.25">
      <c r="A174" s="400" t="s">
        <v>242</v>
      </c>
      <c r="B174" s="385">
        <f>SUM(B59:B60)</f>
        <v>0.2688908493062796</v>
      </c>
      <c r="C174" s="385">
        <f>SUM(C59:C60)</f>
        <v>0.23631123919308358</v>
      </c>
      <c r="D174" s="494"/>
      <c r="E174" s="385">
        <f>SUM(E59:E60)</f>
        <v>0.29010960685643317</v>
      </c>
      <c r="F174" s="385">
        <f>SUM(F59:F60)</f>
        <v>0.2724867724867725</v>
      </c>
      <c r="G174" s="494"/>
      <c r="H174" s="385">
        <f>SUM(H59:H60)</f>
        <v>0.34487525668181157</v>
      </c>
      <c r="I174" s="385">
        <f>SUM(I59:I60)</f>
        <v>0.35410334346504557</v>
      </c>
      <c r="J174" s="385"/>
      <c r="K174" s="385">
        <f>SUM(K59:K60)</f>
        <v>0.27260503828160593</v>
      </c>
      <c r="L174" s="385">
        <f>SUM(L59:L60)</f>
        <v>0.29175050301810868</v>
      </c>
      <c r="M174" s="385"/>
      <c r="N174" s="385">
        <f>SUM(N59:N60)</f>
        <v>0.47684637167105159</v>
      </c>
      <c r="O174" s="385">
        <f>SUM(O59:O60)</f>
        <v>0.47415865384615385</v>
      </c>
      <c r="P174" s="385"/>
      <c r="Q174" s="385">
        <f>SUM(Q59:Q60)</f>
        <v>0.24667419534092858</v>
      </c>
      <c r="R174" s="385">
        <f>SUM(R59:R60)</f>
        <v>0.24366706875753921</v>
      </c>
      <c r="S174" s="385"/>
      <c r="T174" s="385">
        <f>SUM(T59:T60)</f>
        <v>0.4329473274856328</v>
      </c>
      <c r="U174" s="385">
        <f>SUM(U59:U60)</f>
        <v>0.4276923076923077</v>
      </c>
      <c r="V174" s="385"/>
      <c r="W174" s="385">
        <f>SUM(W59:W60)</f>
        <v>0.28160155673121195</v>
      </c>
      <c r="X174" s="385">
        <f>SUM(X59:X60)</f>
        <v>0.26666666666666666</v>
      </c>
      <c r="Y174" s="385"/>
      <c r="Z174" s="385">
        <f>SUM(Z59:Z60)</f>
        <v>0.37416739870852406</v>
      </c>
      <c r="AA174" s="385">
        <f>SUM(AA59:AA60)</f>
        <v>0.36785714285714288</v>
      </c>
      <c r="AB174" s="385"/>
      <c r="AC174" s="385">
        <f>SUM(AC59:AC60)</f>
        <v>0.3154105054071949</v>
      </c>
      <c r="AD174" s="385">
        <f>SUM(AD59:AD60)</f>
        <v>0.33085501858736061</v>
      </c>
      <c r="AE174" s="385"/>
      <c r="AF174" s="385">
        <f>SUM(AF59:AF60)</f>
        <v>0.22318924319574351</v>
      </c>
      <c r="AG174" s="385">
        <f>SUM(AG59:AG60)</f>
        <v>0.22535211267605634</v>
      </c>
      <c r="AH174" s="385"/>
      <c r="AI174" s="385">
        <f>SUM(AI59:AI60)</f>
        <v>0.42490511261556035</v>
      </c>
      <c r="AJ174" s="385">
        <f>SUM(AJ59:AJ60)</f>
        <v>0.41745894554883317</v>
      </c>
      <c r="AK174" s="385"/>
      <c r="AL174" s="385">
        <f>SUM(AL59:AL60)</f>
        <v>0.27545627285356156</v>
      </c>
      <c r="AM174" s="385">
        <f>SUM(AM59:AM60)</f>
        <v>0.2847058823529412</v>
      </c>
      <c r="AN174" s="491"/>
      <c r="AO174" s="458">
        <f t="shared" ref="AO174:AO176" si="720">AVERAGE(B174,E174,H174,K174,N174,Q174,T174,W174,Z174,AC174,AF174,AI174)</f>
        <v>0.32935187185683146</v>
      </c>
      <c r="AP174" s="458">
        <f t="shared" ref="AP174:AP176" si="721">AVERAGE(C174,F174,I174,L174,O174,R174,U174,X174,AA174,AD174,AG174,AJ174)</f>
        <v>0.32569664789958924</v>
      </c>
      <c r="AQ174" s="458"/>
      <c r="AR174" s="490" t="s">
        <v>253</v>
      </c>
      <c r="AS174" s="490"/>
      <c r="AT174" s="490"/>
    </row>
    <row r="175" spans="1:110" hidden="1" outlineLevel="1" x14ac:dyDescent="0.25">
      <c r="A175" s="401" t="s">
        <v>252</v>
      </c>
      <c r="B175" s="384">
        <f>SUM(B61:B73)</f>
        <v>0.37913224797497791</v>
      </c>
      <c r="C175" s="384">
        <f>SUM(C61:C73)</f>
        <v>0.3804034582132565</v>
      </c>
      <c r="D175" s="495"/>
      <c r="E175" s="384">
        <f>SUM(E61:E73)</f>
        <v>0.28086537278633406</v>
      </c>
      <c r="F175" s="384">
        <f>SUM(F61:F73)</f>
        <v>0.28571428571428575</v>
      </c>
      <c r="G175" s="495"/>
      <c r="H175" s="384">
        <f>SUM(H61:H73)</f>
        <v>0.2777580157485407</v>
      </c>
      <c r="I175" s="384">
        <f>SUM(I61:I73)</f>
        <v>0.29483282674772038</v>
      </c>
      <c r="J175" s="384"/>
      <c r="K175" s="384">
        <f>SUM(K61:K73)</f>
        <v>0.38472736162505144</v>
      </c>
      <c r="L175" s="384">
        <f>SUM(L61:L73)</f>
        <v>0.38631790744466799</v>
      </c>
      <c r="M175" s="384"/>
      <c r="N175" s="384">
        <f>SUM(N61:N73)</f>
        <v>0.31065305320043335</v>
      </c>
      <c r="O175" s="384">
        <f>SUM(O61:O73)</f>
        <v>0.31490384615384615</v>
      </c>
      <c r="P175" s="384"/>
      <c r="Q175" s="384">
        <f>SUM(Q61:Q73)</f>
        <v>0.39095842071973103</v>
      </c>
      <c r="R175" s="384">
        <f>SUM(R61:R73)</f>
        <v>0.41737032569360677</v>
      </c>
      <c r="S175" s="384"/>
      <c r="T175" s="384">
        <f>SUM(T61:T73)</f>
        <v>0.28066802056777429</v>
      </c>
      <c r="U175" s="384">
        <f>SUM(U61:U73)</f>
        <v>0.28000000000000003</v>
      </c>
      <c r="V175" s="384"/>
      <c r="W175" s="384">
        <f>SUM(W61:W73)</f>
        <v>0.37159139280533043</v>
      </c>
      <c r="X175" s="384">
        <f>SUM(X61:X73)</f>
        <v>0.37674418604651166</v>
      </c>
      <c r="Y175" s="384"/>
      <c r="Z175" s="384">
        <f>SUM(Z61:Z73)</f>
        <v>0.37396088584770443</v>
      </c>
      <c r="AA175" s="384">
        <f>SUM(AA61:AA73)</f>
        <v>0.38035714285714284</v>
      </c>
      <c r="AB175" s="384"/>
      <c r="AC175" s="384">
        <f>SUM(AC61:AC73)</f>
        <v>0.30594791436768926</v>
      </c>
      <c r="AD175" s="384">
        <f>SUM(AD61:AD73)</f>
        <v>0.27881040892193304</v>
      </c>
      <c r="AE175" s="384"/>
      <c r="AF175" s="384">
        <f>SUM(AF61:AF73)</f>
        <v>0.41807406337398034</v>
      </c>
      <c r="AG175" s="384">
        <f>SUM(AG61:AG73)</f>
        <v>0.414612676056338</v>
      </c>
      <c r="AH175" s="384"/>
      <c r="AI175" s="384">
        <f>SUM(AI61:AI73)</f>
        <v>0.29328827917712702</v>
      </c>
      <c r="AJ175" s="384">
        <f>SUM(AJ61:AJ73)</f>
        <v>0.2955920484010372</v>
      </c>
      <c r="AK175" s="384"/>
      <c r="AL175" s="384">
        <f>SUM(AL61:AL73)</f>
        <v>0.23304644961438359</v>
      </c>
      <c r="AM175" s="384">
        <f>SUM(AM61:AM73)</f>
        <v>0.20705882352941174</v>
      </c>
      <c r="AN175" s="506"/>
      <c r="AO175" s="458">
        <f t="shared" si="720"/>
        <v>0.3389687523495562</v>
      </c>
      <c r="AP175" s="458">
        <f t="shared" si="721"/>
        <v>0.34213825935419551</v>
      </c>
      <c r="AQ175" s="458"/>
      <c r="AR175" s="490" t="s">
        <v>255</v>
      </c>
      <c r="AS175" s="490"/>
      <c r="AT175" s="490"/>
    </row>
    <row r="176" spans="1:110" hidden="1" outlineLevel="1" x14ac:dyDescent="0.25">
      <c r="A176" s="400" t="s">
        <v>251</v>
      </c>
      <c r="B176" s="385">
        <f>SUM(B74:B79)</f>
        <v>0.35197690271874249</v>
      </c>
      <c r="C176" s="385">
        <f>SUM(C74:C79)</f>
        <v>0.38328530259365989</v>
      </c>
      <c r="D176" s="494"/>
      <c r="E176" s="385">
        <f>SUM(E74:E79)</f>
        <v>0.42902502035723278</v>
      </c>
      <c r="F176" s="385">
        <f>SUM(F74:F79)</f>
        <v>0.44179894179894175</v>
      </c>
      <c r="G176" s="494"/>
      <c r="H176" s="385">
        <f>SUM(H74:H79)</f>
        <v>0.37736672756964773</v>
      </c>
      <c r="I176" s="385">
        <f>SUM(I74:I79)</f>
        <v>0.35106382978723405</v>
      </c>
      <c r="J176" s="385"/>
      <c r="K176" s="385">
        <f>SUM(K74:K79)</f>
        <v>0.34266760009334263</v>
      </c>
      <c r="L176" s="385">
        <f>SUM(L74:L79)</f>
        <v>0.32193158953722334</v>
      </c>
      <c r="M176" s="385"/>
      <c r="N176" s="385">
        <f>SUM(N74:N79)</f>
        <v>0.21250057512851506</v>
      </c>
      <c r="O176" s="385">
        <f>SUM(O74:O79)</f>
        <v>0.2109375</v>
      </c>
      <c r="P176" s="385"/>
      <c r="Q176" s="385">
        <f>SUM(Q74:Q79)</f>
        <v>0.36236738393934043</v>
      </c>
      <c r="R176" s="385">
        <f>SUM(R74:R79)</f>
        <v>0.33896260554885405</v>
      </c>
      <c r="S176" s="385"/>
      <c r="T176" s="385">
        <f>SUM(T74:T79)</f>
        <v>0.28638465194659291</v>
      </c>
      <c r="U176" s="385">
        <f>SUM(U74:U79)</f>
        <v>0.29230769230769227</v>
      </c>
      <c r="V176" s="385"/>
      <c r="W176" s="385">
        <f>SUM(W74:W79)</f>
        <v>0.34680705046345761</v>
      </c>
      <c r="X176" s="385">
        <f>SUM(X74:X79)</f>
        <v>0.35658914728682167</v>
      </c>
      <c r="Y176" s="385"/>
      <c r="Z176" s="385">
        <f>SUM(Z74:Z79)</f>
        <v>0.25187171544377152</v>
      </c>
      <c r="AA176" s="385">
        <f>SUM(AA74:AA79)</f>
        <v>0.25178571428571428</v>
      </c>
      <c r="AB176" s="385"/>
      <c r="AC176" s="385">
        <f>SUM(AC74:AC79)</f>
        <v>0.37864158022511585</v>
      </c>
      <c r="AD176" s="385">
        <f>SUM(AD74:AD79)</f>
        <v>0.39033457249070636</v>
      </c>
      <c r="AE176" s="385"/>
      <c r="AF176" s="385">
        <f>SUM(AF74:AF79)</f>
        <v>0.35873669343027614</v>
      </c>
      <c r="AG176" s="385">
        <f>SUM(AG74:AG79)</f>
        <v>0.36003521126760563</v>
      </c>
      <c r="AH176" s="385"/>
      <c r="AI176" s="385">
        <f>SUM(AI74:AI79)</f>
        <v>0.28180660820731263</v>
      </c>
      <c r="AJ176" s="385">
        <f>SUM(AJ74:AJ79)</f>
        <v>0.28694900605012963</v>
      </c>
      <c r="AK176" s="385"/>
      <c r="AL176" s="385">
        <f>SUM(AL74:AL79)</f>
        <v>0.26627492934357389</v>
      </c>
      <c r="AM176" s="385">
        <f>SUM(AM74:AM79)</f>
        <v>0.2752941176470588</v>
      </c>
      <c r="AN176" s="491"/>
      <c r="AO176" s="458">
        <f t="shared" si="720"/>
        <v>0.33167937579361229</v>
      </c>
      <c r="AP176" s="458">
        <f t="shared" si="721"/>
        <v>0.3321650927462152</v>
      </c>
      <c r="AQ176" s="458"/>
      <c r="AR176" s="490" t="s">
        <v>254</v>
      </c>
      <c r="AS176" s="490"/>
      <c r="AT176" s="490"/>
    </row>
    <row r="177" spans="1:110" hidden="1" outlineLevel="1" x14ac:dyDescent="0.25">
      <c r="AL177" s="739" t="s">
        <v>245</v>
      </c>
      <c r="AM177" s="739"/>
      <c r="AN177" s="509"/>
    </row>
    <row r="178" spans="1:110" hidden="1" outlineLevel="1" x14ac:dyDescent="0.25">
      <c r="A178" s="333" t="s">
        <v>31</v>
      </c>
      <c r="B178" s="388" t="str">
        <f>Tabelle3[[#Headers],[Ned (€)]]</f>
        <v>Ned (€)</v>
      </c>
      <c r="C178" s="389" t="str">
        <f>Tabelle3[[#Headers],[Ned (Backer)]]</f>
        <v>Ned (Backer)</v>
      </c>
      <c r="D178" s="493" t="str">
        <f>Tabelle3[[#Headers],[Ned (€/B)]]</f>
        <v>Ned (€/B)</v>
      </c>
      <c r="E178" s="391" t="str">
        <f>Tabelle3[[#Headers],[Werkzeuge (€)]]</f>
        <v>Werkzeuge (€)</v>
      </c>
      <c r="F178" s="392" t="str">
        <f>Tabelle3[[#Headers],[Werkzeuge (Backer)]]</f>
        <v>Werkzeuge (Backer)</v>
      </c>
      <c r="G178" s="493" t="str">
        <f>Tabelle3[[#Headers],[Werkz (€/B)]]</f>
        <v>Werkz (€/B)</v>
      </c>
      <c r="H178" s="395" t="str">
        <f>Tabelle3[[#Headers],[DSK Fasar (€)]]</f>
        <v>DSK Fasar (€)</v>
      </c>
      <c r="I178" s="396" t="str">
        <f>Tabelle3[[#Headers],[DSK Fasar (Backer)]]</f>
        <v>DSK Fasar (Backer)</v>
      </c>
      <c r="J178" s="398" t="str">
        <f>Tabelle3[[#Headers],[DSK Fasar (€/B)]]</f>
        <v>DSK Fasar (€/B)</v>
      </c>
      <c r="K178" s="388" t="str">
        <f>Tabelle3[[#Headers],[Mythen (€)]]</f>
        <v>Mythen (€)</v>
      </c>
      <c r="L178" s="389" t="str">
        <f>Tabelle3[[#Headers],[Mythen (Backer)]]</f>
        <v>Mythen (Backer)</v>
      </c>
      <c r="M178" s="389" t="str">
        <f>Tabelle3[[#Headers],[Mythen (€/B)]]</f>
        <v>Mythen (€/B)</v>
      </c>
      <c r="N178" s="393" t="str">
        <f>Tabelle3[[#Headers],[SOK (€)]]</f>
        <v>SOK (€)</v>
      </c>
      <c r="O178" s="394" t="str">
        <f>Tabelle3[[#Headers],[SOK (Backer)]]</f>
        <v>SOK (Backer)</v>
      </c>
      <c r="P178" s="394" t="str">
        <f>Tabelle3[[#Headers],[SOK (€/B)]]</f>
        <v>SOK (€/B)</v>
      </c>
      <c r="Q178" s="390" t="str">
        <f>Tabelle3[[#Headers],[RE (€)]]</f>
        <v>RE (€)</v>
      </c>
      <c r="R178" s="390" t="str">
        <f>Tabelle3[[#Headers],[RE (Backer)]]</f>
        <v>RE (Backer)</v>
      </c>
      <c r="S178" s="390" t="str">
        <f>Tabelle3[[#Headers],[RE (€/B)]]</f>
        <v>RE (€/B)</v>
      </c>
      <c r="T178" s="390" t="str">
        <f>Tabelle3[[#Headers],[DGG (€)]]</f>
        <v>DGG (€)</v>
      </c>
      <c r="U178" s="390" t="str">
        <f>Tabelle3[[#Headers],[DGG (Backer)]]</f>
        <v>DGG (Backer)</v>
      </c>
      <c r="V178" s="390" t="str">
        <f>Tabelle3[[#Headers],[DGG (€/B)]]</f>
        <v>DGG (€/B)</v>
      </c>
      <c r="W178" s="395" t="str">
        <f>Tabelle3[[#Headers],[DSK SV (€)]]</f>
        <v>DSK SV (€)</v>
      </c>
      <c r="X178" s="396" t="str">
        <f>Tabelle3[[#Headers],[DSK SV (Backer)]]</f>
        <v>DSK SV (Backer)</v>
      </c>
      <c r="Y178" s="398" t="str">
        <f>Tabelle3[[#Headers],[DSK SV (€/B)]]</f>
        <v>DSK SV (€/B)</v>
      </c>
      <c r="Z178" s="393" t="str">
        <f>Tabelle3[[#Headers],[WW (€)]]</f>
        <v>WW (€)</v>
      </c>
      <c r="AA178" s="394" t="str">
        <f>Tabelle3[[#Headers],[WW (Backer)]]</f>
        <v>WW (Backer)</v>
      </c>
      <c r="AB178" s="394" t="str">
        <f>Tabelle3[[#Headers],[WW (€/B)]]</f>
        <v>WW (€/B)</v>
      </c>
      <c r="AC178" s="395" t="str">
        <f>Tabelle3[[#Headers],[DSK R (€)]]</f>
        <v>DSK R (€)</v>
      </c>
      <c r="AD178" s="396" t="str">
        <f>Tabelle3[[#Headers],[DSK R (Backer)]]</f>
        <v>DSK R (Backer)</v>
      </c>
      <c r="AE178" s="398" t="str">
        <f>Tabelle3[[#Headers],[DSK R (€/B)]]</f>
        <v>DSK R (€/B)</v>
      </c>
      <c r="AF178" s="390" t="str">
        <f>Tabelle3[[#Headers],[Ära (€)]]</f>
        <v>Ära (€)</v>
      </c>
      <c r="AG178" s="390" t="str">
        <f>Tabelle3[[#Headers],[Ära (Backer)]]</f>
        <v>Ära (Backer)</v>
      </c>
      <c r="AH178" s="390" t="str">
        <f>Tabelle3[[#Headers],[Ära (€/B)]]</f>
        <v>Ära (€/B)</v>
      </c>
      <c r="AI178" s="390" t="str">
        <f>Tabelle3[[#Headers],[Mosaik (€)]]</f>
        <v>Mosaik (€)</v>
      </c>
      <c r="AJ178" s="390" t="str">
        <f>Tabelle3[[#Headers],[Mosaik (Backer)]]</f>
        <v>Mosaik (Backer)</v>
      </c>
      <c r="AK178" s="390" t="str">
        <f>Tabelle3[[#Headers],[Mosaik (€/B)]]</f>
        <v>Mosaik (€/B)</v>
      </c>
      <c r="AL178" s="575" t="str">
        <f>Tabelle3[[#Headers],[DSK ES (€)]]</f>
        <v>DSK ES (€)</v>
      </c>
      <c r="AM178" s="575" t="str">
        <f>Tabelle3[[#Headers],[DSK ES (Backer)]]</f>
        <v>DSK ES (Backer)</v>
      </c>
      <c r="AN178" s="575" t="str">
        <f>Tabelle3[[#Headers],[DSK ES (€/B)]]</f>
        <v>DSK ES (€/B)</v>
      </c>
      <c r="AO178" s="738" t="s">
        <v>246</v>
      </c>
      <c r="AP178" s="738"/>
      <c r="AQ178" s="463"/>
      <c r="BM178" s="203"/>
      <c r="BN178" s="202"/>
      <c r="BO178" s="202"/>
      <c r="BP178" s="202"/>
      <c r="BQ178" s="202"/>
      <c r="BR178" s="202"/>
      <c r="BS178" s="202"/>
      <c r="BT178" s="202"/>
      <c r="BU178" s="202"/>
      <c r="BV178" s="202"/>
      <c r="BW178" s="202"/>
      <c r="BX178" s="202"/>
      <c r="BY178" s="202"/>
      <c r="BZ178" s="202"/>
      <c r="CA178" s="202"/>
      <c r="CB178" s="202"/>
      <c r="CC178" s="202"/>
      <c r="CD178" s="202"/>
      <c r="CE178" s="202"/>
      <c r="CF178" s="202"/>
      <c r="CG178" s="202"/>
      <c r="CH178" s="202"/>
      <c r="CI178" s="202"/>
      <c r="CJ178" s="202"/>
      <c r="CK178" s="202"/>
      <c r="CL178" s="202"/>
      <c r="CM178" s="202"/>
      <c r="CN178" s="202"/>
      <c r="CO178" s="202"/>
      <c r="CP178" s="202"/>
      <c r="CQ178" s="202"/>
      <c r="CR178" s="202"/>
      <c r="CS178" s="202"/>
      <c r="CT178" s="202"/>
      <c r="CU178" s="202"/>
      <c r="CV178" s="202"/>
      <c r="CW178" s="202"/>
      <c r="CX178" s="202"/>
      <c r="CY178" s="202"/>
      <c r="CZ178" s="202"/>
      <c r="DA178" s="202"/>
      <c r="DB178" s="202"/>
      <c r="DC178" s="202"/>
      <c r="DD178" s="202"/>
      <c r="DE178" s="202"/>
      <c r="DF178" s="202"/>
    </row>
    <row r="179" spans="1:110" hidden="1" outlineLevel="1" x14ac:dyDescent="0.25">
      <c r="A179" s="400" t="s">
        <v>239</v>
      </c>
      <c r="B179" s="385">
        <f>SUM(B59:B61)</f>
        <v>0.2834870478787393</v>
      </c>
      <c r="C179" s="385">
        <f>SUM(C59:C61)</f>
        <v>0.25936599423631124</v>
      </c>
      <c r="D179" s="494"/>
      <c r="E179" s="385">
        <f>SUM(E59:E61)</f>
        <v>0.31576264931078318</v>
      </c>
      <c r="F179" s="385">
        <f>SUM(F59:F61)</f>
        <v>0.29629629629629628</v>
      </c>
      <c r="G179" s="494"/>
      <c r="H179" s="385">
        <f>SUM(H59:H61)</f>
        <v>0.36600805212864002</v>
      </c>
      <c r="I179" s="385">
        <f>SUM(I59:I61)</f>
        <v>0.37689969604863222</v>
      </c>
      <c r="J179" s="385"/>
      <c r="K179" s="385">
        <f>SUM(K59:K61)</f>
        <v>0.30748630418597417</v>
      </c>
      <c r="L179" s="385">
        <f>SUM(L59:L61)</f>
        <v>0.32595573440643866</v>
      </c>
      <c r="M179" s="385"/>
      <c r="N179" s="385">
        <f>SUM(N59:N61)</f>
        <v>0.51246669483053575</v>
      </c>
      <c r="O179" s="385">
        <f>SUM(O59:O61)</f>
        <v>0.51201923076923073</v>
      </c>
      <c r="P179" s="385"/>
      <c r="Q179" s="385">
        <f>SUM(Q59:Q61)</f>
        <v>0.29486539293789871</v>
      </c>
      <c r="R179" s="385">
        <f>SUM(R59:R61)</f>
        <v>0.28950542822677927</v>
      </c>
      <c r="S179" s="385"/>
      <c r="T179" s="385">
        <f>SUM(T59:T61)</f>
        <v>0.47741433694853735</v>
      </c>
      <c r="U179" s="385">
        <f>SUM(U59:U61)</f>
        <v>0.46974358974358976</v>
      </c>
      <c r="V179" s="385"/>
      <c r="W179" s="385">
        <f>SUM(W59:W61)</f>
        <v>0.33176965242848333</v>
      </c>
      <c r="X179" s="385">
        <f>SUM(X59:X61)</f>
        <v>0.30852713178294572</v>
      </c>
      <c r="Y179" s="385"/>
      <c r="Z179" s="385">
        <f>SUM(Z59:Z61)</f>
        <v>0.44334612480157815</v>
      </c>
      <c r="AA179" s="385">
        <f>SUM(AA59:AA61)</f>
        <v>0.43511904761904763</v>
      </c>
      <c r="AB179" s="385"/>
      <c r="AC179" s="385">
        <f>SUM(AC59:AC61)</f>
        <v>0.3629993378945045</v>
      </c>
      <c r="AD179" s="385">
        <f>SUM(AD59:AD61)</f>
        <v>0.37546468401486988</v>
      </c>
      <c r="AE179" s="385"/>
      <c r="AF179" s="385">
        <f>SUM(AF59:AF61)</f>
        <v>0.26278092761787825</v>
      </c>
      <c r="AG179" s="385">
        <f>SUM(AG59:AG61)</f>
        <v>0.26496478873239437</v>
      </c>
      <c r="AH179" s="385"/>
      <c r="AI179" s="385">
        <f>SUM(AI59:AI61)</f>
        <v>0.46808333432484206</v>
      </c>
      <c r="AJ179" s="385">
        <f>SUM(AJ59:AJ61)</f>
        <v>0.46326707000864303</v>
      </c>
      <c r="AK179" s="385"/>
      <c r="AL179" s="385">
        <f>SUM(AL59:AL61)</f>
        <v>0.27545627285356156</v>
      </c>
      <c r="AM179" s="385">
        <f>SUM(AM59:AM61)</f>
        <v>0.2847058823529412</v>
      </c>
      <c r="AN179" s="491"/>
      <c r="AO179" s="458">
        <f t="shared" ref="AO179:AO181" si="722">AVERAGE(B179,E179,H179,K179,N179,Q179,T179,W179,Z179,AC179,AF179,AI179)</f>
        <v>0.36887248794069954</v>
      </c>
      <c r="AP179" s="458">
        <f t="shared" ref="AP179:AP181" si="723">AVERAGE(C179,F179,I179,L179,O179,R179,U179,X179,AA179,AD179,AG179,AJ179)</f>
        <v>0.36476072432376488</v>
      </c>
      <c r="AQ179" s="458"/>
      <c r="AR179" t="s">
        <v>258</v>
      </c>
    </row>
    <row r="180" spans="1:110" hidden="1" outlineLevel="1" x14ac:dyDescent="0.25">
      <c r="A180" s="401" t="s">
        <v>241</v>
      </c>
      <c r="B180" s="384">
        <f>SUM(B62:B76)</f>
        <v>0.46494506375812011</v>
      </c>
      <c r="C180" s="384">
        <f>SUM(C62:C76)</f>
        <v>0.4610951008645533</v>
      </c>
      <c r="D180" s="495"/>
      <c r="E180" s="384">
        <f>SUM(E62:E76)</f>
        <v>0.36039039021446856</v>
      </c>
      <c r="F180" s="384">
        <f>SUM(F62:F76)</f>
        <v>0.3664021164021164</v>
      </c>
      <c r="G180" s="495"/>
      <c r="H180" s="384">
        <f>SUM(H62:H76)</f>
        <v>0.37755267029928702</v>
      </c>
      <c r="I180" s="384">
        <f>SUM(I62:I76)</f>
        <v>0.40425531914893614</v>
      </c>
      <c r="J180" s="384"/>
      <c r="K180" s="384">
        <f>SUM(K62:K76)</f>
        <v>0.43424342434243418</v>
      </c>
      <c r="L180" s="384">
        <f>SUM(L62:L76)</f>
        <v>0.43259557344064381</v>
      </c>
      <c r="M180" s="384"/>
      <c r="N180" s="384">
        <f>SUM(N62:N76)</f>
        <v>0.33712987865834021</v>
      </c>
      <c r="O180" s="384">
        <f>SUM(O62:O76)</f>
        <v>0.3407451923076924</v>
      </c>
      <c r="P180" s="384"/>
      <c r="Q180" s="384">
        <f>SUM(Q62:Q76)</f>
        <v>0.42428176703618625</v>
      </c>
      <c r="R180" s="384">
        <f>SUM(R62:R76)</f>
        <v>0.44028950542822676</v>
      </c>
      <c r="S180" s="384"/>
      <c r="T180" s="384">
        <f>SUM(T62:T76)</f>
        <v>0.33288251307090694</v>
      </c>
      <c r="U180" s="384">
        <f>SUM(U62:U76)</f>
        <v>0.33128205128205124</v>
      </c>
      <c r="V180" s="384"/>
      <c r="W180" s="384">
        <f>SUM(W62:W76)</f>
        <v>0.42479997915092127</v>
      </c>
      <c r="X180" s="384">
        <f>SUM(X62:X76)</f>
        <v>0.45271317829457364</v>
      </c>
      <c r="Y180" s="384"/>
      <c r="Z180" s="384">
        <f>SUM(Z62:Z76)</f>
        <v>0.38067717724659794</v>
      </c>
      <c r="AA180" s="384">
        <f>SUM(AA62:AA76)</f>
        <v>0.38988095238095233</v>
      </c>
      <c r="AB180" s="384"/>
      <c r="AC180" s="384">
        <f>SUM(AC62:AC76)</f>
        <v>0.33394945928051206</v>
      </c>
      <c r="AD180" s="384">
        <f>SUM(AD62:AD76)</f>
        <v>0.31598513011152418</v>
      </c>
      <c r="AE180" s="384"/>
      <c r="AF180" s="384">
        <f>SUM(AF62:AF76)</f>
        <v>0.46041433438060503</v>
      </c>
      <c r="AG180" s="384">
        <f>SUM(AG62:AG76)</f>
        <v>0.45774647887323938</v>
      </c>
      <c r="AH180" s="384"/>
      <c r="AI180" s="384">
        <f>SUM(AI62:AI76)</f>
        <v>0.32124882506216756</v>
      </c>
      <c r="AJ180" s="384">
        <f>SUM(AJ62:AJ76)</f>
        <v>0.30769230769230765</v>
      </c>
      <c r="AK180" s="384"/>
      <c r="AL180" s="384">
        <f>SUM(AL62:AL76)</f>
        <v>0.32957031312373264</v>
      </c>
      <c r="AM180" s="384">
        <f>SUM(AM62:AM76)</f>
        <v>0.29882352941176471</v>
      </c>
      <c r="AN180" s="506"/>
      <c r="AO180" s="458">
        <f t="shared" si="722"/>
        <v>0.38770962354171218</v>
      </c>
      <c r="AP180" s="458">
        <f t="shared" si="723"/>
        <v>0.39172357551890147</v>
      </c>
      <c r="AQ180" s="458"/>
      <c r="AR180" t="s">
        <v>260</v>
      </c>
    </row>
    <row r="181" spans="1:110" hidden="1" outlineLevel="1" x14ac:dyDescent="0.25">
      <c r="A181" s="400" t="s">
        <v>240</v>
      </c>
      <c r="B181" s="385">
        <f>SUM(B77:B79)</f>
        <v>0.25156788836314059</v>
      </c>
      <c r="C181" s="385">
        <f>SUM(C77:C79)</f>
        <v>0.27953890489913547</v>
      </c>
      <c r="D181" s="494"/>
      <c r="E181" s="385">
        <f>SUM(E77:E79)</f>
        <v>0.32384696047474826</v>
      </c>
      <c r="F181" s="385">
        <f>SUM(F77:F79)</f>
        <v>0.33730158730158732</v>
      </c>
      <c r="G181" s="494"/>
      <c r="H181" s="385">
        <f>SUM(H77:H79)</f>
        <v>0.25643927757207297</v>
      </c>
      <c r="I181" s="385">
        <f>SUM(I77:I79)</f>
        <v>0.21884498480243164</v>
      </c>
      <c r="J181" s="385"/>
      <c r="K181" s="385">
        <f>SUM(K77:K79)</f>
        <v>0.25827027147159165</v>
      </c>
      <c r="L181" s="385">
        <f>SUM(L77:L79)</f>
        <v>0.24144869215291753</v>
      </c>
      <c r="M181" s="385"/>
      <c r="N181" s="385">
        <f>SUM(N77:N79)</f>
        <v>0.15040342651112404</v>
      </c>
      <c r="O181" s="385">
        <f>SUM(O77:O79)</f>
        <v>0.14723557692307687</v>
      </c>
      <c r="P181" s="385"/>
      <c r="Q181" s="385">
        <f>SUM(Q77:Q79)</f>
        <v>0.28085284002591504</v>
      </c>
      <c r="R181" s="385">
        <f>SUM(R77:R79)</f>
        <v>0.27020506634499397</v>
      </c>
      <c r="S181" s="385"/>
      <c r="T181" s="385">
        <f>SUM(T77:T79)</f>
        <v>0.18970314998055571</v>
      </c>
      <c r="U181" s="385">
        <f>SUM(U77:U79)</f>
        <v>0.198974358974359</v>
      </c>
      <c r="V181" s="385"/>
      <c r="W181" s="385">
        <f>SUM(W77:W79)</f>
        <v>0.2434303684205954</v>
      </c>
      <c r="X181" s="385">
        <f>SUM(X77:X79)</f>
        <v>0.23875968992248064</v>
      </c>
      <c r="Y181" s="385"/>
      <c r="Z181" s="385">
        <f>SUM(Z77:Z79)</f>
        <v>0.17597669795182391</v>
      </c>
      <c r="AA181" s="385">
        <f>SUM(AA77:AA79)</f>
        <v>0.17500000000000004</v>
      </c>
      <c r="AB181" s="385"/>
      <c r="AC181" s="385">
        <f>SUM(AC77:AC79)</f>
        <v>0.30305120282498343</v>
      </c>
      <c r="AD181" s="385">
        <f>SUM(AD77:AD79)</f>
        <v>0.30855018587360594</v>
      </c>
      <c r="AE181" s="385"/>
      <c r="AF181" s="385">
        <f>SUM(AF77:AF79)</f>
        <v>0.27680473800151673</v>
      </c>
      <c r="AG181" s="385">
        <f>SUM(AG77:AG79)</f>
        <v>0.27728873239436624</v>
      </c>
      <c r="AH181" s="385"/>
      <c r="AI181" s="385">
        <f>SUM(AI77:AI79)</f>
        <v>0.21066784061299038</v>
      </c>
      <c r="AJ181" s="385">
        <f>SUM(AJ77:AJ79)</f>
        <v>0.22904062229904931</v>
      </c>
      <c r="AK181" s="385"/>
      <c r="AL181" s="385">
        <f>SUM(AL77:AL79)</f>
        <v>0.16975106583422483</v>
      </c>
      <c r="AM181" s="385">
        <f>SUM(AM77:AM79)</f>
        <v>0.18352941176470583</v>
      </c>
      <c r="AN181" s="491"/>
      <c r="AO181" s="458">
        <f t="shared" si="722"/>
        <v>0.24341788851758814</v>
      </c>
      <c r="AP181" s="458">
        <f t="shared" si="723"/>
        <v>0.24351570015733359</v>
      </c>
      <c r="AQ181" s="458"/>
      <c r="AR181" t="s">
        <v>259</v>
      </c>
    </row>
    <row r="182" spans="1:110" hidden="1" outlineLevel="1" x14ac:dyDescent="0.25">
      <c r="AL182" s="739" t="s">
        <v>245</v>
      </c>
      <c r="AM182" s="739"/>
      <c r="AN182" s="509"/>
    </row>
    <row r="183" spans="1:110" hidden="1" outlineLevel="1" x14ac:dyDescent="0.25">
      <c r="A183" s="333" t="s">
        <v>31</v>
      </c>
      <c r="B183" s="388" t="str">
        <f>Tabelle3[[#Headers],[Ned (€)]]</f>
        <v>Ned (€)</v>
      </c>
      <c r="C183" s="389" t="str">
        <f>Tabelle3[[#Headers],[Ned (Backer)]]</f>
        <v>Ned (Backer)</v>
      </c>
      <c r="D183" s="493" t="str">
        <f>Tabelle3[[#Headers],[Ned (€/B)]]</f>
        <v>Ned (€/B)</v>
      </c>
      <c r="E183" s="391" t="str">
        <f>Tabelle3[[#Headers],[Werkzeuge (€)]]</f>
        <v>Werkzeuge (€)</v>
      </c>
      <c r="F183" s="392" t="str">
        <f>Tabelle3[[#Headers],[Werkzeuge (Backer)]]</f>
        <v>Werkzeuge (Backer)</v>
      </c>
      <c r="G183" s="493" t="str">
        <f>Tabelle3[[#Headers],[Werkz (€/B)]]</f>
        <v>Werkz (€/B)</v>
      </c>
      <c r="H183" s="395" t="str">
        <f>Tabelle3[[#Headers],[DSK Fasar (€)]]</f>
        <v>DSK Fasar (€)</v>
      </c>
      <c r="I183" s="396" t="str">
        <f>Tabelle3[[#Headers],[DSK Fasar (Backer)]]</f>
        <v>DSK Fasar (Backer)</v>
      </c>
      <c r="J183" s="398" t="str">
        <f>Tabelle3[[#Headers],[DSK Fasar (€/B)]]</f>
        <v>DSK Fasar (€/B)</v>
      </c>
      <c r="K183" s="388" t="str">
        <f>Tabelle3[[#Headers],[Mythen (€)]]</f>
        <v>Mythen (€)</v>
      </c>
      <c r="L183" s="389" t="str">
        <f>Tabelle3[[#Headers],[Mythen (Backer)]]</f>
        <v>Mythen (Backer)</v>
      </c>
      <c r="M183" s="389" t="str">
        <f>Tabelle3[[#Headers],[Mythen (€/B)]]</f>
        <v>Mythen (€/B)</v>
      </c>
      <c r="N183" s="393" t="str">
        <f>Tabelle3[[#Headers],[SOK (€)]]</f>
        <v>SOK (€)</v>
      </c>
      <c r="O183" s="394" t="str">
        <f>Tabelle3[[#Headers],[SOK (Backer)]]</f>
        <v>SOK (Backer)</v>
      </c>
      <c r="P183" s="394" t="str">
        <f>Tabelle3[[#Headers],[SOK (€/B)]]</f>
        <v>SOK (€/B)</v>
      </c>
      <c r="Q183" s="390" t="str">
        <f>Tabelle3[[#Headers],[RE (€)]]</f>
        <v>RE (€)</v>
      </c>
      <c r="R183" s="390" t="str">
        <f>Tabelle3[[#Headers],[RE (Backer)]]</f>
        <v>RE (Backer)</v>
      </c>
      <c r="S183" s="390" t="str">
        <f>Tabelle3[[#Headers],[RE (€/B)]]</f>
        <v>RE (€/B)</v>
      </c>
      <c r="T183" s="390" t="str">
        <f>Tabelle3[[#Headers],[DGG (€)]]</f>
        <v>DGG (€)</v>
      </c>
      <c r="U183" s="390" t="str">
        <f>Tabelle3[[#Headers],[DGG (Backer)]]</f>
        <v>DGG (Backer)</v>
      </c>
      <c r="V183" s="390" t="str">
        <f>Tabelle3[[#Headers],[DGG (€/B)]]</f>
        <v>DGG (€/B)</v>
      </c>
      <c r="W183" s="395" t="str">
        <f>Tabelle3[[#Headers],[DSK SV (€)]]</f>
        <v>DSK SV (€)</v>
      </c>
      <c r="X183" s="396" t="str">
        <f>Tabelle3[[#Headers],[DSK SV (Backer)]]</f>
        <v>DSK SV (Backer)</v>
      </c>
      <c r="Y183" s="398" t="str">
        <f>Tabelle3[[#Headers],[DSK SV (€/B)]]</f>
        <v>DSK SV (€/B)</v>
      </c>
      <c r="Z183" s="393" t="str">
        <f>Tabelle3[[#Headers],[WW (€)]]</f>
        <v>WW (€)</v>
      </c>
      <c r="AA183" s="394" t="str">
        <f>Tabelle3[[#Headers],[WW (Backer)]]</f>
        <v>WW (Backer)</v>
      </c>
      <c r="AB183" s="394" t="str">
        <f>Tabelle3[[#Headers],[WW (€/B)]]</f>
        <v>WW (€/B)</v>
      </c>
      <c r="AC183" s="395" t="str">
        <f>Tabelle3[[#Headers],[DSK R (€)]]</f>
        <v>DSK R (€)</v>
      </c>
      <c r="AD183" s="396" t="str">
        <f>Tabelle3[[#Headers],[DSK R (Backer)]]</f>
        <v>DSK R (Backer)</v>
      </c>
      <c r="AE183" s="398" t="str">
        <f>Tabelle3[[#Headers],[DSK R (€/B)]]</f>
        <v>DSK R (€/B)</v>
      </c>
      <c r="AF183" s="390" t="str">
        <f>Tabelle3[[#Headers],[Ära (€)]]</f>
        <v>Ära (€)</v>
      </c>
      <c r="AG183" s="390" t="str">
        <f>Tabelle3[[#Headers],[Ära (Backer)]]</f>
        <v>Ära (Backer)</v>
      </c>
      <c r="AH183" s="390" t="str">
        <f>Tabelle3[[#Headers],[Ära (€/B)]]</f>
        <v>Ära (€/B)</v>
      </c>
      <c r="AI183" s="390" t="str">
        <f>Tabelle3[[#Headers],[Mosaik (€)]]</f>
        <v>Mosaik (€)</v>
      </c>
      <c r="AJ183" s="390" t="str">
        <f>Tabelle3[[#Headers],[Mosaik (Backer)]]</f>
        <v>Mosaik (Backer)</v>
      </c>
      <c r="AK183" s="390" t="str">
        <f>Tabelle3[[#Headers],[Mosaik (€/B)]]</f>
        <v>Mosaik (€/B)</v>
      </c>
      <c r="AL183" s="575" t="str">
        <f>Tabelle3[[#Headers],[DSK ES (€)]]</f>
        <v>DSK ES (€)</v>
      </c>
      <c r="AM183" s="575" t="str">
        <f>Tabelle3[[#Headers],[DSK ES (Backer)]]</f>
        <v>DSK ES (Backer)</v>
      </c>
      <c r="AN183" s="575" t="str">
        <f>Tabelle3[[#Headers],[DSK ES (€/B)]]</f>
        <v>DSK ES (€/B)</v>
      </c>
      <c r="AO183" s="738" t="s">
        <v>246</v>
      </c>
      <c r="AP183" s="738"/>
      <c r="AQ183" s="463"/>
      <c r="BM183" s="203"/>
      <c r="BN183" s="202"/>
      <c r="BO183" s="202"/>
      <c r="BP183" s="202"/>
      <c r="BQ183" s="202"/>
      <c r="BR183" s="202"/>
      <c r="BS183" s="202"/>
      <c r="BT183" s="202"/>
      <c r="BU183" s="202"/>
      <c r="BV183" s="202"/>
      <c r="BW183" s="202"/>
      <c r="BX183" s="202"/>
      <c r="BY183" s="202"/>
      <c r="BZ183" s="202"/>
      <c r="CA183" s="202"/>
      <c r="CB183" s="202"/>
      <c r="CC183" s="202"/>
      <c r="CD183" s="202"/>
      <c r="CE183" s="202"/>
      <c r="CF183" s="202"/>
      <c r="CG183" s="202"/>
      <c r="CH183" s="202"/>
      <c r="CI183" s="202"/>
      <c r="CJ183" s="202"/>
      <c r="CK183" s="202"/>
      <c r="CL183" s="202"/>
      <c r="CM183" s="202"/>
      <c r="CN183" s="202"/>
      <c r="CO183" s="202"/>
      <c r="CP183" s="202"/>
      <c r="CQ183" s="202"/>
      <c r="CR183" s="202"/>
      <c r="CS183" s="202"/>
      <c r="CT183" s="202"/>
      <c r="CU183" s="202"/>
      <c r="CV183" s="202"/>
      <c r="CW183" s="202"/>
      <c r="CX183" s="202"/>
      <c r="CY183" s="202"/>
      <c r="CZ183" s="202"/>
      <c r="DA183" s="202"/>
      <c r="DB183" s="202"/>
      <c r="DC183" s="202"/>
      <c r="DD183" s="202"/>
      <c r="DE183" s="202"/>
      <c r="DF183" s="202"/>
    </row>
    <row r="184" spans="1:110" hidden="1" outlineLevel="1" x14ac:dyDescent="0.25">
      <c r="A184" s="400" t="s">
        <v>239</v>
      </c>
      <c r="B184" s="385">
        <f>SUM(B59:B61)</f>
        <v>0.2834870478787393</v>
      </c>
      <c r="C184" s="385">
        <f>SUM(C59:C61)</f>
        <v>0.25936599423631124</v>
      </c>
      <c r="D184" s="494"/>
      <c r="E184" s="385">
        <f>SUM(E59:E61)</f>
        <v>0.31576264931078318</v>
      </c>
      <c r="F184" s="385">
        <f>SUM(F59:F61)</f>
        <v>0.29629629629629628</v>
      </c>
      <c r="G184" s="494"/>
      <c r="H184" s="385">
        <f>SUM(H59:H61)</f>
        <v>0.36600805212864002</v>
      </c>
      <c r="I184" s="385">
        <f>SUM(I59:I61)</f>
        <v>0.37689969604863222</v>
      </c>
      <c r="J184" s="385"/>
      <c r="K184" s="385">
        <f>SUM(K59:K61)</f>
        <v>0.30748630418597417</v>
      </c>
      <c r="L184" s="385">
        <f>SUM(L59:L61)</f>
        <v>0.32595573440643866</v>
      </c>
      <c r="M184" s="385"/>
      <c r="N184" s="385">
        <f>SUM(N59:N61)</f>
        <v>0.51246669483053575</v>
      </c>
      <c r="O184" s="385">
        <f>SUM(O59:O61)</f>
        <v>0.51201923076923073</v>
      </c>
      <c r="P184" s="385"/>
      <c r="Q184" s="385">
        <f>SUM(Q59:Q61)</f>
        <v>0.29486539293789871</v>
      </c>
      <c r="R184" s="385">
        <f>SUM(R59:R61)</f>
        <v>0.28950542822677927</v>
      </c>
      <c r="S184" s="385"/>
      <c r="T184" s="385">
        <f>SUM(T59:T61)</f>
        <v>0.47741433694853735</v>
      </c>
      <c r="U184" s="385">
        <f>SUM(U59:U61)</f>
        <v>0.46974358974358976</v>
      </c>
      <c r="V184" s="385"/>
      <c r="W184" s="385">
        <f>SUM(W59:W61)</f>
        <v>0.33176965242848333</v>
      </c>
      <c r="X184" s="385">
        <f>SUM(X59:X61)</f>
        <v>0.30852713178294572</v>
      </c>
      <c r="Y184" s="385"/>
      <c r="Z184" s="385">
        <f>SUM(Z59:Z61)</f>
        <v>0.44334612480157815</v>
      </c>
      <c r="AA184" s="385">
        <f>SUM(AA59:AA61)</f>
        <v>0.43511904761904763</v>
      </c>
      <c r="AB184" s="385"/>
      <c r="AC184" s="385">
        <f>SUM(AC59:AC61)</f>
        <v>0.3629993378945045</v>
      </c>
      <c r="AD184" s="385">
        <f>SUM(AD59:AD61)</f>
        <v>0.37546468401486988</v>
      </c>
      <c r="AE184" s="385"/>
      <c r="AF184" s="385">
        <f>SUM(AF59:AF61)</f>
        <v>0.26278092761787825</v>
      </c>
      <c r="AG184" s="385">
        <f>SUM(AG59:AG61)</f>
        <v>0.26496478873239437</v>
      </c>
      <c r="AH184" s="385"/>
      <c r="AI184" s="385">
        <f>SUM(AI59:AI61)</f>
        <v>0.46808333432484206</v>
      </c>
      <c r="AJ184" s="385">
        <f>SUM(AJ59:AJ61)</f>
        <v>0.46326707000864303</v>
      </c>
      <c r="AK184" s="385"/>
      <c r="AL184" s="385">
        <f>SUM(AL59:AL61)</f>
        <v>0.27545627285356156</v>
      </c>
      <c r="AM184" s="385">
        <f>SUM(AM59:AM61)</f>
        <v>0.2847058823529412</v>
      </c>
      <c r="AN184" s="491"/>
      <c r="AO184" s="458">
        <f t="shared" ref="AO184:AO186" si="724">AVERAGE(B184,E184,H184,K184,N184,Q184,T184,W184,Z184,AC184,AF184,AI184)</f>
        <v>0.36887248794069954</v>
      </c>
      <c r="AP184" s="458">
        <f t="shared" ref="AP184:AP186" si="725">AVERAGE(C184,F184,I184,L184,O184,R184,U184,X184,AA184,AD184,AG184,AJ184)</f>
        <v>0.36476072432376488</v>
      </c>
      <c r="AQ184" s="458"/>
      <c r="AR184" t="s">
        <v>258</v>
      </c>
    </row>
    <row r="185" spans="1:110" hidden="1" outlineLevel="1" x14ac:dyDescent="0.25">
      <c r="A185" s="401" t="s">
        <v>250</v>
      </c>
      <c r="B185" s="384">
        <f>SUM(B62:B73)</f>
        <v>0.36453604940251821</v>
      </c>
      <c r="C185" s="384">
        <f>SUM(C62:C73)</f>
        <v>0.35734870317002887</v>
      </c>
      <c r="D185" s="495"/>
      <c r="E185" s="384">
        <f>SUM(E62:E73)</f>
        <v>0.25521233033198404</v>
      </c>
      <c r="F185" s="384">
        <f>SUM(F62:F73)</f>
        <v>0.26190476190476197</v>
      </c>
      <c r="G185" s="495"/>
      <c r="H185" s="384">
        <f>SUM(H62:H73)</f>
        <v>0.25662522030171225</v>
      </c>
      <c r="I185" s="384">
        <f>SUM(I62:I73)</f>
        <v>0.27203647416413373</v>
      </c>
      <c r="J185" s="384"/>
      <c r="K185" s="384">
        <f>SUM(K62:K73)</f>
        <v>0.3498460957206832</v>
      </c>
      <c r="L185" s="384">
        <f>SUM(L62:L73)</f>
        <v>0.352112676056338</v>
      </c>
      <c r="M185" s="384"/>
      <c r="N185" s="384">
        <f>SUM(N62:N73)</f>
        <v>0.27503273004094919</v>
      </c>
      <c r="O185" s="384">
        <f>SUM(O62:O73)</f>
        <v>0.27704326923076927</v>
      </c>
      <c r="P185" s="384"/>
      <c r="Q185" s="384">
        <f>SUM(Q62:Q73)</f>
        <v>0.34276722312276087</v>
      </c>
      <c r="R185" s="384">
        <f>SUM(R62:R73)</f>
        <v>0.37153196622436668</v>
      </c>
      <c r="S185" s="384"/>
      <c r="T185" s="384">
        <f>SUM(T62:T73)</f>
        <v>0.23620101110486974</v>
      </c>
      <c r="U185" s="384">
        <f>SUM(U62:U73)</f>
        <v>0.23794871794871797</v>
      </c>
      <c r="V185" s="384"/>
      <c r="W185" s="384">
        <f>SUM(W62:W73)</f>
        <v>0.32142329710805906</v>
      </c>
      <c r="X185" s="384">
        <f>SUM(X62:X73)</f>
        <v>0.33488372093023261</v>
      </c>
      <c r="Y185" s="384"/>
      <c r="Z185" s="384">
        <f>SUM(Z62:Z73)</f>
        <v>0.30478215975465034</v>
      </c>
      <c r="AA185" s="384">
        <f>SUM(AA62:AA73)</f>
        <v>0.31309523809523809</v>
      </c>
      <c r="AB185" s="384"/>
      <c r="AC185" s="384">
        <f>SUM(AC62:AC73)</f>
        <v>0.25835908188037965</v>
      </c>
      <c r="AD185" s="384">
        <f>SUM(AD62:AD73)</f>
        <v>0.23420074349442377</v>
      </c>
      <c r="AE185" s="384"/>
      <c r="AF185" s="384">
        <f>SUM(AF62:AF73)</f>
        <v>0.37848237895184561</v>
      </c>
      <c r="AG185" s="384">
        <f>SUM(AG62:AG73)</f>
        <v>0.375</v>
      </c>
      <c r="AH185" s="384"/>
      <c r="AI185" s="384">
        <f>SUM(AI62:AI73)</f>
        <v>0.25011005746784531</v>
      </c>
      <c r="AJ185" s="384">
        <f>SUM(AJ62:AJ73)</f>
        <v>0.24978392394122734</v>
      </c>
      <c r="AK185" s="384"/>
      <c r="AL185" s="384">
        <f>SUM(AL62:AL73)</f>
        <v>0.23304644961438359</v>
      </c>
      <c r="AM185" s="384">
        <f>SUM(AM62:AM73)</f>
        <v>0.20705882352941174</v>
      </c>
      <c r="AN185" s="506"/>
      <c r="AO185" s="458">
        <f t="shared" si="724"/>
        <v>0.29944813626568817</v>
      </c>
      <c r="AP185" s="458">
        <f t="shared" si="725"/>
        <v>0.30307418293001986</v>
      </c>
      <c r="AQ185" s="458"/>
      <c r="AR185" t="s">
        <v>261</v>
      </c>
    </row>
    <row r="186" spans="1:110" hidden="1" outlineLevel="1" x14ac:dyDescent="0.25">
      <c r="A186" s="400" t="s">
        <v>251</v>
      </c>
      <c r="B186" s="385">
        <f>SUM(B74:B79)</f>
        <v>0.35197690271874249</v>
      </c>
      <c r="C186" s="385">
        <f>SUM(C74:C79)</f>
        <v>0.38328530259365989</v>
      </c>
      <c r="D186" s="494"/>
      <c r="E186" s="385">
        <f>SUM(E74:E79)</f>
        <v>0.42902502035723278</v>
      </c>
      <c r="F186" s="385">
        <f>SUM(F74:F79)</f>
        <v>0.44179894179894175</v>
      </c>
      <c r="G186" s="494"/>
      <c r="H186" s="385">
        <f>SUM(H74:H79)</f>
        <v>0.37736672756964773</v>
      </c>
      <c r="I186" s="385">
        <f>SUM(I74:I79)</f>
        <v>0.35106382978723405</v>
      </c>
      <c r="J186" s="385"/>
      <c r="K186" s="385">
        <f>SUM(K74:K79)</f>
        <v>0.34266760009334263</v>
      </c>
      <c r="L186" s="385">
        <f>SUM(L74:L79)</f>
        <v>0.32193158953722334</v>
      </c>
      <c r="M186" s="385"/>
      <c r="N186" s="385">
        <f>SUM(N74:N79)</f>
        <v>0.21250057512851506</v>
      </c>
      <c r="O186" s="385">
        <f>SUM(O74:O79)</f>
        <v>0.2109375</v>
      </c>
      <c r="P186" s="385"/>
      <c r="Q186" s="385">
        <f>SUM(Q74:Q79)</f>
        <v>0.36236738393934043</v>
      </c>
      <c r="R186" s="385">
        <f>SUM(R74:R79)</f>
        <v>0.33896260554885405</v>
      </c>
      <c r="S186" s="385"/>
      <c r="T186" s="385">
        <f>SUM(T74:T79)</f>
        <v>0.28638465194659291</v>
      </c>
      <c r="U186" s="385">
        <f>SUM(U74:U79)</f>
        <v>0.29230769230769227</v>
      </c>
      <c r="V186" s="385"/>
      <c r="W186" s="385">
        <f>SUM(W74:W79)</f>
        <v>0.34680705046345761</v>
      </c>
      <c r="X186" s="385">
        <f>SUM(X74:X79)</f>
        <v>0.35658914728682167</v>
      </c>
      <c r="Y186" s="385"/>
      <c r="Z186" s="385">
        <f>SUM(Z74:Z79)</f>
        <v>0.25187171544377152</v>
      </c>
      <c r="AA186" s="385">
        <f>SUM(AA74:AA79)</f>
        <v>0.25178571428571428</v>
      </c>
      <c r="AB186" s="385"/>
      <c r="AC186" s="385">
        <f>SUM(AC74:AC79)</f>
        <v>0.37864158022511585</v>
      </c>
      <c r="AD186" s="385">
        <f>SUM(AD74:AD79)</f>
        <v>0.39033457249070636</v>
      </c>
      <c r="AE186" s="385"/>
      <c r="AF186" s="385">
        <f>SUM(AF74:AF79)</f>
        <v>0.35873669343027614</v>
      </c>
      <c r="AG186" s="385">
        <f>SUM(AG74:AG79)</f>
        <v>0.36003521126760563</v>
      </c>
      <c r="AH186" s="385"/>
      <c r="AI186" s="385">
        <f>SUM(AI74:AI79)</f>
        <v>0.28180660820731263</v>
      </c>
      <c r="AJ186" s="385">
        <f>SUM(AJ74:AJ79)</f>
        <v>0.28694900605012963</v>
      </c>
      <c r="AK186" s="385"/>
      <c r="AL186" s="385">
        <f>SUM(AL74:AL79)</f>
        <v>0.26627492934357389</v>
      </c>
      <c r="AM186" s="385">
        <f>SUM(AM74:AM79)</f>
        <v>0.2752941176470588</v>
      </c>
      <c r="AN186" s="491"/>
      <c r="AO186" s="458">
        <f t="shared" si="724"/>
        <v>0.33167937579361229</v>
      </c>
      <c r="AP186" s="458">
        <f t="shared" si="725"/>
        <v>0.3321650927462152</v>
      </c>
      <c r="AQ186" s="458"/>
      <c r="AR186" t="s">
        <v>254</v>
      </c>
    </row>
    <row r="187" spans="1:110" hidden="1" outlineLevel="1" x14ac:dyDescent="0.25">
      <c r="AL187" s="739" t="s">
        <v>245</v>
      </c>
      <c r="AM187" s="739"/>
      <c r="AN187" s="509"/>
    </row>
    <row r="188" spans="1:110" hidden="1" outlineLevel="1" x14ac:dyDescent="0.25">
      <c r="A188" s="399" t="s">
        <v>31</v>
      </c>
      <c r="B188" s="397" t="s">
        <v>65</v>
      </c>
      <c r="C188" s="389" t="s">
        <v>66</v>
      </c>
      <c r="D188" s="493"/>
      <c r="E188" s="391" t="s">
        <v>48</v>
      </c>
      <c r="F188" s="392" t="s">
        <v>49</v>
      </c>
      <c r="G188" s="493"/>
      <c r="H188" s="395" t="s">
        <v>126</v>
      </c>
      <c r="I188" s="398" t="s">
        <v>127</v>
      </c>
      <c r="J188" s="398"/>
      <c r="K188" s="397" t="s">
        <v>67</v>
      </c>
      <c r="L188" s="389" t="s">
        <v>68</v>
      </c>
      <c r="M188" s="389"/>
      <c r="N188" s="393" t="s">
        <v>80</v>
      </c>
      <c r="O188" s="394" t="s">
        <v>81</v>
      </c>
      <c r="P188" s="394"/>
      <c r="Q188" s="390" t="s">
        <v>87</v>
      </c>
      <c r="R188" s="390" t="s">
        <v>88</v>
      </c>
      <c r="S188" s="390"/>
      <c r="T188" s="390" t="s">
        <v>103</v>
      </c>
      <c r="U188" s="390" t="s">
        <v>106</v>
      </c>
      <c r="V188" s="390"/>
      <c r="W188" s="395" t="s">
        <v>122</v>
      </c>
      <c r="X188" s="398" t="s">
        <v>123</v>
      </c>
      <c r="Y188" s="398"/>
      <c r="Z188" s="393" t="s">
        <v>124</v>
      </c>
      <c r="AA188" s="394" t="s">
        <v>125</v>
      </c>
      <c r="AB188" s="394"/>
      <c r="AC188" s="395" t="s">
        <v>144</v>
      </c>
      <c r="AD188" s="398" t="s">
        <v>143</v>
      </c>
      <c r="AE188" s="398"/>
      <c r="AF188" s="390" t="s">
        <v>157</v>
      </c>
      <c r="AG188" s="390" t="s">
        <v>158</v>
      </c>
      <c r="AH188" s="390" t="str">
        <f>Tabelle3[[#Headers],[Ära (€/B)]]</f>
        <v>Ära (€/B)</v>
      </c>
      <c r="AI188" s="390" t="str">
        <f>Tabelle3[[#Headers],[Mosaik (€)]]</f>
        <v>Mosaik (€)</v>
      </c>
      <c r="AJ188" s="390" t="str">
        <f>Tabelle3[[#Headers],[Mosaik (Backer)]]</f>
        <v>Mosaik (Backer)</v>
      </c>
      <c r="AK188" s="390" t="str">
        <f>Tabelle3[[#Headers],[Mosaik (€/B)]]</f>
        <v>Mosaik (€/B)</v>
      </c>
      <c r="AL188" s="575" t="str">
        <f>Tabelle3[[#Headers],[DSK ES (€)]]</f>
        <v>DSK ES (€)</v>
      </c>
      <c r="AM188" s="575" t="str">
        <f>Tabelle3[[#Headers],[DSK ES (Backer)]]</f>
        <v>DSK ES (Backer)</v>
      </c>
      <c r="AN188" s="575" t="str">
        <f>Tabelle3[[#Headers],[DSK ES (€/B)]]</f>
        <v>DSK ES (€/B)</v>
      </c>
      <c r="AO188" s="738" t="s">
        <v>246</v>
      </c>
      <c r="AP188" s="738"/>
      <c r="AQ188" s="463"/>
    </row>
    <row r="189" spans="1:110" hidden="1" outlineLevel="1" x14ac:dyDescent="0.25">
      <c r="A189" s="400" t="s">
        <v>247</v>
      </c>
      <c r="B189" s="385">
        <f>SUM(B59:B62)</f>
        <v>0.30284706071056222</v>
      </c>
      <c r="C189" s="385">
        <f>SUM(C59:C62)</f>
        <v>0.2737752161383285</v>
      </c>
      <c r="D189" s="494"/>
      <c r="E189" s="385">
        <f>SUM(E59:E62)</f>
        <v>0.35127503646727321</v>
      </c>
      <c r="F189" s="385">
        <f>SUM(F59:F62)</f>
        <v>0.32671957671957674</v>
      </c>
      <c r="G189" s="494"/>
      <c r="H189" s="385">
        <f>SUM(H59:H62)</f>
        <v>0.38770676023089234</v>
      </c>
      <c r="I189" s="385">
        <f>SUM(I59:I62)</f>
        <v>0.40121580547112462</v>
      </c>
      <c r="J189" s="385"/>
      <c r="K189" s="385">
        <f>SUM(K59:K62)</f>
        <v>0.33696703003633699</v>
      </c>
      <c r="L189" s="385">
        <f>SUM(L59:L62)</f>
        <v>0.35814889336016098</v>
      </c>
      <c r="M189" s="385"/>
      <c r="N189" s="385">
        <f>SUM(N59:N62)</f>
        <v>0.53373599300643726</v>
      </c>
      <c r="O189" s="385">
        <f>SUM(O59:O62)</f>
        <v>0.53545673076923073</v>
      </c>
      <c r="P189" s="385"/>
      <c r="Q189" s="385">
        <f>SUM(Q59:Q62)</f>
        <v>0.31711083284038444</v>
      </c>
      <c r="R189" s="385">
        <f>SUM(R59:R62)</f>
        <v>0.31363088057901084</v>
      </c>
      <c r="S189" s="385"/>
      <c r="T189" s="385">
        <f>SUM(T59:T62)</f>
        <v>0.50695674718057293</v>
      </c>
      <c r="U189" s="385">
        <f>SUM(U59:U62)</f>
        <v>0.49846153846153846</v>
      </c>
      <c r="V189" s="385"/>
      <c r="W189" s="385">
        <f>SUM(W59:W62)</f>
        <v>0.36135796999470088</v>
      </c>
      <c r="X189" s="385">
        <f>SUM(X59:X62)</f>
        <v>0.33798449612403103</v>
      </c>
      <c r="Y189" s="385"/>
      <c r="Z189" s="385">
        <f>SUM(Z59:Z62)</f>
        <v>0.48342194892659546</v>
      </c>
      <c r="AA189" s="385">
        <f>SUM(AA59:AA62)</f>
        <v>0.47440476190476188</v>
      </c>
      <c r="AB189" s="385"/>
      <c r="AC189" s="385">
        <f>SUM(AC59:AC62)</f>
        <v>0.39271132200397263</v>
      </c>
      <c r="AD189" s="385">
        <f>SUM(AD59:AD62)</f>
        <v>0.40892193308550184</v>
      </c>
      <c r="AE189" s="385"/>
      <c r="AF189" s="385">
        <f>SUM(AF59:AF62)</f>
        <v>0.28021138035222032</v>
      </c>
      <c r="AG189" s="385">
        <f>SUM(AG59:AG62)</f>
        <v>0.28433098591549294</v>
      </c>
      <c r="AH189" s="385"/>
      <c r="AI189" s="385">
        <f>SUM(AI59:AI62)</f>
        <v>0.51466441395885631</v>
      </c>
      <c r="AJ189" s="385">
        <f>SUM(AJ59:AJ62)</f>
        <v>0.5056179775280899</v>
      </c>
      <c r="AK189" s="385"/>
      <c r="AL189" s="385">
        <f>SUM(AL59:AL62)</f>
        <v>0.27545627285356156</v>
      </c>
      <c r="AM189" s="385">
        <f>SUM(AM59:AM62)</f>
        <v>0.2847058823529412</v>
      </c>
      <c r="AN189" s="491"/>
      <c r="AO189" s="458">
        <f t="shared" ref="AO189:AO191" si="726">AVERAGE(B189,E189,H189,K189,N189,Q189,T189,W189,Z189,AC189,AF189,AI189)</f>
        <v>0.39741387464240036</v>
      </c>
      <c r="AP189" s="458">
        <f t="shared" ref="AP189:AP191" si="727">AVERAGE(C189,F189,I189,L189,O189,R189,U189,X189,AA189,AD189,AG189,AJ189)</f>
        <v>0.39322239967140399</v>
      </c>
      <c r="AQ189" s="458"/>
      <c r="AR189" t="s">
        <v>262</v>
      </c>
    </row>
    <row r="190" spans="1:110" hidden="1" outlineLevel="1" x14ac:dyDescent="0.25">
      <c r="A190" s="401" t="s">
        <v>248</v>
      </c>
      <c r="B190" s="384">
        <f>SUM(B63:B74)</f>
        <v>0.3752666613200738</v>
      </c>
      <c r="C190" s="384">
        <f>SUM(C63:C74)</f>
        <v>0.37175792507204614</v>
      </c>
      <c r="D190" s="495"/>
      <c r="E190" s="384">
        <f>SUM(E63:E74)</f>
        <v>0.25476710739831632</v>
      </c>
      <c r="F190" s="384">
        <f>SUM(F63:F74)</f>
        <v>0.26190476190476186</v>
      </c>
      <c r="G190" s="495"/>
      <c r="H190" s="384">
        <f>SUM(H63:H74)</f>
        <v>0.25944669911232565</v>
      </c>
      <c r="I190" s="384">
        <f>SUM(I63:I74)</f>
        <v>0.27355623100303955</v>
      </c>
      <c r="J190" s="384"/>
      <c r="K190" s="384">
        <f>SUM(K63:K74)</f>
        <v>0.35023502350235025</v>
      </c>
      <c r="L190" s="384">
        <f>SUM(L63:L74)</f>
        <v>0.34406438631790748</v>
      </c>
      <c r="M190" s="384"/>
      <c r="N190" s="384">
        <f>SUM(N63:N74)</f>
        <v>0.27463955127427564</v>
      </c>
      <c r="O190" s="384">
        <f>SUM(O63:O74)</f>
        <v>0.27584134615384615</v>
      </c>
      <c r="P190" s="384"/>
      <c r="Q190" s="384">
        <f>SUM(Q63:Q74)</f>
        <v>0.34271344687803296</v>
      </c>
      <c r="R190" s="384">
        <f>SUM(R63:R74)</f>
        <v>0.3703256936067551</v>
      </c>
      <c r="S190" s="384"/>
      <c r="T190" s="384">
        <f>SUM(T63:T74)</f>
        <v>0.24524046147863288</v>
      </c>
      <c r="U190" s="384">
        <f>SUM(U63:U74)</f>
        <v>0.2492307692307692</v>
      </c>
      <c r="V190" s="384"/>
      <c r="W190" s="384">
        <f>SUM(W63:W74)</f>
        <v>0.322040082353861</v>
      </c>
      <c r="X190" s="384">
        <f>SUM(X63:X74)</f>
        <v>0.3410852713178294</v>
      </c>
      <c r="Y190" s="384"/>
      <c r="Z190" s="384">
        <f>SUM(Z63:Z74)</f>
        <v>0.29078860172299542</v>
      </c>
      <c r="AA190" s="384">
        <f>SUM(AA63:AA74)</f>
        <v>0.30000000000000004</v>
      </c>
      <c r="AB190" s="384"/>
      <c r="AC190" s="384">
        <f>SUM(AC63:AC74)</f>
        <v>0.25568307216949904</v>
      </c>
      <c r="AD190" s="384">
        <f>SUM(AD63:AD74)</f>
        <v>0.23048327137546465</v>
      </c>
      <c r="AE190" s="384"/>
      <c r="AF190" s="384">
        <f>SUM(AF63:AF74)</f>
        <v>0.39023910697017489</v>
      </c>
      <c r="AG190" s="384">
        <f>SUM(AG63:AG74)</f>
        <v>0.38292253521126768</v>
      </c>
      <c r="AH190" s="384"/>
      <c r="AI190" s="384">
        <f>SUM(AI63:AI74)</f>
        <v>0.2154032862564994</v>
      </c>
      <c r="AJ190" s="384">
        <f>SUM(AJ63:AJ74)</f>
        <v>0.21694036300777875</v>
      </c>
      <c r="AK190" s="384"/>
      <c r="AL190" s="384">
        <f>SUM(AL63:AL74)</f>
        <v>0.26542864898526197</v>
      </c>
      <c r="AM190" s="384">
        <f>SUM(AM63:AM74)</f>
        <v>0.23294117647058821</v>
      </c>
      <c r="AN190" s="506"/>
      <c r="AO190" s="458">
        <f t="shared" si="726"/>
        <v>0.2980385917030865</v>
      </c>
      <c r="AP190" s="458">
        <f t="shared" si="727"/>
        <v>0.3015093795167888</v>
      </c>
      <c r="AQ190" s="458"/>
      <c r="AR190" t="s">
        <v>255</v>
      </c>
    </row>
    <row r="191" spans="1:110" hidden="1" outlineLevel="1" x14ac:dyDescent="0.25">
      <c r="A191" s="400" t="s">
        <v>249</v>
      </c>
      <c r="B191" s="385">
        <f>SUM(B75:B79)</f>
        <v>0.32188627796936398</v>
      </c>
      <c r="C191" s="385">
        <f>SUM(C75:C79)</f>
        <v>0.35446685878962536</v>
      </c>
      <c r="D191" s="494"/>
      <c r="E191" s="385">
        <f>SUM(E75:E79)</f>
        <v>0.39395785613441048</v>
      </c>
      <c r="F191" s="385">
        <f>SUM(F75:F79)</f>
        <v>0.41137566137566139</v>
      </c>
      <c r="G191" s="494"/>
      <c r="H191" s="385">
        <f>SUM(H75:H79)</f>
        <v>0.352846540656782</v>
      </c>
      <c r="I191" s="385">
        <f>SUM(I75:I79)</f>
        <v>0.32522796352583583</v>
      </c>
      <c r="J191" s="385"/>
      <c r="K191" s="385">
        <f>SUM(K75:K79)</f>
        <v>0.31279794646131276</v>
      </c>
      <c r="L191" s="385">
        <f>SUM(L75:L79)</f>
        <v>0.29778672032193154</v>
      </c>
      <c r="M191" s="385"/>
      <c r="N191" s="385">
        <f>SUM(N75:N79)</f>
        <v>0.1916244557192871</v>
      </c>
      <c r="O191" s="385">
        <f>SUM(O75:O79)</f>
        <v>0.18870192307692313</v>
      </c>
      <c r="P191" s="385"/>
      <c r="Q191" s="385">
        <f>SUM(Q75:Q79)</f>
        <v>0.34017572028158261</v>
      </c>
      <c r="R191" s="385">
        <f>SUM(R75:R79)</f>
        <v>0.31604342581423406</v>
      </c>
      <c r="S191" s="385"/>
      <c r="T191" s="385">
        <f>SUM(T75:T79)</f>
        <v>0.24780279134079419</v>
      </c>
      <c r="U191" s="385">
        <f>SUM(U75:U79)</f>
        <v>0.25230769230769234</v>
      </c>
      <c r="V191" s="385"/>
      <c r="W191" s="385">
        <f>SUM(W75:W79)</f>
        <v>0.31660194765143812</v>
      </c>
      <c r="X191" s="385">
        <f>SUM(X75:X79)</f>
        <v>0.32093023255813957</v>
      </c>
      <c r="Y191" s="385"/>
      <c r="Z191" s="385">
        <f>SUM(Z75:Z79)</f>
        <v>0.22578944935040912</v>
      </c>
      <c r="AA191" s="385">
        <f>SUM(AA75:AA79)</f>
        <v>0.22559523809523807</v>
      </c>
      <c r="AB191" s="385"/>
      <c r="AC191" s="385">
        <f>SUM(AC75:AC79)</f>
        <v>0.35160560582652833</v>
      </c>
      <c r="AD191" s="385">
        <f>SUM(AD75:AD79)</f>
        <v>0.36059479553903351</v>
      </c>
      <c r="AE191" s="385"/>
      <c r="AF191" s="385">
        <f>SUM(AF75:AF79)</f>
        <v>0.32954951267760479</v>
      </c>
      <c r="AG191" s="385">
        <f>SUM(AG75:AG79)</f>
        <v>0.33274647887323938</v>
      </c>
      <c r="AH191" s="385"/>
      <c r="AI191" s="385">
        <f>SUM(AI75:AI79)</f>
        <v>0.26993229978464428</v>
      </c>
      <c r="AJ191" s="385">
        <f>SUM(AJ75:AJ79)</f>
        <v>0.27744165946413135</v>
      </c>
      <c r="AK191" s="385"/>
      <c r="AL191" s="385">
        <f>SUM(AL75:AL79)</f>
        <v>0.2338927299726955</v>
      </c>
      <c r="AM191" s="385">
        <f>SUM(AM75:AM79)</f>
        <v>0.24941176470588233</v>
      </c>
      <c r="AN191" s="491"/>
      <c r="AO191" s="458">
        <f t="shared" si="726"/>
        <v>0.30454753365451315</v>
      </c>
      <c r="AP191" s="458">
        <f t="shared" si="727"/>
        <v>0.30526822081180716</v>
      </c>
      <c r="AQ191" s="458"/>
      <c r="AR191" t="s">
        <v>263</v>
      </c>
    </row>
    <row r="192" spans="1:110" hidden="1" outlineLevel="1" x14ac:dyDescent="0.25">
      <c r="AL192" s="739" t="s">
        <v>245</v>
      </c>
      <c r="AM192" s="739"/>
      <c r="AN192" s="509"/>
    </row>
    <row r="193" spans="1:110" hidden="1" outlineLevel="1" x14ac:dyDescent="0.25">
      <c r="A193" s="333" t="s">
        <v>31</v>
      </c>
      <c r="B193" s="388" t="str">
        <f>Tabelle3[[#Headers],[Ned (€)]]</f>
        <v>Ned (€)</v>
      </c>
      <c r="C193" s="389" t="str">
        <f>Tabelle3[[#Headers],[Ned (Backer)]]</f>
        <v>Ned (Backer)</v>
      </c>
      <c r="D193" s="493" t="str">
        <f>Tabelle3[[#Headers],[Ned (€/B)]]</f>
        <v>Ned (€/B)</v>
      </c>
      <c r="E193" s="391" t="str">
        <f>Tabelle3[[#Headers],[Werkzeuge (€)]]</f>
        <v>Werkzeuge (€)</v>
      </c>
      <c r="F193" s="392" t="str">
        <f>Tabelle3[[#Headers],[Werkzeuge (Backer)]]</f>
        <v>Werkzeuge (Backer)</v>
      </c>
      <c r="G193" s="493" t="str">
        <f>Tabelle3[[#Headers],[Werkz (€/B)]]</f>
        <v>Werkz (€/B)</v>
      </c>
      <c r="H193" s="395" t="str">
        <f>Tabelle3[[#Headers],[DSK Fasar (€)]]</f>
        <v>DSK Fasar (€)</v>
      </c>
      <c r="I193" s="396" t="str">
        <f>Tabelle3[[#Headers],[DSK Fasar (Backer)]]</f>
        <v>DSK Fasar (Backer)</v>
      </c>
      <c r="J193" s="398" t="str">
        <f>Tabelle3[[#Headers],[DSK Fasar (€/B)]]</f>
        <v>DSK Fasar (€/B)</v>
      </c>
      <c r="K193" s="388" t="str">
        <f>Tabelle3[[#Headers],[Mythen (€)]]</f>
        <v>Mythen (€)</v>
      </c>
      <c r="L193" s="389" t="str">
        <f>Tabelle3[[#Headers],[Mythen (Backer)]]</f>
        <v>Mythen (Backer)</v>
      </c>
      <c r="M193" s="389" t="str">
        <f>Tabelle3[[#Headers],[Mythen (€/B)]]</f>
        <v>Mythen (€/B)</v>
      </c>
      <c r="N193" s="393" t="str">
        <f>Tabelle3[[#Headers],[SOK (€)]]</f>
        <v>SOK (€)</v>
      </c>
      <c r="O193" s="394" t="str">
        <f>Tabelle3[[#Headers],[SOK (Backer)]]</f>
        <v>SOK (Backer)</v>
      </c>
      <c r="P193" s="394" t="str">
        <f>Tabelle3[[#Headers],[SOK (€/B)]]</f>
        <v>SOK (€/B)</v>
      </c>
      <c r="Q193" s="390" t="str">
        <f>Tabelle3[[#Headers],[RE (€)]]</f>
        <v>RE (€)</v>
      </c>
      <c r="R193" s="390" t="str">
        <f>Tabelle3[[#Headers],[RE (Backer)]]</f>
        <v>RE (Backer)</v>
      </c>
      <c r="S193" s="390" t="str">
        <f>Tabelle3[[#Headers],[RE (€/B)]]</f>
        <v>RE (€/B)</v>
      </c>
      <c r="T193" s="390" t="str">
        <f>Tabelle3[[#Headers],[DGG (€)]]</f>
        <v>DGG (€)</v>
      </c>
      <c r="U193" s="390" t="str">
        <f>Tabelle3[[#Headers],[DGG (Backer)]]</f>
        <v>DGG (Backer)</v>
      </c>
      <c r="V193" s="390" t="str">
        <f>Tabelle3[[#Headers],[DGG (€/B)]]</f>
        <v>DGG (€/B)</v>
      </c>
      <c r="W193" s="395" t="str">
        <f>Tabelle3[[#Headers],[DSK SV (€)]]</f>
        <v>DSK SV (€)</v>
      </c>
      <c r="X193" s="396" t="str">
        <f>Tabelle3[[#Headers],[DSK SV (Backer)]]</f>
        <v>DSK SV (Backer)</v>
      </c>
      <c r="Y193" s="398" t="str">
        <f>Tabelle3[[#Headers],[DSK SV (€/B)]]</f>
        <v>DSK SV (€/B)</v>
      </c>
      <c r="Z193" s="393" t="str">
        <f>Tabelle3[[#Headers],[WW (€)]]</f>
        <v>WW (€)</v>
      </c>
      <c r="AA193" s="394" t="str">
        <f>Tabelle3[[#Headers],[WW (Backer)]]</f>
        <v>WW (Backer)</v>
      </c>
      <c r="AB193" s="394" t="str">
        <f>Tabelle3[[#Headers],[WW (€/B)]]</f>
        <v>WW (€/B)</v>
      </c>
      <c r="AC193" s="395" t="str">
        <f>Tabelle3[[#Headers],[DSK R (€)]]</f>
        <v>DSK R (€)</v>
      </c>
      <c r="AD193" s="396" t="str">
        <f>Tabelle3[[#Headers],[DSK R (Backer)]]</f>
        <v>DSK R (Backer)</v>
      </c>
      <c r="AE193" s="398" t="str">
        <f>Tabelle3[[#Headers],[DSK R (€/B)]]</f>
        <v>DSK R (€/B)</v>
      </c>
      <c r="AF193" s="390" t="str">
        <f>Tabelle3[[#Headers],[Ära (€)]]</f>
        <v>Ära (€)</v>
      </c>
      <c r="AG193" s="390" t="str">
        <f>Tabelle3[[#Headers],[Ära (Backer)]]</f>
        <v>Ära (Backer)</v>
      </c>
      <c r="AH193" s="390" t="str">
        <f>Tabelle3[[#Headers],[Ära (€/B)]]</f>
        <v>Ära (€/B)</v>
      </c>
      <c r="AI193" s="390" t="str">
        <f>Tabelle3[[#Headers],[Mosaik (€)]]</f>
        <v>Mosaik (€)</v>
      </c>
      <c r="AJ193" s="390" t="str">
        <f>Tabelle3[[#Headers],[Mosaik (Backer)]]</f>
        <v>Mosaik (Backer)</v>
      </c>
      <c r="AK193" s="390" t="str">
        <f>Tabelle3[[#Headers],[Mosaik (€/B)]]</f>
        <v>Mosaik (€/B)</v>
      </c>
      <c r="AO193" s="738" t="s">
        <v>246</v>
      </c>
      <c r="AP193" s="738"/>
      <c r="AQ193" s="463"/>
      <c r="BM193" s="203"/>
      <c r="BN193" s="202"/>
      <c r="BO193" s="202"/>
      <c r="BP193" s="202"/>
      <c r="BQ193" s="202"/>
      <c r="BR193" s="202"/>
      <c r="BS193" s="202"/>
      <c r="BT193" s="202"/>
      <c r="BU193" s="202"/>
      <c r="BV193" s="202"/>
      <c r="BW193" s="202"/>
      <c r="BX193" s="202"/>
      <c r="BY193" s="202"/>
      <c r="BZ193" s="202"/>
      <c r="CA193" s="202"/>
      <c r="CB193" s="202"/>
      <c r="CC193" s="202"/>
      <c r="CD193" s="202"/>
      <c r="CE193" s="202"/>
      <c r="CF193" s="202"/>
      <c r="CG193" s="202"/>
      <c r="CH193" s="202"/>
      <c r="CI193" s="202"/>
      <c r="CJ193" s="202"/>
      <c r="CK193" s="202"/>
      <c r="CL193" s="202"/>
      <c r="CM193" s="202"/>
      <c r="CN193" s="202"/>
      <c r="CO193" s="202"/>
      <c r="CP193" s="202"/>
      <c r="CQ193" s="202"/>
      <c r="CR193" s="202"/>
      <c r="CS193" s="202"/>
      <c r="CT193" s="202"/>
      <c r="CU193" s="202"/>
      <c r="CV193" s="202"/>
      <c r="CW193" s="202"/>
      <c r="CX193" s="202"/>
      <c r="CY193" s="202"/>
      <c r="CZ193" s="202"/>
      <c r="DA193" s="202"/>
      <c r="DB193" s="202"/>
      <c r="DC193" s="202"/>
      <c r="DD193" s="202"/>
      <c r="DE193" s="202"/>
      <c r="DF193" s="202"/>
    </row>
    <row r="194" spans="1:110" hidden="1" outlineLevel="1" x14ac:dyDescent="0.25">
      <c r="A194" s="400" t="s">
        <v>236</v>
      </c>
      <c r="B194" s="385">
        <f>SUM(B59:B65)</f>
        <v>0.38784184778250058</v>
      </c>
      <c r="C194" s="385">
        <f>SUM(C59:C65)</f>
        <v>0.35734870317002881</v>
      </c>
      <c r="D194" s="494"/>
      <c r="E194" s="385">
        <f>SUM(E59:E65)</f>
        <v>0.40786521461502862</v>
      </c>
      <c r="F194" s="385">
        <f>SUM(F59:F65)</f>
        <v>0.39021164021164023</v>
      </c>
      <c r="G194" s="494"/>
      <c r="H194" s="385">
        <f>SUM(H59:H65)</f>
        <v>0.45257651947547983</v>
      </c>
      <c r="I194" s="385">
        <f>SUM(I59:I65)</f>
        <v>0.46808510638297873</v>
      </c>
      <c r="J194" s="385"/>
      <c r="K194" s="385">
        <f>SUM(K59:K65)</f>
        <v>0.44696691891411361</v>
      </c>
      <c r="L194" s="385">
        <f>SUM(L59:L65)</f>
        <v>0.47484909456740443</v>
      </c>
      <c r="M194" s="385"/>
      <c r="N194" s="385">
        <f>SUM(N59:N65)</f>
        <v>0.61610694462453519</v>
      </c>
      <c r="O194" s="385">
        <f>SUM(O59:O65)</f>
        <v>0.62740384615384615</v>
      </c>
      <c r="P194" s="385"/>
      <c r="Q194" s="385">
        <f>SUM(Q59:Q65)</f>
        <v>0.42122420340736527</v>
      </c>
      <c r="R194" s="385">
        <f>SUM(R59:R65)</f>
        <v>0.42762364294330518</v>
      </c>
      <c r="S194" s="385"/>
      <c r="T194" s="385">
        <f>SUM(T59:T65)</f>
        <v>0.54752192887698226</v>
      </c>
      <c r="U194" s="385">
        <f>SUM(U59:U65)</f>
        <v>0.53641025641025641</v>
      </c>
      <c r="V194" s="385"/>
      <c r="W194" s="385">
        <f>SUM(W59:W65)</f>
        <v>0.43452086210940555</v>
      </c>
      <c r="X194" s="385">
        <f>SUM(X59:X65)</f>
        <v>0.40620155038759692</v>
      </c>
      <c r="Y194" s="385"/>
      <c r="Z194" s="385">
        <f>SUM(Z59:Z65)</f>
        <v>0.56986145144636058</v>
      </c>
      <c r="AA194" s="385">
        <f>SUM(AA59:AA65)</f>
        <v>0.56726190476190474</v>
      </c>
      <c r="AB194" s="385"/>
      <c r="AC194" s="385">
        <f>SUM(AC59:AC65)</f>
        <v>0.46145994261752371</v>
      </c>
      <c r="AD194" s="385">
        <f>SUM(AD59:AD65)</f>
        <v>0.47211895910780671</v>
      </c>
      <c r="AE194" s="385"/>
      <c r="AF194" s="385">
        <f>SUM(AF59:AF65)</f>
        <v>0.37897993331166563</v>
      </c>
      <c r="AG194" s="385">
        <f>SUM(AG59:AG65)</f>
        <v>0.38292253521126762</v>
      </c>
      <c r="AH194" s="385"/>
      <c r="AI194" s="385">
        <f>SUM(AI59:AI65)</f>
        <v>0.57791473818220762</v>
      </c>
      <c r="AJ194" s="385">
        <f>SUM(AJ59:AJ65)</f>
        <v>0.57130509939498708</v>
      </c>
      <c r="AK194" s="385"/>
      <c r="AL194" s="385">
        <f>SUM(AL59:AL65)</f>
        <v>0.27545627285356156</v>
      </c>
      <c r="AM194" s="385">
        <f>SUM(AM59:AM65)</f>
        <v>0.2847058823529412</v>
      </c>
      <c r="AN194" s="491"/>
      <c r="AO194" s="458">
        <f t="shared" ref="AO194:AO196" si="728">AVERAGE(B194,E194,H194,K194,N194,Q194,T194,W194,Z194,AC194,AF194,AI194)</f>
        <v>0.47523670878026403</v>
      </c>
      <c r="AP194" s="458">
        <f t="shared" ref="AP194:AP196" si="729">AVERAGE(C194,F194,I194,L194,O194,R194,U194,X194,AA194,AD194,AG194,AJ194)</f>
        <v>0.47347852822525199</v>
      </c>
      <c r="AQ194" s="458"/>
      <c r="AR194" t="s">
        <v>264</v>
      </c>
    </row>
    <row r="195" spans="1:110" hidden="1" outlineLevel="1" x14ac:dyDescent="0.25">
      <c r="A195" s="401" t="s">
        <v>237</v>
      </c>
      <c r="B195" s="384">
        <f>SUM(B66:B72)</f>
        <v>0.23034726120779531</v>
      </c>
      <c r="C195" s="384">
        <f>SUM(C66:C72)</f>
        <v>0.23342939481268016</v>
      </c>
      <c r="D195" s="495"/>
      <c r="E195" s="384">
        <f>SUM(E66:E72)</f>
        <v>0.13758560289629235</v>
      </c>
      <c r="F195" s="384">
        <f>SUM(F66:F72)</f>
        <v>0.14285714285714279</v>
      </c>
      <c r="G195" s="495"/>
      <c r="H195" s="384">
        <f>SUM(H66:H72)</f>
        <v>0.15708118421265382</v>
      </c>
      <c r="I195" s="384">
        <f>SUM(I66:I72)</f>
        <v>0.16565349544072949</v>
      </c>
      <c r="J195" s="384"/>
      <c r="K195" s="384">
        <f>SUM(K66:K72)</f>
        <v>0.19374159638186045</v>
      </c>
      <c r="L195" s="384">
        <f>SUM(L66:L72)</f>
        <v>0.18913480885311873</v>
      </c>
      <c r="M195" s="384"/>
      <c r="N195" s="384">
        <f>SUM(N66:N72)</f>
        <v>0.12268850621347938</v>
      </c>
      <c r="O195" s="384">
        <f>SUM(O66:O72)</f>
        <v>0.11298076923076927</v>
      </c>
      <c r="P195" s="384"/>
      <c r="Q195" s="384">
        <f>SUM(Q66:Q72)</f>
        <v>0.19538702251176038</v>
      </c>
      <c r="R195" s="384">
        <f>SUM(R66:R72)</f>
        <v>0.21170084439083231</v>
      </c>
      <c r="S195" s="384"/>
      <c r="T195" s="384">
        <f>SUM(T66:T72)</f>
        <v>0.12646156505206751</v>
      </c>
      <c r="U195" s="384">
        <f>SUM(U66:U72)</f>
        <v>0.13025641025641022</v>
      </c>
      <c r="V195" s="384"/>
      <c r="W195" s="384">
        <f>SUM(W66:W72)</f>
        <v>0.18789363495000566</v>
      </c>
      <c r="X195" s="384">
        <f>SUM(X66:X72)</f>
        <v>0.20620155038759685</v>
      </c>
      <c r="Y195" s="384"/>
      <c r="Z195" s="384">
        <f>SUM(Z66:Z72)</f>
        <v>0.14720360010479761</v>
      </c>
      <c r="AA195" s="384">
        <f>SUM(AA66:AA72)</f>
        <v>0.15119047619047621</v>
      </c>
      <c r="AB195" s="384"/>
      <c r="AC195" s="384">
        <f>SUM(AC66:AC72)</f>
        <v>0.12963473846832935</v>
      </c>
      <c r="AD195" s="384">
        <f>SUM(AD66:AD72)</f>
        <v>0.11895910780669144</v>
      </c>
      <c r="AE195" s="384"/>
      <c r="AF195" s="384">
        <f>SUM(AF66:AF72)</f>
        <v>0.21826987508978052</v>
      </c>
      <c r="AG195" s="384">
        <f>SUM(AG66:AG72)</f>
        <v>0.22975352112676051</v>
      </c>
      <c r="AH195" s="384"/>
      <c r="AI195" s="384">
        <f>SUM(AI66:AI72)</f>
        <v>0.12483491379823186</v>
      </c>
      <c r="AJ195" s="384">
        <f>SUM(AJ66:AJ72)</f>
        <v>0.12532411408815902</v>
      </c>
      <c r="AK195" s="384"/>
      <c r="AL195" s="384">
        <f>SUM(AL66:AL72)</f>
        <v>0.19568237341721628</v>
      </c>
      <c r="AM195" s="384">
        <f>SUM(AM66:AM72)</f>
        <v>0.17411764705882349</v>
      </c>
      <c r="AN195" s="506"/>
      <c r="AO195" s="458">
        <f t="shared" si="728"/>
        <v>0.16426079174058786</v>
      </c>
      <c r="AP195" s="458">
        <f t="shared" si="729"/>
        <v>0.16812013628678057</v>
      </c>
      <c r="AQ195" s="458"/>
      <c r="AR195" t="s">
        <v>265</v>
      </c>
    </row>
    <row r="196" spans="1:110" hidden="1" outlineLevel="1" x14ac:dyDescent="0.25">
      <c r="A196" s="400" t="s">
        <v>238</v>
      </c>
      <c r="B196" s="385">
        <f>SUM(B73:B79)</f>
        <v>0.38181089100970411</v>
      </c>
      <c r="C196" s="385">
        <f>SUM(C73:C79)</f>
        <v>0.40922190201729103</v>
      </c>
      <c r="D196" s="494"/>
      <c r="E196" s="385">
        <f>SUM(E73:E79)</f>
        <v>0.45454918248867904</v>
      </c>
      <c r="F196" s="385">
        <f>SUM(F73:F79)</f>
        <v>0.46693121693121697</v>
      </c>
      <c r="G196" s="494"/>
      <c r="H196" s="385">
        <f>SUM(H73:H79)</f>
        <v>0.39034229631186634</v>
      </c>
      <c r="I196" s="385">
        <f>SUM(I73:I79)</f>
        <v>0.36626139817629177</v>
      </c>
      <c r="J196" s="385"/>
      <c r="K196" s="385">
        <f>SUM(K73:K79)</f>
        <v>0.35929148470402594</v>
      </c>
      <c r="L196" s="385">
        <f>SUM(L73:L79)</f>
        <v>0.33601609657947684</v>
      </c>
      <c r="M196" s="385"/>
      <c r="N196" s="385">
        <f>SUM(N73:N79)</f>
        <v>0.26120454916198543</v>
      </c>
      <c r="O196" s="385">
        <f>SUM(O73:O79)</f>
        <v>0.25961538461538458</v>
      </c>
      <c r="P196" s="385"/>
      <c r="Q196" s="385">
        <f>SUM(Q73:Q79)</f>
        <v>0.38338877408087435</v>
      </c>
      <c r="R196" s="385">
        <f>SUM(R73:R79)</f>
        <v>0.36067551266586251</v>
      </c>
      <c r="S196" s="385"/>
      <c r="T196" s="385">
        <f>SUM(T73:T79)</f>
        <v>0.32601650607095023</v>
      </c>
      <c r="U196" s="385">
        <f>SUM(U73:U79)</f>
        <v>0.33333333333333337</v>
      </c>
      <c r="V196" s="385"/>
      <c r="W196" s="385">
        <f>SUM(W73:W79)</f>
        <v>0.37758550294058879</v>
      </c>
      <c r="X196" s="385">
        <f>SUM(X73:X79)</f>
        <v>0.38759689922480622</v>
      </c>
      <c r="Y196" s="385"/>
      <c r="Z196" s="385">
        <f>SUM(Z73:Z79)</f>
        <v>0.28293494844884182</v>
      </c>
      <c r="AA196" s="385">
        <f>SUM(AA73:AA79)</f>
        <v>0.28154761904761905</v>
      </c>
      <c r="AB196" s="385"/>
      <c r="AC196" s="385">
        <f>SUM(AC73:AC79)</f>
        <v>0.40890531891414694</v>
      </c>
      <c r="AD196" s="385">
        <f>SUM(AD73:AD79)</f>
        <v>0.40892193308550184</v>
      </c>
      <c r="AE196" s="385"/>
      <c r="AF196" s="385">
        <f>SUM(AF73:AF79)</f>
        <v>0.40275019159855385</v>
      </c>
      <c r="AG196" s="385">
        <f>SUM(AG73:AG79)</f>
        <v>0.38732394366197187</v>
      </c>
      <c r="AH196" s="385"/>
      <c r="AI196" s="385">
        <f>SUM(AI73:AI79)</f>
        <v>0.29725034801956052</v>
      </c>
      <c r="AJ196" s="385">
        <f>SUM(AJ73:AJ79)</f>
        <v>0.3033707865168539</v>
      </c>
      <c r="AK196" s="385"/>
      <c r="AL196" s="385">
        <f>SUM(AL73:AL79)</f>
        <v>0.30363900554074119</v>
      </c>
      <c r="AM196" s="385">
        <f>SUM(AM73:AM79)</f>
        <v>0.30823529411764705</v>
      </c>
      <c r="AN196" s="491"/>
      <c r="AO196" s="458">
        <f t="shared" si="728"/>
        <v>0.36050249947914814</v>
      </c>
      <c r="AP196" s="458">
        <f t="shared" si="729"/>
        <v>0.35840133548796754</v>
      </c>
      <c r="AQ196" s="458"/>
      <c r="AR196" t="s">
        <v>266</v>
      </c>
    </row>
    <row r="197" spans="1:110" hidden="1" outlineLevel="1" x14ac:dyDescent="0.25">
      <c r="AL197" s="739" t="s">
        <v>245</v>
      </c>
      <c r="AM197" s="739"/>
      <c r="AN197" s="509"/>
    </row>
    <row r="198" spans="1:110" hidden="1" outlineLevel="1" x14ac:dyDescent="0.25">
      <c r="A198" s="333" t="s">
        <v>31</v>
      </c>
      <c r="B198" s="388" t="str">
        <f>Tabelle3[[#Headers],[Ned (€)]]</f>
        <v>Ned (€)</v>
      </c>
      <c r="C198" s="389" t="str">
        <f>Tabelle3[[#Headers],[Ned (Backer)]]</f>
        <v>Ned (Backer)</v>
      </c>
      <c r="D198" s="493" t="str">
        <f>Tabelle3[[#Headers],[Ned (€/B)]]</f>
        <v>Ned (€/B)</v>
      </c>
      <c r="E198" s="391" t="str">
        <f>Tabelle3[[#Headers],[Werkzeuge (€)]]</f>
        <v>Werkzeuge (€)</v>
      </c>
      <c r="F198" s="392" t="str">
        <f>Tabelle3[[#Headers],[Werkzeuge (Backer)]]</f>
        <v>Werkzeuge (Backer)</v>
      </c>
      <c r="G198" s="493" t="str">
        <f>Tabelle3[[#Headers],[Werkz (€/B)]]</f>
        <v>Werkz (€/B)</v>
      </c>
      <c r="H198" s="395" t="str">
        <f>Tabelle3[[#Headers],[DSK Fasar (€)]]</f>
        <v>DSK Fasar (€)</v>
      </c>
      <c r="I198" s="396" t="str">
        <f>Tabelle3[[#Headers],[DSK Fasar (Backer)]]</f>
        <v>DSK Fasar (Backer)</v>
      </c>
      <c r="J198" s="398" t="str">
        <f>Tabelle3[[#Headers],[DSK Fasar (€/B)]]</f>
        <v>DSK Fasar (€/B)</v>
      </c>
      <c r="K198" s="388" t="str">
        <f>Tabelle3[[#Headers],[Mythen (€)]]</f>
        <v>Mythen (€)</v>
      </c>
      <c r="L198" s="389" t="str">
        <f>Tabelle3[[#Headers],[Mythen (Backer)]]</f>
        <v>Mythen (Backer)</v>
      </c>
      <c r="M198" s="389" t="str">
        <f>Tabelle3[[#Headers],[Mythen (€/B)]]</f>
        <v>Mythen (€/B)</v>
      </c>
      <c r="N198" s="393" t="str">
        <f>Tabelle3[[#Headers],[SOK (€)]]</f>
        <v>SOK (€)</v>
      </c>
      <c r="O198" s="394" t="str">
        <f>Tabelle3[[#Headers],[SOK (Backer)]]</f>
        <v>SOK (Backer)</v>
      </c>
      <c r="P198" s="394" t="str">
        <f>Tabelle3[[#Headers],[SOK (€/B)]]</f>
        <v>SOK (€/B)</v>
      </c>
      <c r="Q198" s="390" t="str">
        <f>Tabelle3[[#Headers],[RE (€)]]</f>
        <v>RE (€)</v>
      </c>
      <c r="R198" s="390" t="str">
        <f>Tabelle3[[#Headers],[RE (Backer)]]</f>
        <v>RE (Backer)</v>
      </c>
      <c r="S198" s="390" t="str">
        <f>Tabelle3[[#Headers],[RE (€/B)]]</f>
        <v>RE (€/B)</v>
      </c>
      <c r="T198" s="390" t="str">
        <f>Tabelle3[[#Headers],[DGG (€)]]</f>
        <v>DGG (€)</v>
      </c>
      <c r="U198" s="390" t="str">
        <f>Tabelle3[[#Headers],[DGG (Backer)]]</f>
        <v>DGG (Backer)</v>
      </c>
      <c r="V198" s="390" t="str">
        <f>Tabelle3[[#Headers],[DGG (€/B)]]</f>
        <v>DGG (€/B)</v>
      </c>
      <c r="W198" s="395" t="str">
        <f>Tabelle3[[#Headers],[DSK SV (€)]]</f>
        <v>DSK SV (€)</v>
      </c>
      <c r="X198" s="396" t="str">
        <f>Tabelle3[[#Headers],[DSK SV (Backer)]]</f>
        <v>DSK SV (Backer)</v>
      </c>
      <c r="Y198" s="398" t="str">
        <f>Tabelle3[[#Headers],[DSK SV (€/B)]]</f>
        <v>DSK SV (€/B)</v>
      </c>
      <c r="Z198" s="393" t="str">
        <f>Tabelle3[[#Headers],[WW (€)]]</f>
        <v>WW (€)</v>
      </c>
      <c r="AA198" s="394" t="str">
        <f>Tabelle3[[#Headers],[WW (Backer)]]</f>
        <v>WW (Backer)</v>
      </c>
      <c r="AB198" s="394" t="str">
        <f>Tabelle3[[#Headers],[WW (€/B)]]</f>
        <v>WW (€/B)</v>
      </c>
      <c r="AC198" s="395" t="str">
        <f>Tabelle3[[#Headers],[DSK R (€)]]</f>
        <v>DSK R (€)</v>
      </c>
      <c r="AD198" s="396" t="str">
        <f>Tabelle3[[#Headers],[DSK R (Backer)]]</f>
        <v>DSK R (Backer)</v>
      </c>
      <c r="AE198" s="398" t="str">
        <f>Tabelle3[[#Headers],[DSK R (€/B)]]</f>
        <v>DSK R (€/B)</v>
      </c>
      <c r="AF198" s="390" t="str">
        <f>Tabelle3[[#Headers],[Ära (€)]]</f>
        <v>Ära (€)</v>
      </c>
      <c r="AG198" s="390" t="str">
        <f>Tabelle3[[#Headers],[Ära (Backer)]]</f>
        <v>Ära (Backer)</v>
      </c>
      <c r="AH198" s="390" t="str">
        <f>Tabelle3[[#Headers],[Ära (€/B)]]</f>
        <v>Ära (€/B)</v>
      </c>
      <c r="AI198" s="390" t="str">
        <f>Tabelle3[[#Headers],[Mosaik (€)]]</f>
        <v>Mosaik (€)</v>
      </c>
      <c r="AJ198" s="390" t="str">
        <f>Tabelle3[[#Headers],[Mosaik (Backer)]]</f>
        <v>Mosaik (Backer)</v>
      </c>
      <c r="AK198" s="390" t="str">
        <f>Tabelle3[[#Headers],[Mosaik (€/B)]]</f>
        <v>Mosaik (€/B)</v>
      </c>
      <c r="AL198" s="575" t="str">
        <f>Tabelle3[[#Headers],[DSK ES (€)]]</f>
        <v>DSK ES (€)</v>
      </c>
      <c r="AM198" s="575" t="str">
        <f>Tabelle3[[#Headers],[DSK ES (Backer)]]</f>
        <v>DSK ES (Backer)</v>
      </c>
      <c r="AN198" s="575" t="str">
        <f>Tabelle3[[#Headers],[DSK ES (€/B)]]</f>
        <v>DSK ES (€/B)</v>
      </c>
      <c r="AO198" s="738" t="s">
        <v>246</v>
      </c>
      <c r="AP198" s="738"/>
      <c r="AQ198" s="463"/>
      <c r="BM198" s="203"/>
      <c r="BN198" s="202"/>
      <c r="BO198" s="202"/>
      <c r="BP198" s="202"/>
      <c r="BQ198" s="202"/>
      <c r="BR198" s="202"/>
      <c r="BS198" s="202"/>
      <c r="BT198" s="202"/>
      <c r="BU198" s="202"/>
      <c r="BV198" s="202"/>
      <c r="BW198" s="202"/>
      <c r="BX198" s="202"/>
      <c r="BY198" s="202"/>
      <c r="BZ198" s="202"/>
      <c r="CA198" s="202"/>
      <c r="CB198" s="202"/>
      <c r="CC198" s="202"/>
      <c r="CD198" s="202"/>
      <c r="CE198" s="202"/>
      <c r="CF198" s="202"/>
      <c r="CG198" s="202"/>
      <c r="CH198" s="202"/>
      <c r="CI198" s="202"/>
      <c r="CJ198" s="202"/>
      <c r="CK198" s="202"/>
      <c r="CL198" s="202"/>
      <c r="CM198" s="202"/>
      <c r="CN198" s="202"/>
      <c r="CO198" s="202"/>
      <c r="CP198" s="202"/>
      <c r="CQ198" s="202"/>
      <c r="CR198" s="202"/>
      <c r="CS198" s="202"/>
      <c r="CT198" s="202"/>
      <c r="CU198" s="202"/>
      <c r="CV198" s="202"/>
      <c r="CW198" s="202"/>
      <c r="CX198" s="202"/>
      <c r="CY198" s="202"/>
      <c r="CZ198" s="202"/>
      <c r="DA198" s="202"/>
      <c r="DB198" s="202"/>
      <c r="DC198" s="202"/>
      <c r="DD198" s="202"/>
      <c r="DE198" s="202"/>
      <c r="DF198" s="202"/>
    </row>
    <row r="199" spans="1:110" hidden="1" outlineLevel="1" x14ac:dyDescent="0.25">
      <c r="A199" s="400" t="s">
        <v>69</v>
      </c>
      <c r="B199" s="385">
        <f>B59</f>
        <v>0.23692357045472773</v>
      </c>
      <c r="C199" s="385">
        <f>C59</f>
        <v>0.21037463976945245</v>
      </c>
      <c r="D199" s="494"/>
      <c r="E199" s="385">
        <f>E59</f>
        <v>0.25446248118054376</v>
      </c>
      <c r="F199" s="385">
        <f>F59</f>
        <v>0.23677248677248677</v>
      </c>
      <c r="G199" s="494"/>
      <c r="H199" s="385">
        <f>H59</f>
        <v>0.29429074975342379</v>
      </c>
      <c r="I199" s="385">
        <f>I59</f>
        <v>0.29635258358662614</v>
      </c>
      <c r="J199" s="385"/>
      <c r="K199" s="385">
        <f>K59</f>
        <v>0.21793290440155128</v>
      </c>
      <c r="L199" s="385">
        <f>L59</f>
        <v>0.23138832997987926</v>
      </c>
      <c r="M199" s="385"/>
      <c r="N199" s="385">
        <f>N59</f>
        <v>0.37533932582389773</v>
      </c>
      <c r="O199" s="385">
        <f>O59</f>
        <v>0.37560096153846156</v>
      </c>
      <c r="P199" s="385"/>
      <c r="Q199" s="385">
        <f>Q59</f>
        <v>0.212457139052565</v>
      </c>
      <c r="R199" s="385">
        <f>R59</f>
        <v>0.20566948130277443</v>
      </c>
      <c r="S199" s="385"/>
      <c r="T199" s="385">
        <f>T59</f>
        <v>0.33040660242838005</v>
      </c>
      <c r="U199" s="385">
        <f>U59</f>
        <v>0.32512820512820512</v>
      </c>
      <c r="V199" s="385"/>
      <c r="W199" s="385">
        <f>W59</f>
        <v>0.23216317878953724</v>
      </c>
      <c r="X199" s="385">
        <f>X59</f>
        <v>0.21085271317829457</v>
      </c>
      <c r="Y199" s="385"/>
      <c r="Z199" s="385">
        <f>Z59</f>
        <v>0.29954536347804644</v>
      </c>
      <c r="AA199" s="385">
        <f>AA59</f>
        <v>0.29107142857142859</v>
      </c>
      <c r="AB199" s="385"/>
      <c r="AC199" s="385">
        <f>AC59</f>
        <v>0.23055065107040387</v>
      </c>
      <c r="AD199" s="385">
        <f>AD59</f>
        <v>0.24907063197026022</v>
      </c>
      <c r="AE199" s="385"/>
      <c r="AF199" s="385">
        <f>AF59</f>
        <v>0.15888034218899844</v>
      </c>
      <c r="AG199" s="385">
        <f>AG59</f>
        <v>0.15845070422535212</v>
      </c>
      <c r="AH199" s="385"/>
      <c r="AI199" s="385">
        <f>AI59</f>
        <v>0.30887479624495817</v>
      </c>
      <c r="AJ199" s="385">
        <f>AJ59</f>
        <v>0.2999135695764909</v>
      </c>
      <c r="AK199" s="385"/>
      <c r="AL199" s="385">
        <f>AL59</f>
        <v>0.27545627285356156</v>
      </c>
      <c r="AM199" s="385">
        <f>AM59</f>
        <v>0.2847058823529412</v>
      </c>
      <c r="AN199" s="491"/>
      <c r="AO199" s="458">
        <f t="shared" ref="AO199:AO202" si="730">AVERAGE(B199,E199,H199,K199,N199,Q199,T199,W199,Z199,AC199,AF199,AI199)</f>
        <v>0.26265225873891945</v>
      </c>
      <c r="AP199" s="458">
        <f t="shared" ref="AP199:AP202" si="731">AVERAGE(C199,F199,I199,L199,O199,R199,U199,X199,AA199,AD199,AG199,AJ199)</f>
        <v>0.25755381129997601</v>
      </c>
      <c r="AQ199" s="458"/>
      <c r="AR199" s="490" t="s">
        <v>269</v>
      </c>
      <c r="AS199" s="490"/>
      <c r="AT199" s="490"/>
    </row>
    <row r="200" spans="1:110" hidden="1" outlineLevel="1" x14ac:dyDescent="0.25">
      <c r="A200" s="401" t="s">
        <v>267</v>
      </c>
      <c r="B200" s="384">
        <f t="shared" ref="B200:AM200" si="732">SUM(B60:B66)</f>
        <v>0.19100168417675834</v>
      </c>
      <c r="C200" s="384">
        <f t="shared" si="732"/>
        <v>0.18155619596541786</v>
      </c>
      <c r="D200" s="495"/>
      <c r="E200" s="384">
        <f t="shared" si="732"/>
        <v>0.17191463436066573</v>
      </c>
      <c r="F200" s="384">
        <f t="shared" si="732"/>
        <v>0.17063492063492061</v>
      </c>
      <c r="G200" s="495"/>
      <c r="H200" s="384">
        <f t="shared" si="732"/>
        <v>0.18103545847009556</v>
      </c>
      <c r="I200" s="384">
        <f t="shared" si="732"/>
        <v>0.19756838905775076</v>
      </c>
      <c r="J200" s="384"/>
      <c r="K200" s="384">
        <f t="shared" si="732"/>
        <v>0.26840461823960171</v>
      </c>
      <c r="L200" s="384">
        <f t="shared" si="732"/>
        <v>0.27766599597585517</v>
      </c>
      <c r="M200" s="384"/>
      <c r="N200" s="384">
        <f t="shared" si="732"/>
        <v>0.26944875500361809</v>
      </c>
      <c r="O200" s="384">
        <f t="shared" si="732"/>
        <v>0.27584134615384615</v>
      </c>
      <c r="P200" s="384"/>
      <c r="Q200" s="384">
        <f t="shared" si="732"/>
        <v>0.25580079230333896</v>
      </c>
      <c r="R200" s="384">
        <f t="shared" si="732"/>
        <v>0.27201447527141132</v>
      </c>
      <c r="S200" s="384"/>
      <c r="T200" s="384">
        <f t="shared" si="732"/>
        <v>0.23153437324460957</v>
      </c>
      <c r="U200" s="384">
        <f t="shared" si="732"/>
        <v>0.22769230769230769</v>
      </c>
      <c r="V200" s="384"/>
      <c r="W200" s="384">
        <f t="shared" si="732"/>
        <v>0.24112828264401065</v>
      </c>
      <c r="X200" s="384">
        <f t="shared" si="732"/>
        <v>0.23410852713178293</v>
      </c>
      <c r="Y200" s="384"/>
      <c r="Z200" s="384">
        <f t="shared" si="732"/>
        <v>0.29621958173439983</v>
      </c>
      <c r="AA200" s="384">
        <f t="shared" si="732"/>
        <v>0.30059523809523808</v>
      </c>
      <c r="AB200" s="384"/>
      <c r="AC200" s="384">
        <f t="shared" si="732"/>
        <v>0.25697969543147214</v>
      </c>
      <c r="AD200" s="384">
        <f t="shared" si="732"/>
        <v>0.24907063197026022</v>
      </c>
      <c r="AE200" s="384"/>
      <c r="AF200" s="384">
        <f t="shared" si="732"/>
        <v>0.25470369434112167</v>
      </c>
      <c r="AG200" s="384">
        <f t="shared" si="732"/>
        <v>0.26056338028169013</v>
      </c>
      <c r="AH200" s="384"/>
      <c r="AI200" s="384">
        <f t="shared" ref="AI200:AJ200" si="733">SUM(AI60:AI66)</f>
        <v>0.29001630040334581</v>
      </c>
      <c r="AJ200" s="384">
        <f t="shared" si="733"/>
        <v>0.29386343993085567</v>
      </c>
      <c r="AK200" s="384"/>
      <c r="AL200" s="384">
        <f t="shared" si="732"/>
        <v>3.2030913184409315E-2</v>
      </c>
      <c r="AM200" s="384">
        <f t="shared" si="732"/>
        <v>3.294117647058814E-2</v>
      </c>
      <c r="AN200" s="506"/>
      <c r="AO200" s="458">
        <f t="shared" si="730"/>
        <v>0.24234898919608652</v>
      </c>
      <c r="AP200" s="458">
        <f t="shared" si="731"/>
        <v>0.2450979040134447</v>
      </c>
      <c r="AQ200" s="458"/>
      <c r="AR200" s="490" t="s">
        <v>270</v>
      </c>
      <c r="AS200" s="490"/>
      <c r="AT200" s="490"/>
    </row>
    <row r="201" spans="1:110" hidden="1" outlineLevel="1" x14ac:dyDescent="0.25">
      <c r="A201" s="400" t="s">
        <v>268</v>
      </c>
      <c r="B201" s="385">
        <f t="shared" ref="B201:AM201" si="734">SUM(B67:B76)</f>
        <v>0.32050685700537335</v>
      </c>
      <c r="C201" s="385">
        <f t="shared" si="734"/>
        <v>0.32853025936599423</v>
      </c>
      <c r="D201" s="494"/>
      <c r="E201" s="385">
        <f t="shared" si="734"/>
        <v>0.24977592398404225</v>
      </c>
      <c r="F201" s="385">
        <f t="shared" si="734"/>
        <v>0.25529100529100529</v>
      </c>
      <c r="G201" s="494"/>
      <c r="H201" s="385">
        <f t="shared" si="734"/>
        <v>0.26823451420440769</v>
      </c>
      <c r="I201" s="385">
        <f t="shared" si="734"/>
        <v>0.28723404255319146</v>
      </c>
      <c r="J201" s="385"/>
      <c r="K201" s="385">
        <f t="shared" si="734"/>
        <v>0.25539220588725536</v>
      </c>
      <c r="L201" s="385">
        <f t="shared" si="734"/>
        <v>0.24949698189134806</v>
      </c>
      <c r="M201" s="385"/>
      <c r="N201" s="385">
        <f t="shared" si="734"/>
        <v>0.20480849266136014</v>
      </c>
      <c r="O201" s="385">
        <f t="shared" si="734"/>
        <v>0.20132211538461542</v>
      </c>
      <c r="P201" s="385"/>
      <c r="Q201" s="385">
        <f t="shared" si="734"/>
        <v>0.25088922861818097</v>
      </c>
      <c r="R201" s="385">
        <f t="shared" si="734"/>
        <v>0.25211097708082025</v>
      </c>
      <c r="S201" s="385"/>
      <c r="T201" s="385">
        <f t="shared" si="734"/>
        <v>0.24835587434645467</v>
      </c>
      <c r="U201" s="385">
        <f t="shared" si="734"/>
        <v>0.24820512820512819</v>
      </c>
      <c r="V201" s="385"/>
      <c r="W201" s="385">
        <f t="shared" si="734"/>
        <v>0.28327817014585671</v>
      </c>
      <c r="X201" s="385">
        <f t="shared" si="734"/>
        <v>0.31627906976744186</v>
      </c>
      <c r="Y201" s="385"/>
      <c r="Z201" s="385">
        <f t="shared" si="734"/>
        <v>0.22825835683572981</v>
      </c>
      <c r="AA201" s="385">
        <f t="shared" si="734"/>
        <v>0.23333333333333328</v>
      </c>
      <c r="AB201" s="385"/>
      <c r="AC201" s="385">
        <f t="shared" si="734"/>
        <v>0.20941845067314058</v>
      </c>
      <c r="AD201" s="385">
        <f t="shared" si="734"/>
        <v>0.19330855018587362</v>
      </c>
      <c r="AE201" s="385"/>
      <c r="AF201" s="385">
        <f t="shared" si="734"/>
        <v>0.30961122546836317</v>
      </c>
      <c r="AG201" s="385">
        <f t="shared" si="734"/>
        <v>0.30369718309859151</v>
      </c>
      <c r="AH201" s="385"/>
      <c r="AI201" s="385">
        <f t="shared" ref="AI201:AJ201" si="735">SUM(AI67:AI76)</f>
        <v>0.19044106273870565</v>
      </c>
      <c r="AJ201" s="385">
        <f t="shared" si="735"/>
        <v>0.17718236819360411</v>
      </c>
      <c r="AK201" s="385"/>
      <c r="AL201" s="385">
        <f t="shared" si="734"/>
        <v>0.29753939993932332</v>
      </c>
      <c r="AM201" s="385">
        <f t="shared" si="734"/>
        <v>0.26588235294117657</v>
      </c>
      <c r="AN201" s="491"/>
      <c r="AO201" s="458">
        <f t="shared" si="730"/>
        <v>0.25158086354740589</v>
      </c>
      <c r="AP201" s="458">
        <f t="shared" si="731"/>
        <v>0.25383258452924568</v>
      </c>
      <c r="AQ201" s="458"/>
      <c r="AR201" s="490" t="s">
        <v>271</v>
      </c>
      <c r="AS201" s="490"/>
      <c r="AT201" s="490"/>
    </row>
    <row r="202" spans="1:110" hidden="1" outlineLevel="1" x14ac:dyDescent="0.25">
      <c r="A202" s="400" t="s">
        <v>240</v>
      </c>
      <c r="B202" s="385">
        <f t="shared" ref="B202:AM202" si="736">SUM(B77:B79)</f>
        <v>0.25156788836314059</v>
      </c>
      <c r="C202" s="385">
        <f t="shared" si="736"/>
        <v>0.27953890489913547</v>
      </c>
      <c r="D202" s="494"/>
      <c r="E202" s="385">
        <f t="shared" si="736"/>
        <v>0.32384696047474826</v>
      </c>
      <c r="F202" s="385">
        <f t="shared" si="736"/>
        <v>0.33730158730158732</v>
      </c>
      <c r="G202" s="494"/>
      <c r="H202" s="385">
        <f t="shared" si="736"/>
        <v>0.25643927757207297</v>
      </c>
      <c r="I202" s="385">
        <f t="shared" si="736"/>
        <v>0.21884498480243164</v>
      </c>
      <c r="J202" s="385"/>
      <c r="K202" s="385">
        <f t="shared" si="736"/>
        <v>0.25827027147159165</v>
      </c>
      <c r="L202" s="385">
        <f t="shared" si="736"/>
        <v>0.24144869215291753</v>
      </c>
      <c r="M202" s="385"/>
      <c r="N202" s="385">
        <f t="shared" si="736"/>
        <v>0.15040342651112404</v>
      </c>
      <c r="O202" s="385">
        <f t="shared" si="736"/>
        <v>0.14723557692307687</v>
      </c>
      <c r="P202" s="385"/>
      <c r="Q202" s="385">
        <f t="shared" si="736"/>
        <v>0.28085284002591504</v>
      </c>
      <c r="R202" s="385">
        <f t="shared" si="736"/>
        <v>0.27020506634499397</v>
      </c>
      <c r="S202" s="385"/>
      <c r="T202" s="385">
        <f t="shared" si="736"/>
        <v>0.18970314998055571</v>
      </c>
      <c r="U202" s="385">
        <f t="shared" si="736"/>
        <v>0.198974358974359</v>
      </c>
      <c r="V202" s="385"/>
      <c r="W202" s="385">
        <f t="shared" si="736"/>
        <v>0.2434303684205954</v>
      </c>
      <c r="X202" s="385">
        <f t="shared" si="736"/>
        <v>0.23875968992248064</v>
      </c>
      <c r="Y202" s="385"/>
      <c r="Z202" s="385">
        <f t="shared" si="736"/>
        <v>0.17597669795182391</v>
      </c>
      <c r="AA202" s="385">
        <f t="shared" si="736"/>
        <v>0.17500000000000004</v>
      </c>
      <c r="AB202" s="385"/>
      <c r="AC202" s="385">
        <f t="shared" si="736"/>
        <v>0.30305120282498343</v>
      </c>
      <c r="AD202" s="385">
        <f t="shared" si="736"/>
        <v>0.30855018587360594</v>
      </c>
      <c r="AE202" s="385"/>
      <c r="AF202" s="385">
        <f t="shared" si="736"/>
        <v>0.27680473800151673</v>
      </c>
      <c r="AG202" s="385">
        <f t="shared" si="736"/>
        <v>0.27728873239436624</v>
      </c>
      <c r="AH202" s="385"/>
      <c r="AI202" s="385">
        <f t="shared" ref="AI202:AJ202" si="737">SUM(AI77:AI79)</f>
        <v>0.21066784061299038</v>
      </c>
      <c r="AJ202" s="385">
        <f t="shared" si="737"/>
        <v>0.22904062229904931</v>
      </c>
      <c r="AK202" s="385"/>
      <c r="AL202" s="385">
        <f t="shared" si="736"/>
        <v>0.16975106583422483</v>
      </c>
      <c r="AM202" s="385">
        <f t="shared" si="736"/>
        <v>0.18352941176470583</v>
      </c>
      <c r="AN202" s="491"/>
      <c r="AO202" s="458">
        <f t="shared" si="730"/>
        <v>0.24341788851758814</v>
      </c>
      <c r="AP202" s="458">
        <f t="shared" si="731"/>
        <v>0.24351570015733359</v>
      </c>
      <c r="AQ202" s="458"/>
      <c r="AR202" s="490" t="s">
        <v>259</v>
      </c>
      <c r="AS202" s="490"/>
      <c r="AT202" s="490"/>
    </row>
    <row r="203" spans="1:110" collapsed="1" x14ac:dyDescent="0.25"/>
  </sheetData>
  <sheetProtection algorithmName="SHA-512" hashValue="Cqr+QV5ZWE9SJ2geqD9FkncigpXVJ3IVZr2jTAiejaYq9ZuBwztHaxtZSuTVXRGJIK1PGD22Wdb0YgtgxVncXg==" saltValue="np7YEtp5BjpQsVVCKWJm0Q==" spinCount="100000" sheet="1" objects="1" scenarios="1"/>
  <mergeCells count="135">
    <mergeCell ref="BX1:BY1"/>
    <mergeCell ref="BX2:BY2"/>
    <mergeCell ref="BT1:BU1"/>
    <mergeCell ref="BT2:BU2"/>
    <mergeCell ref="AC106:AD106"/>
    <mergeCell ref="AI106:AJ106"/>
    <mergeCell ref="DN5:DO5"/>
    <mergeCell ref="DF1:DG1"/>
    <mergeCell ref="DJ1:DK1"/>
    <mergeCell ref="BN3:BS3"/>
    <mergeCell ref="CN2:CO2"/>
    <mergeCell ref="CP1:CQ1"/>
    <mergeCell ref="CP3:CQ3"/>
    <mergeCell ref="CP4:CQ4"/>
    <mergeCell ref="DN1:DO1"/>
    <mergeCell ref="DN4:DO4"/>
    <mergeCell ref="AC3:AE3"/>
    <mergeCell ref="AF3:AH3"/>
    <mergeCell ref="AI3:AK3"/>
    <mergeCell ref="AL3:AN3"/>
    <mergeCell ref="CZ1:DA1"/>
    <mergeCell ref="DL1:DM1"/>
    <mergeCell ref="CR1:CS1"/>
    <mergeCell ref="CX1:CY1"/>
    <mergeCell ref="BT3:BU3"/>
    <mergeCell ref="BV3:BW3"/>
    <mergeCell ref="BX3:BY3"/>
    <mergeCell ref="BZ3:CA3"/>
    <mergeCell ref="Z164:AA164"/>
    <mergeCell ref="B164:C164"/>
    <mergeCell ref="AO114:AP114"/>
    <mergeCell ref="E110:F110"/>
    <mergeCell ref="Q110:R110"/>
    <mergeCell ref="AC108:AD108"/>
    <mergeCell ref="W108:X108"/>
    <mergeCell ref="H108:I108"/>
    <mergeCell ref="T110:U110"/>
    <mergeCell ref="AI162:AK162"/>
    <mergeCell ref="N108:O108"/>
    <mergeCell ref="T108:U108"/>
    <mergeCell ref="AI108:AJ108"/>
    <mergeCell ref="E108:F108"/>
    <mergeCell ref="H110:I110"/>
    <mergeCell ref="AC27:AD27"/>
    <mergeCell ref="N27:O27"/>
    <mergeCell ref="E106:F106"/>
    <mergeCell ref="H106:I106"/>
    <mergeCell ref="N106:O106"/>
    <mergeCell ref="BF4:BH4"/>
    <mergeCell ref="AZ4:BB4"/>
    <mergeCell ref="CJ4:CK4"/>
    <mergeCell ref="BT4:BU4"/>
    <mergeCell ref="BV4:BW4"/>
    <mergeCell ref="BX4:BY4"/>
    <mergeCell ref="BZ4:CA4"/>
    <mergeCell ref="BN4:BO4"/>
    <mergeCell ref="BP4:BQ4"/>
    <mergeCell ref="BR4:BS4"/>
    <mergeCell ref="BC4:BE4"/>
    <mergeCell ref="BI4:BK4"/>
    <mergeCell ref="DH5:DI5"/>
    <mergeCell ref="DJ5:DK5"/>
    <mergeCell ref="DL5:DM5"/>
    <mergeCell ref="CL4:CM4"/>
    <mergeCell ref="CN4:CO4"/>
    <mergeCell ref="DF4:DG4"/>
    <mergeCell ref="DH4:DI4"/>
    <mergeCell ref="DJ4:DK4"/>
    <mergeCell ref="DL4:DM4"/>
    <mergeCell ref="CT5:CU5"/>
    <mergeCell ref="CV5:CW5"/>
    <mergeCell ref="CX5:CY5"/>
    <mergeCell ref="CZ5:DA5"/>
    <mergeCell ref="DB5:DC5"/>
    <mergeCell ref="CX4:CY4"/>
    <mergeCell ref="DD4:DE4"/>
    <mergeCell ref="DD5:DE5"/>
    <mergeCell ref="DF5:DG5"/>
    <mergeCell ref="CR5:CS5"/>
    <mergeCell ref="CN1:CO1"/>
    <mergeCell ref="CD4:CE4"/>
    <mergeCell ref="CF4:CG4"/>
    <mergeCell ref="CH4:CI4"/>
    <mergeCell ref="CB3:CC3"/>
    <mergeCell ref="CD3:CE3"/>
    <mergeCell ref="CB4:CC4"/>
    <mergeCell ref="CZ4:DA4"/>
    <mergeCell ref="DB4:DC4"/>
    <mergeCell ref="CR4:CS4"/>
    <mergeCell ref="CT4:CU4"/>
    <mergeCell ref="CV4:CW4"/>
    <mergeCell ref="CB1:CC1"/>
    <mergeCell ref="CF3:CG3"/>
    <mergeCell ref="CH3:CI3"/>
    <mergeCell ref="CJ3:CK3"/>
    <mergeCell ref="CL3:CM3"/>
    <mergeCell ref="CN3:CO3"/>
    <mergeCell ref="CB2:CC2"/>
    <mergeCell ref="AL192:AM192"/>
    <mergeCell ref="AL197:AM197"/>
    <mergeCell ref="AO198:AP198"/>
    <mergeCell ref="AL167:AM167"/>
    <mergeCell ref="AL172:AM172"/>
    <mergeCell ref="AL177:AM177"/>
    <mergeCell ref="AL182:AM182"/>
    <mergeCell ref="AL187:AM187"/>
    <mergeCell ref="AO168:AP168"/>
    <mergeCell ref="AO178:AP178"/>
    <mergeCell ref="AO188:AP188"/>
    <mergeCell ref="AO193:AP193"/>
    <mergeCell ref="AO183:AP183"/>
    <mergeCell ref="AO173:AP173"/>
    <mergeCell ref="B3:D3"/>
    <mergeCell ref="N162:P162"/>
    <mergeCell ref="AF162:AH162"/>
    <mergeCell ref="AO137:AP137"/>
    <mergeCell ref="AL32:AM32"/>
    <mergeCell ref="AO33:AP33"/>
    <mergeCell ref="AO58:AP58"/>
    <mergeCell ref="AO82:AP82"/>
    <mergeCell ref="AL57:AM57"/>
    <mergeCell ref="AL81:AM81"/>
    <mergeCell ref="AO29:AP29"/>
    <mergeCell ref="AL113:AM113"/>
    <mergeCell ref="E3:G3"/>
    <mergeCell ref="H3:J3"/>
    <mergeCell ref="K3:M3"/>
    <mergeCell ref="T106:U106"/>
    <mergeCell ref="W106:X106"/>
    <mergeCell ref="N110:O110"/>
    <mergeCell ref="Z3:AB3"/>
    <mergeCell ref="N3:P3"/>
    <mergeCell ref="Q3:S3"/>
    <mergeCell ref="T3:V3"/>
    <mergeCell ref="W3:Y3"/>
  </mergeCells>
  <phoneticPr fontId="5" type="noConversion"/>
  <conditionalFormatting sqref="B30 E30 H30 K30 N30 Q30 T30 W30 Z30 AC30 AF30 AO30 AL30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1 E161 H161 K161 N161 Q161 T161 W161 Z161 AC161 AF161 AO161 AR161 AU161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3 E163 H163 K163 N163 Q163 T163 W163 Z163 AC163 AF163 AO163 AR163 AU163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C55 E34:F55 H34:AP5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C79 E59:F79 H59:AP79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3:C103 E83:F103 H83:AP10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:C107 E107:F107 H107:AQ107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4:C176 E174:F176 H174:AP17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9:C181 E179:F181 H179:AP18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4:C186 E184:F186 H184:AP18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9:C191 E189:F191 H189:AP191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4:C196 E194:F196 H194:AP19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9:C202 E199:F202 H199:AP20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9:AP10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5:AQ10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1:AQ1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 F30 I30:J30 L30:M30 O30:P30 R30:S30 U30:V30 X30:Y30 AA30:AB30 AD30:AE30 AG30:AH30 AM30:AN30 AP30 AJ30:AK30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0 G160 J160 M160 P160 S160 V160 Y160 AB160 AE160 AH160 AQ160 AT160 AW160 AK160">
    <cfRule type="colorScale" priority="73">
      <colorScale>
        <cfvo type="min"/>
        <cfvo type="num" val="0"/>
        <cfvo type="max"/>
        <color rgb="FFFF0000"/>
        <color rgb="FF00B050"/>
        <color rgb="FFFF0000"/>
      </colorScale>
    </cfRule>
  </conditionalFormatting>
  <conditionalFormatting sqref="D163 G163 J163 M163 P163 S163 V163 Y163 AB163 AE163 AH163 AQ163 AT163 AW163 AK163">
    <cfRule type="colorScale" priority="71">
      <colorScale>
        <cfvo type="min"/>
        <cfvo type="num" val="0"/>
        <cfvo type="max"/>
        <color rgb="FFFF0000"/>
        <color rgb="FF00B050"/>
        <color rgb="FFFF0000"/>
      </colorScale>
    </cfRule>
  </conditionalFormatting>
  <conditionalFormatting sqref="E115:E135 B115:B135 H115:H135 K115:K135 N115:N135 Q115:Q135 T115:T135 W115:W135 Z115:Z135 AC115:AC135 AF115:AF135 AL115:AL135 AO115:AO135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0 B160 H160 K160 N160 Q160 T160 W160 Z160 AC160 AF160 AO160 AR160 AU160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:F135 C115:C135 I115:I135 L115:L135 O115:O135 R115:R135 U115:U135 X115:X135 AA115:AA135 AD115:AD135 AG115:AG135 AM115:AM135 AP115:AP13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8:G158 D138:D158 J138:J158 M138:M158 P138:P158 S138:S158 V138:V158 Y138:Y158 AB138:AB158 AE138:AE158 AH138:AH158 AQ138:AQ158 AT138:AT158 AW138:AW158 AK138:AK15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9:AP171 B169:C171 E169:F17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6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8:N158 B138:B159 E138:E159 H138:H159 K138:K159 Q138:Q158 T138:T159 W138:W159 Z138:Z159 AC138:AC159 AF138:AF159 AO138:AO159 AR138:AR159 AU138:AU159">
    <cfRule type="colorScale" priority="85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N159:O159 Q159">
    <cfRule type="colorScale" priority="8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O138:O158 C138:C159 F138:F159 AP138:AP159 AS138:AS159 AV138:AV159 I138:I159 L138:L159 R138:R159 U138:U159 X138:X159 AA138:AA159 AD138:AD159 AG138:AG159">
    <cfRule type="colorScale" priority="8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:P26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6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6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6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6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6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15:AI13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8:AI159">
    <cfRule type="colorScale" priority="1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I16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6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6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15:AJ13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138:AJ159">
    <cfRule type="colorScale" priority="1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J16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6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6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6:AK2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6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160 AV160 AP160 AG160 AD160 AA160 X160 U160 R160 O160 L160 I160 F160 C160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161 AV161 AP161 AG161 AD161 AA161 X161 U161 R161 O161 L161 I161 F161 C161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115:AU135 AR115:AR13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15:AV135 AS115:AS13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63 AS163 AP163 AG163 AD163 AA163 X163 U163 R163 O163 L163 I163 F163 C163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115:AW135 AT115:AT135 AQ115:AQ135 AN115:AN135 AH115:AH135 AE115:AE135 AB115:AB135 Y115:Y135 V115:V135 S115:S135 P115:P135 M115:M135 J115:J135 G115:G135 D115:D135 AK115:AK13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61 AT161 AQ161 AH161 AE161 AB161 Y161 V161 S161 P161 M161 J161 G161 D161 AK161">
    <cfRule type="colorScale" priority="72">
      <colorScale>
        <cfvo type="min"/>
        <cfvo type="num" val="0"/>
        <cfvo type="max"/>
        <color rgb="FFFF0000"/>
        <color rgb="FF00B050"/>
        <color rgb="FFFF0000"/>
      </colorScale>
    </cfRule>
  </conditionalFormatting>
  <conditionalFormatting sqref="AZ29:AZ30 AZ6:AZ26 BC6:BC26 BC29:BC30 BF6:BF26 BF29:BF30 BI6:BI26 BI29:BI30">
    <cfRule type="colorScale" priority="1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29:BA30 BA6:BA26 BD6:BD26 BD29:BD30 BG6:BG26 BG29:BG30 BJ6:BJ26 BJ29:BJ30">
    <cfRule type="colorScale" priority="1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29:BE30 BE6:BE26 BB6:BB26 BB29:BB30 BH6:BH26 BH29:BH30 BK6:BK26 BK29:BK30">
    <cfRule type="colorScale" priority="1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6:BS26">
    <cfRule type="colorScale" priority="1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28:CQ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35:CQ5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55:CQ5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56:CQ5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6:CQ26">
    <cfRule type="colorScale" priority="1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6:DM26">
    <cfRule type="colorScale" priority="1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29:DO2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N6:DO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AR113 F113 H113:I113 K113:L113 N113:O113 Q113:R113 T113:U113 W113:X113 Z113:AA113 AC113:AD113 AF113:AG113 AO113:AP113" 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Übersicht &amp; Anleitung</vt:lpstr>
      <vt:lpstr>CF-Guide</vt:lpstr>
      <vt:lpstr>Vergleich</vt:lpstr>
      <vt:lpstr>'CF-Guide'!Druckbereich</vt:lpstr>
      <vt:lpstr>'Übersicht &amp; Anleitung'!Druckbereich</vt:lpstr>
      <vt:lpstr>'CF-Guide'!Drucktitel</vt:lpstr>
      <vt:lpstr>'Übersicht &amp; Anleitung'!Drucktitel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Gernot</dc:creator>
  <cp:lastModifiedBy>Gernot Ohrner</cp:lastModifiedBy>
  <cp:lastPrinted>2024-05-14T22:42:04Z</cp:lastPrinted>
  <dcterms:created xsi:type="dcterms:W3CDTF">2021-01-19T21:15:58Z</dcterms:created>
  <dcterms:modified xsi:type="dcterms:W3CDTF">2024-05-14T22:42:17Z</dcterms:modified>
</cp:coreProperties>
</file>