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L:\DSA\CFs\Die Gunst der Göttin\"/>
    </mc:Choice>
  </mc:AlternateContent>
  <xr:revisionPtr revIDLastSave="0" documentId="13_ncr:1_{44BFE4BF-4250-4C7D-9333-A5B3260E56E7}" xr6:coauthVersionLast="47" xr6:coauthVersionMax="47" xr10:uidLastSave="{00000000-0000-0000-0000-000000000000}"/>
  <bookViews>
    <workbookView xWindow="38280" yWindow="-120" windowWidth="38640" windowHeight="21390" xr2:uid="{3C0DC3EB-12BA-4DE2-BE53-BC5B92B614A4}"/>
  </bookViews>
  <sheets>
    <sheet name="Gunst der Göttin" sheetId="1" r:id="rId1"/>
    <sheet name="Vergleich" sheetId="2" state="hidden" r:id="rId2"/>
  </sheets>
  <definedNames>
    <definedName name="_xlnm.Print_Area" localSheetId="0">'Gunst der Göttin'!$A$5:$P$262</definedName>
    <definedName name="_xlnm.Print_Titles" localSheetId="0">'Gunst der Göttin'!$5:$15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17" i="2" l="1"/>
  <c r="AF17" i="2"/>
  <c r="AE18" i="2"/>
  <c r="AF18" i="2"/>
  <c r="AE19" i="2"/>
  <c r="AF19" i="2"/>
  <c r="AE20" i="2"/>
  <c r="AF20" i="2"/>
  <c r="AE21" i="2"/>
  <c r="AF21" i="2"/>
  <c r="AE22" i="2"/>
  <c r="AF22" i="2"/>
  <c r="AE23" i="2"/>
  <c r="AF23" i="2"/>
  <c r="AE24" i="2"/>
  <c r="AF24" i="2"/>
  <c r="AD223" i="1"/>
  <c r="AI223" i="1"/>
  <c r="AJ223" i="1"/>
  <c r="AK223" i="1"/>
  <c r="AL223" i="1"/>
  <c r="T55" i="1"/>
  <c r="AI221" i="1"/>
  <c r="AJ221" i="1"/>
  <c r="AK221" i="1"/>
  <c r="AL221" i="1"/>
  <c r="AI222" i="1"/>
  <c r="AJ222" i="1"/>
  <c r="AK222" i="1"/>
  <c r="AL222" i="1"/>
  <c r="AD221" i="1"/>
  <c r="AD222" i="1"/>
  <c r="AI219" i="1"/>
  <c r="AJ219" i="1"/>
  <c r="AK219" i="1"/>
  <c r="AL219" i="1"/>
  <c r="AI220" i="1"/>
  <c r="AJ220" i="1"/>
  <c r="AK220" i="1"/>
  <c r="AL220" i="1"/>
  <c r="AD220" i="1"/>
  <c r="AD219" i="1"/>
  <c r="Q249" i="1" l="1"/>
  <c r="R249" i="1"/>
  <c r="AI218" i="1" l="1"/>
  <c r="Q218" i="1" s="1"/>
  <c r="AJ218" i="1"/>
  <c r="Q243" i="1" s="1"/>
  <c r="AK218" i="1"/>
  <c r="R218" i="1" s="1"/>
  <c r="AL218" i="1"/>
  <c r="R243" i="1" s="1"/>
  <c r="AD218" i="1"/>
  <c r="AI202" i="1"/>
  <c r="AJ202" i="1"/>
  <c r="AK202" i="1"/>
  <c r="AL202" i="1"/>
  <c r="AI203" i="1"/>
  <c r="Q203" i="1" s="1"/>
  <c r="AJ203" i="1"/>
  <c r="Q228" i="1" s="1"/>
  <c r="AK203" i="1"/>
  <c r="R203" i="1" s="1"/>
  <c r="AL203" i="1"/>
  <c r="R228" i="1" s="1"/>
  <c r="AI204" i="1"/>
  <c r="Q204" i="1" s="1"/>
  <c r="AJ204" i="1"/>
  <c r="Q229" i="1" s="1"/>
  <c r="AK204" i="1"/>
  <c r="R204" i="1" s="1"/>
  <c r="AL204" i="1"/>
  <c r="R229" i="1" s="1"/>
  <c r="AI205" i="1"/>
  <c r="Q205" i="1" s="1"/>
  <c r="AJ205" i="1"/>
  <c r="Q230" i="1" s="1"/>
  <c r="AK205" i="1"/>
  <c r="R205" i="1" s="1"/>
  <c r="AL205" i="1"/>
  <c r="R230" i="1" s="1"/>
  <c r="AI206" i="1"/>
  <c r="Q206" i="1" s="1"/>
  <c r="AJ206" i="1"/>
  <c r="Q231" i="1" s="1"/>
  <c r="AK206" i="1"/>
  <c r="R206" i="1" s="1"/>
  <c r="AL206" i="1"/>
  <c r="R231" i="1" s="1"/>
  <c r="AI207" i="1"/>
  <c r="Q207" i="1" s="1"/>
  <c r="AJ207" i="1"/>
  <c r="Q232" i="1" s="1"/>
  <c r="AK207" i="1"/>
  <c r="R207" i="1" s="1"/>
  <c r="AL207" i="1"/>
  <c r="R232" i="1" s="1"/>
  <c r="AI208" i="1"/>
  <c r="Q208" i="1" s="1"/>
  <c r="AJ208" i="1"/>
  <c r="Q233" i="1" s="1"/>
  <c r="AK208" i="1"/>
  <c r="R208" i="1" s="1"/>
  <c r="AL208" i="1"/>
  <c r="R233" i="1" s="1"/>
  <c r="AI209" i="1"/>
  <c r="Q209" i="1" s="1"/>
  <c r="AJ209" i="1"/>
  <c r="Q234" i="1" s="1"/>
  <c r="AK209" i="1"/>
  <c r="R209" i="1" s="1"/>
  <c r="AL209" i="1"/>
  <c r="R234" i="1" s="1"/>
  <c r="AI210" i="1"/>
  <c r="Q210" i="1" s="1"/>
  <c r="AJ210" i="1"/>
  <c r="Q235" i="1" s="1"/>
  <c r="AK210" i="1"/>
  <c r="R210" i="1" s="1"/>
  <c r="AL210" i="1"/>
  <c r="R235" i="1" s="1"/>
  <c r="AI211" i="1"/>
  <c r="Q211" i="1" s="1"/>
  <c r="AJ211" i="1"/>
  <c r="Q236" i="1" s="1"/>
  <c r="AK211" i="1"/>
  <c r="R211" i="1" s="1"/>
  <c r="AL211" i="1"/>
  <c r="R236" i="1" s="1"/>
  <c r="AI212" i="1"/>
  <c r="Q212" i="1" s="1"/>
  <c r="AJ212" i="1"/>
  <c r="Q237" i="1" s="1"/>
  <c r="AK212" i="1"/>
  <c r="R212" i="1" s="1"/>
  <c r="AL212" i="1"/>
  <c r="R237" i="1" s="1"/>
  <c r="AI213" i="1"/>
  <c r="Q213" i="1" s="1"/>
  <c r="AJ213" i="1"/>
  <c r="Q238" i="1" s="1"/>
  <c r="AK213" i="1"/>
  <c r="R213" i="1" s="1"/>
  <c r="AL213" i="1"/>
  <c r="R238" i="1" s="1"/>
  <c r="AI214" i="1"/>
  <c r="Q214" i="1" s="1"/>
  <c r="AJ214" i="1"/>
  <c r="Q239" i="1" s="1"/>
  <c r="AK214" i="1"/>
  <c r="R214" i="1" s="1"/>
  <c r="AL214" i="1"/>
  <c r="R239" i="1" s="1"/>
  <c r="AI215" i="1"/>
  <c r="Q215" i="1" s="1"/>
  <c r="AJ215" i="1"/>
  <c r="Q240" i="1" s="1"/>
  <c r="AK215" i="1"/>
  <c r="R215" i="1" s="1"/>
  <c r="AL215" i="1"/>
  <c r="R240" i="1" s="1"/>
  <c r="AI216" i="1"/>
  <c r="Q216" i="1" s="1"/>
  <c r="AJ216" i="1"/>
  <c r="Q241" i="1" s="1"/>
  <c r="AK216" i="1"/>
  <c r="R216" i="1" s="1"/>
  <c r="AL216" i="1"/>
  <c r="R241" i="1" s="1"/>
  <c r="AI217" i="1"/>
  <c r="Q217" i="1" s="1"/>
  <c r="AJ217" i="1"/>
  <c r="Q242" i="1" s="1"/>
  <c r="AK217" i="1"/>
  <c r="R217" i="1" s="1"/>
  <c r="AL217" i="1"/>
  <c r="R242" i="1" s="1"/>
  <c r="AL201" i="1"/>
  <c r="R227" i="1" s="1"/>
  <c r="AK201" i="1"/>
  <c r="R202" i="1" s="1"/>
  <c r="AJ201" i="1"/>
  <c r="Q227" i="1" s="1"/>
  <c r="AI201" i="1"/>
  <c r="Q202" i="1" s="1"/>
  <c r="AD217" i="1"/>
  <c r="AD216" i="1"/>
  <c r="AD215" i="1"/>
  <c r="AD214" i="1"/>
  <c r="AD213" i="1"/>
  <c r="AD212" i="1"/>
  <c r="AD211" i="1"/>
  <c r="AD210" i="1"/>
  <c r="AD209" i="1"/>
  <c r="AD208" i="1"/>
  <c r="AD207" i="1"/>
  <c r="N248" i="1"/>
  <c r="M248" i="1"/>
  <c r="N247" i="1"/>
  <c r="M247" i="1"/>
  <c r="N246" i="1"/>
  <c r="M246" i="1"/>
  <c r="N245" i="1"/>
  <c r="M245" i="1"/>
  <c r="N244" i="1"/>
  <c r="M244" i="1"/>
  <c r="N243" i="1"/>
  <c r="M243" i="1"/>
  <c r="N242" i="1"/>
  <c r="M242" i="1"/>
  <c r="N241" i="1"/>
  <c r="M241" i="1"/>
  <c r="N240" i="1"/>
  <c r="M240" i="1"/>
  <c r="N239" i="1"/>
  <c r="M239" i="1"/>
  <c r="N238" i="1"/>
  <c r="M238" i="1"/>
  <c r="N237" i="1"/>
  <c r="M237" i="1"/>
  <c r="N236" i="1"/>
  <c r="M236" i="1"/>
  <c r="N235" i="1"/>
  <c r="M235" i="1"/>
  <c r="N234" i="1"/>
  <c r="M234" i="1"/>
  <c r="N233" i="1"/>
  <c r="M233" i="1"/>
  <c r="N232" i="1"/>
  <c r="M232" i="1"/>
  <c r="N231" i="1"/>
  <c r="M231" i="1"/>
  <c r="N230" i="1"/>
  <c r="M230" i="1"/>
  <c r="N229" i="1"/>
  <c r="M229" i="1"/>
  <c r="N228" i="1"/>
  <c r="M228" i="1"/>
  <c r="L248" i="1"/>
  <c r="L238" i="1"/>
  <c r="L228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M227" i="1"/>
  <c r="J227" i="1"/>
  <c r="I227" i="1"/>
  <c r="AD206" i="1"/>
  <c r="AF6" i="2"/>
  <c r="AE6" i="2"/>
  <c r="AF5" i="2"/>
  <c r="AE5" i="2"/>
  <c r="AF4" i="2"/>
  <c r="AE4" i="2"/>
  <c r="AD23" i="2"/>
  <c r="AC23" i="2"/>
  <c r="AD22" i="2"/>
  <c r="AC22" i="2"/>
  <c r="AD21" i="2"/>
  <c r="AC21" i="2"/>
  <c r="AD20" i="2"/>
  <c r="AC20" i="2"/>
  <c r="AD19" i="2"/>
  <c r="AC19" i="2"/>
  <c r="AD18" i="2"/>
  <c r="AC18" i="2"/>
  <c r="AD17" i="2"/>
  <c r="AC17" i="2"/>
  <c r="AD16" i="2"/>
  <c r="AC16" i="2"/>
  <c r="AD15" i="2"/>
  <c r="AC15" i="2"/>
  <c r="AD14" i="2"/>
  <c r="AC14" i="2"/>
  <c r="AD13" i="2"/>
  <c r="AC13" i="2"/>
  <c r="AD12" i="2"/>
  <c r="AC12" i="2"/>
  <c r="AD11" i="2"/>
  <c r="AC11" i="2"/>
  <c r="AD10" i="2"/>
  <c r="AC10" i="2"/>
  <c r="AD9" i="2"/>
  <c r="AC9" i="2"/>
  <c r="AD8" i="2"/>
  <c r="AC8" i="2"/>
  <c r="AD7" i="2"/>
  <c r="AC7" i="2"/>
  <c r="AD6" i="2"/>
  <c r="AC6" i="2"/>
  <c r="AD5" i="2"/>
  <c r="AC5" i="2"/>
  <c r="AD4" i="2"/>
  <c r="AC4" i="2"/>
  <c r="AD24" i="2"/>
  <c r="AC24" i="2"/>
  <c r="BJ223" i="1"/>
  <c r="BJ222" i="1"/>
  <c r="BJ221" i="1"/>
  <c r="BJ220" i="1"/>
  <c r="BJ219" i="1"/>
  <c r="BJ218" i="1"/>
  <c r="BJ217" i="1"/>
  <c r="BJ216" i="1"/>
  <c r="BJ215" i="1"/>
  <c r="BJ214" i="1"/>
  <c r="BJ213" i="1"/>
  <c r="BJ212" i="1"/>
  <c r="BJ211" i="1"/>
  <c r="BJ210" i="1"/>
  <c r="BJ209" i="1"/>
  <c r="BJ208" i="1"/>
  <c r="BJ207" i="1"/>
  <c r="BJ206" i="1"/>
  <c r="BJ205" i="1"/>
  <c r="BJ204" i="1"/>
  <c r="BJ203" i="1"/>
  <c r="BH223" i="1"/>
  <c r="BI223" i="1" s="1"/>
  <c r="BG223" i="1"/>
  <c r="BK223" i="1" s="1"/>
  <c r="BH222" i="1"/>
  <c r="BI222" i="1" s="1"/>
  <c r="BG222" i="1"/>
  <c r="BK222" i="1" s="1"/>
  <c r="BH221" i="1"/>
  <c r="BI221" i="1" s="1"/>
  <c r="BG221" i="1"/>
  <c r="BK221" i="1" s="1"/>
  <c r="BH220" i="1"/>
  <c r="BI220" i="1" s="1"/>
  <c r="BG220" i="1"/>
  <c r="BK220" i="1" s="1"/>
  <c r="BH219" i="1"/>
  <c r="BI219" i="1" s="1"/>
  <c r="BG219" i="1"/>
  <c r="BK219" i="1" s="1"/>
  <c r="BH218" i="1"/>
  <c r="BI218" i="1" s="1"/>
  <c r="BG218" i="1"/>
  <c r="BK218" i="1" s="1"/>
  <c r="BH217" i="1"/>
  <c r="BI217" i="1" s="1"/>
  <c r="BG217" i="1"/>
  <c r="BK217" i="1" s="1"/>
  <c r="BH216" i="1"/>
  <c r="BI216" i="1" s="1"/>
  <c r="BG216" i="1"/>
  <c r="BK216" i="1" s="1"/>
  <c r="BH215" i="1"/>
  <c r="BI215" i="1" s="1"/>
  <c r="BG215" i="1"/>
  <c r="BK215" i="1" s="1"/>
  <c r="BH214" i="1"/>
  <c r="BI214" i="1" s="1"/>
  <c r="BG214" i="1"/>
  <c r="BK214" i="1" s="1"/>
  <c r="BH213" i="1"/>
  <c r="BI213" i="1" s="1"/>
  <c r="BG213" i="1"/>
  <c r="BK213" i="1" s="1"/>
  <c r="BH212" i="1"/>
  <c r="BI212" i="1" s="1"/>
  <c r="BG212" i="1"/>
  <c r="BK212" i="1" s="1"/>
  <c r="BH211" i="1"/>
  <c r="BI211" i="1" s="1"/>
  <c r="BG211" i="1"/>
  <c r="BK211" i="1" s="1"/>
  <c r="BH210" i="1"/>
  <c r="BI210" i="1" s="1"/>
  <c r="BG210" i="1"/>
  <c r="BK210" i="1" s="1"/>
  <c r="BH209" i="1"/>
  <c r="BI209" i="1" s="1"/>
  <c r="BG209" i="1"/>
  <c r="BK209" i="1" s="1"/>
  <c r="BH208" i="1"/>
  <c r="BI208" i="1" s="1"/>
  <c r="BG208" i="1"/>
  <c r="BK208" i="1" s="1"/>
  <c r="BH207" i="1"/>
  <c r="BI207" i="1" s="1"/>
  <c r="BG207" i="1"/>
  <c r="BK207" i="1" s="1"/>
  <c r="BH206" i="1"/>
  <c r="BI206" i="1" s="1"/>
  <c r="BG206" i="1"/>
  <c r="BK206" i="1" s="1"/>
  <c r="BH205" i="1"/>
  <c r="BI205" i="1" s="1"/>
  <c r="BG205" i="1"/>
  <c r="BK205" i="1" s="1"/>
  <c r="BH204" i="1"/>
  <c r="BI204" i="1" s="1"/>
  <c r="BG204" i="1"/>
  <c r="BK204" i="1" s="1"/>
  <c r="BH203" i="1"/>
  <c r="BI203" i="1" s="1"/>
  <c r="BG203" i="1"/>
  <c r="BK203" i="1" s="1"/>
  <c r="BB9" i="2" l="1"/>
  <c r="BE8" i="2" s="1"/>
  <c r="AE26" i="2" s="1"/>
  <c r="BC39" i="2"/>
  <c r="BC9" i="2"/>
  <c r="BC14" i="2"/>
  <c r="BB19" i="2"/>
  <c r="BC19" i="2"/>
  <c r="BB24" i="2"/>
  <c r="BC34" i="2"/>
  <c r="BB14" i="2"/>
  <c r="BC24" i="2"/>
  <c r="BB29" i="2"/>
  <c r="BC29" i="2"/>
  <c r="BB34" i="2"/>
  <c r="BL203" i="1"/>
  <c r="BL204" i="1" s="1"/>
  <c r="BL205" i="1" s="1"/>
  <c r="BL206" i="1" s="1"/>
  <c r="BL207" i="1" s="1"/>
  <c r="BL208" i="1" s="1"/>
  <c r="BL209" i="1" s="1"/>
  <c r="BL210" i="1" s="1"/>
  <c r="BL211" i="1" s="1"/>
  <c r="BL212" i="1" s="1"/>
  <c r="BL213" i="1" s="1"/>
  <c r="BL214" i="1" s="1"/>
  <c r="BL215" i="1" s="1"/>
  <c r="BL216" i="1" s="1"/>
  <c r="BL217" i="1" s="1"/>
  <c r="BL218" i="1" s="1"/>
  <c r="BL219" i="1" s="1"/>
  <c r="BL220" i="1" s="1"/>
  <c r="BL221" i="1" s="1"/>
  <c r="BL222" i="1" s="1"/>
  <c r="BL223" i="1" s="1"/>
  <c r="BB39" i="2"/>
  <c r="BE9" i="2" l="1"/>
  <c r="AE27" i="2" s="1"/>
  <c r="BC10" i="2"/>
  <c r="BF38" i="2"/>
  <c r="BF39" i="2"/>
  <c r="BF28" i="2"/>
  <c r="BF29" i="2"/>
  <c r="BC15" i="2"/>
  <c r="BE14" i="2"/>
  <c r="AE30" i="2" s="1"/>
  <c r="BE13" i="2"/>
  <c r="AE29" i="2" s="1"/>
  <c r="BC25" i="2"/>
  <c r="BE24" i="2"/>
  <c r="BE23" i="2"/>
  <c r="BF13" i="2"/>
  <c r="AF29" i="2" s="1"/>
  <c r="BF14" i="2"/>
  <c r="AF30" i="2" s="1"/>
  <c r="BC40" i="2"/>
  <c r="BE39" i="2"/>
  <c r="BE38" i="2"/>
  <c r="BC35" i="2"/>
  <c r="BE34" i="2"/>
  <c r="BE33" i="2"/>
  <c r="BF23" i="2"/>
  <c r="BF24" i="2"/>
  <c r="BF33" i="2"/>
  <c r="BF34" i="2"/>
  <c r="BF19" i="2"/>
  <c r="AF33" i="2" s="1"/>
  <c r="BF18" i="2"/>
  <c r="AF32" i="2" s="1"/>
  <c r="BC30" i="2"/>
  <c r="BE29" i="2"/>
  <c r="BE28" i="2"/>
  <c r="BC20" i="2"/>
  <c r="BE18" i="2"/>
  <c r="AE32" i="2" s="1"/>
  <c r="BE19" i="2"/>
  <c r="AE33" i="2" s="1"/>
  <c r="BF9" i="2"/>
  <c r="AF27" i="2" s="1"/>
  <c r="BF8" i="2"/>
  <c r="AF26" i="2" s="1"/>
  <c r="G175" i="1" l="1"/>
  <c r="F175" i="1"/>
  <c r="G174" i="1"/>
  <c r="F174" i="1"/>
  <c r="G173" i="1"/>
  <c r="F173" i="1"/>
  <c r="G172" i="1"/>
  <c r="F172" i="1"/>
  <c r="G171" i="1"/>
  <c r="F171" i="1"/>
  <c r="G170" i="1"/>
  <c r="F170" i="1"/>
  <c r="G167" i="1"/>
  <c r="F167" i="1"/>
  <c r="G166" i="1"/>
  <c r="F166" i="1"/>
  <c r="H153" i="1"/>
  <c r="N164" i="1"/>
  <c r="N149" i="1"/>
  <c r="N148" i="1"/>
  <c r="G147" i="1"/>
  <c r="O140" i="1"/>
  <c r="M140" i="1"/>
  <c r="L140" i="1"/>
  <c r="K140" i="1"/>
  <c r="J140" i="1"/>
  <c r="I140" i="1"/>
  <c r="G140" i="1"/>
  <c r="F140" i="1"/>
  <c r="E140" i="1"/>
  <c r="F142" i="1"/>
  <c r="G142" i="1"/>
  <c r="H142" i="1"/>
  <c r="I142" i="1"/>
  <c r="J142" i="1"/>
  <c r="K142" i="1"/>
  <c r="L142" i="1"/>
  <c r="T143" i="1"/>
  <c r="F144" i="1"/>
  <c r="H144" i="1"/>
  <c r="F145" i="1"/>
  <c r="G145" i="1"/>
  <c r="H145" i="1"/>
  <c r="F146" i="1"/>
  <c r="G146" i="1"/>
  <c r="H146" i="1"/>
  <c r="F147" i="1"/>
  <c r="H147" i="1"/>
  <c r="F148" i="1"/>
  <c r="G148" i="1"/>
  <c r="H148" i="1"/>
  <c r="F151" i="1"/>
  <c r="G151" i="1"/>
  <c r="H151" i="1"/>
  <c r="J151" i="1"/>
  <c r="J181" i="1" s="1"/>
  <c r="K151" i="1"/>
  <c r="K181" i="1" s="1"/>
  <c r="F149" i="1"/>
  <c r="G149" i="1"/>
  <c r="H149" i="1"/>
  <c r="F152" i="1"/>
  <c r="G152" i="1"/>
  <c r="H152" i="1"/>
  <c r="J152" i="1"/>
  <c r="K152" i="1"/>
  <c r="F150" i="1"/>
  <c r="G150" i="1"/>
  <c r="H150" i="1"/>
  <c r="F164" i="1"/>
  <c r="G164" i="1"/>
  <c r="H164" i="1"/>
  <c r="T165" i="1"/>
  <c r="T177" i="1"/>
  <c r="T154" i="1"/>
  <c r="T155" i="1"/>
  <c r="T156" i="1"/>
  <c r="T157" i="1"/>
  <c r="T158" i="1"/>
  <c r="T159" i="1"/>
  <c r="E178" i="1"/>
  <c r="M178" i="1"/>
  <c r="O178" i="1"/>
  <c r="I181" i="1"/>
  <c r="L181" i="1"/>
  <c r="O181" i="1"/>
  <c r="N87" i="1"/>
  <c r="N140" i="1" s="1"/>
  <c r="G14" i="1"/>
  <c r="H14" i="1"/>
  <c r="I14" i="1"/>
  <c r="J14" i="1"/>
  <c r="K14" i="1"/>
  <c r="L14" i="1"/>
  <c r="F14" i="1"/>
  <c r="H61" i="1" l="1"/>
  <c r="H55" i="1"/>
  <c r="I178" i="1"/>
  <c r="I179" i="1" s="1"/>
  <c r="E181" i="1"/>
  <c r="E187" i="1" s="1"/>
  <c r="O179" i="1"/>
  <c r="L178" i="1"/>
  <c r="L179" i="1" s="1"/>
  <c r="U143" i="1"/>
  <c r="N178" i="1"/>
  <c r="N179" i="1" s="1"/>
  <c r="F181" i="1"/>
  <c r="I182" i="1" s="1"/>
  <c r="H140" i="1"/>
  <c r="H181" i="1"/>
  <c r="G181" i="1"/>
  <c r="K183" i="1" s="1"/>
  <c r="M179" i="1"/>
  <c r="I188" i="1"/>
  <c r="L185" i="1"/>
  <c r="E179" i="1"/>
  <c r="K188" i="1"/>
  <c r="K186" i="1"/>
  <c r="L187" i="1"/>
  <c r="I187" i="1"/>
  <c r="K185" i="1"/>
  <c r="I186" i="1"/>
  <c r="J185" i="1"/>
  <c r="J188" i="1"/>
  <c r="L186" i="1"/>
  <c r="J187" i="1"/>
  <c r="K178" i="1"/>
  <c r="K179" i="1" s="1"/>
  <c r="J178" i="1"/>
  <c r="J179" i="1" s="1"/>
  <c r="F178" i="1"/>
  <c r="F179" i="1" s="1"/>
  <c r="G155" i="1"/>
  <c r="G157" i="1"/>
  <c r="H163" i="1"/>
  <c r="H155" i="1"/>
  <c r="H162" i="1"/>
  <c r="H161" i="1"/>
  <c r="H154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03" i="1"/>
  <c r="M202" i="1"/>
  <c r="AX205" i="1"/>
  <c r="AW205" i="1"/>
  <c r="AX204" i="1"/>
  <c r="AW204" i="1"/>
  <c r="AX203" i="1"/>
  <c r="AW203" i="1"/>
  <c r="AZ202" i="1"/>
  <c r="AY202" i="1"/>
  <c r="AX202" i="1"/>
  <c r="AW202" i="1"/>
  <c r="CE230" i="1"/>
  <c r="CE231" i="1"/>
  <c r="CE232" i="1"/>
  <c r="CE233" i="1"/>
  <c r="CE234" i="1"/>
  <c r="CE235" i="1"/>
  <c r="CE236" i="1"/>
  <c r="CE237" i="1"/>
  <c r="CE238" i="1"/>
  <c r="CE239" i="1"/>
  <c r="CE240" i="1"/>
  <c r="CE241" i="1"/>
  <c r="CE242" i="1"/>
  <c r="CE243" i="1"/>
  <c r="CE244" i="1"/>
  <c r="CE245" i="1"/>
  <c r="CE246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E229" i="1"/>
  <c r="CF229" i="1" s="1"/>
  <c r="CC229" i="1"/>
  <c r="E186" i="1" l="1"/>
  <c r="E185" i="1"/>
  <c r="E188" i="1"/>
  <c r="K182" i="1"/>
  <c r="F187" i="1"/>
  <c r="F186" i="1"/>
  <c r="E182" i="1"/>
  <c r="F188" i="1"/>
  <c r="L182" i="1"/>
  <c r="J182" i="1"/>
  <c r="F185" i="1"/>
  <c r="H178" i="1"/>
  <c r="H179" i="1" s="1"/>
  <c r="H183" i="1"/>
  <c r="K184" i="1"/>
  <c r="E184" i="1"/>
  <c r="J184" i="1"/>
  <c r="H186" i="1"/>
  <c r="H187" i="1"/>
  <c r="J183" i="1"/>
  <c r="G182" i="1"/>
  <c r="L183" i="1"/>
  <c r="H182" i="1"/>
  <c r="G186" i="1"/>
  <c r="L184" i="1"/>
  <c r="H185" i="1"/>
  <c r="I184" i="1"/>
  <c r="F184" i="1"/>
  <c r="G188" i="1"/>
  <c r="H188" i="1"/>
  <c r="F183" i="1"/>
  <c r="E183" i="1"/>
  <c r="I183" i="1"/>
  <c r="G184" i="1"/>
  <c r="G187" i="1"/>
  <c r="G185" i="1"/>
  <c r="G178" i="1"/>
  <c r="G179" i="1" s="1"/>
  <c r="CF230" i="1"/>
  <c r="CF231" i="1" s="1"/>
  <c r="CD229" i="1"/>
  <c r="CD230" i="1" s="1"/>
  <c r="CD231" i="1" s="1"/>
  <c r="AM202" i="1" l="1"/>
  <c r="BA39" i="2" l="1"/>
  <c r="AZ39" i="2"/>
  <c r="BA34" i="2"/>
  <c r="AZ34" i="2"/>
  <c r="BA35" i="2" s="1"/>
  <c r="BA29" i="2"/>
  <c r="AZ29" i="2"/>
  <c r="BA30" i="2" s="1"/>
  <c r="BA24" i="2"/>
  <c r="AZ24" i="2"/>
  <c r="BA25" i="2" s="1"/>
  <c r="BA19" i="2"/>
  <c r="AZ19" i="2"/>
  <c r="BA20" i="2" s="1"/>
  <c r="BA14" i="2"/>
  <c r="AZ14" i="2"/>
  <c r="BA15" i="2" s="1"/>
  <c r="BA9" i="2"/>
  <c r="AZ9" i="2"/>
  <c r="BA10" i="2" s="1"/>
  <c r="W202" i="1"/>
  <c r="BO223" i="1"/>
  <c r="BS223" i="1" s="1"/>
  <c r="BO222" i="1"/>
  <c r="BS222" i="1" s="1"/>
  <c r="BO221" i="1"/>
  <c r="BS221" i="1" s="1"/>
  <c r="BO220" i="1"/>
  <c r="BS220" i="1" s="1"/>
  <c r="BO219" i="1"/>
  <c r="BS219" i="1" s="1"/>
  <c r="BO218" i="1"/>
  <c r="BS218" i="1" s="1"/>
  <c r="BO217" i="1"/>
  <c r="BS217" i="1" s="1"/>
  <c r="BO216" i="1"/>
  <c r="BS216" i="1" s="1"/>
  <c r="BO215" i="1"/>
  <c r="BS215" i="1" s="1"/>
  <c r="BO214" i="1"/>
  <c r="BS214" i="1" s="1"/>
  <c r="BO213" i="1"/>
  <c r="BS213" i="1" s="1"/>
  <c r="BO212" i="1"/>
  <c r="BS212" i="1" s="1"/>
  <c r="BO211" i="1"/>
  <c r="BS211" i="1" s="1"/>
  <c r="BO210" i="1"/>
  <c r="BS210" i="1" s="1"/>
  <c r="BO209" i="1"/>
  <c r="BS209" i="1" s="1"/>
  <c r="BO208" i="1"/>
  <c r="BS208" i="1" s="1"/>
  <c r="BO207" i="1"/>
  <c r="BS207" i="1" s="1"/>
  <c r="BO206" i="1"/>
  <c r="BS206" i="1" s="1"/>
  <c r="BO205" i="1"/>
  <c r="BS205" i="1" s="1"/>
  <c r="BO204" i="1"/>
  <c r="BS204" i="1" s="1"/>
  <c r="BO203" i="1"/>
  <c r="BS203" i="1" s="1"/>
  <c r="BR223" i="1"/>
  <c r="BR222" i="1"/>
  <c r="BR221" i="1"/>
  <c r="BR220" i="1"/>
  <c r="BR219" i="1"/>
  <c r="BR218" i="1"/>
  <c r="BR217" i="1"/>
  <c r="BR216" i="1"/>
  <c r="BR215" i="1"/>
  <c r="BR214" i="1"/>
  <c r="BR213" i="1"/>
  <c r="BR212" i="1"/>
  <c r="BR211" i="1"/>
  <c r="BR210" i="1"/>
  <c r="BR209" i="1"/>
  <c r="BR208" i="1"/>
  <c r="BR207" i="1"/>
  <c r="BR206" i="1"/>
  <c r="BR205" i="1"/>
  <c r="BR204" i="1"/>
  <c r="BR203" i="1"/>
  <c r="BP205" i="1"/>
  <c r="BQ205" i="1" s="1"/>
  <c r="BP206" i="1"/>
  <c r="BQ206" i="1" s="1"/>
  <c r="BP207" i="1"/>
  <c r="BQ207" i="1" s="1"/>
  <c r="BP208" i="1"/>
  <c r="BQ208" i="1" s="1"/>
  <c r="BP209" i="1"/>
  <c r="BQ209" i="1" s="1"/>
  <c r="BP210" i="1"/>
  <c r="BQ210" i="1" s="1"/>
  <c r="BP211" i="1"/>
  <c r="BQ211" i="1" s="1"/>
  <c r="BP212" i="1"/>
  <c r="BQ212" i="1" s="1"/>
  <c r="BP213" i="1"/>
  <c r="BQ213" i="1" s="1"/>
  <c r="BP214" i="1"/>
  <c r="BQ214" i="1" s="1"/>
  <c r="BP215" i="1"/>
  <c r="BQ215" i="1" s="1"/>
  <c r="BP216" i="1"/>
  <c r="BQ216" i="1" s="1"/>
  <c r="BP217" i="1"/>
  <c r="BQ217" i="1" s="1"/>
  <c r="BP218" i="1"/>
  <c r="BQ218" i="1" s="1"/>
  <c r="BP219" i="1"/>
  <c r="BQ219" i="1" s="1"/>
  <c r="BP220" i="1"/>
  <c r="BQ220" i="1" s="1"/>
  <c r="BP221" i="1"/>
  <c r="BQ221" i="1" s="1"/>
  <c r="BP222" i="1"/>
  <c r="BQ222" i="1" s="1"/>
  <c r="BP223" i="1"/>
  <c r="BQ223" i="1" s="1"/>
  <c r="BP204" i="1"/>
  <c r="BQ204" i="1" s="1"/>
  <c r="BP203" i="1"/>
  <c r="BQ203" i="1" s="1"/>
  <c r="L2" i="1"/>
  <c r="D17" i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D38" i="1" s="1"/>
  <c r="D39" i="1" s="1"/>
  <c r="D40" i="1" s="1"/>
  <c r="D41" i="1" s="1"/>
  <c r="T58" i="1"/>
  <c r="H230" i="1"/>
  <c r="H229" i="1"/>
  <c r="H228" i="1"/>
  <c r="H227" i="1"/>
  <c r="CL223" i="1"/>
  <c r="T62" i="1"/>
  <c r="T86" i="1"/>
  <c r="BA40" i="2" l="1"/>
  <c r="BQ244" i="1"/>
  <c r="BS231" i="1"/>
  <c r="BS235" i="1"/>
  <c r="BS244" i="1"/>
  <c r="BS243" i="1"/>
  <c r="BS232" i="1"/>
  <c r="BS240" i="1"/>
  <c r="BS233" i="1"/>
  <c r="BS237" i="1"/>
  <c r="BS241" i="1"/>
  <c r="BS245" i="1"/>
  <c r="BS239" i="1"/>
  <c r="BS236" i="1"/>
  <c r="BS229" i="1"/>
  <c r="BT229" i="1" s="1"/>
  <c r="BQ240" i="1"/>
  <c r="BQ236" i="1"/>
  <c r="BQ232" i="1"/>
  <c r="BS246" i="1"/>
  <c r="BS242" i="1"/>
  <c r="BS238" i="1"/>
  <c r="BS234" i="1"/>
  <c r="BS230" i="1"/>
  <c r="BQ243" i="1"/>
  <c r="BQ239" i="1"/>
  <c r="BQ235" i="1"/>
  <c r="BQ231" i="1"/>
  <c r="BQ246" i="1"/>
  <c r="BQ242" i="1"/>
  <c r="BQ238" i="1"/>
  <c r="BQ234" i="1"/>
  <c r="BQ230" i="1"/>
  <c r="BQ245" i="1"/>
  <c r="BQ241" i="1"/>
  <c r="BQ237" i="1"/>
  <c r="BQ233" i="1"/>
  <c r="BQ229" i="1"/>
  <c r="BR229" i="1" s="1"/>
  <c r="T57" i="1"/>
  <c r="T56" i="1"/>
  <c r="AY39" i="2"/>
  <c r="AX39" i="2"/>
  <c r="AW39" i="2"/>
  <c r="AV39" i="2"/>
  <c r="AU39" i="2"/>
  <c r="AT39" i="2"/>
  <c r="AU40" i="2" s="1"/>
  <c r="AQ39" i="2"/>
  <c r="AP39" i="2"/>
  <c r="CJ233" i="1"/>
  <c r="CJ234" i="1"/>
  <c r="CJ235" i="1"/>
  <c r="CJ236" i="1"/>
  <c r="CJ237" i="1"/>
  <c r="CJ238" i="1"/>
  <c r="CJ239" i="1"/>
  <c r="CJ240" i="1"/>
  <c r="CJ241" i="1"/>
  <c r="CJ242" i="1"/>
  <c r="CJ243" i="1"/>
  <c r="CJ244" i="1"/>
  <c r="CJ245" i="1"/>
  <c r="CJ246" i="1"/>
  <c r="CJ232" i="1"/>
  <c r="CH233" i="1"/>
  <c r="CH234" i="1"/>
  <c r="CH235" i="1"/>
  <c r="CH236" i="1"/>
  <c r="CH237" i="1"/>
  <c r="CH238" i="1"/>
  <c r="CH239" i="1"/>
  <c r="CH240" i="1"/>
  <c r="CH241" i="1"/>
  <c r="CH242" i="1"/>
  <c r="CH243" i="1"/>
  <c r="CH244" i="1"/>
  <c r="CH245" i="1"/>
  <c r="CH246" i="1"/>
  <c r="CH232" i="1"/>
  <c r="CA233" i="1"/>
  <c r="CA234" i="1"/>
  <c r="CA235" i="1"/>
  <c r="CA236" i="1"/>
  <c r="CA237" i="1"/>
  <c r="CA238" i="1"/>
  <c r="CA239" i="1"/>
  <c r="CA240" i="1"/>
  <c r="CA241" i="1"/>
  <c r="CA242" i="1"/>
  <c r="CA243" i="1"/>
  <c r="CA244" i="1"/>
  <c r="CA245" i="1"/>
  <c r="CA246" i="1"/>
  <c r="CA232" i="1"/>
  <c r="BY233" i="1"/>
  <c r="BY234" i="1"/>
  <c r="BY235" i="1"/>
  <c r="BY236" i="1"/>
  <c r="BY237" i="1"/>
  <c r="BY238" i="1"/>
  <c r="BY239" i="1"/>
  <c r="BY240" i="1"/>
  <c r="BY241" i="1"/>
  <c r="BY242" i="1"/>
  <c r="BY243" i="1"/>
  <c r="BY244" i="1"/>
  <c r="BY245" i="1"/>
  <c r="BY246" i="1"/>
  <c r="BY232" i="1"/>
  <c r="BW233" i="1"/>
  <c r="BW234" i="1"/>
  <c r="BW235" i="1"/>
  <c r="BW236" i="1"/>
  <c r="BW237" i="1"/>
  <c r="BW238" i="1"/>
  <c r="BW239" i="1"/>
  <c r="BW240" i="1"/>
  <c r="BW241" i="1"/>
  <c r="BW242" i="1"/>
  <c r="BW243" i="1"/>
  <c r="BW244" i="1"/>
  <c r="BW245" i="1"/>
  <c r="BW246" i="1"/>
  <c r="BW232" i="1"/>
  <c r="BU233" i="1"/>
  <c r="BU234" i="1"/>
  <c r="BU235" i="1"/>
  <c r="BU236" i="1"/>
  <c r="BU237" i="1"/>
  <c r="BU238" i="1"/>
  <c r="BU239" i="1"/>
  <c r="BU240" i="1"/>
  <c r="BU241" i="1"/>
  <c r="BU242" i="1"/>
  <c r="BU243" i="1"/>
  <c r="BU244" i="1"/>
  <c r="BU245" i="1"/>
  <c r="BU246" i="1"/>
  <c r="BU232" i="1"/>
  <c r="AY40" i="2" l="1"/>
  <c r="BQ247" i="1"/>
  <c r="BS247" i="1"/>
  <c r="BT230" i="1"/>
  <c r="BT231" i="1" s="1"/>
  <c r="BT232" i="1" s="1"/>
  <c r="BT233" i="1" s="1"/>
  <c r="BT234" i="1" s="1"/>
  <c r="BT235" i="1" s="1"/>
  <c r="BT236" i="1" s="1"/>
  <c r="BT237" i="1" s="1"/>
  <c r="BT238" i="1" s="1"/>
  <c r="BT239" i="1" s="1"/>
  <c r="BT240" i="1" s="1"/>
  <c r="BT241" i="1" s="1"/>
  <c r="BT242" i="1" s="1"/>
  <c r="BT243" i="1" s="1"/>
  <c r="BT244" i="1" s="1"/>
  <c r="BT245" i="1" s="1"/>
  <c r="BT246" i="1" s="1"/>
  <c r="BR230" i="1"/>
  <c r="BR231" i="1" s="1"/>
  <c r="BR232" i="1" s="1"/>
  <c r="BR233" i="1" s="1"/>
  <c r="BR234" i="1" s="1"/>
  <c r="BR235" i="1" s="1"/>
  <c r="BR236" i="1" s="1"/>
  <c r="BR237" i="1" s="1"/>
  <c r="BR238" i="1" s="1"/>
  <c r="BR239" i="1" s="1"/>
  <c r="BR240" i="1" s="1"/>
  <c r="BR241" i="1" s="1"/>
  <c r="BR242" i="1" s="1"/>
  <c r="BR243" i="1" s="1"/>
  <c r="BR244" i="1" s="1"/>
  <c r="BR245" i="1" s="1"/>
  <c r="BR246" i="1" s="1"/>
  <c r="AW40" i="2"/>
  <c r="BY247" i="1"/>
  <c r="CH247" i="1"/>
  <c r="BW247" i="1"/>
  <c r="CA247" i="1"/>
  <c r="CE247" i="1"/>
  <c r="CJ247" i="1"/>
  <c r="BU247" i="1"/>
  <c r="CC247" i="1"/>
  <c r="AQ40" i="2"/>
  <c r="AY34" i="2" l="1"/>
  <c r="AX34" i="2"/>
  <c r="AW34" i="2"/>
  <c r="AV34" i="2"/>
  <c r="AW35" i="2" s="1"/>
  <c r="AU34" i="2"/>
  <c r="AT34" i="2"/>
  <c r="AQ34" i="2"/>
  <c r="AP34" i="2"/>
  <c r="AY29" i="2"/>
  <c r="AX29" i="2"/>
  <c r="AW29" i="2"/>
  <c r="AV29" i="2"/>
  <c r="AW30" i="2" s="1"/>
  <c r="AU29" i="2"/>
  <c r="AT29" i="2"/>
  <c r="AQ29" i="2"/>
  <c r="AP29" i="2"/>
  <c r="AY24" i="2"/>
  <c r="AX24" i="2"/>
  <c r="AY25" i="2" s="1"/>
  <c r="AW24" i="2"/>
  <c r="AV24" i="2"/>
  <c r="AU24" i="2"/>
  <c r="AT24" i="2"/>
  <c r="AQ24" i="2"/>
  <c r="AP24" i="2"/>
  <c r="AD205" i="1"/>
  <c r="AD204" i="1"/>
  <c r="AM204" i="1"/>
  <c r="AN204" i="1" s="1"/>
  <c r="AM205" i="1"/>
  <c r="AO202" i="1"/>
  <c r="AM203" i="1"/>
  <c r="AQ202" i="1"/>
  <c r="AY19" i="2"/>
  <c r="AX19" i="2"/>
  <c r="AY14" i="2"/>
  <c r="AX14" i="2"/>
  <c r="AY9" i="2"/>
  <c r="AX9" i="2"/>
  <c r="AY10" i="2" s="1"/>
  <c r="AQ30" i="2" l="1"/>
  <c r="AQ25" i="2"/>
  <c r="AS202" i="1"/>
  <c r="I19" i="1"/>
  <c r="AY204" i="1"/>
  <c r="I20" i="1"/>
  <c r="AY205" i="1"/>
  <c r="AN205" i="1"/>
  <c r="AY35" i="2"/>
  <c r="AU30" i="2"/>
  <c r="AY30" i="2"/>
  <c r="AY15" i="2"/>
  <c r="AU35" i="2"/>
  <c r="AW25" i="2"/>
  <c r="AQ204" i="1"/>
  <c r="AQ35" i="2"/>
  <c r="AU25" i="2"/>
  <c r="AQ205" i="1"/>
  <c r="AQ203" i="1"/>
  <c r="AY20" i="2"/>
  <c r="AR204" i="1" l="1"/>
  <c r="AR205" i="1"/>
  <c r="AD203" i="1"/>
  <c r="AY203" i="1" s="1"/>
  <c r="I17" i="1" l="1"/>
  <c r="AO203" i="1"/>
  <c r="I228" i="1" s="1"/>
  <c r="AE203" i="1"/>
  <c r="AW19" i="2"/>
  <c r="AV19" i="2"/>
  <c r="AU19" i="2"/>
  <c r="AT19" i="2"/>
  <c r="AQ19" i="2"/>
  <c r="AP19" i="2"/>
  <c r="J202" i="1"/>
  <c r="H17" i="1" l="1"/>
  <c r="J17" i="1" s="1"/>
  <c r="AZ203" i="1"/>
  <c r="BT203" i="1"/>
  <c r="AS203" i="1"/>
  <c r="AO204" i="1"/>
  <c r="I229" i="1" s="1"/>
  <c r="AW20" i="2"/>
  <c r="AU20" i="2"/>
  <c r="AQ20" i="2"/>
  <c r="H202" i="1"/>
  <c r="AP203" i="1"/>
  <c r="AW14" i="2"/>
  <c r="AV14" i="2"/>
  <c r="AU14" i="2"/>
  <c r="AT14" i="2"/>
  <c r="AQ14" i="2"/>
  <c r="AP14" i="2"/>
  <c r="AQ9" i="2"/>
  <c r="AP9" i="2"/>
  <c r="AW9" i="2"/>
  <c r="AV9" i="2"/>
  <c r="AT203" i="1" l="1"/>
  <c r="J228" i="1"/>
  <c r="AO229" i="1"/>
  <c r="BT204" i="1"/>
  <c r="BT205" i="1" s="1"/>
  <c r="BT206" i="1" s="1"/>
  <c r="BT207" i="1" s="1"/>
  <c r="BT208" i="1" s="1"/>
  <c r="BT209" i="1" s="1"/>
  <c r="BT210" i="1" s="1"/>
  <c r="BT211" i="1" s="1"/>
  <c r="AO205" i="1"/>
  <c r="I230" i="1" s="1"/>
  <c r="AS204" i="1"/>
  <c r="J229" i="1" s="1"/>
  <c r="AM229" i="1"/>
  <c r="AQ229" i="1"/>
  <c r="AQ10" i="2"/>
  <c r="CK232" i="1"/>
  <c r="CK233" i="1" s="1"/>
  <c r="CK234" i="1" s="1"/>
  <c r="CK235" i="1" s="1"/>
  <c r="CK236" i="1" s="1"/>
  <c r="CK237" i="1" s="1"/>
  <c r="CK238" i="1" s="1"/>
  <c r="CK239" i="1" s="1"/>
  <c r="CK240" i="1" s="1"/>
  <c r="CK241" i="1" s="1"/>
  <c r="CK242" i="1" s="1"/>
  <c r="CK243" i="1" s="1"/>
  <c r="CK244" i="1" s="1"/>
  <c r="CK245" i="1" s="1"/>
  <c r="CK246" i="1" s="1"/>
  <c r="J205" i="1"/>
  <c r="BZ232" i="1"/>
  <c r="BZ233" i="1" s="1"/>
  <c r="BZ234" i="1" s="1"/>
  <c r="BZ235" i="1" s="1"/>
  <c r="BZ236" i="1" s="1"/>
  <c r="BZ237" i="1" s="1"/>
  <c r="BZ238" i="1" s="1"/>
  <c r="BZ239" i="1" s="1"/>
  <c r="BZ240" i="1" s="1"/>
  <c r="BZ241" i="1" s="1"/>
  <c r="BZ242" i="1" s="1"/>
  <c r="BZ243" i="1" s="1"/>
  <c r="BZ244" i="1" s="1"/>
  <c r="BZ245" i="1" s="1"/>
  <c r="BZ246" i="1" s="1"/>
  <c r="CI232" i="1"/>
  <c r="CI233" i="1" s="1"/>
  <c r="CI234" i="1" s="1"/>
  <c r="CI235" i="1" s="1"/>
  <c r="CI236" i="1" s="1"/>
  <c r="CI237" i="1" s="1"/>
  <c r="CI238" i="1" s="1"/>
  <c r="CI239" i="1" s="1"/>
  <c r="CI240" i="1" s="1"/>
  <c r="CI241" i="1" s="1"/>
  <c r="CI242" i="1" s="1"/>
  <c r="CI243" i="1" s="1"/>
  <c r="CI244" i="1" s="1"/>
  <c r="CI245" i="1" s="1"/>
  <c r="CI246" i="1" s="1"/>
  <c r="CF232" i="1"/>
  <c r="CF233" i="1" s="1"/>
  <c r="CF234" i="1" s="1"/>
  <c r="CF235" i="1" s="1"/>
  <c r="CF236" i="1" s="1"/>
  <c r="CF237" i="1" s="1"/>
  <c r="CF238" i="1" s="1"/>
  <c r="CF239" i="1" s="1"/>
  <c r="CF240" i="1" s="1"/>
  <c r="CF241" i="1" s="1"/>
  <c r="CF242" i="1" s="1"/>
  <c r="CF243" i="1" s="1"/>
  <c r="CF244" i="1" s="1"/>
  <c r="CF245" i="1" s="1"/>
  <c r="CF246" i="1" s="1"/>
  <c r="CD232" i="1"/>
  <c r="CD233" i="1" s="1"/>
  <c r="CD234" i="1" s="1"/>
  <c r="CD235" i="1" s="1"/>
  <c r="CD236" i="1" s="1"/>
  <c r="CD237" i="1" s="1"/>
  <c r="CD238" i="1" s="1"/>
  <c r="CD239" i="1" s="1"/>
  <c r="CD240" i="1" s="1"/>
  <c r="CD241" i="1" s="1"/>
  <c r="CD242" i="1" s="1"/>
  <c r="CD243" i="1" s="1"/>
  <c r="CD244" i="1" s="1"/>
  <c r="CD245" i="1" s="1"/>
  <c r="CD246" i="1" s="1"/>
  <c r="CB232" i="1"/>
  <c r="CB233" i="1" s="1"/>
  <c r="CB234" i="1" s="1"/>
  <c r="CB235" i="1" s="1"/>
  <c r="CB236" i="1" s="1"/>
  <c r="CB237" i="1" s="1"/>
  <c r="CB238" i="1" s="1"/>
  <c r="CB239" i="1" s="1"/>
  <c r="CB240" i="1" s="1"/>
  <c r="CB241" i="1" s="1"/>
  <c r="CB242" i="1" s="1"/>
  <c r="CB243" i="1" s="1"/>
  <c r="CB244" i="1" s="1"/>
  <c r="CB245" i="1" s="1"/>
  <c r="CB246" i="1" s="1"/>
  <c r="AI30" i="2" l="1"/>
  <c r="AI32" i="2"/>
  <c r="AH34" i="2"/>
  <c r="BT212" i="1"/>
  <c r="BT213" i="1" s="1"/>
  <c r="BT214" i="1" s="1"/>
  <c r="BT215" i="1" s="1"/>
  <c r="BT216" i="1" s="1"/>
  <c r="BT217" i="1" s="1"/>
  <c r="BT218" i="1" s="1"/>
  <c r="BT219" i="1" s="1"/>
  <c r="BT220" i="1" s="1"/>
  <c r="BT221" i="1" s="1"/>
  <c r="BT222" i="1" s="1"/>
  <c r="BT223" i="1" s="1"/>
  <c r="AH31" i="2"/>
  <c r="AO228" i="1"/>
  <c r="AI33" i="2"/>
  <c r="AS205" i="1"/>
  <c r="J230" i="1" s="1"/>
  <c r="AG34" i="2"/>
  <c r="AG31" i="2"/>
  <c r="CG203" i="1"/>
  <c r="CG204" i="1"/>
  <c r="CG205" i="1"/>
  <c r="CG206" i="1"/>
  <c r="CG207" i="1"/>
  <c r="CG208" i="1"/>
  <c r="CG209" i="1"/>
  <c r="CG210" i="1"/>
  <c r="CG211" i="1"/>
  <c r="CG212" i="1"/>
  <c r="CG213" i="1"/>
  <c r="CG214" i="1"/>
  <c r="CG215" i="1"/>
  <c r="CG216" i="1"/>
  <c r="CG217" i="1"/>
  <c r="CG218" i="1"/>
  <c r="CG219" i="1"/>
  <c r="CG220" i="1"/>
  <c r="CG221" i="1"/>
  <c r="CG222" i="1"/>
  <c r="CG223" i="1"/>
  <c r="CG201" i="1"/>
  <c r="H203" i="1"/>
  <c r="L24" i="2"/>
  <c r="K24" i="2"/>
  <c r="N24" i="2"/>
  <c r="M24" i="2"/>
  <c r="AJ34" i="2" l="1"/>
  <c r="AJ31" i="2"/>
  <c r="O21" i="2"/>
  <c r="O17" i="2"/>
  <c r="O13" i="2"/>
  <c r="O9" i="2"/>
  <c r="O5" i="2"/>
  <c r="O18" i="2"/>
  <c r="O14" i="2"/>
  <c r="O6" i="2"/>
  <c r="O24" i="2"/>
  <c r="O20" i="2"/>
  <c r="O16" i="2"/>
  <c r="O12" i="2"/>
  <c r="O8" i="2"/>
  <c r="O4" i="2"/>
  <c r="O22" i="2"/>
  <c r="O10" i="2"/>
  <c r="O23" i="2"/>
  <c r="O19" i="2"/>
  <c r="O15" i="2"/>
  <c r="O11" i="2"/>
  <c r="O7" i="2"/>
  <c r="P8" i="2"/>
  <c r="P5" i="2"/>
  <c r="P9" i="2"/>
  <c r="P13" i="2"/>
  <c r="P17" i="2"/>
  <c r="P21" i="2"/>
  <c r="P4" i="2"/>
  <c r="P16" i="2"/>
  <c r="P24" i="2"/>
  <c r="P6" i="2"/>
  <c r="P10" i="2"/>
  <c r="P14" i="2"/>
  <c r="P18" i="2"/>
  <c r="P22" i="2"/>
  <c r="P12" i="2"/>
  <c r="P20" i="2"/>
  <c r="P7" i="2"/>
  <c r="P11" i="2"/>
  <c r="P15" i="2"/>
  <c r="P19" i="2"/>
  <c r="P23" i="2"/>
  <c r="AI29" i="2"/>
  <c r="B6" i="1" l="1"/>
  <c r="B5" i="1"/>
  <c r="CE196" i="1" l="1"/>
  <c r="CF202" i="1"/>
  <c r="CI201" i="1"/>
  <c r="CI202" i="1" s="1"/>
  <c r="CI203" i="1" s="1"/>
  <c r="CI204" i="1" s="1"/>
  <c r="CI205" i="1" s="1"/>
  <c r="CI206" i="1" s="1"/>
  <c r="CI207" i="1" s="1"/>
  <c r="CI208" i="1" s="1"/>
  <c r="CI209" i="1" s="1"/>
  <c r="CI210" i="1" s="1"/>
  <c r="CI211" i="1" s="1"/>
  <c r="CI212" i="1" s="1"/>
  <c r="CI213" i="1" s="1"/>
  <c r="CI214" i="1" s="1"/>
  <c r="CI215" i="1" s="1"/>
  <c r="CI216" i="1" s="1"/>
  <c r="CI217" i="1" s="1"/>
  <c r="CI218" i="1" s="1"/>
  <c r="CI219" i="1" s="1"/>
  <c r="CI220" i="1" s="1"/>
  <c r="CI221" i="1" s="1"/>
  <c r="CI222" i="1" s="1"/>
  <c r="CI223" i="1" s="1"/>
  <c r="AU9" i="2"/>
  <c r="AT9" i="2"/>
  <c r="AS9" i="2"/>
  <c r="AR9" i="2"/>
  <c r="AN24" i="2"/>
  <c r="AM24" i="2"/>
  <c r="AK24" i="2"/>
  <c r="AJ24" i="2"/>
  <c r="AI24" i="2"/>
  <c r="AH24" i="2"/>
  <c r="AG24" i="2"/>
  <c r="J24" i="2"/>
  <c r="I24" i="2"/>
  <c r="H24" i="2"/>
  <c r="H18" i="2" s="1"/>
  <c r="G24" i="2"/>
  <c r="G18" i="2" s="1"/>
  <c r="F24" i="2"/>
  <c r="F14" i="2" s="1"/>
  <c r="F15" i="2" s="1"/>
  <c r="F16" i="2" s="1"/>
  <c r="F17" i="2" s="1"/>
  <c r="F18" i="2" s="1"/>
  <c r="F19" i="2" s="1"/>
  <c r="F20" i="2" s="1"/>
  <c r="F21" i="2" s="1"/>
  <c r="F22" i="2" s="1"/>
  <c r="F23" i="2" s="1"/>
  <c r="E24" i="2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AL23" i="2"/>
  <c r="AH23" i="2"/>
  <c r="AG23" i="2"/>
  <c r="AL22" i="2"/>
  <c r="AH22" i="2"/>
  <c r="AG22" i="2"/>
  <c r="AL21" i="2"/>
  <c r="AH21" i="2"/>
  <c r="AG21" i="2"/>
  <c r="AL20" i="2"/>
  <c r="AH20" i="2"/>
  <c r="AG20" i="2"/>
  <c r="AL19" i="2"/>
  <c r="AH19" i="2"/>
  <c r="AG19" i="2"/>
  <c r="AK19" i="2"/>
  <c r="AL18" i="2"/>
  <c r="AK18" i="2"/>
  <c r="AH18" i="2"/>
  <c r="AG18" i="2"/>
  <c r="AK17" i="2"/>
  <c r="AH17" i="2"/>
  <c r="AG17" i="2"/>
  <c r="AL16" i="2"/>
  <c r="AK16" i="2"/>
  <c r="AH16" i="2"/>
  <c r="AG16" i="2"/>
  <c r="AK15" i="2"/>
  <c r="AH15" i="2"/>
  <c r="AG15" i="2"/>
  <c r="R15" i="2"/>
  <c r="R16" i="2" s="1"/>
  <c r="R17" i="2" s="1"/>
  <c r="R18" i="2" s="1"/>
  <c r="R19" i="2" s="1"/>
  <c r="R20" i="2" s="1"/>
  <c r="R21" i="2" s="1"/>
  <c r="R22" i="2" s="1"/>
  <c r="R23" i="2" s="1"/>
  <c r="Q15" i="2"/>
  <c r="Q16" i="2" s="1"/>
  <c r="Q17" i="2" s="1"/>
  <c r="Q18" i="2" s="1"/>
  <c r="Q19" i="2" s="1"/>
  <c r="Q20" i="2" s="1"/>
  <c r="Q21" i="2" s="1"/>
  <c r="Q22" i="2" s="1"/>
  <c r="Q23" i="2" s="1"/>
  <c r="AL14" i="2"/>
  <c r="AK14" i="2"/>
  <c r="AJ14" i="2"/>
  <c r="AI14" i="2"/>
  <c r="AH14" i="2"/>
  <c r="AG14" i="2"/>
  <c r="AK13" i="2"/>
  <c r="AH13" i="2"/>
  <c r="AG13" i="2"/>
  <c r="AL12" i="2"/>
  <c r="AK12" i="2"/>
  <c r="AH12" i="2"/>
  <c r="AG12" i="2"/>
  <c r="AK11" i="2"/>
  <c r="AH11" i="2"/>
  <c r="AG11" i="2"/>
  <c r="AL10" i="2"/>
  <c r="AK10" i="2"/>
  <c r="AH10" i="2"/>
  <c r="AG10" i="2"/>
  <c r="AK9" i="2"/>
  <c r="AH9" i="2"/>
  <c r="AG9" i="2"/>
  <c r="AL8" i="2"/>
  <c r="AK8" i="2"/>
  <c r="AH8" i="2"/>
  <c r="AG8" i="2"/>
  <c r="AK7" i="2"/>
  <c r="AH7" i="2"/>
  <c r="AG7" i="2"/>
  <c r="V7" i="2"/>
  <c r="V8" i="2" s="1"/>
  <c r="V9" i="2" s="1"/>
  <c r="V10" i="2" s="1"/>
  <c r="V11" i="2" s="1"/>
  <c r="V12" i="2" s="1"/>
  <c r="U7" i="2"/>
  <c r="AN6" i="2"/>
  <c r="AM6" i="2"/>
  <c r="AK6" i="2"/>
  <c r="AH6" i="2"/>
  <c r="AG6" i="2"/>
  <c r="AK5" i="2"/>
  <c r="AH5" i="2"/>
  <c r="AG5" i="2"/>
  <c r="R5" i="2"/>
  <c r="R6" i="2" s="1"/>
  <c r="R7" i="2" s="1"/>
  <c r="R8" i="2" s="1"/>
  <c r="R9" i="2" s="1"/>
  <c r="R10" i="2" s="1"/>
  <c r="R11" i="2" s="1"/>
  <c r="R12" i="2" s="1"/>
  <c r="R13" i="2" s="1"/>
  <c r="Q5" i="2"/>
  <c r="Q6" i="2" s="1"/>
  <c r="Q7" i="2" s="1"/>
  <c r="Q8" i="2" s="1"/>
  <c r="Q9" i="2" s="1"/>
  <c r="Q10" i="2" s="1"/>
  <c r="Q11" i="2" s="1"/>
  <c r="Q12" i="2" s="1"/>
  <c r="Q13" i="2" s="1"/>
  <c r="AL4" i="2"/>
  <c r="AK4" i="2"/>
  <c r="AJ4" i="2"/>
  <c r="AI4" i="2"/>
  <c r="AH4" i="2"/>
  <c r="AG4" i="2"/>
  <c r="V4" i="2"/>
  <c r="V5" i="2" s="1"/>
  <c r="U4" i="2"/>
  <c r="U5" i="2" s="1"/>
  <c r="AU15" i="2" s="1"/>
  <c r="AN3" i="2"/>
  <c r="AM3" i="2"/>
  <c r="AL3" i="2"/>
  <c r="AK3" i="2"/>
  <c r="AJ3" i="2"/>
  <c r="AI3" i="2"/>
  <c r="AH3" i="2"/>
  <c r="AG3" i="2"/>
  <c r="CK223" i="1"/>
  <c r="CK222" i="1"/>
  <c r="CK221" i="1"/>
  <c r="CK220" i="1"/>
  <c r="CK219" i="1"/>
  <c r="CK218" i="1"/>
  <c r="CK217" i="1"/>
  <c r="CK216" i="1"/>
  <c r="CK215" i="1"/>
  <c r="CK214" i="1"/>
  <c r="CK213" i="1"/>
  <c r="CK212" i="1"/>
  <c r="CK211" i="1"/>
  <c r="CK210" i="1"/>
  <c r="CK209" i="1"/>
  <c r="CK208" i="1"/>
  <c r="CK207" i="1"/>
  <c r="CK206" i="1"/>
  <c r="CK205" i="1"/>
  <c r="CK204" i="1"/>
  <c r="CK203" i="1"/>
  <c r="CF219" i="1"/>
  <c r="CM225" i="1"/>
  <c r="CM214" i="1"/>
  <c r="CM204" i="1"/>
  <c r="CJ225" i="1"/>
  <c r="CH225" i="1"/>
  <c r="AF202" i="1"/>
  <c r="Y202" i="1"/>
  <c r="V202" i="1"/>
  <c r="G19" i="2" l="1"/>
  <c r="AM227" i="1"/>
  <c r="H19" i="2"/>
  <c r="CF183" i="1"/>
  <c r="CF188" i="1"/>
  <c r="CF181" i="1"/>
  <c r="CF186" i="1"/>
  <c r="CF187" i="1"/>
  <c r="CF178" i="1"/>
  <c r="CF182" i="1"/>
  <c r="CF179" i="1"/>
  <c r="CF184" i="1"/>
  <c r="CF140" i="1"/>
  <c r="CF180" i="1"/>
  <c r="CF185" i="1"/>
  <c r="K8" i="2"/>
  <c r="K12" i="2"/>
  <c r="K16" i="2"/>
  <c r="K20" i="2"/>
  <c r="K4" i="2"/>
  <c r="K15" i="2"/>
  <c r="K23" i="2"/>
  <c r="K5" i="2"/>
  <c r="K9" i="2"/>
  <c r="K13" i="2"/>
  <c r="K17" i="2"/>
  <c r="K21" i="2"/>
  <c r="K11" i="2"/>
  <c r="K6" i="2"/>
  <c r="K10" i="2"/>
  <c r="K14" i="2"/>
  <c r="K18" i="2"/>
  <c r="K22" i="2"/>
  <c r="K7" i="2"/>
  <c r="K19" i="2"/>
  <c r="AN202" i="1"/>
  <c r="AR202" i="1"/>
  <c r="H15" i="2"/>
  <c r="CF194" i="1"/>
  <c r="CF189" i="1"/>
  <c r="CF193" i="1"/>
  <c r="CF196" i="1"/>
  <c r="CF191" i="1"/>
  <c r="CF195" i="1"/>
  <c r="CF190" i="1"/>
  <c r="F4" i="2"/>
  <c r="F5" i="2" s="1"/>
  <c r="F6" i="2" s="1"/>
  <c r="F7" i="2" s="1"/>
  <c r="F8" i="2" s="1"/>
  <c r="F9" i="2" s="1"/>
  <c r="F10" i="2" s="1"/>
  <c r="F11" i="2" s="1"/>
  <c r="F12" i="2" s="1"/>
  <c r="F13" i="2" s="1"/>
  <c r="I5" i="2"/>
  <c r="J4" i="2"/>
  <c r="E4" i="2"/>
  <c r="E5" i="2" s="1"/>
  <c r="E6" i="2" s="1"/>
  <c r="E7" i="2" s="1"/>
  <c r="E8" i="2" s="1"/>
  <c r="E9" i="2" s="1"/>
  <c r="E10" i="2" s="1"/>
  <c r="E11" i="2" s="1"/>
  <c r="E12" i="2" s="1"/>
  <c r="E13" i="2" s="1"/>
  <c r="I4" i="2"/>
  <c r="I6" i="2"/>
  <c r="I7" i="2"/>
  <c r="H7" i="2"/>
  <c r="H9" i="2"/>
  <c r="H20" i="2"/>
  <c r="H21" i="2"/>
  <c r="H22" i="2"/>
  <c r="H23" i="2"/>
  <c r="H5" i="2"/>
  <c r="H11" i="2"/>
  <c r="H13" i="2"/>
  <c r="H17" i="2"/>
  <c r="AS10" i="2"/>
  <c r="J6" i="2"/>
  <c r="G5" i="2"/>
  <c r="G8" i="2"/>
  <c r="G16" i="2"/>
  <c r="G4" i="2"/>
  <c r="G11" i="2"/>
  <c r="G15" i="2"/>
  <c r="G17" i="2"/>
  <c r="G6" i="2"/>
  <c r="G9" i="2"/>
  <c r="G12" i="2"/>
  <c r="G14" i="2"/>
  <c r="AU10" i="2"/>
  <c r="G7" i="2"/>
  <c r="G10" i="2"/>
  <c r="G13" i="2"/>
  <c r="V13" i="2"/>
  <c r="V14" i="2" s="1"/>
  <c r="J12" i="2"/>
  <c r="U8" i="2"/>
  <c r="J10" i="2"/>
  <c r="AK20" i="2"/>
  <c r="G20" i="2"/>
  <c r="AK21" i="2"/>
  <c r="G21" i="2"/>
  <c r="AK22" i="2"/>
  <c r="G22" i="2"/>
  <c r="AK23" i="2"/>
  <c r="G23" i="2"/>
  <c r="J8" i="2"/>
  <c r="AL24" i="2"/>
  <c r="H4" i="2"/>
  <c r="J5" i="2"/>
  <c r="AL5" i="2"/>
  <c r="H6" i="2"/>
  <c r="AL6" i="2"/>
  <c r="J7" i="2"/>
  <c r="AL7" i="2"/>
  <c r="H8" i="2"/>
  <c r="J9" i="2"/>
  <c r="AL9" i="2"/>
  <c r="H10" i="2"/>
  <c r="J11" i="2"/>
  <c r="AL11" i="2"/>
  <c r="H12" i="2"/>
  <c r="J13" i="2"/>
  <c r="AL13" i="2"/>
  <c r="H14" i="2"/>
  <c r="AL15" i="2"/>
  <c r="H16" i="2"/>
  <c r="AL17" i="2"/>
  <c r="J204" i="1"/>
  <c r="AO227" i="1" l="1"/>
  <c r="AO232" i="1" s="1"/>
  <c r="AO206" i="1" s="1"/>
  <c r="I231" i="1" s="1"/>
  <c r="AS227" i="1"/>
  <c r="AI27" i="2"/>
  <c r="AM228" i="1"/>
  <c r="AM232" i="1" s="1"/>
  <c r="AQ228" i="1"/>
  <c r="I204" i="1"/>
  <c r="AQ15" i="2"/>
  <c r="AH203" i="1"/>
  <c r="I8" i="2"/>
  <c r="U9" i="2"/>
  <c r="V15" i="2"/>
  <c r="J14" i="2"/>
  <c r="AM233" i="1" l="1"/>
  <c r="AM206" i="1"/>
  <c r="AO207" i="1"/>
  <c r="I232" i="1" s="1"/>
  <c r="AH28" i="2"/>
  <c r="AI26" i="2"/>
  <c r="AG28" i="2"/>
  <c r="U10" i="2"/>
  <c r="I9" i="2"/>
  <c r="V16" i="2"/>
  <c r="J15" i="2"/>
  <c r="AM207" i="1" l="1"/>
  <c r="AM230" i="1"/>
  <c r="AO208" i="1"/>
  <c r="I233" i="1" s="1"/>
  <c r="AJ28" i="2"/>
  <c r="V17" i="2"/>
  <c r="J16" i="2"/>
  <c r="U11" i="2"/>
  <c r="I10" i="2"/>
  <c r="AM208" i="1" l="1"/>
  <c r="AM209" i="1" s="1"/>
  <c r="AM210" i="1" s="1"/>
  <c r="AM211" i="1" s="1"/>
  <c r="AM212" i="1" s="1"/>
  <c r="AM213" i="1" s="1"/>
  <c r="AM214" i="1" s="1"/>
  <c r="AM215" i="1" s="1"/>
  <c r="AM216" i="1" s="1"/>
  <c r="AM217" i="1" s="1"/>
  <c r="AM218" i="1" s="1"/>
  <c r="AM219" i="1" s="1"/>
  <c r="AM231" i="1"/>
  <c r="AO209" i="1"/>
  <c r="I234" i="1" s="1"/>
  <c r="I11" i="2"/>
  <c r="U12" i="2"/>
  <c r="V18" i="2"/>
  <c r="J17" i="2"/>
  <c r="AM220" i="1" l="1"/>
  <c r="AM221" i="1" s="1"/>
  <c r="AM222" i="1" s="1"/>
  <c r="AM223" i="1" s="1"/>
  <c r="AO210" i="1"/>
  <c r="I235" i="1" s="1"/>
  <c r="V19" i="2"/>
  <c r="J18" i="2"/>
  <c r="U13" i="2"/>
  <c r="I12" i="2"/>
  <c r="AM265" i="1" l="1"/>
  <c r="AM266" i="1" s="1"/>
  <c r="Q220" i="1"/>
  <c r="Q219" i="1"/>
  <c r="AO211" i="1"/>
  <c r="I236" i="1" s="1"/>
  <c r="U14" i="2"/>
  <c r="I13" i="2"/>
  <c r="V20" i="2"/>
  <c r="J19" i="2"/>
  <c r="Q221" i="1" l="1"/>
  <c r="AO212" i="1"/>
  <c r="I237" i="1" s="1"/>
  <c r="V21" i="2"/>
  <c r="J20" i="2"/>
  <c r="U15" i="2"/>
  <c r="I14" i="2"/>
  <c r="Q223" i="1" l="1"/>
  <c r="Q222" i="1"/>
  <c r="AO213" i="1"/>
  <c r="I238" i="1" s="1"/>
  <c r="U16" i="2"/>
  <c r="I15" i="2"/>
  <c r="V22" i="2"/>
  <c r="J21" i="2"/>
  <c r="AO214" i="1" l="1"/>
  <c r="I239" i="1" s="1"/>
  <c r="V23" i="2"/>
  <c r="J23" i="2" s="1"/>
  <c r="J22" i="2"/>
  <c r="U17" i="2"/>
  <c r="I16" i="2"/>
  <c r="AO215" i="1" l="1"/>
  <c r="I240" i="1" s="1"/>
  <c r="U18" i="2"/>
  <c r="I17" i="2"/>
  <c r="AO216" i="1" l="1"/>
  <c r="I241" i="1" s="1"/>
  <c r="U19" i="2"/>
  <c r="I18" i="2"/>
  <c r="AO217" i="1" l="1"/>
  <c r="I242" i="1" s="1"/>
  <c r="U20" i="2"/>
  <c r="I19" i="2"/>
  <c r="AO218" i="1" l="1"/>
  <c r="I243" i="1" s="1"/>
  <c r="U21" i="2"/>
  <c r="I20" i="2"/>
  <c r="AO219" i="1" l="1"/>
  <c r="U22" i="2"/>
  <c r="I21" i="2"/>
  <c r="I244" i="1" l="1"/>
  <c r="Q244" i="1"/>
  <c r="AO220" i="1"/>
  <c r="I245" i="1" s="1"/>
  <c r="U23" i="2"/>
  <c r="I23" i="2" s="1"/>
  <c r="I22" i="2"/>
  <c r="Q245" i="1" l="1"/>
  <c r="AO221" i="1"/>
  <c r="I246" i="1" s="1"/>
  <c r="W203" i="1"/>
  <c r="W204" i="1" s="1"/>
  <c r="W205" i="1" s="1"/>
  <c r="W206" i="1" s="1"/>
  <c r="W207" i="1" s="1"/>
  <c r="W208" i="1" s="1"/>
  <c r="W209" i="1" s="1"/>
  <c r="W210" i="1" s="1"/>
  <c r="W211" i="1" s="1"/>
  <c r="W212" i="1" s="1"/>
  <c r="W213" i="1" s="1"/>
  <c r="Q246" i="1" l="1"/>
  <c r="AO222" i="1"/>
  <c r="I247" i="1" s="1"/>
  <c r="W214" i="1"/>
  <c r="W215" i="1" s="1"/>
  <c r="W216" i="1" s="1"/>
  <c r="W217" i="1" s="1"/>
  <c r="W218" i="1" s="1"/>
  <c r="W219" i="1" s="1"/>
  <c r="W220" i="1" s="1"/>
  <c r="W221" i="1" s="1"/>
  <c r="W222" i="1" s="1"/>
  <c r="W223" i="1" s="1"/>
  <c r="V213" i="1"/>
  <c r="I3" i="1"/>
  <c r="Q247" i="1" l="1"/>
  <c r="AO223" i="1"/>
  <c r="I248" i="1" s="1"/>
  <c r="Q248" i="1" l="1"/>
  <c r="E190" i="1"/>
  <c r="Y223" i="1"/>
  <c r="G223" i="1" s="1"/>
  <c r="G248" i="1" s="1"/>
  <c r="V223" i="1"/>
  <c r="Y222" i="1"/>
  <c r="G222" i="1" s="1"/>
  <c r="G247" i="1" s="1"/>
  <c r="V222" i="1"/>
  <c r="Y221" i="1"/>
  <c r="G221" i="1" s="1"/>
  <c r="G246" i="1" s="1"/>
  <c r="V221" i="1"/>
  <c r="Y220" i="1"/>
  <c r="G220" i="1" s="1"/>
  <c r="G245" i="1" s="1"/>
  <c r="V220" i="1"/>
  <c r="Y219" i="1"/>
  <c r="G219" i="1" s="1"/>
  <c r="G244" i="1" s="1"/>
  <c r="V219" i="1"/>
  <c r="Y218" i="1"/>
  <c r="G218" i="1" s="1"/>
  <c r="G243" i="1" s="1"/>
  <c r="V218" i="1"/>
  <c r="Y217" i="1"/>
  <c r="G217" i="1" s="1"/>
  <c r="G242" i="1" s="1"/>
  <c r="V217" i="1"/>
  <c r="Y216" i="1"/>
  <c r="G216" i="1" s="1"/>
  <c r="G241" i="1" s="1"/>
  <c r="V216" i="1"/>
  <c r="Y215" i="1"/>
  <c r="G215" i="1" s="1"/>
  <c r="G240" i="1" s="1"/>
  <c r="V215" i="1"/>
  <c r="Y214" i="1"/>
  <c r="G214" i="1" s="1"/>
  <c r="G239" i="1" s="1"/>
  <c r="V214" i="1"/>
  <c r="Y213" i="1"/>
  <c r="G213" i="1" s="1"/>
  <c r="G238" i="1" s="1"/>
  <c r="Y212" i="1"/>
  <c r="G212" i="1" s="1"/>
  <c r="G237" i="1" s="1"/>
  <c r="V212" i="1"/>
  <c r="Y211" i="1"/>
  <c r="G211" i="1" s="1"/>
  <c r="G236" i="1" s="1"/>
  <c r="V211" i="1"/>
  <c r="Y210" i="1"/>
  <c r="G210" i="1" s="1"/>
  <c r="G235" i="1" s="1"/>
  <c r="V210" i="1"/>
  <c r="Y209" i="1"/>
  <c r="G209" i="1" s="1"/>
  <c r="G234" i="1" s="1"/>
  <c r="V209" i="1"/>
  <c r="Y208" i="1"/>
  <c r="G208" i="1" s="1"/>
  <c r="G233" i="1" s="1"/>
  <c r="V208" i="1"/>
  <c r="Y207" i="1"/>
  <c r="G207" i="1" s="1"/>
  <c r="G232" i="1" s="1"/>
  <c r="V207" i="1"/>
  <c r="Y206" i="1"/>
  <c r="G206" i="1" s="1"/>
  <c r="G231" i="1" s="1"/>
  <c r="V206" i="1"/>
  <c r="Y205" i="1"/>
  <c r="G205" i="1" s="1"/>
  <c r="G230" i="1" s="1"/>
  <c r="V205" i="1"/>
  <c r="Y204" i="1"/>
  <c r="G204" i="1" s="1"/>
  <c r="G229" i="1" s="1"/>
  <c r="V204" i="1"/>
  <c r="AF203" i="1"/>
  <c r="AN203" i="1"/>
  <c r="J203" i="1"/>
  <c r="Y203" i="1"/>
  <c r="G203" i="1" s="1"/>
  <c r="G228" i="1" s="1"/>
  <c r="AM201" i="1"/>
  <c r="I202" i="1" s="1"/>
  <c r="Y201" i="1"/>
  <c r="V201" i="1"/>
  <c r="G191" i="1" l="1"/>
  <c r="G192" i="1" s="1"/>
  <c r="J191" i="1"/>
  <c r="J192" i="1" s="1"/>
  <c r="K191" i="1"/>
  <c r="K192" i="1" s="1"/>
  <c r="AQ227" i="1"/>
  <c r="I203" i="1"/>
  <c r="AR203" i="1"/>
  <c r="Z202" i="1"/>
  <c r="AV202" i="1" s="1"/>
  <c r="G202" i="1"/>
  <c r="G227" i="1" s="1"/>
  <c r="AG203" i="1"/>
  <c r="Z206" i="1"/>
  <c r="Z219" i="1"/>
  <c r="Z220" i="1"/>
  <c r="Z210" i="1"/>
  <c r="Z215" i="1"/>
  <c r="Z203" i="1"/>
  <c r="AA203" i="1" s="1"/>
  <c r="AU203" i="1" s="1"/>
  <c r="Z205" i="1"/>
  <c r="Z209" i="1"/>
  <c r="Z213" i="1"/>
  <c r="Z214" i="1"/>
  <c r="Z218" i="1"/>
  <c r="Z223" i="1"/>
  <c r="Z204" i="1"/>
  <c r="Z208" i="1"/>
  <c r="Z212" i="1"/>
  <c r="Z217" i="1"/>
  <c r="Z222" i="1"/>
  <c r="Z207" i="1"/>
  <c r="Z211" i="1"/>
  <c r="Z216" i="1"/>
  <c r="Z221" i="1"/>
  <c r="L191" i="1"/>
  <c r="L192" i="1" s="1"/>
  <c r="F191" i="1"/>
  <c r="F192" i="1" s="1"/>
  <c r="I191" i="1"/>
  <c r="I192" i="1" s="1"/>
  <c r="E191" i="1"/>
  <c r="E192" i="1" s="1"/>
  <c r="AQ232" i="1" l="1"/>
  <c r="AQ206" i="1" s="1"/>
  <c r="AU202" i="1"/>
  <c r="AV203" i="1"/>
  <c r="AA214" i="1"/>
  <c r="AA204" i="1"/>
  <c r="AA207" i="1"/>
  <c r="AA206" i="1"/>
  <c r="AA221" i="1"/>
  <c r="AA205" i="1"/>
  <c r="AA223" i="1"/>
  <c r="AA209" i="1"/>
  <c r="AA217" i="1"/>
  <c r="AA216" i="1"/>
  <c r="AA210" i="1"/>
  <c r="AA208" i="1"/>
  <c r="AA219" i="1"/>
  <c r="AA218" i="1"/>
  <c r="AA211" i="1"/>
  <c r="AA222" i="1"/>
  <c r="AA220" i="1"/>
  <c r="AA213" i="1"/>
  <c r="AA212" i="1"/>
  <c r="AA215" i="1"/>
  <c r="H191" i="1"/>
  <c r="H192" i="1" s="1"/>
  <c r="AQ207" i="1" l="1"/>
  <c r="I223" i="1"/>
  <c r="AQ208" i="1" l="1"/>
  <c r="I205" i="1"/>
  <c r="AQ209" i="1" l="1"/>
  <c r="J209" i="1" s="1"/>
  <c r="AQ210" i="1" l="1"/>
  <c r="AQ211" i="1" l="1"/>
  <c r="J211" i="1" s="1"/>
  <c r="J210" i="1"/>
  <c r="AQ212" i="1" l="1"/>
  <c r="J212" i="1" s="1"/>
  <c r="AQ213" i="1" l="1"/>
  <c r="J213" i="1" s="1"/>
  <c r="I211" i="1"/>
  <c r="AQ214" i="1" l="1"/>
  <c r="J214" i="1" s="1"/>
  <c r="I212" i="1"/>
  <c r="AQ215" i="1" l="1"/>
  <c r="J215" i="1" s="1"/>
  <c r="I213" i="1"/>
  <c r="AQ216" i="1" l="1"/>
  <c r="J216" i="1" s="1"/>
  <c r="I214" i="1"/>
  <c r="AQ217" i="1" l="1"/>
  <c r="I215" i="1"/>
  <c r="AQ218" i="1" l="1"/>
  <c r="J218" i="1" s="1"/>
  <c r="J217" i="1"/>
  <c r="I216" i="1"/>
  <c r="AQ219" i="1" l="1"/>
  <c r="R219" i="1" s="1"/>
  <c r="I217" i="1"/>
  <c r="AQ220" i="1" l="1"/>
  <c r="R220" i="1" s="1"/>
  <c r="J219" i="1"/>
  <c r="I218" i="1"/>
  <c r="AQ221" i="1" l="1"/>
  <c r="J221" i="1" s="1"/>
  <c r="J220" i="1"/>
  <c r="I219" i="1"/>
  <c r="R221" i="1" l="1"/>
  <c r="AQ222" i="1"/>
  <c r="J222" i="1" s="1"/>
  <c r="I220" i="1"/>
  <c r="R222" i="1" l="1"/>
  <c r="AQ223" i="1"/>
  <c r="I222" i="1"/>
  <c r="I221" i="1"/>
  <c r="R223" i="1" l="1"/>
  <c r="AW10" i="2"/>
  <c r="AW15" i="2"/>
  <c r="L20" i="2" l="1"/>
  <c r="L19" i="2"/>
  <c r="L22" i="2"/>
  <c r="L10" i="2"/>
  <c r="L5" i="2"/>
  <c r="L13" i="2"/>
  <c r="L21" i="2"/>
  <c r="L8" i="2"/>
  <c r="L4" i="2"/>
  <c r="L6" i="2"/>
  <c r="L11" i="2"/>
  <c r="L12" i="2"/>
  <c r="L7" i="2"/>
  <c r="L15" i="2"/>
  <c r="L23" i="2"/>
  <c r="L14" i="2"/>
  <c r="L16" i="2"/>
  <c r="L9" i="2"/>
  <c r="L17" i="2"/>
  <c r="L18" i="2"/>
  <c r="AM196" i="1" l="1"/>
  <c r="N4" i="2" l="1"/>
  <c r="N6" i="2"/>
  <c r="N5" i="2"/>
  <c r="N7" i="2"/>
  <c r="N8" i="2" l="1"/>
  <c r="N9" i="2" l="1"/>
  <c r="N10" i="2" l="1"/>
  <c r="N11" i="2" l="1"/>
  <c r="N12" i="2" l="1"/>
  <c r="N13" i="2" l="1"/>
  <c r="N14" i="2" l="1"/>
  <c r="N15" i="2" l="1"/>
  <c r="N16" i="2" l="1"/>
  <c r="N17" i="2" l="1"/>
  <c r="N18" i="2" l="1"/>
  <c r="N19" i="2" l="1"/>
  <c r="N20" i="2" l="1"/>
  <c r="N21" i="2" l="1"/>
  <c r="N22" i="2" l="1"/>
  <c r="N23" i="2" l="1"/>
  <c r="BW225" i="1" l="1"/>
  <c r="BX232" i="1" l="1"/>
  <c r="BX233" i="1" s="1"/>
  <c r="BX234" i="1" s="1"/>
  <c r="BX235" i="1" s="1"/>
  <c r="BX236" i="1" s="1"/>
  <c r="BX237" i="1" s="1"/>
  <c r="BX238" i="1" s="1"/>
  <c r="BX239" i="1" s="1"/>
  <c r="BX240" i="1" s="1"/>
  <c r="BX241" i="1" s="1"/>
  <c r="BX242" i="1" s="1"/>
  <c r="BX243" i="1" s="1"/>
  <c r="BX244" i="1" s="1"/>
  <c r="BX245" i="1" s="1"/>
  <c r="BX246" i="1" s="1"/>
  <c r="M4" i="2" l="1"/>
  <c r="M6" i="2"/>
  <c r="M5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CM237" i="1" l="1"/>
  <c r="CM241" i="1"/>
  <c r="BU225" i="1"/>
  <c r="CM235" i="1"/>
  <c r="CM233" i="1"/>
  <c r="CM245" i="1"/>
  <c r="CM244" i="1"/>
  <c r="CM236" i="1"/>
  <c r="CM239" i="1"/>
  <c r="CM246" i="1"/>
  <c r="CM234" i="1"/>
  <c r="CM243" i="1"/>
  <c r="CM232" i="1"/>
  <c r="CM242" i="1"/>
  <c r="CM238" i="1"/>
  <c r="CM240" i="1"/>
  <c r="BV232" i="1" l="1"/>
  <c r="BV233" i="1" s="1"/>
  <c r="BV234" i="1" s="1"/>
  <c r="BV235" i="1" s="1"/>
  <c r="BV236" i="1" s="1"/>
  <c r="BV237" i="1" s="1"/>
  <c r="BV238" i="1" s="1"/>
  <c r="BV239" i="1" s="1"/>
  <c r="BV240" i="1" s="1"/>
  <c r="BV241" i="1" s="1"/>
  <c r="BV242" i="1" s="1"/>
  <c r="BV243" i="1" s="1"/>
  <c r="BV244" i="1" s="1"/>
  <c r="BV245" i="1" s="1"/>
  <c r="BV246" i="1" s="1"/>
  <c r="L3" i="1"/>
  <c r="AS228" i="1" l="1"/>
  <c r="AE204" i="1"/>
  <c r="AZ204" i="1" l="1"/>
  <c r="AG204" i="1"/>
  <c r="H19" i="1"/>
  <c r="J19" i="1" s="1"/>
  <c r="H204" i="1"/>
  <c r="AT204" i="1"/>
  <c r="AP204" i="1"/>
  <c r="AU204" i="1"/>
  <c r="AH204" i="1"/>
  <c r="AF204" i="1"/>
  <c r="AV204" i="1"/>
  <c r="H205" i="1" l="1"/>
  <c r="AE205" i="1"/>
  <c r="AV205" i="1"/>
  <c r="AF205" i="1"/>
  <c r="AB196" i="1"/>
  <c r="AS229" i="1"/>
  <c r="AS232" i="1" s="1"/>
  <c r="AT205" i="1"/>
  <c r="AP205" i="1"/>
  <c r="H20" i="1" l="1"/>
  <c r="J20" i="1" s="1"/>
  <c r="AZ205" i="1"/>
  <c r="AS206" i="1"/>
  <c r="J231" i="1" s="1"/>
  <c r="AQ233" i="1"/>
  <c r="AC230" i="1"/>
  <c r="AU205" i="1"/>
  <c r="AG205" i="1"/>
  <c r="AH205" i="1"/>
  <c r="AE7" i="2" l="1"/>
  <c r="AS207" i="1"/>
  <c r="AY206" i="1"/>
  <c r="CE201" i="1"/>
  <c r="CF209" i="1" s="1"/>
  <c r="J232" i="1" l="1"/>
  <c r="AF7" i="2"/>
  <c r="AE35" i="2"/>
  <c r="AE36" i="2"/>
  <c r="AX206" i="1"/>
  <c r="AW206" i="1"/>
  <c r="I26" i="1"/>
  <c r="AS208" i="1"/>
  <c r="CF210" i="1"/>
  <c r="CF203" i="1"/>
  <c r="CF213" i="1"/>
  <c r="CF207" i="1"/>
  <c r="CF220" i="1"/>
  <c r="CF221" i="1"/>
  <c r="CF204" i="1"/>
  <c r="CE225" i="1"/>
  <c r="CF215" i="1"/>
  <c r="CF208" i="1"/>
  <c r="CF206" i="1"/>
  <c r="CF216" i="1"/>
  <c r="CF214" i="1"/>
  <c r="CF218" i="1"/>
  <c r="CF222" i="1"/>
  <c r="CF211" i="1"/>
  <c r="CF212" i="1"/>
  <c r="CF205" i="1"/>
  <c r="CF217" i="1"/>
  <c r="CF223" i="1"/>
  <c r="J233" i="1" l="1"/>
  <c r="AF35" i="2"/>
  <c r="AF36" i="2"/>
  <c r="AT207" i="1"/>
  <c r="AP207" i="1"/>
  <c r="AF8" i="2"/>
  <c r="I35" i="1"/>
  <c r="AY207" i="1"/>
  <c r="AF206" i="1"/>
  <c r="AV206" i="1"/>
  <c r="H206" i="1"/>
  <c r="AE206" i="1"/>
  <c r="AZ206" i="1" s="1"/>
  <c r="AS209" i="1"/>
  <c r="AX207" i="1"/>
  <c r="H231" i="1"/>
  <c r="AO230" i="1"/>
  <c r="AS230" i="1"/>
  <c r="AP206" i="1"/>
  <c r="AT206" i="1"/>
  <c r="J234" i="1" l="1"/>
  <c r="AP208" i="1"/>
  <c r="AF9" i="2"/>
  <c r="AT208" i="1"/>
  <c r="AF38" i="2"/>
  <c r="AF39" i="2"/>
  <c r="I37" i="1"/>
  <c r="AY208" i="1"/>
  <c r="AS210" i="1"/>
  <c r="AU206" i="1"/>
  <c r="AG206" i="1"/>
  <c r="AH206" i="1"/>
  <c r="H26" i="1"/>
  <c r="J26" i="1" s="1"/>
  <c r="AX208" i="1"/>
  <c r="H232" i="1"/>
  <c r="AO231" i="1"/>
  <c r="AS231" i="1"/>
  <c r="J235" i="1" l="1"/>
  <c r="AP209" i="1"/>
  <c r="AT209" i="1"/>
  <c r="AF10" i="2"/>
  <c r="AF41" i="2"/>
  <c r="AF42" i="2"/>
  <c r="I30" i="1"/>
  <c r="AY209" i="1"/>
  <c r="AH37" i="2"/>
  <c r="AI36" i="2"/>
  <c r="AX209" i="1"/>
  <c r="H233" i="1"/>
  <c r="AV207" i="1"/>
  <c r="H207" i="1"/>
  <c r="AE207" i="1"/>
  <c r="AF207" i="1"/>
  <c r="AI35" i="2"/>
  <c r="AG37" i="2"/>
  <c r="AS211" i="1"/>
  <c r="J236" i="1" l="1"/>
  <c r="AF11" i="2"/>
  <c r="AP210" i="1"/>
  <c r="AT210" i="1"/>
  <c r="AF44" i="2"/>
  <c r="AF45" i="2"/>
  <c r="AE8" i="2"/>
  <c r="AW207" i="1"/>
  <c r="AZ207" i="1"/>
  <c r="AH207" i="1"/>
  <c r="AH40" i="2"/>
  <c r="AJ37" i="2"/>
  <c r="I33" i="1"/>
  <c r="AY210" i="1"/>
  <c r="AS212" i="1"/>
  <c r="AU207" i="1"/>
  <c r="H35" i="1"/>
  <c r="J35" i="1" s="1"/>
  <c r="AG207" i="1"/>
  <c r="AX210" i="1"/>
  <c r="H234" i="1"/>
  <c r="J237" i="1" l="1"/>
  <c r="AP211" i="1"/>
  <c r="AT211" i="1"/>
  <c r="AF12" i="2"/>
  <c r="AE38" i="2"/>
  <c r="AE39" i="2"/>
  <c r="AI39" i="2" s="1"/>
  <c r="I34" i="1"/>
  <c r="AY211" i="1"/>
  <c r="AH43" i="2"/>
  <c r="AX211" i="1"/>
  <c r="H235" i="1"/>
  <c r="AE208" i="1"/>
  <c r="AZ208" i="1" s="1"/>
  <c r="H208" i="1"/>
  <c r="AF208" i="1"/>
  <c r="AV208" i="1"/>
  <c r="AS213" i="1"/>
  <c r="AG40" i="2"/>
  <c r="AJ40" i="2" s="1"/>
  <c r="AI38" i="2"/>
  <c r="J238" i="1" l="1"/>
  <c r="AF13" i="2"/>
  <c r="AP212" i="1"/>
  <c r="AT212" i="1"/>
  <c r="AE9" i="2"/>
  <c r="AW208" i="1"/>
  <c r="I31" i="1"/>
  <c r="AY212" i="1"/>
  <c r="AS214" i="1"/>
  <c r="H37" i="1"/>
  <c r="J37" i="1" s="1"/>
  <c r="AU208" i="1"/>
  <c r="AH208" i="1"/>
  <c r="AG208" i="1"/>
  <c r="AX212" i="1"/>
  <c r="H236" i="1"/>
  <c r="J239" i="1" l="1"/>
  <c r="AT213" i="1"/>
  <c r="AF14" i="2"/>
  <c r="AP213" i="1"/>
  <c r="AE10" i="2"/>
  <c r="AE41" i="2"/>
  <c r="AE42" i="2"/>
  <c r="AI42" i="2" s="1"/>
  <c r="I36" i="1"/>
  <c r="AY213" i="1"/>
  <c r="AW209" i="1"/>
  <c r="AS215" i="1"/>
  <c r="AR209" i="1"/>
  <c r="AX213" i="1"/>
  <c r="H237" i="1"/>
  <c r="AG43" i="2"/>
  <c r="AJ43" i="2" s="1"/>
  <c r="AI41" i="2"/>
  <c r="H209" i="1"/>
  <c r="AF209" i="1"/>
  <c r="AV209" i="1"/>
  <c r="AE209" i="1"/>
  <c r="J240" i="1" l="1"/>
  <c r="AT214" i="1"/>
  <c r="AF15" i="2"/>
  <c r="AP214" i="1"/>
  <c r="AE44" i="2"/>
  <c r="AE45" i="2"/>
  <c r="AF49" i="2"/>
  <c r="I32" i="1"/>
  <c r="AY214" i="1"/>
  <c r="AH209" i="1"/>
  <c r="AZ209" i="1"/>
  <c r="AX214" i="1"/>
  <c r="H238" i="1"/>
  <c r="AS216" i="1"/>
  <c r="H30" i="1"/>
  <c r="J30" i="1" s="1"/>
  <c r="AH46" i="2"/>
  <c r="AI44" i="2"/>
  <c r="AG209" i="1"/>
  <c r="AU209" i="1"/>
  <c r="J241" i="1" l="1"/>
  <c r="AP215" i="1"/>
  <c r="AT215" i="1"/>
  <c r="AF16" i="2"/>
  <c r="AR210" i="1"/>
  <c r="AE49" i="2"/>
  <c r="AE50" i="2" s="1"/>
  <c r="I27" i="1"/>
  <c r="AY215" i="1"/>
  <c r="AS217" i="1"/>
  <c r="AX215" i="1"/>
  <c r="H239" i="1"/>
  <c r="AG46" i="2"/>
  <c r="AJ46" i="2" s="1"/>
  <c r="AI45" i="2"/>
  <c r="AF210" i="1"/>
  <c r="H210" i="1"/>
  <c r="AV210" i="1"/>
  <c r="AE210" i="1"/>
  <c r="AZ210" i="1" s="1"/>
  <c r="J242" i="1" l="1"/>
  <c r="AP216" i="1"/>
  <c r="AT216" i="1"/>
  <c r="AE11" i="2"/>
  <c r="AW210" i="1"/>
  <c r="I29" i="1"/>
  <c r="AY216" i="1"/>
  <c r="AX216" i="1"/>
  <c r="H240" i="1"/>
  <c r="AS218" i="1"/>
  <c r="AH210" i="1"/>
  <c r="H33" i="1"/>
  <c r="J33" i="1" s="1"/>
  <c r="AU210" i="1"/>
  <c r="AG210" i="1"/>
  <c r="J243" i="1" l="1"/>
  <c r="AT217" i="1"/>
  <c r="AP217" i="1"/>
  <c r="I22" i="1"/>
  <c r="AY217" i="1"/>
  <c r="AS219" i="1"/>
  <c r="R244" i="1" s="1"/>
  <c r="AX217" i="1"/>
  <c r="H241" i="1"/>
  <c r="AR211" i="1"/>
  <c r="AN211" i="1"/>
  <c r="H211" i="1"/>
  <c r="AF211" i="1"/>
  <c r="AE211" i="1"/>
  <c r="AZ211" i="1" s="1"/>
  <c r="AV211" i="1"/>
  <c r="J244" i="1" l="1"/>
  <c r="AT218" i="1"/>
  <c r="AP218" i="1"/>
  <c r="AE12" i="2"/>
  <c r="AW211" i="1"/>
  <c r="I23" i="1"/>
  <c r="AY218" i="1"/>
  <c r="AX218" i="1"/>
  <c r="H242" i="1"/>
  <c r="AS220" i="1"/>
  <c r="R245" i="1" s="1"/>
  <c r="AH211" i="1"/>
  <c r="H34" i="1"/>
  <c r="J34" i="1" s="1"/>
  <c r="AG211" i="1"/>
  <c r="AU211" i="1"/>
  <c r="J245" i="1" l="1"/>
  <c r="AP219" i="1"/>
  <c r="AT219" i="1"/>
  <c r="I25" i="1"/>
  <c r="AY219" i="1"/>
  <c r="AS221" i="1"/>
  <c r="R246" i="1" s="1"/>
  <c r="AX219" i="1"/>
  <c r="H243" i="1"/>
  <c r="AR212" i="1"/>
  <c r="AN212" i="1"/>
  <c r="H212" i="1"/>
  <c r="AF212" i="1"/>
  <c r="AE212" i="1"/>
  <c r="AV212" i="1"/>
  <c r="J246" i="1" l="1"/>
  <c r="AP220" i="1"/>
  <c r="AT220" i="1"/>
  <c r="AZ212" i="1"/>
  <c r="AE13" i="2"/>
  <c r="AW212" i="1"/>
  <c r="I28" i="1"/>
  <c r="AY220" i="1"/>
  <c r="AX220" i="1"/>
  <c r="H244" i="1"/>
  <c r="AS222" i="1"/>
  <c r="R247" i="1" s="1"/>
  <c r="AH212" i="1"/>
  <c r="H31" i="1"/>
  <c r="J31" i="1" s="1"/>
  <c r="AU212" i="1"/>
  <c r="AG212" i="1"/>
  <c r="J247" i="1" l="1"/>
  <c r="AP221" i="1"/>
  <c r="AT221" i="1"/>
  <c r="I21" i="1"/>
  <c r="AY221" i="1"/>
  <c r="AS223" i="1"/>
  <c r="J248" i="1" s="1"/>
  <c r="AX221" i="1"/>
  <c r="H245" i="1"/>
  <c r="AR213" i="1"/>
  <c r="AN213" i="1"/>
  <c r="AV213" i="1"/>
  <c r="H213" i="1"/>
  <c r="AE213" i="1"/>
  <c r="AF213" i="1"/>
  <c r="R248" i="1" l="1"/>
  <c r="AT222" i="1"/>
  <c r="AP222" i="1"/>
  <c r="AZ213" i="1"/>
  <c r="AE14" i="2"/>
  <c r="AW213" i="1"/>
  <c r="I24" i="1"/>
  <c r="AY222" i="1"/>
  <c r="AX222" i="1"/>
  <c r="H246" i="1"/>
  <c r="AH213" i="1"/>
  <c r="H36" i="1"/>
  <c r="J36" i="1" s="1"/>
  <c r="AG213" i="1"/>
  <c r="AU213" i="1"/>
  <c r="AN214" i="1" l="1"/>
  <c r="AY223" i="1"/>
  <c r="I18" i="1"/>
  <c r="AD225" i="1"/>
  <c r="H247" i="1"/>
  <c r="AO265" i="1"/>
  <c r="AO266" i="1" s="1"/>
  <c r="AE214" i="1" l="1"/>
  <c r="AU214" i="1" s="1"/>
  <c r="AV214" i="1"/>
  <c r="AR214" i="1"/>
  <c r="H214" i="1"/>
  <c r="AF214" i="1"/>
  <c r="AE15" i="2"/>
  <c r="AW214" i="1"/>
  <c r="AT223" i="1"/>
  <c r="AP223" i="1"/>
  <c r="AX223" i="1"/>
  <c r="BC217" i="1" s="1"/>
  <c r="BS225" i="1"/>
  <c r="BC203" i="1"/>
  <c r="BD203" i="1" s="1"/>
  <c r="BC206" i="1"/>
  <c r="BC207" i="1"/>
  <c r="H32" i="1"/>
  <c r="J32" i="1" s="1"/>
  <c r="BC205" i="1" l="1"/>
  <c r="BC204" i="1"/>
  <c r="BD204" i="1" s="1"/>
  <c r="AH214" i="1"/>
  <c r="AE215" i="1" s="1"/>
  <c r="AZ214" i="1"/>
  <c r="AG214" i="1"/>
  <c r="BC222" i="1"/>
  <c r="BC223" i="1"/>
  <c r="BC221" i="1"/>
  <c r="BC220" i="1"/>
  <c r="BC219" i="1"/>
  <c r="BC210" i="1"/>
  <c r="BC218" i="1"/>
  <c r="BC216" i="1"/>
  <c r="BC215" i="1"/>
  <c r="BC212" i="1"/>
  <c r="BC211" i="1"/>
  <c r="BC209" i="1"/>
  <c r="BC214" i="1"/>
  <c r="BC213" i="1"/>
  <c r="BC208" i="1"/>
  <c r="H248" i="1"/>
  <c r="BD205" i="1" l="1"/>
  <c r="BD206" i="1" s="1"/>
  <c r="BD207" i="1" s="1"/>
  <c r="BD208" i="1" s="1"/>
  <c r="BD209" i="1" s="1"/>
  <c r="BD210" i="1" s="1"/>
  <c r="BD211" i="1" s="1"/>
  <c r="BD212" i="1" s="1"/>
  <c r="BD213" i="1" s="1"/>
  <c r="BD214" i="1" s="1"/>
  <c r="BD215" i="1" s="1"/>
  <c r="BD216" i="1" s="1"/>
  <c r="BD217" i="1" s="1"/>
  <c r="BD218" i="1" s="1"/>
  <c r="BD219" i="1" s="1"/>
  <c r="BD220" i="1" s="1"/>
  <c r="BD221" i="1" s="1"/>
  <c r="BD222" i="1" s="1"/>
  <c r="BD223" i="1" s="1"/>
  <c r="BC234" i="1"/>
  <c r="BC230" i="1"/>
  <c r="BC243" i="1"/>
  <c r="BC241" i="1"/>
  <c r="BC242" i="1"/>
  <c r="BC239" i="1"/>
  <c r="BC237" i="1"/>
  <c r="AF215" i="1"/>
  <c r="BC235" i="1"/>
  <c r="AN215" i="1"/>
  <c r="AR215" i="1"/>
  <c r="BC236" i="1"/>
  <c r="H215" i="1"/>
  <c r="BC244" i="1"/>
  <c r="BC246" i="1"/>
  <c r="BC238" i="1"/>
  <c r="AV215" i="1"/>
  <c r="BC245" i="1"/>
  <c r="BC231" i="1"/>
  <c r="BC240" i="1"/>
  <c r="BC229" i="1"/>
  <c r="BD229" i="1" s="1"/>
  <c r="BC233" i="1"/>
  <c r="BC232" i="1"/>
  <c r="AE16" i="2"/>
  <c r="AZ215" i="1"/>
  <c r="AW215" i="1"/>
  <c r="AH215" i="1"/>
  <c r="H27" i="1"/>
  <c r="J27" i="1" s="1"/>
  <c r="AU215" i="1"/>
  <c r="AG215" i="1"/>
  <c r="BD230" i="1" l="1"/>
  <c r="BD231" i="1" s="1"/>
  <c r="BD232" i="1" s="1"/>
  <c r="BD233" i="1" s="1"/>
  <c r="BD234" i="1" s="1"/>
  <c r="BD235" i="1" s="1"/>
  <c r="BD236" i="1" s="1"/>
  <c r="BD237" i="1" s="1"/>
  <c r="BD238" i="1" s="1"/>
  <c r="BD239" i="1" s="1"/>
  <c r="BD240" i="1" s="1"/>
  <c r="BD241" i="1" s="1"/>
  <c r="BD242" i="1" s="1"/>
  <c r="BD243" i="1" s="1"/>
  <c r="BD244" i="1" s="1"/>
  <c r="BD245" i="1" s="1"/>
  <c r="BD246" i="1" s="1"/>
  <c r="BC247" i="1"/>
  <c r="AV216" i="1"/>
  <c r="BK246" i="1"/>
  <c r="BK241" i="1"/>
  <c r="BK231" i="1"/>
  <c r="BK235" i="1"/>
  <c r="BK229" i="1"/>
  <c r="BL229" i="1" s="1"/>
  <c r="BK238" i="1"/>
  <c r="BK240" i="1"/>
  <c r="BK239" i="1"/>
  <c r="BK232" i="1"/>
  <c r="BK234" i="1"/>
  <c r="BK245" i="1"/>
  <c r="BK233" i="1"/>
  <c r="BK230" i="1"/>
  <c r="BK236" i="1"/>
  <c r="BK244" i="1"/>
  <c r="BK237" i="1"/>
  <c r="BK242" i="1"/>
  <c r="BK243" i="1"/>
  <c r="AF216" i="1" l="1"/>
  <c r="H216" i="1"/>
  <c r="AE216" i="1"/>
  <c r="AH216" i="1" s="1"/>
  <c r="AR216" i="1"/>
  <c r="AN216" i="1"/>
  <c r="AW216" i="1"/>
  <c r="BK247" i="1"/>
  <c r="BL230" i="1"/>
  <c r="BL231" i="1" s="1"/>
  <c r="BL232" i="1" s="1"/>
  <c r="BL233" i="1" s="1"/>
  <c r="BL234" i="1" s="1"/>
  <c r="BL235" i="1" s="1"/>
  <c r="BL236" i="1" s="1"/>
  <c r="BL237" i="1" s="1"/>
  <c r="BL238" i="1" s="1"/>
  <c r="BL239" i="1" s="1"/>
  <c r="BL240" i="1" s="1"/>
  <c r="BL241" i="1" s="1"/>
  <c r="BL242" i="1" s="1"/>
  <c r="BL243" i="1" s="1"/>
  <c r="BL244" i="1" s="1"/>
  <c r="BL245" i="1" s="1"/>
  <c r="BL246" i="1" s="1"/>
  <c r="H29" i="1" l="1"/>
  <c r="J29" i="1" s="1"/>
  <c r="AG216" i="1"/>
  <c r="AZ216" i="1"/>
  <c r="AU216" i="1"/>
  <c r="AW217" i="1"/>
  <c r="AR217" i="1"/>
  <c r="AN217" i="1"/>
  <c r="AF217" i="1"/>
  <c r="H217" i="1"/>
  <c r="AV217" i="1"/>
  <c r="AE217" i="1"/>
  <c r="AH217" i="1" l="1"/>
  <c r="AW218" i="1" s="1"/>
  <c r="AZ217" i="1"/>
  <c r="H22" i="1"/>
  <c r="J22" i="1" s="1"/>
  <c r="AG217" i="1"/>
  <c r="AU217" i="1"/>
  <c r="AR218" i="1" l="1"/>
  <c r="AN218" i="1"/>
  <c r="AV218" i="1"/>
  <c r="AE218" i="1"/>
  <c r="H218" i="1"/>
  <c r="AF218" i="1"/>
  <c r="AH218" i="1" l="1"/>
  <c r="AZ218" i="1"/>
  <c r="H23" i="1"/>
  <c r="J23" i="1" s="1"/>
  <c r="AG218" i="1"/>
  <c r="AU218" i="1"/>
  <c r="AW219" i="1" l="1"/>
  <c r="AR219" i="1"/>
  <c r="AN219" i="1"/>
  <c r="AF219" i="1"/>
  <c r="AV219" i="1"/>
  <c r="AE219" i="1"/>
  <c r="H219" i="1"/>
  <c r="AZ219" i="1" l="1"/>
  <c r="AH219" i="1"/>
  <c r="AW220" i="1" s="1"/>
  <c r="H25" i="1"/>
  <c r="J25" i="1" s="1"/>
  <c r="AG219" i="1"/>
  <c r="AU219" i="1"/>
  <c r="AR220" i="1" l="1"/>
  <c r="AN220" i="1"/>
  <c r="AF220" i="1"/>
  <c r="H220" i="1"/>
  <c r="AV220" i="1"/>
  <c r="AE220" i="1"/>
  <c r="AH220" i="1" l="1"/>
  <c r="AW221" i="1" s="1"/>
  <c r="AZ220" i="1"/>
  <c r="H28" i="1"/>
  <c r="J28" i="1" s="1"/>
  <c r="AU220" i="1"/>
  <c r="AG220" i="1"/>
  <c r="AR221" i="1" l="1"/>
  <c r="AN221" i="1"/>
  <c r="AV221" i="1"/>
  <c r="AF221" i="1"/>
  <c r="H221" i="1"/>
  <c r="AE221" i="1"/>
  <c r="AH221" i="1" l="1"/>
  <c r="AZ221" i="1"/>
  <c r="H21" i="1"/>
  <c r="J21" i="1" s="1"/>
  <c r="AG221" i="1"/>
  <c r="AU221" i="1"/>
  <c r="AW222" i="1" l="1"/>
  <c r="AR222" i="1"/>
  <c r="AN222" i="1"/>
  <c r="H222" i="1"/>
  <c r="AE222" i="1"/>
  <c r="AV222" i="1"/>
  <c r="AF222" i="1"/>
  <c r="AH222" i="1" l="1"/>
  <c r="AZ222" i="1"/>
  <c r="H24" i="1"/>
  <c r="J24" i="1" s="1"/>
  <c r="AU222" i="1"/>
  <c r="AG222" i="1"/>
  <c r="AW223" i="1" l="1"/>
  <c r="AR223" i="1"/>
  <c r="AF223" i="1"/>
  <c r="CC201" i="1"/>
  <c r="CD201" i="1" s="1"/>
  <c r="CD202" i="1" s="1"/>
  <c r="CD203" i="1" s="1"/>
  <c r="CD204" i="1" s="1"/>
  <c r="CD205" i="1" s="1"/>
  <c r="CD206" i="1" s="1"/>
  <c r="CD207" i="1" s="1"/>
  <c r="CD208" i="1" s="1"/>
  <c r="CD209" i="1" s="1"/>
  <c r="CD210" i="1" s="1"/>
  <c r="CD211" i="1" s="1"/>
  <c r="CD212" i="1" s="1"/>
  <c r="CD213" i="1" s="1"/>
  <c r="CD214" i="1" s="1"/>
  <c r="CD215" i="1" s="1"/>
  <c r="CD216" i="1" s="1"/>
  <c r="CD217" i="1" s="1"/>
  <c r="CD218" i="1" s="1"/>
  <c r="CD219" i="1" s="1"/>
  <c r="CD220" i="1" s="1"/>
  <c r="CD221" i="1" s="1"/>
  <c r="CD222" i="1" s="1"/>
  <c r="CD223" i="1" s="1"/>
  <c r="AE223" i="1"/>
  <c r="AH223" i="1" s="1"/>
  <c r="H223" i="1"/>
  <c r="AN223" i="1"/>
  <c r="AV223" i="1"/>
  <c r="BI242" i="1" l="1"/>
  <c r="AZ223" i="1"/>
  <c r="BA223" i="1" s="1"/>
  <c r="BB223" i="1"/>
  <c r="BB203" i="1"/>
  <c r="BB204" i="1"/>
  <c r="BB205" i="1"/>
  <c r="BA203" i="1"/>
  <c r="BA204" i="1"/>
  <c r="BA205" i="1"/>
  <c r="BB206" i="1"/>
  <c r="BA206" i="1"/>
  <c r="BB207" i="1"/>
  <c r="BA207" i="1"/>
  <c r="BB208" i="1"/>
  <c r="BA208" i="1"/>
  <c r="BB209" i="1"/>
  <c r="BB210" i="1"/>
  <c r="BA209" i="1"/>
  <c r="BA210" i="1"/>
  <c r="BB211" i="1"/>
  <c r="BA211" i="1"/>
  <c r="BB212" i="1"/>
  <c r="BA212" i="1"/>
  <c r="BB213" i="1"/>
  <c r="BA213" i="1"/>
  <c r="BB214" i="1"/>
  <c r="BA214" i="1"/>
  <c r="BB215" i="1"/>
  <c r="BA215" i="1"/>
  <c r="BB216" i="1"/>
  <c r="BA216" i="1"/>
  <c r="BA217" i="1"/>
  <c r="BB217" i="1"/>
  <c r="BB218" i="1"/>
  <c r="BA218" i="1"/>
  <c r="BB219" i="1"/>
  <c r="BA219" i="1"/>
  <c r="BB220" i="1"/>
  <c r="BA220" i="1"/>
  <c r="BB221" i="1"/>
  <c r="BA221" i="1"/>
  <c r="BB222" i="1"/>
  <c r="BA222" i="1"/>
  <c r="AU223" i="1"/>
  <c r="H18" i="1"/>
  <c r="J18" i="1" s="1"/>
  <c r="AE225" i="1"/>
  <c r="AG223" i="1"/>
  <c r="CC225" i="1"/>
  <c r="BI241" i="1" l="1"/>
  <c r="BI235" i="1"/>
  <c r="BI240" i="1"/>
  <c r="BI232" i="1"/>
  <c r="BI231" i="1"/>
  <c r="BI229" i="1"/>
  <c r="BJ229" i="1" s="1"/>
  <c r="BI245" i="1"/>
  <c r="BI239" i="1"/>
  <c r="BI237" i="1"/>
  <c r="BI234" i="1"/>
  <c r="BI230" i="1"/>
  <c r="BI246" i="1"/>
  <c r="BI244" i="1"/>
  <c r="BI238" i="1"/>
  <c r="BI236" i="1"/>
  <c r="BI233" i="1"/>
  <c r="BI243" i="1"/>
  <c r="BA240" i="1"/>
  <c r="BA243" i="1"/>
  <c r="BA241" i="1"/>
  <c r="BA239" i="1"/>
  <c r="BA237" i="1"/>
  <c r="BA235" i="1"/>
  <c r="BA233" i="1"/>
  <c r="BA231" i="1"/>
  <c r="BA229" i="1"/>
  <c r="BB229" i="1" s="1"/>
  <c r="BA245" i="1"/>
  <c r="BA232" i="1"/>
  <c r="BA246" i="1"/>
  <c r="BA244" i="1"/>
  <c r="BA242" i="1"/>
  <c r="BA238" i="1"/>
  <c r="BA236" i="1"/>
  <c r="BA234" i="1"/>
  <c r="BA230" i="1"/>
  <c r="AG225" i="1"/>
  <c r="BQ225" i="1"/>
  <c r="J223" i="1"/>
  <c r="I206" i="1"/>
  <c r="AN206" i="1"/>
  <c r="AR206" i="1"/>
  <c r="BI247" i="1" l="1"/>
  <c r="BJ230" i="1"/>
  <c r="BJ231" i="1" s="1"/>
  <c r="BJ232" i="1" s="1"/>
  <c r="BJ233" i="1" s="1"/>
  <c r="BJ234" i="1" s="1"/>
  <c r="BJ235" i="1" s="1"/>
  <c r="BJ236" i="1" s="1"/>
  <c r="BJ237" i="1" s="1"/>
  <c r="BJ238" i="1" s="1"/>
  <c r="BJ239" i="1" s="1"/>
  <c r="BJ240" i="1" s="1"/>
  <c r="BJ241" i="1" s="1"/>
  <c r="BJ242" i="1" s="1"/>
  <c r="BJ243" i="1" s="1"/>
  <c r="BJ244" i="1" s="1"/>
  <c r="BJ245" i="1" s="1"/>
  <c r="BJ246" i="1" s="1"/>
  <c r="BB230" i="1"/>
  <c r="BB231" i="1" s="1"/>
  <c r="BB232" i="1" s="1"/>
  <c r="BB233" i="1" s="1"/>
  <c r="BB234" i="1" s="1"/>
  <c r="BB235" i="1" s="1"/>
  <c r="BB236" i="1" s="1"/>
  <c r="BB237" i="1" s="1"/>
  <c r="BB238" i="1" s="1"/>
  <c r="BB239" i="1" s="1"/>
  <c r="BB240" i="1" s="1"/>
  <c r="BB241" i="1" s="1"/>
  <c r="BB242" i="1" s="1"/>
  <c r="BB243" i="1" s="1"/>
  <c r="BB244" i="1" s="1"/>
  <c r="BB245" i="1" s="1"/>
  <c r="BB246" i="1" s="1"/>
  <c r="BA247" i="1"/>
  <c r="J206" i="1"/>
  <c r="AQ230" i="1"/>
  <c r="AR208" i="1"/>
  <c r="I210" i="1"/>
  <c r="AN210" i="1"/>
  <c r="J207" i="1"/>
  <c r="I207" i="1"/>
  <c r="AN207" i="1"/>
  <c r="AN208" i="1"/>
  <c r="I208" i="1"/>
  <c r="I209" i="1"/>
  <c r="AN209" i="1"/>
  <c r="J208" i="1" l="1"/>
  <c r="AR207" i="1"/>
  <c r="AQ231" i="1"/>
  <c r="E194" i="1"/>
  <c r="E195" i="1" s="1"/>
  <c r="E196" i="1" s="1"/>
  <c r="E197" i="1" s="1"/>
  <c r="F194" i="1"/>
  <c r="F195" i="1" s="1"/>
  <c r="F196" i="1" s="1"/>
  <c r="F197" i="1" s="1"/>
  <c r="H194" i="1"/>
  <c r="H195" i="1" s="1"/>
  <c r="H196" i="1" s="1"/>
  <c r="H197" i="1" s="1"/>
  <c r="K194" i="1"/>
  <c r="K195" i="1" s="1"/>
  <c r="K196" i="1" s="1"/>
  <c r="K197" i="1" s="1"/>
  <c r="L194" i="1"/>
  <c r="L195" i="1" s="1"/>
  <c r="L196" i="1" s="1"/>
  <c r="L197" i="1" s="1"/>
  <c r="I194" i="1"/>
  <c r="I195" i="1" s="1"/>
  <c r="I196" i="1" s="1"/>
  <c r="I197" i="1" s="1"/>
  <c r="J194" i="1"/>
  <c r="J195" i="1" s="1"/>
  <c r="J196" i="1" s="1"/>
  <c r="J197" i="1" s="1"/>
  <c r="G194" i="1"/>
  <c r="G195" i="1" s="1"/>
  <c r="G196" i="1" s="1"/>
  <c r="G19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Gernot</author>
  </authors>
  <commentList>
    <comment ref="O181" authorId="0" shapeId="0" xr:uid="{D87CEE17-76BE-4BB2-A173-0F2FCE110C4B}">
      <text>
        <r>
          <rPr>
            <b/>
            <sz val="9"/>
            <color indexed="81"/>
            <rFont val="Segoe UI"/>
            <family val="2"/>
          </rPr>
          <t>Gernot:</t>
        </r>
        <r>
          <rPr>
            <sz val="9"/>
            <color indexed="81"/>
            <rFont val="Segoe UI"/>
            <family val="2"/>
          </rPr>
          <t xml:space="preserve">
Nur Punkte für ausgewählte ("x") Produkte) - je nach Paket erhältst du auch mehr CC-Punkte (CP)</t>
        </r>
      </text>
    </comment>
    <comment ref="AH207" authorId="0" shapeId="0" xr:uid="{18EA274E-722B-476E-A127-3C60E1B5B1F7}">
      <text>
        <r>
          <rPr>
            <b/>
            <sz val="9"/>
            <color indexed="81"/>
            <rFont val="Segoe UI"/>
            <family val="2"/>
          </rPr>
          <t>Gernot:</t>
        </r>
        <r>
          <rPr>
            <sz val="9"/>
            <color indexed="81"/>
            <rFont val="Segoe UI"/>
            <family val="2"/>
          </rPr>
          <t xml:space="preserve">
bis hier weniger als 5 Tage</t>
        </r>
      </text>
    </comment>
    <comment ref="BX219" authorId="0" shapeId="0" xr:uid="{36328D59-F7A0-4246-B53E-76B7CFCACFD6}">
      <text>
        <r>
          <rPr>
            <b/>
            <sz val="9"/>
            <color indexed="81"/>
            <rFont val="Segoe UI"/>
            <family val="2"/>
          </rPr>
          <t>Gernot:</t>
        </r>
        <r>
          <rPr>
            <sz val="9"/>
            <color indexed="81"/>
            <rFont val="Segoe UI"/>
            <family val="2"/>
          </rPr>
          <t xml:space="preserve">
ohne Tag 1!</t>
        </r>
      </text>
    </comment>
    <comment ref="CB219" authorId="0" shapeId="0" xr:uid="{F8D27A19-234A-4AB5-AB19-4B32B0178038}">
      <text>
        <r>
          <rPr>
            <b/>
            <sz val="9"/>
            <color indexed="81"/>
            <rFont val="Segoe UI"/>
            <family val="2"/>
          </rPr>
          <t>Gernot:</t>
        </r>
        <r>
          <rPr>
            <sz val="9"/>
            <color indexed="81"/>
            <rFont val="Segoe UI"/>
            <family val="2"/>
          </rPr>
          <t xml:space="preserve">
ohne Tag 1!</t>
        </r>
      </text>
    </comment>
    <comment ref="CF219" authorId="0" shapeId="0" xr:uid="{146B68AE-C9F4-46E9-80BD-9B0F0C443FC4}">
      <text>
        <r>
          <rPr>
            <b/>
            <sz val="9"/>
            <color indexed="81"/>
            <rFont val="Segoe UI"/>
            <family val="2"/>
          </rPr>
          <t>Gernot:</t>
        </r>
        <r>
          <rPr>
            <sz val="9"/>
            <color indexed="81"/>
            <rFont val="Segoe UI"/>
            <family val="2"/>
          </rPr>
          <t xml:space="preserve">
ohne Tag 1!</t>
        </r>
      </text>
    </comment>
    <comment ref="CK219" authorId="0" shapeId="0" xr:uid="{FE4D53D6-62EA-46C7-B3CE-6C8A0A0B53B1}">
      <text>
        <r>
          <rPr>
            <b/>
            <sz val="9"/>
            <color indexed="81"/>
            <rFont val="Segoe UI"/>
            <family val="2"/>
          </rPr>
          <t>Gernot:</t>
        </r>
        <r>
          <rPr>
            <sz val="9"/>
            <color indexed="81"/>
            <rFont val="Segoe UI"/>
            <family val="2"/>
          </rPr>
          <t xml:space="preserve">
ohne Tag 1!</t>
        </r>
      </text>
    </comment>
  </commentList>
</comments>
</file>

<file path=xl/sharedStrings.xml><?xml version="1.0" encoding="utf-8"?>
<sst xmlns="http://schemas.openxmlformats.org/spreadsheetml/2006/main" count="2214" uniqueCount="406">
  <si>
    <t>Die grün markierten Produkte hast du bei dem entsprechenden Paket inklusive.</t>
  </si>
  <si>
    <t>Bitte setze hier deine "x"</t>
  </si>
  <si>
    <t>↓</t>
  </si>
  <si>
    <t>Format</t>
  </si>
  <si>
    <t>UVP-Preis
im F-Shop</t>
  </si>
  <si>
    <t>µ</t>
  </si>
  <si>
    <t>-</t>
  </si>
  <si>
    <t>Schätzpreis, Preis nach CF ist unbekannt</t>
  </si>
  <si>
    <t>Deine Kosten</t>
  </si>
  <si>
    <t>/</t>
  </si>
  <si>
    <t>Deine Ersparnis</t>
  </si>
  <si>
    <t>Deine zusätzlichen Produkte</t>
  </si>
  <si>
    <t>x</t>
  </si>
  <si>
    <r>
      <t xml:space="preserve">Diesen Rabatt gewährt </t>
    </r>
    <r>
      <rPr>
        <b/>
        <i/>
        <sz val="10"/>
        <color rgb="FF0070C0"/>
        <rFont val="Book Antiqua"/>
        <family val="1"/>
      </rPr>
      <t>deine Kombination</t>
    </r>
    <r>
      <rPr>
        <b/>
        <i/>
        <sz val="10"/>
        <color theme="1"/>
        <rFont val="Book Antiqua"/>
        <family val="1"/>
      </rPr>
      <t xml:space="preserve"> somit gegenüber dem Einkauf </t>
    </r>
    <r>
      <rPr>
        <b/>
        <i/>
        <sz val="10"/>
        <color rgb="FFFF0000"/>
        <rFont val="Book Antiqua"/>
        <family val="1"/>
      </rPr>
      <t xml:space="preserve">deines Wunschpakets </t>
    </r>
    <r>
      <rPr>
        <b/>
        <i/>
        <sz val="10"/>
        <color theme="1"/>
        <rFont val="Book Antiqua"/>
        <family val="1"/>
      </rPr>
      <t>(nach dem Crowdfunding) im F-Shop:</t>
    </r>
  </si>
  <si>
    <t>µ
µ</t>
  </si>
  <si>
    <t>Preis als
Zusatz-produkt</t>
  </si>
  <si>
    <t>Kein Paket</t>
  </si>
  <si>
    <t>Donnerstag</t>
  </si>
  <si>
    <t>Datum</t>
  </si>
  <si>
    <t>Backer</t>
  </si>
  <si>
    <t>€</t>
  </si>
  <si>
    <t>erreichte Ziele</t>
  </si>
  <si>
    <t>nächste Stufe</t>
  </si>
  <si>
    <t>1.</t>
  </si>
  <si>
    <t>2.</t>
  </si>
  <si>
    <t>5.</t>
  </si>
  <si>
    <t>3.</t>
  </si>
  <si>
    <t>7.</t>
  </si>
  <si>
    <t>10.</t>
  </si>
  <si>
    <t>9.</t>
  </si>
  <si>
    <t>11.</t>
  </si>
  <si>
    <t>(alle Angaben ohne Gewähr!)</t>
  </si>
  <si>
    <t>Anzahl Unterstützer je Dankeschön</t>
  </si>
  <si>
    <t>für deine</t>
  </si>
  <si>
    <t>13.</t>
  </si>
  <si>
    <t>15.</t>
  </si>
  <si>
    <t>Tag</t>
  </si>
  <si>
    <t>Wochentag</t>
  </si>
  <si>
    <t>Timecode</t>
  </si>
  <si>
    <t>Uhrzeit</t>
  </si>
  <si>
    <t>h ges.</t>
  </si>
  <si>
    <t>h Diff.</t>
  </si>
  <si>
    <t>€ ges. Ist</t>
  </si>
  <si>
    <t>Abw.</t>
  </si>
  <si>
    <t>€ Diff.</t>
  </si>
  <si>
    <t>Backer ges.</t>
  </si>
  <si>
    <t>€/Backer</t>
  </si>
  <si>
    <t>€/Tag</t>
  </si>
  <si>
    <t>€/Tag ges.</t>
  </si>
  <si>
    <t>Backer Diff.</t>
  </si>
  <si>
    <t>Schnitt l. 5 Tage</t>
  </si>
  <si>
    <t>€/Backer NEU</t>
  </si>
  <si>
    <t>DSK:Fasar</t>
  </si>
  <si>
    <t>AVENTURIA:Nedime</t>
  </si>
  <si>
    <t>DSA:Werkzeuge</t>
  </si>
  <si>
    <t>DSA:Thorwal</t>
  </si>
  <si>
    <t>%</t>
  </si>
  <si>
    <t>Original</t>
  </si>
  <si>
    <t>Normiert</t>
  </si>
  <si>
    <t>Tag 1 mal X</t>
  </si>
  <si>
    <t>Thorwal norm (€)</t>
  </si>
  <si>
    <t>Thorwal norm (Backer)</t>
  </si>
  <si>
    <t>Werkzeuge norm (€)</t>
  </si>
  <si>
    <t>Werkzeuge norm (Backer)</t>
  </si>
  <si>
    <t>Mythos norm (€)</t>
  </si>
  <si>
    <t>Mythos norm (Backer)</t>
  </si>
  <si>
    <t>Thorwal (€)</t>
  </si>
  <si>
    <t>Thorwal (Backer)</t>
  </si>
  <si>
    <t>Werkzeuge (€)</t>
  </si>
  <si>
    <t>Werkzeuge (Backer)</t>
  </si>
  <si>
    <t>Mythos (€)</t>
  </si>
  <si>
    <t>Mythos (Backer)</t>
  </si>
  <si>
    <t>Aventuria (€) %</t>
  </si>
  <si>
    <t>Aventuria (Backer) %</t>
  </si>
  <si>
    <t>Thorwal (€) %</t>
  </si>
  <si>
    <t>Thorwal (Backer) %</t>
  </si>
  <si>
    <t>Werkzeuge (€) %</t>
  </si>
  <si>
    <t>Werkzeuge (Backer) %</t>
  </si>
  <si>
    <t>Mythos (€) %</t>
  </si>
  <si>
    <t>Mthos (Backer) %</t>
  </si>
  <si>
    <t>MP TW (€)</t>
  </si>
  <si>
    <t>MP TW (B)</t>
  </si>
  <si>
    <t>MP AV (€)</t>
  </si>
  <si>
    <t>MP AV (B)</t>
  </si>
  <si>
    <t>DSK (€)</t>
  </si>
  <si>
    <t>DSK (Backer)</t>
  </si>
  <si>
    <t>DSK norm (€)</t>
  </si>
  <si>
    <t>DSK norm (Backer)</t>
  </si>
  <si>
    <t>MP DSK (€)</t>
  </si>
  <si>
    <t>MP DSK (B)</t>
  </si>
  <si>
    <t>Tag 2 mal X</t>
  </si>
  <si>
    <t>Min:</t>
  </si>
  <si>
    <t>Max:</t>
  </si>
  <si>
    <t>B</t>
  </si>
  <si>
    <t>€ kum.</t>
  </si>
  <si>
    <t>Backer kum</t>
  </si>
  <si>
    <t>Vorlage Tag 3</t>
  </si>
  <si>
    <t>4* Tag 2</t>
  </si>
  <si>
    <t>Min. Schätzung</t>
  </si>
  <si>
    <t>Max. Schätzung</t>
  </si>
  <si>
    <t>Stand Ist/HR</t>
  </si>
  <si>
    <t>Anmerkungen</t>
  </si>
  <si>
    <t>Summe</t>
  </si>
  <si>
    <t>4.</t>
  </si>
  <si>
    <t>6.</t>
  </si>
  <si>
    <t>8.</t>
  </si>
  <si>
    <t>12.</t>
  </si>
  <si>
    <t>14.</t>
  </si>
  <si>
    <t>16.</t>
  </si>
  <si>
    <t>17.</t>
  </si>
  <si>
    <t>18.</t>
  </si>
  <si>
    <t>20.</t>
  </si>
  <si>
    <t>21.</t>
  </si>
  <si>
    <t>19.</t>
  </si>
  <si>
    <t>Wunsch-
produkte</t>
  </si>
  <si>
    <t>mp3</t>
  </si>
  <si>
    <t>Nedime (€)</t>
  </si>
  <si>
    <t>Nedime (Backer)</t>
  </si>
  <si>
    <t>Mythen (€)</t>
  </si>
  <si>
    <t>Mythen (Backer)</t>
  </si>
  <si>
    <t>Mythen norm (€)</t>
  </si>
  <si>
    <t>Mythen norm (Backer)</t>
  </si>
  <si>
    <t>Aventuria:Mythen&amp;Legenden</t>
  </si>
  <si>
    <t>€ Summe</t>
  </si>
  <si>
    <t>MP WM (€)</t>
  </si>
  <si>
    <t>MP WM (B)</t>
  </si>
  <si>
    <t>Tag 1</t>
  </si>
  <si>
    <t>Tag 2</t>
  </si>
  <si>
    <t>Min.</t>
  </si>
  <si>
    <t>Max.</t>
  </si>
  <si>
    <t>Kalkulation min.</t>
  </si>
  <si>
    <t>Kalkulation max.</t>
  </si>
  <si>
    <t>€ ges.</t>
  </si>
  <si>
    <t>Prognose</t>
  </si>
  <si>
    <t>DSK (B)</t>
  </si>
  <si>
    <t>WM (€)</t>
  </si>
  <si>
    <t>WM (B)</t>
  </si>
  <si>
    <t>AML (€)</t>
  </si>
  <si>
    <t>AML (B)</t>
  </si>
  <si>
    <t>ANB (€)</t>
  </si>
  <si>
    <t>ANB (B)</t>
  </si>
  <si>
    <t>AML (€/kum)</t>
  </si>
  <si>
    <t>AML (B/kum)</t>
  </si>
  <si>
    <t>DSK (€/kum)</t>
  </si>
  <si>
    <t>DSK (B/kum)</t>
  </si>
  <si>
    <t>WM (€/kum)</t>
  </si>
  <si>
    <t>WM (B/kum)</t>
  </si>
  <si>
    <t>ANB (€/kum)</t>
  </si>
  <si>
    <t>ANB (B/kum)</t>
  </si>
  <si>
    <t>Tag 3</t>
  </si>
  <si>
    <t>Schnitt</t>
  </si>
  <si>
    <t>PDF</t>
  </si>
  <si>
    <r>
      <t xml:space="preserve">Die zusätzlichen Produkte, die du </t>
    </r>
    <r>
      <rPr>
        <b/>
        <i/>
        <sz val="10"/>
        <color rgb="FF0070C0"/>
        <rFont val="Book Antiqua"/>
        <family val="1"/>
      </rPr>
      <t>bei deiner Kombination</t>
    </r>
    <r>
      <rPr>
        <b/>
        <i/>
        <sz val="10"/>
        <color theme="1"/>
        <rFont val="Book Antiqua"/>
        <family val="1"/>
      </rPr>
      <t xml:space="preserve"> erhältst, die </t>
    </r>
    <r>
      <rPr>
        <b/>
        <i/>
        <sz val="10"/>
        <color rgb="FFFF0000"/>
        <rFont val="Book Antiqua"/>
        <family val="1"/>
      </rPr>
      <t>nicht Teil deines Wunschpakets</t>
    </r>
    <r>
      <rPr>
        <b/>
        <i/>
        <sz val="10"/>
        <color theme="1"/>
        <rFont val="Book Antiqua"/>
        <family val="1"/>
      </rPr>
      <t xml:space="preserve"> sind, haben folgenden Wert:</t>
    </r>
  </si>
  <si>
    <r>
      <t xml:space="preserve">Diesen Gesamtrabatt gewährt </t>
    </r>
    <r>
      <rPr>
        <b/>
        <i/>
        <sz val="10"/>
        <color rgb="FF0070C0"/>
        <rFont val="Book Antiqua"/>
        <family val="1"/>
      </rPr>
      <t>deine Kombination</t>
    </r>
    <r>
      <rPr>
        <b/>
        <i/>
        <sz val="10"/>
        <color theme="1"/>
        <rFont val="Book Antiqua"/>
        <family val="1"/>
      </rPr>
      <t xml:space="preserve"> somit gegenüber dem Einkauf (nach dem Crowdfunding) im F-Shop insgesamt:</t>
    </r>
  </si>
  <si>
    <t>MP AML (€)</t>
  </si>
  <si>
    <t>MP AML (B)</t>
  </si>
  <si>
    <t>SOK (€)</t>
  </si>
  <si>
    <t>SOK (Backer)</t>
  </si>
  <si>
    <t>Werkzeuge</t>
  </si>
  <si>
    <t>Tag 3 mal X</t>
  </si>
  <si>
    <t>Tag 4 mal X</t>
  </si>
  <si>
    <t>Tag 5 mal X</t>
  </si>
  <si>
    <t>Tag 4</t>
  </si>
  <si>
    <t>Tag 5</t>
  </si>
  <si>
    <t>Tag 6 mal X</t>
  </si>
  <si>
    <t>Tag 6</t>
  </si>
  <si>
    <t>Tag 7</t>
  </si>
  <si>
    <t>Tag 7 mal X</t>
  </si>
  <si>
    <t>Softcover</t>
  </si>
  <si>
    <t>Hardcover + PDF</t>
  </si>
  <si>
    <t>Softcover + PDF</t>
  </si>
  <si>
    <t>CD + mp3</t>
  </si>
  <si>
    <t>Diverse</t>
  </si>
  <si>
    <t>Acrylmarker</t>
  </si>
  <si>
    <t>Aufkleber</t>
  </si>
  <si>
    <t>Poster</t>
  </si>
  <si>
    <t>Bögen</t>
  </si>
  <si>
    <r>
      <rPr>
        <b/>
        <sz val="10"/>
        <color rgb="FFFF0000"/>
        <rFont val="Book Antiqua"/>
        <family val="1"/>
      </rPr>
      <t xml:space="preserve">Kein Paket </t>
    </r>
    <r>
      <rPr>
        <b/>
        <sz val="10"/>
        <rFont val="Book Antiqua"/>
        <family val="1"/>
      </rPr>
      <t>(Kauf im F-Shop, nach dem CF)</t>
    </r>
  </si>
  <si>
    <r>
      <t xml:space="preserve">Das zahlst du insgesamt für </t>
    </r>
    <r>
      <rPr>
        <b/>
        <sz val="10"/>
        <color rgb="FF0070C0"/>
        <rFont val="Book Antiqua"/>
        <family val="1"/>
      </rPr>
      <t>die jeweilige Kombination</t>
    </r>
    <r>
      <rPr>
        <b/>
        <sz val="10"/>
        <color theme="1"/>
        <rFont val="Book Antiqua"/>
        <family val="1"/>
      </rPr>
      <t xml:space="preserve">, die </t>
    </r>
    <r>
      <rPr>
        <b/>
        <sz val="10"/>
        <color rgb="FFFF0000"/>
        <rFont val="Book Antiqua"/>
        <family val="1"/>
      </rPr>
      <t>dein Wunschpaket</t>
    </r>
    <r>
      <rPr>
        <b/>
        <sz val="10"/>
        <color theme="1"/>
        <rFont val="Book Antiqua"/>
        <family val="1"/>
      </rPr>
      <t xml:space="preserve"> inkl. der Zusatzprodukte mit abdeckt:</t>
    </r>
  </si>
  <si>
    <t>µ
µ
µ</t>
  </si>
  <si>
    <t>Einleger</t>
  </si>
  <si>
    <t>Thorwal</t>
  </si>
  <si>
    <t>ca.-Werte</t>
  </si>
  <si>
    <t>Die Sonnenküste</t>
  </si>
  <si>
    <r>
      <t xml:space="preserve">Das kostet </t>
    </r>
    <r>
      <rPr>
        <b/>
        <i/>
        <sz val="10"/>
        <color rgb="FF0070C0"/>
        <rFont val="Book Antiqua"/>
        <family val="1"/>
      </rPr>
      <t>deine Kombination</t>
    </r>
    <r>
      <rPr>
        <b/>
        <i/>
        <sz val="10"/>
        <rFont val="Book Antiqua"/>
        <family val="1"/>
      </rPr>
      <t xml:space="preserve"> (nach dem Crowdfunding) im </t>
    </r>
    <r>
      <rPr>
        <b/>
        <i/>
        <sz val="10"/>
        <color theme="1"/>
        <rFont val="Book Antiqua"/>
        <family val="1"/>
      </rPr>
      <t>F-Shop + ulisses-ebook-Shop (voraussichtlich) insgesamt:</t>
    </r>
  </si>
  <si>
    <t>CC-Punkte (CP)</t>
  </si>
  <si>
    <t>Crowdfunding-Paket</t>
  </si>
  <si>
    <r>
      <t xml:space="preserve">Das sparst Du </t>
    </r>
    <r>
      <rPr>
        <b/>
        <sz val="10"/>
        <color rgb="FF00B050"/>
        <rFont val="Book Antiqua"/>
        <family val="1"/>
      </rPr>
      <t>(grüne Zahl)</t>
    </r>
    <r>
      <rPr>
        <b/>
        <sz val="10"/>
        <color theme="1"/>
        <rFont val="Book Antiqua"/>
        <family val="1"/>
      </rPr>
      <t xml:space="preserve">, wenn du stattdessen das Dankeschön "Einsteiger" wählst (bei </t>
    </r>
    <r>
      <rPr>
        <b/>
        <sz val="10"/>
        <color rgb="FFFF0000"/>
        <rFont val="Book Antiqua"/>
        <family val="1"/>
      </rPr>
      <t>roter Zahl</t>
    </r>
    <r>
      <rPr>
        <b/>
        <sz val="10"/>
        <color theme="1"/>
        <rFont val="Book Antiqua"/>
        <family val="1"/>
      </rPr>
      <t xml:space="preserve"> zahlst du mehr!)</t>
    </r>
  </si>
  <si>
    <r>
      <t xml:space="preserve">Das kostet </t>
    </r>
    <r>
      <rPr>
        <b/>
        <i/>
        <sz val="10"/>
        <color rgb="FFFF0000"/>
        <rFont val="Book Antiqua"/>
        <family val="1"/>
      </rPr>
      <t>dein Wunschpaket</t>
    </r>
    <r>
      <rPr>
        <b/>
        <i/>
        <sz val="10"/>
        <color theme="1"/>
        <rFont val="Book Antiqua"/>
        <family val="1"/>
      </rPr>
      <t>(nach dem Crowdfunding) (voraussichtlich) im F-Shop/ulisses-ebook-Shop:</t>
    </r>
  </si>
  <si>
    <t>UVP-Preis
im ebook-Shop</t>
  </si>
  <si>
    <r>
      <t>- Aufkleber "Weißmagier-Gilde", "Graumagier-Gilde", "Schwarzmagier-Gilde"</t>
    </r>
    <r>
      <rPr>
        <b/>
        <i/>
        <sz val="10"/>
        <color theme="1"/>
        <rFont val="Book Antiqua"/>
        <family val="1"/>
      </rPr>
      <t xml:space="preserve"> (1. Ziel)</t>
    </r>
  </si>
  <si>
    <r>
      <t xml:space="preserve">- Lesezeichen "Weißmagier-Gilde", "Graumagier-Gilde", "Schwarzmagier-Gilde" </t>
    </r>
    <r>
      <rPr>
        <b/>
        <i/>
        <sz val="10"/>
        <color theme="1"/>
        <rFont val="Book Antiqua"/>
        <family val="1"/>
      </rPr>
      <t>(3. Ziel)</t>
    </r>
  </si>
  <si>
    <r>
      <t xml:space="preserve">- Einleger Universal-Meisterschirm </t>
    </r>
    <r>
      <rPr>
        <i/>
        <sz val="8"/>
        <color theme="1"/>
        <rFont val="Book Antiqua"/>
        <family val="1"/>
      </rPr>
      <t>(6 Stück)</t>
    </r>
    <r>
      <rPr>
        <b/>
        <i/>
        <sz val="8"/>
        <color theme="1"/>
        <rFont val="Book Antiqua"/>
        <family val="1"/>
      </rPr>
      <t xml:space="preserve"> </t>
    </r>
    <r>
      <rPr>
        <b/>
        <i/>
        <sz val="10"/>
        <color theme="1"/>
        <rFont val="Book Antiqua"/>
        <family val="1"/>
      </rPr>
      <t>(4. Ziel)</t>
    </r>
  </si>
  <si>
    <r>
      <t xml:space="preserve">- Wendeposter Kartenmotiv "Insitut der Arkanen Analysen"/"Zauberschüler" </t>
    </r>
    <r>
      <rPr>
        <b/>
        <i/>
        <sz val="10"/>
        <color theme="1"/>
        <rFont val="Book Antiqua"/>
        <family val="1"/>
      </rPr>
      <t>(5. Ziel)</t>
    </r>
  </si>
  <si>
    <r>
      <t>- Auf ins Abenteuer</t>
    </r>
    <r>
      <rPr>
        <i/>
        <sz val="8"/>
        <color theme="1"/>
        <rFont val="Book Antiqua"/>
        <family val="1"/>
      </rPr>
      <t xml:space="preserve"> (32 Seiten; Abenteuer "Lowanger Lügenmärchen" und 6 Archetypen)</t>
    </r>
    <r>
      <rPr>
        <b/>
        <i/>
        <sz val="10"/>
        <color theme="1"/>
        <rFont val="Book Antiqua"/>
        <family val="1"/>
      </rPr>
      <t xml:space="preserve"> (6. Ziel)</t>
    </r>
  </si>
  <si>
    <r>
      <t>- Heldendokument "Schwarzmagier"</t>
    </r>
    <r>
      <rPr>
        <i/>
        <sz val="8"/>
        <color theme="1"/>
        <rFont val="Book Antiqua"/>
        <family val="1"/>
      </rPr>
      <t xml:space="preserve"> (2 Stück)</t>
    </r>
    <r>
      <rPr>
        <b/>
        <i/>
        <sz val="10"/>
        <color theme="1"/>
        <rFont val="Book Antiqua"/>
        <family val="1"/>
      </rPr>
      <t xml:space="preserve"> (7. Ziel)</t>
    </r>
  </si>
  <si>
    <r>
      <t>- Wendeposter "Akademiesiegel"/Landkarte "Akademien in Aventurien"</t>
    </r>
    <r>
      <rPr>
        <b/>
        <i/>
        <sz val="10"/>
        <color theme="1"/>
        <rFont val="Book Antiqua"/>
        <family val="1"/>
      </rPr>
      <t xml:space="preserve"> (8. Ziel)</t>
    </r>
  </si>
  <si>
    <t>Sonnenküste</t>
  </si>
  <si>
    <t>SOK (€/kum)</t>
  </si>
  <si>
    <t>SOK (B)</t>
  </si>
  <si>
    <t>SOK (B/kum)</t>
  </si>
  <si>
    <t>RE (€)</t>
  </si>
  <si>
    <t>RE (Backer)</t>
  </si>
  <si>
    <t>SOK norm (€)</t>
  </si>
  <si>
    <t>SOK norm (Backer)</t>
  </si>
  <si>
    <t>MP SOK (€)</t>
  </si>
  <si>
    <t>MP SOK (B)</t>
  </si>
  <si>
    <t>Rohals Erben</t>
  </si>
  <si>
    <t>Zusatzprodukt</t>
  </si>
  <si>
    <t>In %</t>
  </si>
  <si>
    <t>Dein Gesamtrabatt</t>
  </si>
  <si>
    <t>Box</t>
  </si>
  <si>
    <t>enthalten</t>
  </si>
  <si>
    <t>Kauf nach CF</t>
  </si>
  <si>
    <t>Mehr über das Projekt erfährst du hier:</t>
  </si>
  <si>
    <r>
      <rPr>
        <b/>
        <u/>
        <sz val="14"/>
        <color theme="1"/>
        <rFont val="Book Antiqua"/>
        <family val="1"/>
      </rPr>
      <t>Physische</t>
    </r>
    <r>
      <rPr>
        <b/>
        <sz val="14"/>
        <color theme="1"/>
        <rFont val="Book Antiqua"/>
        <family val="1"/>
      </rPr>
      <t xml:space="preserve"> Produkte des Crowdfundings</t>
    </r>
  </si>
  <si>
    <r>
      <rPr>
        <b/>
        <u/>
        <sz val="14"/>
        <color theme="1"/>
        <rFont val="Book Antiqua"/>
        <family val="1"/>
      </rPr>
      <t>Digitale/Sonstige</t>
    </r>
    <r>
      <rPr>
        <b/>
        <sz val="14"/>
        <color theme="1"/>
        <rFont val="Book Antiqua"/>
        <family val="1"/>
      </rPr>
      <t xml:space="preserve"> Produkte des Crowdfundings</t>
    </r>
    <r>
      <rPr>
        <b/>
        <sz val="11"/>
        <color rgb="FFFF0000"/>
        <rFont val="Book Antiqua"/>
        <family val="1"/>
      </rPr>
      <t/>
    </r>
  </si>
  <si>
    <t>Mein Wunschpaket umfasst ("x" setzen)</t>
  </si>
  <si>
    <r>
      <t xml:space="preserve">Die orange markierten Produkte musst du bei dem entsprechenden Paket als Zusatzprodukt ("Zusatzprodukt") im CF hinzubuchen </t>
    </r>
    <r>
      <rPr>
        <b/>
        <sz val="10"/>
        <color rgb="FFFF0000"/>
        <rFont val="Book Antiqua"/>
        <family val="1"/>
      </rPr>
      <t>ODER</t>
    </r>
    <r>
      <rPr>
        <b/>
        <sz val="10"/>
        <color theme="1"/>
        <rFont val="Book Antiqua"/>
        <family val="1"/>
      </rPr>
      <t xml:space="preserve"> diese sind beim physischen Produkt bereits enthalten ("enthalten")
</t>
    </r>
    <r>
      <rPr>
        <b/>
        <sz val="10"/>
        <color rgb="FFFF0000"/>
        <rFont val="Book Antiqua"/>
        <family val="1"/>
      </rPr>
      <t>ODER</t>
    </r>
    <r>
      <rPr>
        <b/>
        <sz val="10"/>
        <color theme="1"/>
        <rFont val="Book Antiqua"/>
        <family val="1"/>
      </rPr>
      <t xml:space="preserve"> du musst sie nach dem CF im F-Shop bzw. Ulisses-ebook-Shop erwerben ("Kauf nach CF")</t>
    </r>
  </si>
  <si>
    <t>Das sind die physischen Bestandteile des jeweiligen Pakets wert</t>
  </si>
  <si>
    <t>Das sind die digitalen Bestandteile des jeweiligen Pakets wert</t>
  </si>
  <si>
    <t>Das sind die physichen &amp; digitalen Bestandteile des jeweiligen Pakets wert</t>
  </si>
  <si>
    <t>Physische Produkte</t>
  </si>
  <si>
    <t>Digitale Produkte</t>
  </si>
  <si>
    <t>Alle Produkte</t>
  </si>
  <si>
    <r>
      <t>* Abenteuerskizze "Vergiss mein nicht"</t>
    </r>
    <r>
      <rPr>
        <b/>
        <i/>
        <sz val="10"/>
        <color theme="1"/>
        <rFont val="Book Antiqua"/>
        <family val="1"/>
      </rPr>
      <t xml:space="preserve"> (21. Ziel)</t>
    </r>
  </si>
  <si>
    <t>Anteil Unterstützer je Dankeschön</t>
  </si>
  <si>
    <r>
      <t>* Spielhilfe "Zuberzeichen"</t>
    </r>
    <r>
      <rPr>
        <b/>
        <i/>
        <sz val="10"/>
        <color theme="1"/>
        <rFont val="Book Antiqua"/>
        <family val="1"/>
      </rPr>
      <t xml:space="preserve"> (29. Ziel)</t>
    </r>
  </si>
  <si>
    <r>
      <t xml:space="preserve">- Schwarze Kunst &amp; Limbusreisen </t>
    </r>
    <r>
      <rPr>
        <i/>
        <sz val="8"/>
        <color theme="1"/>
        <rFont val="Book Antiqua"/>
        <family val="1"/>
      </rPr>
      <t xml:space="preserve">(inkl. 4 Abenteuerskizzen, 7 Spielhilfen, Auf ins Abenteuer, Heldenbögen etc.); </t>
    </r>
    <r>
      <rPr>
        <i/>
        <sz val="8"/>
        <color rgb="FFFF0000"/>
        <rFont val="Book Antiqua"/>
        <family val="1"/>
      </rPr>
      <t>enthält:</t>
    </r>
  </si>
  <si>
    <r>
      <t>* Abenteuerskizze "Wenn Nachtwinde lieben"</t>
    </r>
    <r>
      <rPr>
        <b/>
        <i/>
        <sz val="10"/>
        <color theme="1"/>
        <rFont val="Book Antiqua"/>
        <family val="1"/>
      </rPr>
      <t xml:space="preserve"> (23. Ziel)</t>
    </r>
  </si>
  <si>
    <r>
      <t xml:space="preserve">- Handouts zu "Rohals Erben" </t>
    </r>
    <r>
      <rPr>
        <b/>
        <i/>
        <sz val="10"/>
        <color theme="1"/>
        <rFont val="Book Antiqua"/>
        <family val="1"/>
      </rPr>
      <t>(31. Ziel)</t>
    </r>
  </si>
  <si>
    <r>
      <t xml:space="preserve">- Handouts zu "Das Geheimnis der Zauberschüler" und "Auf ins Abenteuer" </t>
    </r>
    <r>
      <rPr>
        <b/>
        <i/>
        <sz val="10"/>
        <color theme="1"/>
        <rFont val="Book Antiqua"/>
        <family val="1"/>
      </rPr>
      <t>(30. Ziel)</t>
    </r>
  </si>
  <si>
    <r>
      <rPr>
        <i/>
        <strike/>
        <sz val="10"/>
        <color theme="1"/>
        <rFont val="Book Antiqua"/>
        <family val="1"/>
      </rPr>
      <t>- Archetypen-Heldenbögen zu "Das Geheimnis der Zauberschüler"</t>
    </r>
    <r>
      <rPr>
        <i/>
        <strike/>
        <sz val="8"/>
        <color theme="1"/>
        <rFont val="Book Antiqua"/>
        <family val="1"/>
      </rPr>
      <t xml:space="preserve"> (6 Stück) </t>
    </r>
    <r>
      <rPr>
        <b/>
        <i/>
        <sz val="10"/>
        <color theme="1"/>
        <rFont val="Book Antiqua"/>
        <family val="1"/>
      </rPr>
      <t>(33. Ziel, bei 350.000 €)</t>
    </r>
  </si>
  <si>
    <t xml:space="preserve">                                                   © 2022 Bild by Ulisses Spiele GmbH               </t>
  </si>
  <si>
    <t>Hinter dem Schwarzen Auge: Nachrichten, Podcast, Discord, Twitch, YouTube</t>
  </si>
  <si>
    <t>Der "Die Gunst der Göttin"-Einkaufsführer</t>
  </si>
  <si>
    <r>
      <t xml:space="preserve">(made with </t>
    </r>
    <r>
      <rPr>
        <b/>
        <sz val="10"/>
        <color rgb="FFC00000"/>
        <rFont val="Book Antiqua"/>
        <family val="1"/>
      </rPr>
      <t>Auge</t>
    </r>
    <r>
      <rPr>
        <b/>
        <sz val="10"/>
        <color theme="1"/>
        <rFont val="Book Antiqua"/>
        <family val="1"/>
      </rPr>
      <t xml:space="preserve"> by Hinter dem Schwarzen Auge!)</t>
    </r>
  </si>
  <si>
    <t>https://www.gameontabletop.com/cf856/das-schwarze-auge-die-gunst-der-gottin.html</t>
  </si>
  <si>
    <t>Mit Rahjas Segen</t>
  </si>
  <si>
    <t>Niederschrift der Helden</t>
  </si>
  <si>
    <t>Die Villa Karinor</t>
  </si>
  <si>
    <t>Im Namen der Liebe</t>
  </si>
  <si>
    <t>In Schrift und Wort</t>
  </si>
  <si>
    <t>Stadt des Roten Goldes</t>
  </si>
  <si>
    <t>Das Moghulat Oron</t>
  </si>
  <si>
    <t>Die Feste des Arkos</t>
  </si>
  <si>
    <t>Der Arkanische Widerstand</t>
  </si>
  <si>
    <t>Casino Rahjal</t>
  </si>
  <si>
    <t>Die Stadt der Spiegel</t>
  </si>
  <si>
    <t>Das Kompendium</t>
  </si>
  <si>
    <t>Schüler</t>
  </si>
  <si>
    <t>Neu in Aventurien</t>
  </si>
  <si>
    <t>Lehrerin</t>
  </si>
  <si>
    <t>Gastgeber der Leiden-schaft</t>
  </si>
  <si>
    <t>Hüterin der Zehn Göttlichen Gaben</t>
  </si>
  <si>
    <t>Geliebter der Göttin</t>
  </si>
  <si>
    <r>
      <t xml:space="preserve">Rahjas Gunst (Quellenband) </t>
    </r>
    <r>
      <rPr>
        <sz val="8"/>
        <color theme="1"/>
        <rFont val="Book Antiqua"/>
        <family val="1"/>
      </rPr>
      <t>(160 Seiten)</t>
    </r>
  </si>
  <si>
    <r>
      <t>Rahjas Gunst (limitiert)</t>
    </r>
    <r>
      <rPr>
        <sz val="8"/>
        <color theme="1"/>
        <rFont val="Book Antiqua"/>
        <family val="1"/>
      </rPr>
      <t xml:space="preserve"> (160 Seiten)</t>
    </r>
  </si>
  <si>
    <r>
      <t xml:space="preserve">Die verborgene Gabe (Kampagnenband) </t>
    </r>
    <r>
      <rPr>
        <sz val="8"/>
        <color theme="1"/>
        <rFont val="Book Antiqua"/>
        <family val="1"/>
      </rPr>
      <t xml:space="preserve">(160 Seiten) </t>
    </r>
  </si>
  <si>
    <r>
      <t>Rosendurft &amp; Bühnenspiel (Abenteuer-Anthologie)</t>
    </r>
    <r>
      <rPr>
        <sz val="8"/>
        <color theme="1"/>
        <rFont val="Book Antiqua"/>
        <family val="1"/>
      </rPr>
      <t xml:space="preserve"> (64 Seiten)</t>
    </r>
  </si>
  <si>
    <r>
      <t>Lotosblüten &amp; Visionen (Abenteuer-Anthologie)</t>
    </r>
    <r>
      <rPr>
        <sz val="8"/>
        <color theme="1"/>
        <rFont val="Book Antiqua"/>
        <family val="1"/>
      </rPr>
      <t xml:space="preserve"> (64 Seiten)</t>
    </r>
  </si>
  <si>
    <r>
      <t xml:space="preserve">Rahjas Diener (Meisterpersonenband) </t>
    </r>
    <r>
      <rPr>
        <sz val="8"/>
        <color theme="1"/>
        <rFont val="Book Antiqua"/>
        <family val="1"/>
      </rPr>
      <t>(128 Seiten)</t>
    </r>
  </si>
  <si>
    <r>
      <t>Amaziella Bosvanis Bordellführer (Ingame-Buch)</t>
    </r>
    <r>
      <rPr>
        <sz val="8"/>
        <color theme="1"/>
        <rFont val="Book Antiqua"/>
        <family val="1"/>
      </rPr>
      <t xml:space="preserve"> (160 Seiten, B5)</t>
    </r>
  </si>
  <si>
    <r>
      <t xml:space="preserve">Stunden der Sehnsucht (Roman-Anthologie) </t>
    </r>
    <r>
      <rPr>
        <sz val="8"/>
        <color theme="1"/>
        <rFont val="Book Antiqua"/>
        <family val="1"/>
      </rPr>
      <t>(??? Seiten)</t>
    </r>
  </si>
  <si>
    <r>
      <t xml:space="preserve">Acrylmarker-Set – Rahjas Gunst </t>
    </r>
    <r>
      <rPr>
        <sz val="8"/>
        <color theme="1"/>
        <rFont val="Book Antiqua"/>
        <family val="1"/>
      </rPr>
      <t>(100 Acrylmarker)</t>
    </r>
  </si>
  <si>
    <r>
      <t xml:space="preserve">Sphärenklang – Rahjas Gunst (Audio-CD) </t>
    </r>
    <r>
      <rPr>
        <sz val="8"/>
        <color theme="1"/>
        <rFont val="Book Antiqua"/>
        <family val="1"/>
      </rPr>
      <t>(23 Tracks)</t>
    </r>
  </si>
  <si>
    <t>Die Gunst der Göttin-Sammelbox</t>
  </si>
  <si>
    <r>
      <t xml:space="preserve">Levthan-Vademecum </t>
    </r>
    <r>
      <rPr>
        <sz val="8"/>
        <color theme="1"/>
        <rFont val="Book Antiqua"/>
        <family val="1"/>
      </rPr>
      <t>(160 Seiten, A6)</t>
    </r>
  </si>
  <si>
    <t>Das Geheimnis des Drachenritters (DSA-Einsteigerbox) + Heldenwerk: Das Mädchen und der Menschenfresser</t>
  </si>
  <si>
    <t>Einsteigerbox + Heft</t>
  </si>
  <si>
    <t>Extrablatt!</t>
  </si>
  <si>
    <t>Prominente Rahadiener</t>
  </si>
  <si>
    <t>Lustschlösser und Zauberwesen</t>
  </si>
  <si>
    <t>Sinnestaumel &amp; Begierde</t>
  </si>
  <si>
    <t>Intrigenspiel &amp; Leidenschaft</t>
  </si>
  <si>
    <t>Bereits erhältliche Produkte</t>
  </si>
  <si>
    <t>Meisterschirmset - Kurtisanen und Bordelle</t>
  </si>
  <si>
    <t>Mondsilberne Nächte (Ingame Schundroman)</t>
  </si>
  <si>
    <t>Hardcover</t>
  </si>
  <si>
    <t>Rahja-Vademecum 3. Auflage</t>
  </si>
  <si>
    <t>Die Hexe vom Schattenwasser - Erweiterung für Einsteigerbox</t>
  </si>
  <si>
    <t>Box + Softcover</t>
  </si>
  <si>
    <t>Aventurisches Götterwirken</t>
  </si>
  <si>
    <t>Namenlose Nacht (Überarbeitete Neuauflage)</t>
  </si>
  <si>
    <t>Havena Crowdfunding Pack</t>
  </si>
  <si>
    <t>Bereits erhältliche Produkte (max. 50 Stück)</t>
  </si>
  <si>
    <t>Wege der Vereinigungen 2. Auflage</t>
  </si>
  <si>
    <t>Bereits erhältliche Produkte (max. 30 Stück)</t>
  </si>
  <si>
    <t>Spielkarten</t>
  </si>
  <si>
    <t>DSA5 Spielkartenset Kritische Treffer (55 Karten)</t>
  </si>
  <si>
    <t>DSA5 Spielkartenset Kritische Offensiv-Fehlschläge (55 Karten)</t>
  </si>
  <si>
    <t>DSA5 Spielkartenset Falltüren &amp; Speergruben (55 Karten)</t>
  </si>
  <si>
    <t>DSA5 Spielkartenset Schätze &amp; Kostbarkeiten (55 Karten)</t>
  </si>
  <si>
    <t>DSA5 Spielkartenset Kritische Defensiv Erfolge</t>
  </si>
  <si>
    <t>DSA5 Spielkartenset Kritische Defensiv Fehlschläge</t>
  </si>
  <si>
    <t>Die Gestade des Gottwals - Crowdfunding Pack</t>
  </si>
  <si>
    <t>DSA5 Spielkartenset Deluxe Wege der Vereinigungen Praktiken</t>
  </si>
  <si>
    <t>DSA5 Spielkartenset Wege der Vereinigungen Magie</t>
  </si>
  <si>
    <t>DSA5 Spielkartenset Wege der Vereinigungen Götterwirken</t>
  </si>
  <si>
    <t>DSA5 Spielkartenset Zusatzkarten</t>
  </si>
  <si>
    <t>DSA5 Einsteigerbox: Magier - Würfelset</t>
  </si>
  <si>
    <t>DSA5 Einsteigerbox: Krieger - Würfelset</t>
  </si>
  <si>
    <t>DSA5 Einsteigerbox: Zwergen - Würfelset</t>
  </si>
  <si>
    <t>DSA5 Einsteigerbox: Elfen - Würfelset</t>
  </si>
  <si>
    <t>DSA5 Einsteigerbox: Schicksalspunkte-Set (12)</t>
  </si>
  <si>
    <t>DSA5 Mythos: Spielkartenset Wahnsinn</t>
  </si>
  <si>
    <t>DSA5-Spielkartenset Av. Zufallskarten - Gestade des Gottwals</t>
  </si>
  <si>
    <t>DSA5-Spielkartenset Meisterpersonen - Handel &amp; Wandel</t>
  </si>
  <si>
    <t>Wege der Vereinigungen Deluxe Zustandsmarker</t>
  </si>
  <si>
    <t xml:space="preserve">Wege der Vereinigung Crowdfunding Pack </t>
  </si>
  <si>
    <t>Kunststoff-Würfel</t>
  </si>
  <si>
    <t>Kunstoff-Schips</t>
  </si>
  <si>
    <t>DSA5 Schicksalspunkte Kampf (20)</t>
  </si>
  <si>
    <t>DSA5 Schicksalspunkte - Die Gestade des Gottwals</t>
  </si>
  <si>
    <t>DSA5 Meister-Schicksalspunkte (20)</t>
  </si>
  <si>
    <t>DSA5 Spielkartenset Aventurisches Bestiarium 2 Deluxe</t>
  </si>
  <si>
    <t>Sphärenklang - Wege der Vereinigungen</t>
  </si>
  <si>
    <t>Rahjasutra- Fesseln der Lust Hörbuch (3CDs)</t>
  </si>
  <si>
    <t>Sphärenklang - Die Dampfenden Dschungel</t>
  </si>
  <si>
    <t>DSA5 Mythos: Sphärenklänge des Wahnsinns</t>
  </si>
  <si>
    <t>DSA5 Mythos: Traumlande Stoffkarte</t>
  </si>
  <si>
    <t>Sphärenklang - Die Gestade des Gottwals</t>
  </si>
  <si>
    <t>Sphärenklang Die Flusslande Audio CD</t>
  </si>
  <si>
    <t>DSA5 - Spielkartenbundle - Aventurisches Götterwirken</t>
  </si>
  <si>
    <t>DSA5 - Die Sonnenküste Stoffkarte</t>
  </si>
  <si>
    <t>DSA5 - Sphärenklang Die Sonnenküste Audio CD</t>
  </si>
  <si>
    <t>DSA5 - Spielkartenset Gestade des Gottwals 2</t>
  </si>
  <si>
    <t>Trefferzonen-Set</t>
  </si>
  <si>
    <t>Stoffkarte Die Gestade des Gottwals - Gjalsker</t>
  </si>
  <si>
    <t>Kartentruhe Arsenal</t>
  </si>
  <si>
    <t>DSA1 - Lets Play Bundle</t>
  </si>
  <si>
    <t>Aventurischer Bote Sammelbox</t>
  </si>
  <si>
    <t>Bereits erhältliche Produkte - ausverkauft!</t>
  </si>
  <si>
    <r>
      <t>- Heldenbogen mit rahjagefälliger Verzierung</t>
    </r>
    <r>
      <rPr>
        <i/>
        <sz val="8"/>
        <color theme="1"/>
        <rFont val="Book Antiqua"/>
        <family val="1"/>
      </rPr>
      <t xml:space="preserve"> (1 Stück)</t>
    </r>
    <r>
      <rPr>
        <b/>
        <i/>
        <sz val="10"/>
        <color theme="1"/>
        <rFont val="Book Antiqua"/>
        <family val="1"/>
      </rPr>
      <t xml:space="preserve"> (1. Ziel)</t>
    </r>
  </si>
  <si>
    <r>
      <t>* Spielhilfe "Beschreibung der Villa Karinor"</t>
    </r>
    <r>
      <rPr>
        <b/>
        <i/>
        <sz val="10"/>
        <color theme="1"/>
        <rFont val="Book Antiqua"/>
        <family val="1"/>
      </rPr>
      <t xml:space="preserve"> (2. Ziel)</t>
    </r>
  </si>
  <si>
    <t>im Kompendium enthalten</t>
  </si>
  <si>
    <r>
      <t>* Abenteuer "Im Namen der Liebe"(ca. 20 Seiten)</t>
    </r>
    <r>
      <rPr>
        <b/>
        <i/>
        <sz val="10"/>
        <color theme="1"/>
        <rFont val="Book Antiqua"/>
        <family val="1"/>
      </rPr>
      <t xml:space="preserve"> (3. Ziel)</t>
    </r>
  </si>
  <si>
    <r>
      <t>- Heldenbogen mit rahjagefälliger Verzierung</t>
    </r>
    <r>
      <rPr>
        <i/>
        <sz val="8"/>
        <color theme="1"/>
        <rFont val="Book Antiqua"/>
        <family val="1"/>
      </rPr>
      <t xml:space="preserve"> (1 Stück)</t>
    </r>
    <r>
      <rPr>
        <b/>
        <i/>
        <sz val="10"/>
        <color theme="1"/>
        <rFont val="Book Antiqua"/>
        <family val="1"/>
      </rPr>
      <t xml:space="preserve"> (4. Ziel)</t>
    </r>
  </si>
  <si>
    <r>
      <t>* Spielhilfe "Stadtbeschreibung Al'Anfas"</t>
    </r>
    <r>
      <rPr>
        <b/>
        <i/>
        <sz val="10"/>
        <color theme="1"/>
        <rFont val="Book Antiqua"/>
        <family val="1"/>
      </rPr>
      <t xml:space="preserve"> (5. Ziel)</t>
    </r>
  </si>
  <si>
    <r>
      <t>* Spielhilfe "Villa von König Arkos"</t>
    </r>
    <r>
      <rPr>
        <b/>
        <i/>
        <sz val="10"/>
        <color theme="1"/>
        <rFont val="Book Antiqua"/>
        <family val="1"/>
      </rPr>
      <t xml:space="preserve"> (7. Ziel)</t>
    </r>
  </si>
  <si>
    <r>
      <t>* Spielhilfe "Aranien"</t>
    </r>
    <r>
      <rPr>
        <b/>
        <i/>
        <sz val="10"/>
        <color theme="1"/>
        <rFont val="Book Antiqua"/>
        <family val="1"/>
      </rPr>
      <t xml:space="preserve"> (8. Ziel)</t>
    </r>
  </si>
  <si>
    <r>
      <t>* Abenteuer "Casion Rahjal"(ca. 20 Seiten)</t>
    </r>
    <r>
      <rPr>
        <b/>
        <i/>
        <sz val="10"/>
        <color theme="1"/>
        <rFont val="Book Antiqua"/>
        <family val="1"/>
      </rPr>
      <t xml:space="preserve"> (9. Ziel)</t>
    </r>
  </si>
  <si>
    <r>
      <t>* Spielhilfe "Zorgan"</t>
    </r>
    <r>
      <rPr>
        <b/>
        <i/>
        <sz val="10"/>
        <color theme="1"/>
        <rFont val="Book Antiqua"/>
        <family val="1"/>
      </rPr>
      <t xml:space="preserve"> (10. Ziel)</t>
    </r>
  </si>
  <si>
    <r>
      <t>- Belhankaner Beobachter</t>
    </r>
    <r>
      <rPr>
        <i/>
        <sz val="8"/>
        <color theme="1"/>
        <rFont val="Book Antiqua"/>
        <family val="1"/>
      </rPr>
      <t>(? Seiten; A3)</t>
    </r>
    <r>
      <rPr>
        <b/>
        <i/>
        <sz val="10"/>
        <color theme="1"/>
        <rFont val="Book Antiqua"/>
        <family val="1"/>
      </rPr>
      <t xml:space="preserve"> (12. Ziel)</t>
    </r>
  </si>
  <si>
    <r>
      <t xml:space="preserve">- 8 Meisterpersonen-Referenzen </t>
    </r>
    <r>
      <rPr>
        <b/>
        <i/>
        <strike/>
        <sz val="10"/>
        <color theme="1"/>
        <rFont val="Book Antiqua"/>
        <family val="1"/>
      </rPr>
      <t>(XX. Ziel)</t>
    </r>
  </si>
  <si>
    <t>s.o.</t>
  </si>
  <si>
    <r>
      <t xml:space="preserve">Das sparst Du </t>
    </r>
    <r>
      <rPr>
        <b/>
        <sz val="10"/>
        <color rgb="FF00B050"/>
        <rFont val="Book Antiqua"/>
        <family val="1"/>
      </rPr>
      <t>(grüne Zahl)</t>
    </r>
    <r>
      <rPr>
        <b/>
        <sz val="10"/>
        <color theme="1"/>
        <rFont val="Book Antiqua"/>
        <family val="1"/>
      </rPr>
      <t xml:space="preserve">, wenn du stattdessen das Dankeschön "Schüler" wählst (bei </t>
    </r>
    <r>
      <rPr>
        <b/>
        <sz val="10"/>
        <color rgb="FFFF0000"/>
        <rFont val="Book Antiqua"/>
        <family val="1"/>
      </rPr>
      <t>roter Zahl</t>
    </r>
    <r>
      <rPr>
        <b/>
        <sz val="10"/>
        <color theme="1"/>
        <rFont val="Book Antiqua"/>
        <family val="1"/>
      </rPr>
      <t xml:space="preserve"> zahlst du mehr!)</t>
    </r>
  </si>
  <si>
    <r>
      <t xml:space="preserve">Das sparst Du </t>
    </r>
    <r>
      <rPr>
        <b/>
        <sz val="10"/>
        <color rgb="FF00B050"/>
        <rFont val="Book Antiqua"/>
        <family val="1"/>
      </rPr>
      <t>(grüne Zahl)</t>
    </r>
    <r>
      <rPr>
        <b/>
        <sz val="10"/>
        <color theme="1"/>
        <rFont val="Book Antiqua"/>
        <family val="1"/>
      </rPr>
      <t xml:space="preserve">, wenn du stattdessen das Dankeschön "Lehrerin" wählst (bei </t>
    </r>
    <r>
      <rPr>
        <b/>
        <sz val="10"/>
        <color rgb="FFFF0000"/>
        <rFont val="Book Antiqua"/>
        <family val="1"/>
      </rPr>
      <t>roter Zahl</t>
    </r>
    <r>
      <rPr>
        <b/>
        <sz val="10"/>
        <color theme="1"/>
        <rFont val="Book Antiqua"/>
        <family val="1"/>
      </rPr>
      <t xml:space="preserve"> zahlst du mehr!)</t>
    </r>
  </si>
  <si>
    <r>
      <t xml:space="preserve">Das sparst Du </t>
    </r>
    <r>
      <rPr>
        <b/>
        <sz val="10"/>
        <color rgb="FF00B050"/>
        <rFont val="Book Antiqua"/>
        <family val="1"/>
      </rPr>
      <t>(grüne Zahl)</t>
    </r>
    <r>
      <rPr>
        <b/>
        <sz val="10"/>
        <color theme="1"/>
        <rFont val="Book Antiqua"/>
        <family val="1"/>
      </rPr>
      <t xml:space="preserve">, wenn du stattdessen das Dankeschön "Gastgeber" wählst (bei </t>
    </r>
    <r>
      <rPr>
        <b/>
        <sz val="10"/>
        <color rgb="FFFF0000"/>
        <rFont val="Book Antiqua"/>
        <family val="1"/>
      </rPr>
      <t>roter Zahl</t>
    </r>
    <r>
      <rPr>
        <b/>
        <sz val="10"/>
        <color theme="1"/>
        <rFont val="Book Antiqua"/>
        <family val="1"/>
      </rPr>
      <t xml:space="preserve"> zahlst du mehr!)</t>
    </r>
  </si>
  <si>
    <r>
      <t xml:space="preserve">Das sparst Du </t>
    </r>
    <r>
      <rPr>
        <b/>
        <sz val="10"/>
        <color rgb="FF00B050"/>
        <rFont val="Book Antiqua"/>
        <family val="1"/>
      </rPr>
      <t>(grüne Zahl)</t>
    </r>
    <r>
      <rPr>
        <b/>
        <sz val="10"/>
        <color theme="1"/>
        <rFont val="Book Antiqua"/>
        <family val="1"/>
      </rPr>
      <t xml:space="preserve">, wenn du stattdessen das Dankeschön "Neu" wählst (bei </t>
    </r>
    <r>
      <rPr>
        <b/>
        <sz val="10"/>
        <color rgb="FFFF0000"/>
        <rFont val="Book Antiqua"/>
        <family val="1"/>
      </rPr>
      <t>roter Zahl</t>
    </r>
    <r>
      <rPr>
        <b/>
        <sz val="10"/>
        <color theme="1"/>
        <rFont val="Book Antiqua"/>
        <family val="1"/>
      </rPr>
      <t xml:space="preserve"> zahlst du mehr!)</t>
    </r>
  </si>
  <si>
    <r>
      <t xml:space="preserve">Das sparst Du </t>
    </r>
    <r>
      <rPr>
        <b/>
        <sz val="10"/>
        <color rgb="FF00B050"/>
        <rFont val="Book Antiqua"/>
        <family val="1"/>
      </rPr>
      <t>(grüne Zahl)</t>
    </r>
    <r>
      <rPr>
        <b/>
        <sz val="10"/>
        <color theme="1"/>
        <rFont val="Book Antiqua"/>
        <family val="1"/>
      </rPr>
      <t xml:space="preserve">, wenn du stattdessen das Dankeschön "Hüterin" wählst (bei </t>
    </r>
    <r>
      <rPr>
        <b/>
        <sz val="10"/>
        <color rgb="FFFF0000"/>
        <rFont val="Book Antiqua"/>
        <family val="1"/>
      </rPr>
      <t>roter Zahl</t>
    </r>
    <r>
      <rPr>
        <b/>
        <sz val="10"/>
        <color theme="1"/>
        <rFont val="Book Antiqua"/>
        <family val="1"/>
      </rPr>
      <t xml:space="preserve"> zahlst du mehr!)</t>
    </r>
  </si>
  <si>
    <r>
      <t xml:space="preserve">Das sparst Du </t>
    </r>
    <r>
      <rPr>
        <b/>
        <sz val="10"/>
        <color rgb="FF00B050"/>
        <rFont val="Book Antiqua"/>
        <family val="1"/>
      </rPr>
      <t>(grüne Zahl)</t>
    </r>
    <r>
      <rPr>
        <b/>
        <sz val="10"/>
        <color theme="1"/>
        <rFont val="Book Antiqua"/>
        <family val="1"/>
      </rPr>
      <t xml:space="preserve">, wenn du stattdessen das Dankeschön "Geliebter" wählst (bei </t>
    </r>
    <r>
      <rPr>
        <b/>
        <sz val="10"/>
        <color rgb="FFFF0000"/>
        <rFont val="Book Antiqua"/>
        <family val="1"/>
      </rPr>
      <t>roter Zahl</t>
    </r>
    <r>
      <rPr>
        <b/>
        <sz val="10"/>
        <color theme="1"/>
        <rFont val="Book Antiqua"/>
        <family val="1"/>
      </rPr>
      <t xml:space="preserve"> zahlst du mehr!)</t>
    </r>
  </si>
  <si>
    <r>
      <t xml:space="preserve">Sphärenklang – Rahjas Gunst (mp3) </t>
    </r>
    <r>
      <rPr>
        <sz val="8"/>
        <color theme="1"/>
        <rFont val="Book Antiqua"/>
        <family val="1"/>
      </rPr>
      <t>(23 Tracks)</t>
    </r>
  </si>
  <si>
    <t>Die Gunst der Göttin</t>
  </si>
  <si>
    <t>RE (€/kum)</t>
  </si>
  <si>
    <t>RE (B)</t>
  </si>
  <si>
    <t>RE (B/kum)</t>
  </si>
  <si>
    <t>DGG (€)</t>
  </si>
  <si>
    <t>DGG (€/kum)</t>
  </si>
  <si>
    <t>DGG (B)</t>
  </si>
  <si>
    <t>DGG (B/kum)</t>
  </si>
  <si>
    <t>MP RE (€)</t>
  </si>
  <si>
    <t>MP RE (B)</t>
  </si>
  <si>
    <t>DGG (Backer)</t>
  </si>
  <si>
    <t>Schnitt Tag 1-3</t>
  </si>
  <si>
    <r>
      <t>* Spielhilfe "Das Moghulat Oron"</t>
    </r>
    <r>
      <rPr>
        <b/>
        <i/>
        <sz val="10"/>
        <color theme="1"/>
        <rFont val="Book Antiqua"/>
        <family val="1"/>
      </rPr>
      <t xml:space="preserve"> (6. Ziel)</t>
    </r>
  </si>
  <si>
    <t>https://hinter-dem-schwarzen-auge.de/links/</t>
  </si>
  <si>
    <t>Der Beobachter sieht alles</t>
  </si>
  <si>
    <t>Der Spielplan der Sehnsucht</t>
  </si>
  <si>
    <t>Alverans Gunst</t>
  </si>
  <si>
    <r>
      <t>- Belhankaner Beobachter</t>
    </r>
    <r>
      <rPr>
        <i/>
        <sz val="8"/>
        <color theme="1"/>
        <rFont val="Book Antiqua"/>
        <family val="1"/>
      </rPr>
      <t>(? Seiten; A3)</t>
    </r>
    <r>
      <rPr>
        <b/>
        <i/>
        <sz val="10"/>
        <color theme="1"/>
        <rFont val="Book Antiqua"/>
        <family val="1"/>
      </rPr>
      <t xml:space="preserve"> (14. Ziel)</t>
    </r>
  </si>
  <si>
    <r>
      <t>Kompendium der Gunst der Göttin</t>
    </r>
    <r>
      <rPr>
        <i/>
        <sz val="10"/>
        <rFont val="Book Antiqua"/>
        <family val="1"/>
      </rPr>
      <t xml:space="preserve"> </t>
    </r>
    <r>
      <rPr>
        <i/>
        <sz val="8"/>
        <rFont val="Book Antiqua"/>
        <family val="1"/>
      </rPr>
      <t xml:space="preserve">(bis zu 128 Seiten) </t>
    </r>
    <r>
      <rPr>
        <i/>
        <sz val="10"/>
        <rFont val="Book Antiqua"/>
        <family val="1"/>
      </rPr>
      <t>(</t>
    </r>
    <r>
      <rPr>
        <b/>
        <i/>
        <sz val="10"/>
        <rFont val="Book Antiqua"/>
        <family val="1"/>
      </rPr>
      <t>11. Ziel)</t>
    </r>
  </si>
  <si>
    <t>max. 6 - ausverkauft</t>
  </si>
  <si>
    <r>
      <rPr>
        <strike/>
        <sz val="10"/>
        <color theme="1"/>
        <rFont val="Book Antiqua"/>
        <family val="1"/>
      </rPr>
      <t xml:space="preserve">Dein Held im Belhankaner Beobachter </t>
    </r>
    <r>
      <rPr>
        <b/>
        <sz val="10"/>
        <color rgb="FF00B050"/>
        <rFont val="Book Antiqua"/>
        <family val="1"/>
      </rPr>
      <t>(exklusiv im Crowdfunding!)</t>
    </r>
  </si>
  <si>
    <t>Im Namen der Rahja</t>
  </si>
  <si>
    <t>Die Begleiter Rahjas</t>
  </si>
  <si>
    <r>
      <t xml:space="preserve">- Autogrammkarte von Sharna Alveran </t>
    </r>
    <r>
      <rPr>
        <b/>
        <i/>
        <sz val="10"/>
        <color theme="1"/>
        <rFont val="Book Antiqua"/>
        <family val="1"/>
      </rPr>
      <t>(16. Ziel)</t>
    </r>
  </si>
  <si>
    <r>
      <t xml:space="preserve">- 16 Meisterpersonen-Referenzen zu Die verborgene Gabe </t>
    </r>
    <r>
      <rPr>
        <b/>
        <i/>
        <sz val="10"/>
        <color theme="1"/>
        <rFont val="Book Antiqua"/>
        <family val="1"/>
      </rPr>
      <t>(13.+17. Ziel)</t>
    </r>
    <r>
      <rPr>
        <i/>
        <sz val="10"/>
        <color theme="1"/>
        <rFont val="Book Antiqua"/>
        <family val="1"/>
      </rPr>
      <t/>
    </r>
  </si>
  <si>
    <t>Prognose min</t>
  </si>
  <si>
    <t>Prognose max</t>
  </si>
  <si>
    <t>Versammelte Prominenz</t>
  </si>
  <si>
    <r>
      <t xml:space="preserve">- Dokumente aller Reisegefährten aus "Die verborgene Gabe" </t>
    </r>
    <r>
      <rPr>
        <b/>
        <i/>
        <sz val="10"/>
        <color theme="1"/>
        <rFont val="Book Antiqua"/>
        <family val="1"/>
      </rPr>
      <t>(18. Ziel)</t>
    </r>
  </si>
  <si>
    <t>Heldenbögen</t>
  </si>
  <si>
    <t>Karte</t>
  </si>
  <si>
    <t>Klappbögen</t>
  </si>
  <si>
    <t>DIN A3</t>
  </si>
  <si>
    <t>Hochrechnung (könnte passen, oder auch nicht ;) )</t>
  </si>
  <si>
    <t>€ max.</t>
  </si>
  <si>
    <t>€ min.</t>
  </si>
  <si>
    <t>Backer min.</t>
  </si>
  <si>
    <t>Backer max.</t>
  </si>
  <si>
    <r>
      <t xml:space="preserve">Kompendium der Gunst der Göttin </t>
    </r>
    <r>
      <rPr>
        <sz val="8"/>
        <rFont val="Book Antiqua"/>
        <family val="1"/>
      </rPr>
      <t>(bis zu 128 Seiten)</t>
    </r>
  </si>
  <si>
    <t>Verborgene Kultstätten</t>
  </si>
  <si>
    <t>Rahjas Reisedokumente</t>
  </si>
  <si>
    <t>Yasmina und Djidhe</t>
  </si>
  <si>
    <r>
      <t xml:space="preserve">- 16 Meisterpersonen-Referenzen zu Die verborgene Gabe </t>
    </r>
    <r>
      <rPr>
        <b/>
        <i/>
        <sz val="10"/>
        <color theme="1"/>
        <rFont val="Book Antiqua"/>
        <family val="1"/>
      </rPr>
      <t>(19. Ziel)</t>
    </r>
    <r>
      <rPr>
        <i/>
        <sz val="10"/>
        <color theme="1"/>
        <rFont val="Book Antiqua"/>
        <family val="1"/>
      </rPr>
      <t/>
    </r>
  </si>
  <si>
    <r>
      <t xml:space="preserve">- Spielpläne zu "Die verborgen Gabe" (6 Stück) </t>
    </r>
    <r>
      <rPr>
        <b/>
        <i/>
        <sz val="10"/>
        <color theme="1"/>
        <rFont val="Book Antiqua"/>
        <family val="1"/>
      </rPr>
      <t>(15.+20. Ziel)</t>
    </r>
  </si>
  <si>
    <r>
      <t xml:space="preserve">- Dokumente aller Reisegefährten aus "Die verborgene Gabe" </t>
    </r>
    <r>
      <rPr>
        <b/>
        <i/>
        <sz val="10"/>
        <color theme="1"/>
        <rFont val="Book Antiqua"/>
        <family val="1"/>
      </rPr>
      <t>(21. Ziel)</t>
    </r>
  </si>
  <si>
    <r>
      <t>- Heldenbögen von Yasmina &amp; Djidhe</t>
    </r>
    <r>
      <rPr>
        <i/>
        <sz val="8"/>
        <color theme="1"/>
        <rFont val="Book Antiqua"/>
        <family val="1"/>
      </rPr>
      <t xml:space="preserve"> (2 Stück) </t>
    </r>
    <r>
      <rPr>
        <b/>
        <i/>
        <sz val="10"/>
        <color theme="1"/>
        <rFont val="Book Antiqua"/>
        <family val="1"/>
      </rPr>
      <t>(22. Ziel)</t>
    </r>
  </si>
  <si>
    <t>Dokumente für die Solohelden</t>
  </si>
  <si>
    <t>18:00</t>
  </si>
  <si>
    <t>Die Khabla-Chroniken erwarten euch!</t>
  </si>
  <si>
    <r>
      <t>- Heldenbögen von Yasmina &amp; Djidhe</t>
    </r>
    <r>
      <rPr>
        <i/>
        <sz val="8"/>
        <color theme="1"/>
        <rFont val="Book Antiqua"/>
        <family val="1"/>
      </rPr>
      <t xml:space="preserve"> (2 Stück) </t>
    </r>
    <r>
      <rPr>
        <b/>
        <i/>
        <sz val="10"/>
        <color theme="1"/>
        <rFont val="Book Antiqua"/>
        <family val="1"/>
      </rPr>
      <t>(23. Ziel)</t>
    </r>
  </si>
  <si>
    <r>
      <t>- Solo-Abenteuer "Die Khabla-Chroniken"</t>
    </r>
    <r>
      <rPr>
        <b/>
        <i/>
        <sz val="10"/>
        <color theme="1"/>
        <rFont val="Book Antiqua"/>
        <family val="1"/>
      </rPr>
      <t>(24. Ziel)</t>
    </r>
  </si>
  <si>
    <t>Finaler Stand: 231.565 € / 971 Unterstützer (Ø 238,48 €)</t>
  </si>
  <si>
    <t>Erreichte Bonusziele: 24 (=alle), bis: 'Die Khabla-Chroniken erwarten euch!'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</si>
</sst>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\ &quot;€&quot;"/>
    <numFmt numFmtId="165" formatCode="#,##0.00\ &quot;€&quot;"/>
    <numFmt numFmtId="166" formatCode="[$£-809]#,##0"/>
    <numFmt numFmtId="167" formatCode="0.0%"/>
    <numFmt numFmtId="168" formatCode="dddd"/>
    <numFmt numFmtId="169" formatCode="h:mm;@"/>
    <numFmt numFmtId="170" formatCode="[h]:mm"/>
    <numFmt numFmtId="171" formatCode="0&quot;. Tag&quot;"/>
    <numFmt numFmtId="172" formatCode="dd/mm/yy"/>
    <numFmt numFmtId="173" formatCode="dd/mm/yy\,\ hh:mm"/>
  </numFmts>
  <fonts count="7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Book Antiqua"/>
      <family val="1"/>
    </font>
    <font>
      <b/>
      <i/>
      <sz val="10"/>
      <color rgb="FFFF0000"/>
      <name val="Book Antiqua"/>
      <family val="1"/>
    </font>
    <font>
      <i/>
      <sz val="10"/>
      <color theme="1"/>
      <name val="Book Antiqua"/>
      <family val="1"/>
    </font>
    <font>
      <b/>
      <i/>
      <sz val="10"/>
      <name val="Book Antiqua"/>
      <family val="1"/>
    </font>
    <font>
      <b/>
      <i/>
      <sz val="10"/>
      <color theme="1"/>
      <name val="Book Antiqua"/>
      <family val="1"/>
    </font>
    <font>
      <b/>
      <i/>
      <sz val="10"/>
      <color rgb="FF0070C0"/>
      <name val="Book Antiqua"/>
      <family val="1"/>
    </font>
    <font>
      <sz val="10"/>
      <color rgb="FFFF0000"/>
      <name val="Book Antiqua"/>
      <family val="1"/>
    </font>
    <font>
      <u/>
      <sz val="11"/>
      <color theme="10"/>
      <name val="Calibri"/>
      <family val="2"/>
      <scheme val="minor"/>
    </font>
    <font>
      <sz val="10"/>
      <color theme="1"/>
      <name val="Book Antiqua"/>
      <family val="1"/>
    </font>
    <font>
      <b/>
      <sz val="10"/>
      <color rgb="FFFF0000"/>
      <name val="Book Antiqua"/>
      <family val="1"/>
    </font>
    <font>
      <b/>
      <sz val="12"/>
      <color theme="1"/>
      <name val="Book Antiqua"/>
      <family val="1"/>
    </font>
    <font>
      <i/>
      <sz val="11"/>
      <color rgb="FFFF0000"/>
      <name val="Calibri"/>
      <family val="2"/>
      <scheme val="minor"/>
    </font>
    <font>
      <b/>
      <sz val="12"/>
      <name val="Book Antiqua"/>
      <family val="1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Book Antiqua"/>
      <family val="1"/>
    </font>
    <font>
      <b/>
      <sz val="12"/>
      <color rgb="FFFF0000"/>
      <name val="Book Antiqua"/>
      <family val="1"/>
    </font>
    <font>
      <sz val="12"/>
      <color theme="1"/>
      <name val="Book Antiqua"/>
      <family val="1"/>
    </font>
    <font>
      <b/>
      <sz val="10"/>
      <color rgb="FF00B050"/>
      <name val="Book Antiqua"/>
      <family val="1"/>
    </font>
    <font>
      <i/>
      <sz val="10"/>
      <color rgb="FFFF0000"/>
      <name val="Book Antiqua"/>
      <family val="1"/>
    </font>
    <font>
      <b/>
      <sz val="10"/>
      <color theme="1"/>
      <name val="Book Antiqua"/>
      <family val="1"/>
    </font>
    <font>
      <b/>
      <sz val="10"/>
      <color rgb="FFC00000"/>
      <name val="Book Antiqua"/>
      <family val="1"/>
    </font>
    <font>
      <sz val="10"/>
      <color rgb="FF00B050"/>
      <name val="Book Antiqua"/>
      <family val="1"/>
    </font>
    <font>
      <strike/>
      <sz val="10"/>
      <color rgb="FFFF0000"/>
      <name val="Book Antiqua"/>
      <family val="1"/>
    </font>
    <font>
      <sz val="10"/>
      <name val="Book Antiqua"/>
      <family val="1"/>
    </font>
    <font>
      <strike/>
      <sz val="10"/>
      <color theme="1"/>
      <name val="Book Antiqua"/>
      <family val="1"/>
    </font>
    <font>
      <strike/>
      <sz val="10"/>
      <color rgb="FF00B050"/>
      <name val="Book Antiqua"/>
      <family val="1"/>
    </font>
    <font>
      <i/>
      <sz val="10"/>
      <color rgb="FF00B050"/>
      <name val="Book Antiqua"/>
      <family val="1"/>
    </font>
    <font>
      <i/>
      <strike/>
      <sz val="10"/>
      <color theme="1"/>
      <name val="Book Antiqua"/>
      <family val="1"/>
    </font>
    <font>
      <b/>
      <sz val="10"/>
      <color rgb="FF0070C0"/>
      <name val="Book Antiqua"/>
      <family val="1"/>
    </font>
    <font>
      <i/>
      <strike/>
      <sz val="10"/>
      <color rgb="FFFF0000"/>
      <name val="Book Antiqua"/>
      <family val="1"/>
    </font>
    <font>
      <i/>
      <sz val="10"/>
      <name val="Book Antiqua"/>
      <family val="1"/>
    </font>
    <font>
      <b/>
      <u/>
      <sz val="14"/>
      <color theme="10"/>
      <name val="Wingdings"/>
      <charset val="2"/>
    </font>
    <font>
      <sz val="14"/>
      <color theme="1"/>
      <name val="Wingdings"/>
      <charset val="2"/>
    </font>
    <font>
      <i/>
      <sz val="14"/>
      <color theme="1"/>
      <name val="Wingdings"/>
      <charset val="2"/>
    </font>
    <font>
      <b/>
      <sz val="14"/>
      <color theme="1"/>
      <name val="Wingdings"/>
      <charset val="2"/>
    </font>
    <font>
      <b/>
      <sz val="14"/>
      <color rgb="FFFF0000"/>
      <name val="Wingdings"/>
      <charset val="2"/>
    </font>
    <font>
      <sz val="14"/>
      <color rgb="FFFF0000"/>
      <name val="Wingdings"/>
      <charset val="2"/>
    </font>
    <font>
      <sz val="14"/>
      <name val="Wingdings"/>
      <charset val="2"/>
    </font>
    <font>
      <sz val="13"/>
      <color rgb="FFFF0000"/>
      <name val="Book Antiqua"/>
      <family val="1"/>
    </font>
    <font>
      <i/>
      <sz val="13"/>
      <color rgb="FFFF0000"/>
      <name val="Book Antiqua"/>
      <family val="1"/>
    </font>
    <font>
      <sz val="8"/>
      <color theme="1"/>
      <name val="Book Antiqua"/>
      <family val="1"/>
    </font>
    <font>
      <i/>
      <sz val="8"/>
      <color theme="1"/>
      <name val="Book Antiqua"/>
      <family val="1"/>
    </font>
    <font>
      <b/>
      <i/>
      <sz val="8"/>
      <color theme="1"/>
      <name val="Book Antiqua"/>
      <family val="1"/>
    </font>
    <font>
      <b/>
      <sz val="30"/>
      <color rgb="FFFF0000"/>
      <name val="Book Antiqua"/>
      <family val="1"/>
    </font>
    <font>
      <b/>
      <u/>
      <sz val="12"/>
      <color theme="10"/>
      <name val="Book Antiqua"/>
      <family val="1"/>
    </font>
    <font>
      <b/>
      <sz val="10"/>
      <color rgb="FF7030A0"/>
      <name val="Book Antiqua"/>
      <family val="1"/>
    </font>
    <font>
      <b/>
      <sz val="10"/>
      <color theme="7" tint="-0.249977111117893"/>
      <name val="Book Antiqua"/>
      <family val="1"/>
    </font>
    <font>
      <b/>
      <sz val="9"/>
      <color rgb="FF00B050"/>
      <name val="Book Antiqua"/>
      <family val="1"/>
    </font>
    <font>
      <b/>
      <sz val="9"/>
      <name val="Book Antiqua"/>
      <family val="1"/>
    </font>
    <font>
      <b/>
      <sz val="14"/>
      <color rgb="FFFF0000"/>
      <name val="Book Antiqua"/>
      <family val="1"/>
    </font>
    <font>
      <b/>
      <u/>
      <sz val="11"/>
      <color theme="10"/>
      <name val="Book Antiqua"/>
      <family val="1"/>
    </font>
    <font>
      <b/>
      <sz val="10"/>
      <color theme="5"/>
      <name val="Book Antiqua"/>
      <family val="1"/>
    </font>
    <font>
      <sz val="8"/>
      <color theme="0"/>
      <name val="Book Antiqua"/>
      <family val="1"/>
    </font>
    <font>
      <b/>
      <sz val="14"/>
      <color theme="1"/>
      <name val="Book Antiqua"/>
      <family val="1"/>
    </font>
    <font>
      <b/>
      <u/>
      <sz val="14"/>
      <color theme="1"/>
      <name val="Book Antiqua"/>
      <family val="1"/>
    </font>
    <font>
      <i/>
      <sz val="8"/>
      <color rgb="FFFF0000"/>
      <name val="Book Antiqua"/>
      <family val="1"/>
    </font>
    <font>
      <i/>
      <strike/>
      <sz val="8"/>
      <color theme="1"/>
      <name val="Book Antiqua"/>
      <family val="1"/>
    </font>
    <font>
      <sz val="8"/>
      <name val="Book Antiqua"/>
      <family val="1"/>
    </font>
    <font>
      <sz val="14"/>
      <color rgb="FF00B050"/>
      <name val="Wingdings"/>
      <charset val="2"/>
    </font>
    <font>
      <strike/>
      <sz val="8"/>
      <color theme="0"/>
      <name val="Book Antiqua"/>
      <family val="1"/>
    </font>
    <font>
      <i/>
      <sz val="8"/>
      <name val="Book Antiqua"/>
      <family val="1"/>
    </font>
    <font>
      <b/>
      <i/>
      <strike/>
      <sz val="10"/>
      <color theme="1"/>
      <name val="Book Antiqua"/>
      <family val="1"/>
    </font>
    <font>
      <b/>
      <sz val="10"/>
      <color rgb="FFFD23ED"/>
      <name val="Book Antiqua"/>
      <family val="1"/>
    </font>
    <font>
      <i/>
      <strike/>
      <sz val="10"/>
      <color theme="9" tint="0.79998168889431442"/>
      <name val="Book Antiqua"/>
      <family val="1"/>
    </font>
  </fonts>
  <fills count="1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 diagonalUp="1" diagonalDown="1"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 style="medium">
        <color rgb="FFFF0000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540">
    <xf numFmtId="0" fontId="0" fillId="0" borderId="0" xfId="0"/>
    <xf numFmtId="0" fontId="10" fillId="3" borderId="0" xfId="0" applyFont="1" applyFill="1"/>
    <xf numFmtId="0" fontId="15" fillId="3" borderId="0" xfId="0" applyFont="1" applyFill="1"/>
    <xf numFmtId="3" fontId="1" fillId="0" borderId="0" xfId="0" applyNumberFormat="1" applyFont="1"/>
    <xf numFmtId="3" fontId="6" fillId="0" borderId="0" xfId="0" applyNumberFormat="1" applyFont="1"/>
    <xf numFmtId="2" fontId="1" fillId="0" borderId="0" xfId="0" applyNumberFormat="1" applyFont="1"/>
    <xf numFmtId="0" fontId="6" fillId="0" borderId="0" xfId="0" applyFont="1"/>
    <xf numFmtId="3" fontId="0" fillId="0" borderId="0" xfId="0" applyNumberFormat="1"/>
    <xf numFmtId="2" fontId="6" fillId="0" borderId="0" xfId="0" applyNumberFormat="1" applyFont="1"/>
    <xf numFmtId="167" fontId="0" fillId="0" borderId="0" xfId="0" applyNumberFormat="1"/>
    <xf numFmtId="3" fontId="1" fillId="6" borderId="0" xfId="0" applyNumberFormat="1" applyFont="1" applyFill="1"/>
    <xf numFmtId="3" fontId="6" fillId="6" borderId="0" xfId="0" applyNumberFormat="1" applyFont="1" applyFill="1"/>
    <xf numFmtId="3" fontId="23" fillId="0" borderId="0" xfId="0" applyNumberFormat="1" applyFont="1"/>
    <xf numFmtId="3" fontId="3" fillId="0" borderId="0" xfId="0" applyNumberFormat="1" applyFont="1"/>
    <xf numFmtId="167" fontId="4" fillId="0" borderId="0" xfId="0" applyNumberFormat="1" applyFont="1"/>
    <xf numFmtId="167" fontId="22" fillId="0" borderId="0" xfId="0" applyNumberFormat="1" applyFont="1"/>
    <xf numFmtId="0" fontId="4" fillId="0" borderId="0" xfId="0" applyFont="1"/>
    <xf numFmtId="3" fontId="23" fillId="6" borderId="0" xfId="0" applyNumberFormat="1" applyFont="1" applyFill="1"/>
    <xf numFmtId="3" fontId="3" fillId="6" borderId="0" xfId="0" applyNumberFormat="1" applyFont="1" applyFill="1"/>
    <xf numFmtId="2" fontId="3" fillId="0" borderId="0" xfId="0" applyNumberFormat="1" applyFont="1"/>
    <xf numFmtId="2" fontId="23" fillId="0" borderId="0" xfId="0" applyNumberFormat="1" applyFont="1"/>
    <xf numFmtId="0" fontId="1" fillId="0" borderId="0" xfId="0" applyFont="1"/>
    <xf numFmtId="0" fontId="23" fillId="0" borderId="0" xfId="0" applyFont="1"/>
    <xf numFmtId="2" fontId="4" fillId="0" borderId="0" xfId="0" applyNumberFormat="1" applyFont="1"/>
    <xf numFmtId="2" fontId="0" fillId="0" borderId="0" xfId="0" applyNumberFormat="1"/>
    <xf numFmtId="2" fontId="1" fillId="0" borderId="34" xfId="0" applyNumberFormat="1" applyFont="1" applyBorder="1"/>
    <xf numFmtId="0" fontId="6" fillId="0" borderId="35" xfId="0" applyFont="1" applyBorder="1"/>
    <xf numFmtId="2" fontId="1" fillId="0" borderId="36" xfId="0" applyNumberFormat="1" applyFont="1" applyBorder="1"/>
    <xf numFmtId="2" fontId="6" fillId="0" borderId="37" xfId="0" applyNumberFormat="1" applyFont="1" applyBorder="1"/>
    <xf numFmtId="2" fontId="1" fillId="0" borderId="38" xfId="0" applyNumberFormat="1" applyFont="1" applyBorder="1"/>
    <xf numFmtId="2" fontId="6" fillId="0" borderId="39" xfId="0" applyNumberFormat="1" applyFont="1" applyBorder="1"/>
    <xf numFmtId="0" fontId="6" fillId="0" borderId="40" xfId="0" applyFont="1" applyBorder="1"/>
    <xf numFmtId="2" fontId="1" fillId="0" borderId="40" xfId="0" applyNumberFormat="1" applyFont="1" applyBorder="1"/>
    <xf numFmtId="2" fontId="6" fillId="0" borderId="41" xfId="0" applyNumberFormat="1" applyFont="1" applyBorder="1"/>
    <xf numFmtId="2" fontId="1" fillId="0" borderId="41" xfId="0" applyNumberFormat="1" applyFont="1" applyBorder="1"/>
    <xf numFmtId="4" fontId="1" fillId="0" borderId="0" xfId="0" applyNumberFormat="1" applyFont="1"/>
    <xf numFmtId="4" fontId="0" fillId="0" borderId="0" xfId="0" applyNumberFormat="1"/>
    <xf numFmtId="1" fontId="1" fillId="0" borderId="0" xfId="0" applyNumberFormat="1" applyFont="1"/>
    <xf numFmtId="10" fontId="10" fillId="7" borderId="0" xfId="0" applyNumberFormat="1" applyFont="1" applyFill="1"/>
    <xf numFmtId="0" fontId="10" fillId="7" borderId="0" xfId="0" applyFont="1" applyFill="1"/>
    <xf numFmtId="0" fontId="24" fillId="7" borderId="0" xfId="0" applyFont="1" applyFill="1"/>
    <xf numFmtId="4" fontId="10" fillId="7" borderId="0" xfId="0" applyNumberFormat="1" applyFont="1" applyFill="1"/>
    <xf numFmtId="0" fontId="10" fillId="7" borderId="0" xfId="0" applyFont="1" applyFill="1" applyAlignment="1">
      <alignment horizontal="center"/>
    </xf>
    <xf numFmtId="165" fontId="10" fillId="7" borderId="0" xfId="0" applyNumberFormat="1" applyFont="1" applyFill="1"/>
    <xf numFmtId="0" fontId="15" fillId="7" borderId="0" xfId="0" applyFont="1" applyFill="1"/>
    <xf numFmtId="0" fontId="9" fillId="7" borderId="0" xfId="0" applyFont="1" applyFill="1"/>
    <xf numFmtId="4" fontId="15" fillId="7" borderId="0" xfId="0" applyNumberFormat="1" applyFont="1" applyFill="1"/>
    <xf numFmtId="2" fontId="2" fillId="0" borderId="0" xfId="0" applyNumberFormat="1" applyFont="1"/>
    <xf numFmtId="2" fontId="23" fillId="0" borderId="37" xfId="0" applyNumberFormat="1" applyFont="1" applyBorder="1"/>
    <xf numFmtId="2" fontId="3" fillId="0" borderId="40" xfId="0" applyNumberFormat="1" applyFont="1" applyBorder="1"/>
    <xf numFmtId="0" fontId="23" fillId="0" borderId="40" xfId="0" applyFont="1" applyBorder="1"/>
    <xf numFmtId="2" fontId="3" fillId="0" borderId="41" xfId="0" applyNumberFormat="1" applyFont="1" applyBorder="1"/>
    <xf numFmtId="2" fontId="23" fillId="0" borderId="41" xfId="0" applyNumberFormat="1" applyFont="1" applyBorder="1"/>
    <xf numFmtId="2" fontId="2" fillId="0" borderId="40" xfId="0" applyNumberFormat="1" applyFont="1" applyBorder="1"/>
    <xf numFmtId="0" fontId="18" fillId="0" borderId="40" xfId="0" applyFont="1" applyBorder="1"/>
    <xf numFmtId="2" fontId="18" fillId="0" borderId="0" xfId="0" applyNumberFormat="1" applyFont="1"/>
    <xf numFmtId="2" fontId="2" fillId="0" borderId="41" xfId="0" applyNumberFormat="1" applyFont="1" applyBorder="1"/>
    <xf numFmtId="2" fontId="18" fillId="0" borderId="41" xfId="0" applyNumberFormat="1" applyFont="1" applyBorder="1"/>
    <xf numFmtId="0" fontId="8" fillId="7" borderId="0" xfId="0" applyFont="1" applyFill="1"/>
    <xf numFmtId="0" fontId="8" fillId="7" borderId="0" xfId="0" applyFont="1" applyFill="1" applyAlignment="1">
      <alignment horizontal="center"/>
    </xf>
    <xf numFmtId="0" fontId="13" fillId="7" borderId="0" xfId="0" applyFont="1" applyFill="1"/>
    <xf numFmtId="3" fontId="0" fillId="0" borderId="46" xfId="0" applyNumberFormat="1" applyBorder="1"/>
    <xf numFmtId="4" fontId="15" fillId="7" borderId="0" xfId="0" applyNumberFormat="1" applyFont="1" applyFill="1" applyAlignment="1">
      <alignment horizontal="center"/>
    </xf>
    <xf numFmtId="0" fontId="27" fillId="7" borderId="0" xfId="0" applyFont="1" applyFill="1" applyAlignment="1">
      <alignment horizontal="center"/>
    </xf>
    <xf numFmtId="0" fontId="28" fillId="7" borderId="0" xfId="0" applyFont="1" applyFill="1"/>
    <xf numFmtId="0" fontId="29" fillId="7" borderId="0" xfId="0" applyFont="1" applyFill="1" applyAlignment="1">
      <alignment horizontal="center" vertical="center"/>
    </xf>
    <xf numFmtId="3" fontId="27" fillId="7" borderId="28" xfId="0" applyNumberFormat="1" applyFont="1" applyFill="1" applyBorder="1" applyAlignment="1">
      <alignment horizontal="center" vertical="center"/>
    </xf>
    <xf numFmtId="0" fontId="15" fillId="7" borderId="0" xfId="0" applyFont="1" applyFill="1" applyAlignment="1">
      <alignment horizontal="center" vertical="center"/>
    </xf>
    <xf numFmtId="3" fontId="31" fillId="7" borderId="5" xfId="0" applyNumberFormat="1" applyFont="1" applyFill="1" applyBorder="1" applyAlignment="1">
      <alignment vertical="center"/>
    </xf>
    <xf numFmtId="3" fontId="27" fillId="7" borderId="11" xfId="0" applyNumberFormat="1" applyFont="1" applyFill="1" applyBorder="1" applyAlignment="1">
      <alignment horizontal="center" vertical="center"/>
    </xf>
    <xf numFmtId="0" fontId="15" fillId="7" borderId="0" xfId="0" applyFont="1" applyFill="1" applyAlignment="1">
      <alignment horizontal="center"/>
    </xf>
    <xf numFmtId="0" fontId="15" fillId="7" borderId="0" xfId="0" applyFont="1" applyFill="1" applyAlignment="1">
      <alignment vertical="center"/>
    </xf>
    <xf numFmtId="2" fontId="27" fillId="7" borderId="0" xfId="0" applyNumberFormat="1" applyFont="1" applyFill="1" applyAlignment="1">
      <alignment horizontal="center" vertical="center"/>
    </xf>
    <xf numFmtId="3" fontId="15" fillId="7" borderId="0" xfId="0" applyNumberFormat="1" applyFont="1" applyFill="1"/>
    <xf numFmtId="3" fontId="27" fillId="7" borderId="1" xfId="0" quotePrefix="1" applyNumberFormat="1" applyFont="1" applyFill="1" applyBorder="1" applyAlignment="1">
      <alignment horizontal="center" vertical="center"/>
    </xf>
    <xf numFmtId="0" fontId="15" fillId="3" borderId="0" xfId="0" applyFont="1" applyFill="1" applyAlignment="1">
      <alignment vertical="center"/>
    </xf>
    <xf numFmtId="14" fontId="27" fillId="7" borderId="1" xfId="0" applyNumberFormat="1" applyFont="1" applyFill="1" applyBorder="1" applyAlignment="1">
      <alignment horizontal="center" vertical="center"/>
    </xf>
    <xf numFmtId="171" fontId="27" fillId="7" borderId="1" xfId="0" applyNumberFormat="1" applyFont="1" applyFill="1" applyBorder="1" applyAlignment="1">
      <alignment horizontal="center" vertical="center"/>
    </xf>
    <xf numFmtId="0" fontId="9" fillId="7" borderId="0" xfId="0" applyFont="1" applyFill="1" applyAlignment="1">
      <alignment vertical="center"/>
    </xf>
    <xf numFmtId="3" fontId="15" fillId="7" borderId="0" xfId="0" applyNumberFormat="1" applyFont="1" applyFill="1" applyAlignment="1">
      <alignment vertical="center"/>
    </xf>
    <xf numFmtId="167" fontId="15" fillId="7" borderId="0" xfId="0" applyNumberFormat="1" applyFont="1" applyFill="1" applyAlignment="1">
      <alignment vertical="center"/>
    </xf>
    <xf numFmtId="4" fontId="15" fillId="7" borderId="0" xfId="0" applyNumberFormat="1" applyFont="1" applyFill="1" applyAlignment="1">
      <alignment vertical="center"/>
    </xf>
    <xf numFmtId="0" fontId="29" fillId="7" borderId="0" xfId="0" applyFont="1" applyFill="1" applyAlignment="1">
      <alignment horizontal="center"/>
    </xf>
    <xf numFmtId="167" fontId="15" fillId="7" borderId="0" xfId="0" applyNumberFormat="1" applyFont="1" applyFill="1"/>
    <xf numFmtId="0" fontId="15" fillId="3" borderId="0" xfId="0" applyFont="1" applyFill="1" applyAlignment="1">
      <alignment horizontal="center" vertical="center"/>
    </xf>
    <xf numFmtId="3" fontId="29" fillId="7" borderId="0" xfId="0" applyNumberFormat="1" applyFont="1" applyFill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4" fontId="15" fillId="7" borderId="0" xfId="0" applyNumberFormat="1" applyFont="1" applyFill="1" applyAlignment="1">
      <alignment horizontal="center" vertical="center"/>
    </xf>
    <xf numFmtId="0" fontId="15" fillId="0" borderId="0" xfId="0" applyFont="1" applyAlignment="1">
      <alignment vertical="center"/>
    </xf>
    <xf numFmtId="0" fontId="27" fillId="7" borderId="0" xfId="0" applyFont="1" applyFill="1" applyAlignment="1">
      <alignment horizontal="right" vertical="center"/>
    </xf>
    <xf numFmtId="0" fontId="27" fillId="7" borderId="0" xfId="0" applyFont="1" applyFill="1" applyAlignment="1">
      <alignment vertical="center"/>
    </xf>
    <xf numFmtId="0" fontId="34" fillId="7" borderId="0" xfId="0" applyFont="1" applyFill="1" applyAlignment="1">
      <alignment vertical="center"/>
    </xf>
    <xf numFmtId="3" fontId="13" fillId="7" borderId="0" xfId="0" applyNumberFormat="1" applyFont="1" applyFill="1" applyAlignment="1">
      <alignment horizontal="center" vertical="center"/>
    </xf>
    <xf numFmtId="0" fontId="35" fillId="7" borderId="0" xfId="0" applyFont="1" applyFill="1" applyAlignment="1">
      <alignment vertical="center"/>
    </xf>
    <xf numFmtId="0" fontId="31" fillId="7" borderId="0" xfId="0" applyFont="1" applyFill="1" applyAlignment="1">
      <alignment vertical="center"/>
    </xf>
    <xf numFmtId="0" fontId="15" fillId="0" borderId="4" xfId="0" applyFont="1" applyBorder="1" applyAlignment="1">
      <alignment vertical="center"/>
    </xf>
    <xf numFmtId="0" fontId="15" fillId="0" borderId="5" xfId="0" applyFont="1" applyBorder="1" applyAlignment="1">
      <alignment horizontal="left" vertical="center"/>
    </xf>
    <xf numFmtId="165" fontId="13" fillId="0" borderId="7" xfId="0" quotePrefix="1" applyNumberFormat="1" applyFont="1" applyBorder="1" applyAlignment="1">
      <alignment horizontal="right" vertical="center"/>
    </xf>
    <xf numFmtId="165" fontId="15" fillId="0" borderId="7" xfId="0" applyNumberFormat="1" applyFont="1" applyBorder="1" applyAlignment="1">
      <alignment horizontal="right" vertical="center"/>
    </xf>
    <xf numFmtId="165" fontId="15" fillId="0" borderId="7" xfId="0" applyNumberFormat="1" applyFont="1" applyBorder="1" applyAlignment="1">
      <alignment horizontal="left" vertical="center"/>
    </xf>
    <xf numFmtId="4" fontId="34" fillId="7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165" fontId="15" fillId="0" borderId="7" xfId="0" quotePrefix="1" applyNumberFormat="1" applyFont="1" applyBorder="1" applyAlignment="1">
      <alignment horizontal="right" vertical="center"/>
    </xf>
    <xf numFmtId="165" fontId="15" fillId="0" borderId="7" xfId="0" quotePrefix="1" applyNumberFormat="1" applyFont="1" applyBorder="1" applyAlignment="1">
      <alignment horizontal="left" vertical="center"/>
    </xf>
    <xf numFmtId="165" fontId="15" fillId="7" borderId="0" xfId="0" applyNumberFormat="1" applyFont="1" applyFill="1" applyAlignment="1">
      <alignment vertical="center"/>
    </xf>
    <xf numFmtId="0" fontId="15" fillId="0" borderId="0" xfId="0" applyFont="1"/>
    <xf numFmtId="0" fontId="13" fillId="7" borderId="0" xfId="0" applyFont="1" applyFill="1" applyAlignment="1">
      <alignment vertical="center"/>
    </xf>
    <xf numFmtId="0" fontId="13" fillId="7" borderId="0" xfId="0" applyFont="1" applyFill="1" applyAlignment="1">
      <alignment horizontal="center" vertical="center"/>
    </xf>
    <xf numFmtId="165" fontId="28" fillId="0" borderId="7" xfId="0" quotePrefix="1" applyNumberFormat="1" applyFont="1" applyBorder="1" applyAlignment="1">
      <alignment horizontal="right" vertical="center"/>
    </xf>
    <xf numFmtId="0" fontId="32" fillId="7" borderId="0" xfId="0" applyFont="1" applyFill="1" applyAlignment="1">
      <alignment vertical="center"/>
    </xf>
    <xf numFmtId="0" fontId="37" fillId="7" borderId="0" xfId="0" applyFont="1" applyFill="1" applyAlignment="1">
      <alignment vertical="center"/>
    </xf>
    <xf numFmtId="0" fontId="9" fillId="0" borderId="5" xfId="0" applyFont="1" applyBorder="1" applyAlignment="1">
      <alignment horizontal="left" vertical="center"/>
    </xf>
    <xf numFmtId="165" fontId="9" fillId="0" borderId="7" xfId="0" quotePrefix="1" applyNumberFormat="1" applyFont="1" applyBorder="1" applyAlignment="1">
      <alignment horizontal="right" vertical="center"/>
    </xf>
    <xf numFmtId="165" fontId="9" fillId="0" borderId="7" xfId="0" quotePrefix="1" applyNumberFormat="1" applyFont="1" applyBorder="1" applyAlignment="1">
      <alignment horizontal="left" vertical="center"/>
    </xf>
    <xf numFmtId="165" fontId="9" fillId="7" borderId="0" xfId="0" applyNumberFormat="1" applyFont="1" applyFill="1" applyAlignment="1">
      <alignment vertical="center"/>
    </xf>
    <xf numFmtId="4" fontId="9" fillId="7" borderId="0" xfId="0" applyNumberFormat="1" applyFont="1" applyFill="1"/>
    <xf numFmtId="0" fontId="9" fillId="0" borderId="0" xfId="0" applyFont="1"/>
    <xf numFmtId="10" fontId="9" fillId="7" borderId="0" xfId="0" applyNumberFormat="1" applyFont="1" applyFill="1"/>
    <xf numFmtId="0" fontId="39" fillId="7" borderId="0" xfId="0" applyFont="1" applyFill="1" applyAlignment="1">
      <alignment vertical="center"/>
    </xf>
    <xf numFmtId="0" fontId="24" fillId="7" borderId="5" xfId="0" applyFont="1" applyFill="1" applyBorder="1" applyAlignment="1">
      <alignment horizontal="center"/>
    </xf>
    <xf numFmtId="0" fontId="10" fillId="7" borderId="5" xfId="0" applyFont="1" applyFill="1" applyBorder="1" applyAlignment="1">
      <alignment horizontal="center"/>
    </xf>
    <xf numFmtId="0" fontId="16" fillId="7" borderId="5" xfId="0" applyFont="1" applyFill="1" applyBorder="1" applyAlignment="1">
      <alignment horizontal="center"/>
    </xf>
    <xf numFmtId="4" fontId="24" fillId="7" borderId="5" xfId="0" applyNumberFormat="1" applyFont="1" applyFill="1" applyBorder="1" applyAlignment="1">
      <alignment horizontal="center"/>
    </xf>
    <xf numFmtId="0" fontId="24" fillId="3" borderId="0" xfId="0" applyFont="1" applyFill="1" applyAlignment="1">
      <alignment horizontal="center"/>
    </xf>
    <xf numFmtId="0" fontId="24" fillId="7" borderId="0" xfId="0" applyFont="1" applyFill="1" applyAlignment="1">
      <alignment horizontal="center"/>
    </xf>
    <xf numFmtId="0" fontId="31" fillId="7" borderId="0" xfId="0" applyFont="1" applyFill="1" applyAlignment="1">
      <alignment horizontal="right" vertical="center"/>
    </xf>
    <xf numFmtId="168" fontId="31" fillId="7" borderId="0" xfId="0" applyNumberFormat="1" applyFont="1" applyFill="1" applyAlignment="1">
      <alignment horizontal="right" vertical="center"/>
    </xf>
    <xf numFmtId="172" fontId="31" fillId="7" borderId="0" xfId="0" applyNumberFormat="1" applyFont="1" applyFill="1" applyAlignment="1">
      <alignment horizontal="center" vertical="center"/>
    </xf>
    <xf numFmtId="20" fontId="31" fillId="7" borderId="0" xfId="0" applyNumberFormat="1" applyFont="1" applyFill="1" applyAlignment="1">
      <alignment horizontal="center" vertical="center"/>
    </xf>
    <xf numFmtId="169" fontId="31" fillId="7" borderId="0" xfId="0" applyNumberFormat="1" applyFont="1" applyFill="1" applyAlignment="1">
      <alignment vertical="center"/>
    </xf>
    <xf numFmtId="170" fontId="31" fillId="7" borderId="0" xfId="0" applyNumberFormat="1" applyFont="1" applyFill="1" applyAlignment="1">
      <alignment vertical="center"/>
    </xf>
    <xf numFmtId="164" fontId="31" fillId="7" borderId="5" xfId="0" applyNumberFormat="1" applyFont="1" applyFill="1" applyBorder="1" applyAlignment="1">
      <alignment vertical="center"/>
    </xf>
    <xf numFmtId="1" fontId="31" fillId="7" borderId="5" xfId="0" applyNumberFormat="1" applyFont="1" applyFill="1" applyBorder="1" applyAlignment="1">
      <alignment vertical="center"/>
    </xf>
    <xf numFmtId="164" fontId="31" fillId="7" borderId="0" xfId="0" applyNumberFormat="1" applyFont="1" applyFill="1" applyAlignment="1">
      <alignment vertical="center"/>
    </xf>
    <xf numFmtId="165" fontId="36" fillId="7" borderId="0" xfId="0" applyNumberFormat="1" applyFont="1" applyFill="1" applyAlignment="1">
      <alignment vertical="center"/>
    </xf>
    <xf numFmtId="165" fontId="31" fillId="7" borderId="0" xfId="0" applyNumberFormat="1" applyFont="1" applyFill="1" applyAlignment="1">
      <alignment vertical="center"/>
    </xf>
    <xf numFmtId="164" fontId="13" fillId="7" borderId="0" xfId="0" applyNumberFormat="1" applyFont="1" applyFill="1" applyAlignment="1">
      <alignment vertical="center"/>
    </xf>
    <xf numFmtId="167" fontId="31" fillId="7" borderId="0" xfId="0" applyNumberFormat="1" applyFont="1" applyFill="1" applyAlignment="1">
      <alignment vertical="center"/>
    </xf>
    <xf numFmtId="167" fontId="36" fillId="7" borderId="0" xfId="0" applyNumberFormat="1" applyFont="1" applyFill="1" applyAlignment="1">
      <alignment vertical="center"/>
    </xf>
    <xf numFmtId="4" fontId="31" fillId="7" borderId="0" xfId="0" applyNumberFormat="1" applyFont="1" applyFill="1" applyAlignment="1">
      <alignment vertical="center"/>
    </xf>
    <xf numFmtId="167" fontId="9" fillId="7" borderId="0" xfId="0" applyNumberFormat="1" applyFont="1" applyFill="1" applyAlignment="1">
      <alignment vertical="center"/>
    </xf>
    <xf numFmtId="0" fontId="31" fillId="3" borderId="0" xfId="0" applyFont="1" applyFill="1"/>
    <xf numFmtId="164" fontId="27" fillId="7" borderId="5" xfId="0" applyNumberFormat="1" applyFont="1" applyFill="1" applyBorder="1" applyAlignment="1">
      <alignment vertical="center"/>
    </xf>
    <xf numFmtId="3" fontId="27" fillId="7" borderId="5" xfId="0" applyNumberFormat="1" applyFont="1" applyFill="1" applyBorder="1" applyAlignment="1">
      <alignment vertical="center"/>
    </xf>
    <xf numFmtId="1" fontId="27" fillId="7" borderId="5" xfId="0" applyNumberFormat="1" applyFont="1" applyFill="1" applyBorder="1" applyAlignment="1">
      <alignment vertical="center"/>
    </xf>
    <xf numFmtId="1" fontId="31" fillId="7" borderId="0" xfId="0" applyNumberFormat="1" applyFont="1" applyFill="1" applyAlignment="1">
      <alignment vertical="center"/>
    </xf>
    <xf numFmtId="3" fontId="31" fillId="7" borderId="0" xfId="0" applyNumberFormat="1" applyFont="1" applyFill="1" applyAlignment="1">
      <alignment vertical="center"/>
    </xf>
    <xf numFmtId="0" fontId="31" fillId="7" borderId="0" xfId="0" applyFont="1" applyFill="1" applyAlignment="1">
      <alignment horizontal="center" vertical="center"/>
    </xf>
    <xf numFmtId="0" fontId="24" fillId="7" borderId="0" xfId="0" applyFont="1" applyFill="1" applyAlignment="1">
      <alignment horizontal="right" vertical="center"/>
    </xf>
    <xf numFmtId="0" fontId="33" fillId="7" borderId="0" xfId="0" applyFont="1" applyFill="1" applyAlignment="1">
      <alignment horizontal="center" vertical="center"/>
    </xf>
    <xf numFmtId="168" fontId="33" fillId="7" borderId="0" xfId="0" applyNumberFormat="1" applyFont="1" applyFill="1" applyAlignment="1">
      <alignment vertical="center"/>
    </xf>
    <xf numFmtId="172" fontId="33" fillId="7" borderId="0" xfId="0" applyNumberFormat="1" applyFont="1" applyFill="1" applyAlignment="1">
      <alignment horizontal="center" vertical="center"/>
    </xf>
    <xf numFmtId="20" fontId="33" fillId="7" borderId="0" xfId="0" applyNumberFormat="1" applyFont="1" applyFill="1" applyAlignment="1">
      <alignment horizontal="center" vertical="center"/>
    </xf>
    <xf numFmtId="169" fontId="33" fillId="7" borderId="0" xfId="0" applyNumberFormat="1" applyFont="1" applyFill="1" applyAlignment="1">
      <alignment vertical="center"/>
    </xf>
    <xf numFmtId="170" fontId="33" fillId="7" borderId="0" xfId="0" applyNumberFormat="1" applyFont="1" applyFill="1" applyAlignment="1">
      <alignment vertical="center"/>
    </xf>
    <xf numFmtId="165" fontId="40" fillId="7" borderId="0" xfId="0" applyNumberFormat="1" applyFont="1" applyFill="1" applyAlignment="1">
      <alignment vertical="center"/>
    </xf>
    <xf numFmtId="165" fontId="33" fillId="7" borderId="0" xfId="0" applyNumberFormat="1" applyFont="1" applyFill="1" applyAlignment="1">
      <alignment vertical="center"/>
    </xf>
    <xf numFmtId="164" fontId="33" fillId="7" borderId="0" xfId="0" applyNumberFormat="1" applyFont="1" applyFill="1" applyAlignment="1">
      <alignment vertical="center"/>
    </xf>
    <xf numFmtId="3" fontId="33" fillId="7" borderId="0" xfId="0" applyNumberFormat="1" applyFont="1" applyFill="1" applyAlignment="1">
      <alignment vertical="center"/>
    </xf>
    <xf numFmtId="167" fontId="33" fillId="7" borderId="0" xfId="0" applyNumberFormat="1" applyFont="1" applyFill="1" applyAlignment="1">
      <alignment vertical="center"/>
    </xf>
    <xf numFmtId="167" fontId="40" fillId="7" borderId="0" xfId="0" applyNumberFormat="1" applyFont="1" applyFill="1" applyAlignment="1">
      <alignment vertical="center"/>
    </xf>
    <xf numFmtId="4" fontId="33" fillId="7" borderId="0" xfId="0" applyNumberFormat="1" applyFont="1" applyFill="1" applyAlignment="1">
      <alignment vertical="center"/>
    </xf>
    <xf numFmtId="0" fontId="33" fillId="3" borderId="0" xfId="0" applyFont="1" applyFill="1"/>
    <xf numFmtId="0" fontId="33" fillId="7" borderId="0" xfId="0" applyFont="1" applyFill="1"/>
    <xf numFmtId="0" fontId="24" fillId="7" borderId="0" xfId="0" applyFont="1" applyFill="1" applyAlignment="1">
      <alignment horizontal="center" vertical="center"/>
    </xf>
    <xf numFmtId="164" fontId="24" fillId="7" borderId="0" xfId="0" applyNumberFormat="1" applyFont="1" applyFill="1" applyAlignment="1">
      <alignment vertical="center"/>
    </xf>
    <xf numFmtId="165" fontId="33" fillId="7" borderId="5" xfId="0" applyNumberFormat="1" applyFont="1" applyFill="1" applyBorder="1" applyAlignment="1">
      <alignment vertical="center"/>
    </xf>
    <xf numFmtId="3" fontId="24" fillId="7" borderId="0" xfId="0" applyNumberFormat="1" applyFont="1" applyFill="1" applyAlignment="1">
      <alignment horizontal="center" vertical="center"/>
    </xf>
    <xf numFmtId="167" fontId="24" fillId="7" borderId="5" xfId="0" applyNumberFormat="1" applyFont="1" applyFill="1" applyBorder="1" applyAlignment="1">
      <alignment horizontal="right"/>
    </xf>
    <xf numFmtId="167" fontId="10" fillId="7" borderId="5" xfId="0" applyNumberFormat="1" applyFont="1" applyFill="1" applyBorder="1" applyAlignment="1">
      <alignment horizontal="right"/>
    </xf>
    <xf numFmtId="0" fontId="10" fillId="7" borderId="5" xfId="0" applyFont="1" applyFill="1" applyBorder="1" applyAlignment="1">
      <alignment horizontal="right"/>
    </xf>
    <xf numFmtId="4" fontId="24" fillId="7" borderId="5" xfId="0" applyNumberFormat="1" applyFont="1" applyFill="1" applyBorder="1" applyAlignment="1">
      <alignment horizontal="right"/>
    </xf>
    <xf numFmtId="0" fontId="33" fillId="7" borderId="0" xfId="0" applyFont="1" applyFill="1" applyAlignment="1">
      <alignment horizontal="center"/>
    </xf>
    <xf numFmtId="0" fontId="13" fillId="7" borderId="0" xfId="0" applyFont="1" applyFill="1" applyAlignment="1">
      <alignment horizontal="center"/>
    </xf>
    <xf numFmtId="0" fontId="31" fillId="7" borderId="0" xfId="0" applyFont="1" applyFill="1" applyAlignment="1">
      <alignment horizontal="center"/>
    </xf>
    <xf numFmtId="0" fontId="15" fillId="8" borderId="0" xfId="0" applyFont="1" applyFill="1"/>
    <xf numFmtId="167" fontId="15" fillId="8" borderId="0" xfId="0" applyNumberFormat="1" applyFont="1" applyFill="1"/>
    <xf numFmtId="167" fontId="33" fillId="8" borderId="0" xfId="0" applyNumberFormat="1" applyFont="1" applyFill="1"/>
    <xf numFmtId="167" fontId="31" fillId="8" borderId="0" xfId="0" applyNumberFormat="1" applyFont="1" applyFill="1"/>
    <xf numFmtId="3" fontId="24" fillId="7" borderId="5" xfId="0" applyNumberFormat="1" applyFont="1" applyFill="1" applyBorder="1" applyAlignment="1">
      <alignment vertical="center"/>
    </xf>
    <xf numFmtId="3" fontId="24" fillId="7" borderId="0" xfId="0" applyNumberFormat="1" applyFont="1" applyFill="1" applyAlignment="1">
      <alignment vertical="center"/>
    </xf>
    <xf numFmtId="167" fontId="33" fillId="7" borderId="0" xfId="0" applyNumberFormat="1" applyFont="1" applyFill="1"/>
    <xf numFmtId="167" fontId="13" fillId="7" borderId="0" xfId="0" applyNumberFormat="1" applyFont="1" applyFill="1"/>
    <xf numFmtId="167" fontId="31" fillId="7" borderId="0" xfId="0" applyNumberFormat="1" applyFont="1" applyFill="1"/>
    <xf numFmtId="3" fontId="13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6" fillId="0" borderId="0" xfId="0" applyNumberFormat="1" applyFont="1" applyAlignment="1">
      <alignment horizontal="right"/>
    </xf>
    <xf numFmtId="165" fontId="15" fillId="0" borderId="0" xfId="0" applyNumberFormat="1" applyFont="1" applyAlignment="1">
      <alignment horizontal="right"/>
    </xf>
    <xf numFmtId="0" fontId="15" fillId="4" borderId="0" xfId="0" applyFont="1" applyFill="1"/>
    <xf numFmtId="165" fontId="15" fillId="7" borderId="0" xfId="0" applyNumberFormat="1" applyFont="1" applyFill="1"/>
    <xf numFmtId="165" fontId="13" fillId="7" borderId="0" xfId="0" applyNumberFormat="1" applyFont="1" applyFill="1"/>
    <xf numFmtId="0" fontId="41" fillId="7" borderId="0" xfId="1" applyFont="1" applyFill="1" applyAlignment="1">
      <alignment horizontal="center"/>
    </xf>
    <xf numFmtId="0" fontId="42" fillId="7" borderId="5" xfId="0" applyFont="1" applyFill="1" applyBorder="1" applyAlignment="1">
      <alignment horizontal="center" vertical="center"/>
    </xf>
    <xf numFmtId="0" fontId="42" fillId="7" borderId="5" xfId="0" applyFont="1" applyFill="1" applyBorder="1" applyAlignment="1">
      <alignment horizontal="center" vertical="center" wrapText="1"/>
    </xf>
    <xf numFmtId="0" fontId="43" fillId="7" borderId="5" xfId="0" applyFont="1" applyFill="1" applyBorder="1" applyAlignment="1">
      <alignment horizontal="center" vertical="center"/>
    </xf>
    <xf numFmtId="0" fontId="44" fillId="7" borderId="5" xfId="0" applyFont="1" applyFill="1" applyBorder="1" applyAlignment="1">
      <alignment horizontal="center" vertical="center"/>
    </xf>
    <xf numFmtId="0" fontId="42" fillId="7" borderId="15" xfId="0" applyFont="1" applyFill="1" applyBorder="1" applyAlignment="1">
      <alignment horizontal="center" vertical="center"/>
    </xf>
    <xf numFmtId="0" fontId="42" fillId="7" borderId="0" xfId="0" applyFont="1" applyFill="1"/>
    <xf numFmtId="164" fontId="42" fillId="7" borderId="0" xfId="0" applyNumberFormat="1" applyFont="1" applyFill="1"/>
    <xf numFmtId="164" fontId="45" fillId="7" borderId="0" xfId="0" applyNumberFormat="1" applyFont="1" applyFill="1"/>
    <xf numFmtId="164" fontId="46" fillId="7" borderId="0" xfId="0" applyNumberFormat="1" applyFont="1" applyFill="1"/>
    <xf numFmtId="164" fontId="47" fillId="7" borderId="0" xfId="0" applyNumberFormat="1" applyFont="1" applyFill="1"/>
    <xf numFmtId="0" fontId="47" fillId="7" borderId="0" xfId="0" applyFont="1" applyFill="1"/>
    <xf numFmtId="0" fontId="42" fillId="0" borderId="4" xfId="0" applyFont="1" applyBorder="1" applyAlignment="1">
      <alignment horizontal="center" vertical="center"/>
    </xf>
    <xf numFmtId="0" fontId="48" fillId="0" borderId="8" xfId="0" applyFont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3" fontId="31" fillId="7" borderId="49" xfId="0" applyNumberFormat="1" applyFont="1" applyFill="1" applyBorder="1" applyAlignment="1">
      <alignment vertical="center"/>
    </xf>
    <xf numFmtId="4" fontId="31" fillId="7" borderId="49" xfId="0" applyNumberFormat="1" applyFont="1" applyFill="1" applyBorder="1" applyAlignment="1">
      <alignment vertical="center"/>
    </xf>
    <xf numFmtId="0" fontId="24" fillId="2" borderId="48" xfId="0" applyFont="1" applyFill="1" applyBorder="1" applyAlignment="1">
      <alignment horizontal="center" vertical="center"/>
    </xf>
    <xf numFmtId="3" fontId="24" fillId="7" borderId="5" xfId="0" applyNumberFormat="1" applyFont="1" applyFill="1" applyBorder="1"/>
    <xf numFmtId="1" fontId="33" fillId="9" borderId="5" xfId="0" applyNumberFormat="1" applyFont="1" applyFill="1" applyBorder="1" applyAlignment="1">
      <alignment vertical="center"/>
    </xf>
    <xf numFmtId="0" fontId="15" fillId="10" borderId="0" xfId="0" applyFont="1" applyFill="1"/>
    <xf numFmtId="4" fontId="19" fillId="10" borderId="0" xfId="0" applyNumberFormat="1" applyFont="1" applyFill="1" applyAlignment="1">
      <alignment horizontal="center" vertical="center" wrapText="1"/>
    </xf>
    <xf numFmtId="4" fontId="19" fillId="10" borderId="0" xfId="0" applyNumberFormat="1" applyFont="1" applyFill="1" applyAlignment="1">
      <alignment horizontal="center" vertical="center"/>
    </xf>
    <xf numFmtId="0" fontId="26" fillId="10" borderId="0" xfId="0" applyFont="1" applyFill="1"/>
    <xf numFmtId="4" fontId="16" fillId="10" borderId="0" xfId="0" quotePrefix="1" applyNumberFormat="1" applyFont="1" applyFill="1" applyAlignment="1">
      <alignment horizontal="center" vertical="center" wrapText="1"/>
    </xf>
    <xf numFmtId="165" fontId="25" fillId="10" borderId="31" xfId="0" applyNumberFormat="1" applyFont="1" applyFill="1" applyBorder="1" applyAlignment="1">
      <alignment horizontal="center" vertical="center" wrapText="1"/>
    </xf>
    <xf numFmtId="165" fontId="25" fillId="10" borderId="33" xfId="0" applyNumberFormat="1" applyFont="1" applyFill="1" applyBorder="1" applyAlignment="1">
      <alignment horizontal="center" vertical="center" wrapText="1"/>
    </xf>
    <xf numFmtId="0" fontId="15" fillId="10" borderId="0" xfId="0" applyFont="1" applyFill="1" applyAlignment="1">
      <alignment vertical="center"/>
    </xf>
    <xf numFmtId="0" fontId="8" fillId="10" borderId="0" xfId="0" applyFont="1" applyFill="1" applyAlignment="1">
      <alignment horizontal="left" wrapText="1"/>
    </xf>
    <xf numFmtId="4" fontId="53" fillId="10" borderId="32" xfId="0" applyNumberFormat="1" applyFont="1" applyFill="1" applyBorder="1" applyAlignment="1">
      <alignment horizontal="center" vertical="center"/>
    </xf>
    <xf numFmtId="0" fontId="29" fillId="10" borderId="45" xfId="0" applyFont="1" applyFill="1" applyBorder="1"/>
    <xf numFmtId="0" fontId="15" fillId="10" borderId="0" xfId="0" applyFont="1" applyFill="1" applyAlignment="1">
      <alignment horizontal="center" vertical="center"/>
    </xf>
    <xf numFmtId="0" fontId="34" fillId="10" borderId="0" xfId="0" applyFont="1" applyFill="1" applyAlignment="1">
      <alignment vertical="center"/>
    </xf>
    <xf numFmtId="0" fontId="9" fillId="10" borderId="0" xfId="0" applyFont="1" applyFill="1"/>
    <xf numFmtId="0" fontId="10" fillId="10" borderId="0" xfId="0" applyFont="1" applyFill="1"/>
    <xf numFmtId="3" fontId="13" fillId="10" borderId="0" xfId="0" applyNumberFormat="1" applyFont="1" applyFill="1" applyAlignment="1">
      <alignment horizontal="center"/>
    </xf>
    <xf numFmtId="3" fontId="24" fillId="10" borderId="0" xfId="0" applyNumberFormat="1" applyFont="1" applyFill="1" applyAlignment="1">
      <alignment horizontal="center"/>
    </xf>
    <xf numFmtId="14" fontId="31" fillId="10" borderId="0" xfId="0" applyNumberFormat="1" applyFont="1" applyFill="1" applyAlignment="1">
      <alignment horizontal="center"/>
    </xf>
    <xf numFmtId="14" fontId="33" fillId="10" borderId="0" xfId="0" applyNumberFormat="1" applyFont="1" applyFill="1" applyAlignment="1">
      <alignment horizontal="center"/>
    </xf>
    <xf numFmtId="0" fontId="33" fillId="10" borderId="0" xfId="0" applyFont="1" applyFill="1"/>
    <xf numFmtId="4" fontId="16" fillId="10" borderId="0" xfId="0" applyNumberFormat="1" applyFont="1" applyFill="1" applyAlignment="1">
      <alignment horizontal="center" vertical="center"/>
    </xf>
    <xf numFmtId="0" fontId="27" fillId="10" borderId="0" xfId="0" applyFont="1" applyFill="1" applyAlignment="1">
      <alignment horizontal="center"/>
    </xf>
    <xf numFmtId="165" fontId="16" fillId="10" borderId="0" xfId="0" applyNumberFormat="1" applyFont="1" applyFill="1" applyAlignment="1">
      <alignment horizontal="right"/>
    </xf>
    <xf numFmtId="165" fontId="15" fillId="10" borderId="0" xfId="0" applyNumberFormat="1" applyFont="1" applyFill="1" applyAlignment="1">
      <alignment horizontal="right"/>
    </xf>
    <xf numFmtId="0" fontId="24" fillId="10" borderId="0" xfId="0" applyFont="1" applyFill="1" applyAlignment="1">
      <alignment horizontal="center"/>
    </xf>
    <xf numFmtId="0" fontId="31" fillId="10" borderId="0" xfId="0" applyFont="1" applyFill="1"/>
    <xf numFmtId="165" fontId="29" fillId="10" borderId="0" xfId="0" applyNumberFormat="1" applyFont="1" applyFill="1" applyAlignment="1">
      <alignment horizontal="center" vertical="center" wrapText="1"/>
    </xf>
    <xf numFmtId="165" fontId="15" fillId="10" borderId="0" xfId="0" applyNumberFormat="1" applyFont="1" applyFill="1" applyAlignment="1">
      <alignment horizontal="center"/>
    </xf>
    <xf numFmtId="165" fontId="15" fillId="10" borderId="0" xfId="0" applyNumberFormat="1" applyFont="1" applyFill="1" applyAlignment="1">
      <alignment horizontal="center" vertical="center"/>
    </xf>
    <xf numFmtId="0" fontId="15" fillId="10" borderId="0" xfId="0" applyFont="1" applyFill="1" applyAlignment="1">
      <alignment horizontal="center"/>
    </xf>
    <xf numFmtId="164" fontId="15" fillId="10" borderId="0" xfId="0" applyNumberFormat="1" applyFont="1" applyFill="1" applyAlignment="1">
      <alignment horizontal="center"/>
    </xf>
    <xf numFmtId="165" fontId="15" fillId="10" borderId="0" xfId="0" applyNumberFormat="1" applyFont="1" applyFill="1" applyAlignment="1">
      <alignment horizontal="left"/>
    </xf>
    <xf numFmtId="3" fontId="16" fillId="10" borderId="0" xfId="0" applyNumberFormat="1" applyFont="1" applyFill="1" applyAlignment="1">
      <alignment horizontal="center" vertical="center"/>
    </xf>
    <xf numFmtId="164" fontId="29" fillId="10" borderId="0" xfId="0" applyNumberFormat="1" applyFont="1" applyFill="1" applyAlignment="1">
      <alignment vertical="center"/>
    </xf>
    <xf numFmtId="164" fontId="15" fillId="10" borderId="0" xfId="0" applyNumberFormat="1" applyFont="1" applyFill="1" applyAlignment="1">
      <alignment horizontal="center" vertical="center"/>
    </xf>
    <xf numFmtId="165" fontId="16" fillId="10" borderId="0" xfId="0" applyNumberFormat="1" applyFont="1" applyFill="1" applyAlignment="1">
      <alignment horizontal="right" vertical="center"/>
    </xf>
    <xf numFmtId="165" fontId="29" fillId="10" borderId="0" xfId="0" applyNumberFormat="1" applyFont="1" applyFill="1" applyAlignment="1">
      <alignment horizontal="right" vertical="center"/>
    </xf>
    <xf numFmtId="165" fontId="8" fillId="10" borderId="0" xfId="0" applyNumberFormat="1" applyFont="1" applyFill="1" applyAlignment="1">
      <alignment horizontal="right"/>
    </xf>
    <xf numFmtId="165" fontId="9" fillId="10" borderId="0" xfId="0" applyNumberFormat="1" applyFont="1" applyFill="1" applyAlignment="1">
      <alignment horizontal="right"/>
    </xf>
    <xf numFmtId="165" fontId="15" fillId="10" borderId="0" xfId="0" applyNumberFormat="1" applyFont="1" applyFill="1"/>
    <xf numFmtId="166" fontId="15" fillId="10" borderId="0" xfId="0" applyNumberFormat="1" applyFont="1" applyFill="1"/>
    <xf numFmtId="3" fontId="13" fillId="10" borderId="0" xfId="0" applyNumberFormat="1" applyFont="1" applyFill="1" applyAlignment="1">
      <alignment horizontal="left"/>
    </xf>
    <xf numFmtId="164" fontId="16" fillId="10" borderId="0" xfId="0" applyNumberFormat="1" applyFont="1" applyFill="1" applyAlignment="1">
      <alignment horizontal="right"/>
    </xf>
    <xf numFmtId="3" fontId="24" fillId="10" borderId="0" xfId="0" applyNumberFormat="1" applyFont="1" applyFill="1" applyAlignment="1">
      <alignment horizontal="left"/>
    </xf>
    <xf numFmtId="164" fontId="27" fillId="10" borderId="0" xfId="0" applyNumberFormat="1" applyFont="1" applyFill="1" applyAlignment="1">
      <alignment horizontal="right"/>
    </xf>
    <xf numFmtId="164" fontId="31" fillId="10" borderId="0" xfId="0" applyNumberFormat="1" applyFont="1" applyFill="1" applyAlignment="1">
      <alignment horizontal="right"/>
    </xf>
    <xf numFmtId="164" fontId="31" fillId="10" borderId="0" xfId="0" applyNumberFormat="1" applyFont="1" applyFill="1"/>
    <xf numFmtId="3" fontId="33" fillId="10" borderId="0" xfId="0" applyNumberFormat="1" applyFont="1" applyFill="1" applyAlignment="1">
      <alignment horizontal="center"/>
    </xf>
    <xf numFmtId="3" fontId="13" fillId="10" borderId="1" xfId="0" applyNumberFormat="1" applyFont="1" applyFill="1" applyBorder="1" applyAlignment="1">
      <alignment horizontal="center"/>
    </xf>
    <xf numFmtId="0" fontId="29" fillId="11" borderId="2" xfId="0" applyFont="1" applyFill="1" applyBorder="1" applyAlignment="1">
      <alignment horizontal="center" vertical="center" wrapText="1"/>
    </xf>
    <xf numFmtId="0" fontId="24" fillId="11" borderId="42" xfId="0" applyFont="1" applyFill="1" applyBorder="1" applyAlignment="1">
      <alignment horizontal="center" vertical="center" wrapText="1"/>
    </xf>
    <xf numFmtId="0" fontId="15" fillId="11" borderId="30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24" fillId="11" borderId="5" xfId="0" applyFont="1" applyFill="1" applyBorder="1" applyAlignment="1">
      <alignment horizontal="right" vertical="center"/>
    </xf>
    <xf numFmtId="0" fontId="11" fillId="11" borderId="5" xfId="0" applyFont="1" applyFill="1" applyBorder="1" applyAlignment="1">
      <alignment horizontal="center" vertical="center"/>
    </xf>
    <xf numFmtId="0" fontId="11" fillId="11" borderId="29" xfId="0" applyFont="1" applyFill="1" applyBorder="1" applyAlignment="1">
      <alignment horizontal="center" vertical="center"/>
    </xf>
    <xf numFmtId="0" fontId="16" fillId="11" borderId="3" xfId="0" applyFont="1" applyFill="1" applyBorder="1" applyAlignment="1">
      <alignment horizontal="center" vertical="center" wrapText="1"/>
    </xf>
    <xf numFmtId="165" fontId="16" fillId="11" borderId="7" xfId="0" applyNumberFormat="1" applyFont="1" applyFill="1" applyBorder="1" applyAlignment="1">
      <alignment horizontal="center" vertical="center" wrapText="1"/>
    </xf>
    <xf numFmtId="165" fontId="29" fillId="11" borderId="7" xfId="0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vertical="center"/>
    </xf>
    <xf numFmtId="0" fontId="10" fillId="11" borderId="5" xfId="0" applyFont="1" applyFill="1" applyBorder="1" applyAlignment="1">
      <alignment horizontal="right" vertical="center"/>
    </xf>
    <xf numFmtId="164" fontId="29" fillId="11" borderId="27" xfId="0" applyNumberFormat="1" applyFont="1" applyFill="1" applyBorder="1" applyAlignment="1">
      <alignment vertical="center"/>
    </xf>
    <xf numFmtId="164" fontId="29" fillId="11" borderId="27" xfId="0" applyNumberFormat="1" applyFont="1" applyFill="1" applyBorder="1" applyAlignment="1">
      <alignment horizontal="center" vertical="center"/>
    </xf>
    <xf numFmtId="164" fontId="29" fillId="11" borderId="43" xfId="0" applyNumberFormat="1" applyFont="1" applyFill="1" applyBorder="1" applyAlignment="1">
      <alignment horizontal="center" vertical="center"/>
    </xf>
    <xf numFmtId="164" fontId="11" fillId="11" borderId="19" xfId="0" applyNumberFormat="1" applyFont="1" applyFill="1" applyBorder="1" applyAlignment="1">
      <alignment vertical="center"/>
    </xf>
    <xf numFmtId="164" fontId="11" fillId="11" borderId="21" xfId="0" applyNumberFormat="1" applyFont="1" applyFill="1" applyBorder="1" applyAlignment="1">
      <alignment vertical="center"/>
    </xf>
    <xf numFmtId="164" fontId="11" fillId="11" borderId="22" xfId="0" applyNumberFormat="1" applyFont="1" applyFill="1" applyBorder="1" applyAlignment="1">
      <alignment vertical="center"/>
    </xf>
    <xf numFmtId="164" fontId="9" fillId="11" borderId="10" xfId="0" applyNumberFormat="1" applyFont="1" applyFill="1" applyBorder="1" applyAlignment="1">
      <alignment horizontal="center" vertical="center"/>
    </xf>
    <xf numFmtId="164" fontId="9" fillId="11" borderId="16" xfId="0" applyNumberFormat="1" applyFont="1" applyFill="1" applyBorder="1" applyAlignment="1">
      <alignment horizontal="center" vertical="center"/>
    </xf>
    <xf numFmtId="164" fontId="9" fillId="11" borderId="13" xfId="0" applyNumberFormat="1" applyFont="1" applyFill="1" applyBorder="1" applyAlignment="1">
      <alignment horizontal="center" vertical="center"/>
    </xf>
    <xf numFmtId="164" fontId="9" fillId="11" borderId="14" xfId="0" applyNumberFormat="1" applyFont="1" applyFill="1" applyBorder="1" applyAlignment="1">
      <alignment horizontal="center" vertical="center"/>
    </xf>
    <xf numFmtId="0" fontId="55" fillId="10" borderId="0" xfId="0" applyFont="1" applyFill="1" applyAlignment="1">
      <alignment horizontal="center"/>
    </xf>
    <xf numFmtId="0" fontId="56" fillId="10" borderId="0" xfId="0" applyFont="1" applyFill="1" applyAlignment="1">
      <alignment horizontal="center"/>
    </xf>
    <xf numFmtId="0" fontId="38" fillId="10" borderId="0" xfId="0" applyFont="1" applyFill="1" applyAlignment="1">
      <alignment horizontal="center"/>
    </xf>
    <xf numFmtId="0" fontId="16" fillId="10" borderId="0" xfId="0" applyFont="1" applyFill="1" applyAlignment="1">
      <alignment horizontal="center"/>
    </xf>
    <xf numFmtId="173" fontId="57" fillId="10" borderId="0" xfId="0" applyNumberFormat="1" applyFont="1" applyFill="1" applyAlignment="1">
      <alignment horizontal="left"/>
    </xf>
    <xf numFmtId="173" fontId="58" fillId="10" borderId="0" xfId="0" applyNumberFormat="1" applyFont="1" applyFill="1" applyAlignment="1">
      <alignment horizontal="left"/>
    </xf>
    <xf numFmtId="164" fontId="27" fillId="7" borderId="0" xfId="0" applyNumberFormat="1" applyFont="1" applyFill="1" applyAlignment="1">
      <alignment horizontal="left" vertical="center"/>
    </xf>
    <xf numFmtId="164" fontId="24" fillId="7" borderId="0" xfId="0" applyNumberFormat="1" applyFont="1" applyFill="1" applyAlignment="1">
      <alignment horizontal="left" vertical="center"/>
    </xf>
    <xf numFmtId="3" fontId="13" fillId="7" borderId="0" xfId="0" applyNumberFormat="1" applyFont="1" applyFill="1" applyAlignment="1">
      <alignment horizontal="center"/>
    </xf>
    <xf numFmtId="165" fontId="16" fillId="7" borderId="0" xfId="0" applyNumberFormat="1" applyFont="1" applyFill="1" applyAlignment="1">
      <alignment horizontal="right"/>
    </xf>
    <xf numFmtId="165" fontId="15" fillId="7" borderId="0" xfId="0" applyNumberFormat="1" applyFont="1" applyFill="1" applyAlignment="1">
      <alignment horizontal="right"/>
    </xf>
    <xf numFmtId="3" fontId="59" fillId="7" borderId="0" xfId="0" applyNumberFormat="1" applyFont="1" applyFill="1" applyAlignment="1">
      <alignment horizontal="center" vertical="center"/>
    </xf>
    <xf numFmtId="0" fontId="24" fillId="11" borderId="2" xfId="0" applyFont="1" applyFill="1" applyBorder="1" applyAlignment="1">
      <alignment horizontal="center" vertical="center" wrapText="1"/>
    </xf>
    <xf numFmtId="165" fontId="9" fillId="0" borderId="7" xfId="0" applyNumberFormat="1" applyFont="1" applyBorder="1" applyAlignment="1">
      <alignment horizontal="right" vertical="center"/>
    </xf>
    <xf numFmtId="165" fontId="9" fillId="0" borderId="7" xfId="0" applyNumberFormat="1" applyFont="1" applyBorder="1" applyAlignment="1">
      <alignment horizontal="left" vertical="center"/>
    </xf>
    <xf numFmtId="164" fontId="29" fillId="11" borderId="4" xfId="0" applyNumberFormat="1" applyFont="1" applyFill="1" applyBorder="1" applyAlignment="1">
      <alignment horizontal="center" vertical="center" wrapText="1"/>
    </xf>
    <xf numFmtId="164" fontId="29" fillId="11" borderId="5" xfId="0" applyNumberFormat="1" applyFont="1" applyFill="1" applyBorder="1" applyAlignment="1">
      <alignment horizontal="center" vertical="center" wrapText="1"/>
    </xf>
    <xf numFmtId="164" fontId="29" fillId="11" borderId="6" xfId="0" applyNumberFormat="1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center"/>
    </xf>
    <xf numFmtId="3" fontId="27" fillId="7" borderId="0" xfId="0" applyNumberFormat="1" applyFont="1" applyFill="1" applyAlignment="1">
      <alignment vertical="center"/>
    </xf>
    <xf numFmtId="3" fontId="13" fillId="7" borderId="0" xfId="0" applyNumberFormat="1" applyFont="1" applyFill="1"/>
    <xf numFmtId="0" fontId="31" fillId="7" borderId="0" xfId="0" applyFont="1" applyFill="1"/>
    <xf numFmtId="0" fontId="36" fillId="7" borderId="0" xfId="0" applyFont="1" applyFill="1"/>
    <xf numFmtId="164" fontId="15" fillId="7" borderId="0" xfId="0" applyNumberFormat="1" applyFont="1" applyFill="1"/>
    <xf numFmtId="164" fontId="61" fillId="10" borderId="0" xfId="0" applyNumberFormat="1" applyFont="1" applyFill="1"/>
    <xf numFmtId="164" fontId="55" fillId="10" borderId="0" xfId="0" applyNumberFormat="1" applyFont="1" applyFill="1"/>
    <xf numFmtId="164" fontId="56" fillId="10" borderId="0" xfId="0" applyNumberFormat="1" applyFont="1" applyFill="1"/>
    <xf numFmtId="3" fontId="27" fillId="10" borderId="0" xfId="0" applyNumberFormat="1" applyFont="1" applyFill="1" applyAlignment="1">
      <alignment horizontal="right"/>
    </xf>
    <xf numFmtId="0" fontId="62" fillId="0" borderId="5" xfId="0" applyFont="1" applyBorder="1" applyAlignment="1">
      <alignment horizontal="center" vertical="center"/>
    </xf>
    <xf numFmtId="0" fontId="42" fillId="7" borderId="0" xfId="0" applyFont="1" applyFill="1" applyAlignment="1">
      <alignment horizontal="center" vertical="center"/>
    </xf>
    <xf numFmtId="164" fontId="11" fillId="11" borderId="12" xfId="0" applyNumberFormat="1" applyFont="1" applyFill="1" applyBorder="1" applyAlignment="1">
      <alignment vertical="center"/>
    </xf>
    <xf numFmtId="164" fontId="11" fillId="11" borderId="56" xfId="0" applyNumberFormat="1" applyFont="1" applyFill="1" applyBorder="1" applyAlignment="1">
      <alignment vertical="center"/>
    </xf>
    <xf numFmtId="9" fontId="9" fillId="11" borderId="10" xfId="0" applyNumberFormat="1" applyFont="1" applyFill="1" applyBorder="1" applyAlignment="1">
      <alignment horizontal="center" vertical="center"/>
    </xf>
    <xf numFmtId="9" fontId="9" fillId="11" borderId="16" xfId="0" applyNumberFormat="1" applyFont="1" applyFill="1" applyBorder="1" applyAlignment="1">
      <alignment horizontal="center" vertical="center"/>
    </xf>
    <xf numFmtId="164" fontId="11" fillId="11" borderId="6" xfId="0" applyNumberFormat="1" applyFont="1" applyFill="1" applyBorder="1" applyAlignment="1">
      <alignment vertical="center"/>
    </xf>
    <xf numFmtId="164" fontId="11" fillId="11" borderId="4" xfId="0" applyNumberFormat="1" applyFont="1" applyFill="1" applyBorder="1" applyAlignment="1">
      <alignment vertical="center"/>
    </xf>
    <xf numFmtId="164" fontId="9" fillId="11" borderId="5" xfId="0" applyNumberFormat="1" applyFont="1" applyFill="1" applyBorder="1" applyAlignment="1">
      <alignment horizontal="center" vertical="center"/>
    </xf>
    <xf numFmtId="164" fontId="9" fillId="11" borderId="29" xfId="0" applyNumberFormat="1" applyFont="1" applyFill="1" applyBorder="1" applyAlignment="1">
      <alignment horizontal="center" vertical="center"/>
    </xf>
    <xf numFmtId="0" fontId="63" fillId="11" borderId="4" xfId="0" applyFont="1" applyFill="1" applyBorder="1" applyAlignment="1">
      <alignment horizontal="center" vertical="center"/>
    </xf>
    <xf numFmtId="0" fontId="63" fillId="11" borderId="5" xfId="0" applyFont="1" applyFill="1" applyBorder="1" applyAlignment="1">
      <alignment horizontal="center" vertical="center"/>
    </xf>
    <xf numFmtId="164" fontId="63" fillId="11" borderId="4" xfId="0" applyNumberFormat="1" applyFont="1" applyFill="1" applyBorder="1" applyAlignment="1">
      <alignment horizontal="center" vertical="center"/>
    </xf>
    <xf numFmtId="164" fontId="63" fillId="11" borderId="5" xfId="0" applyNumberFormat="1" applyFont="1" applyFill="1" applyBorder="1" applyAlignment="1">
      <alignment horizontal="center" vertical="center"/>
    </xf>
    <xf numFmtId="164" fontId="63" fillId="11" borderId="6" xfId="0" applyNumberFormat="1" applyFont="1" applyFill="1" applyBorder="1" applyAlignment="1">
      <alignment horizontal="center" vertical="center"/>
    </xf>
    <xf numFmtId="165" fontId="63" fillId="11" borderId="7" xfId="0" applyNumberFormat="1" applyFont="1" applyFill="1" applyBorder="1" applyAlignment="1">
      <alignment horizontal="center" vertical="center" wrapText="1"/>
    </xf>
    <xf numFmtId="3" fontId="10" fillId="13" borderId="20" xfId="0" applyNumberFormat="1" applyFont="1" applyFill="1" applyBorder="1" applyAlignment="1">
      <alignment horizontal="center" vertical="center"/>
    </xf>
    <xf numFmtId="164" fontId="11" fillId="13" borderId="27" xfId="0" applyNumberFormat="1" applyFont="1" applyFill="1" applyBorder="1" applyAlignment="1">
      <alignment vertical="center"/>
    </xf>
    <xf numFmtId="164" fontId="11" fillId="13" borderId="27" xfId="0" applyNumberFormat="1" applyFont="1" applyFill="1" applyBorder="1" applyAlignment="1">
      <alignment horizontal="center" vertical="center"/>
    </xf>
    <xf numFmtId="164" fontId="11" fillId="13" borderId="43" xfId="0" applyNumberFormat="1" applyFont="1" applyFill="1" applyBorder="1" applyAlignment="1">
      <alignment horizontal="center" vertical="center"/>
    </xf>
    <xf numFmtId="165" fontId="8" fillId="13" borderId="26" xfId="0" applyNumberFormat="1" applyFont="1" applyFill="1" applyBorder="1" applyAlignment="1">
      <alignment horizontal="right" vertical="center"/>
    </xf>
    <xf numFmtId="165" fontId="11" fillId="13" borderId="1" xfId="0" applyNumberFormat="1" applyFont="1" applyFill="1" applyBorder="1" applyAlignment="1">
      <alignment horizontal="right" vertical="center"/>
    </xf>
    <xf numFmtId="3" fontId="24" fillId="11" borderId="57" xfId="0" applyNumberFormat="1" applyFont="1" applyFill="1" applyBorder="1" applyAlignment="1">
      <alignment horizontal="center" vertical="center"/>
    </xf>
    <xf numFmtId="0" fontId="15" fillId="3" borderId="5" xfId="0" quotePrefix="1" applyFont="1" applyFill="1" applyBorder="1" applyAlignment="1">
      <alignment horizontal="left" vertical="center"/>
    </xf>
    <xf numFmtId="9" fontId="11" fillId="11" borderId="5" xfId="0" applyNumberFormat="1" applyFont="1" applyFill="1" applyBorder="1" applyAlignment="1">
      <alignment horizontal="center" vertical="center"/>
    </xf>
    <xf numFmtId="9" fontId="11" fillId="11" borderId="29" xfId="0" applyNumberFormat="1" applyFont="1" applyFill="1" applyBorder="1" applyAlignment="1">
      <alignment horizontal="center" vertical="center"/>
    </xf>
    <xf numFmtId="0" fontId="33" fillId="10" borderId="0" xfId="0" applyFont="1" applyFill="1" applyAlignment="1">
      <alignment vertical="center"/>
    </xf>
    <xf numFmtId="3" fontId="33" fillId="7" borderId="0" xfId="0" applyNumberFormat="1" applyFont="1" applyFill="1" applyAlignment="1">
      <alignment horizontal="center" vertical="center"/>
    </xf>
    <xf numFmtId="0" fontId="47" fillId="7" borderId="5" xfId="0" applyFont="1" applyFill="1" applyBorder="1" applyAlignment="1">
      <alignment horizontal="center" vertical="center" wrapText="1"/>
    </xf>
    <xf numFmtId="0" fontId="33" fillId="7" borderId="0" xfId="0" applyFont="1" applyFill="1" applyAlignment="1">
      <alignment vertical="center"/>
    </xf>
    <xf numFmtId="0" fontId="40" fillId="7" borderId="0" xfId="0" applyFont="1" applyFill="1" applyAlignment="1">
      <alignment horizontal="center" vertical="center"/>
    </xf>
    <xf numFmtId="0" fontId="40" fillId="7" borderId="0" xfId="0" applyFont="1" applyFill="1" applyAlignment="1">
      <alignment vertical="center"/>
    </xf>
    <xf numFmtId="0" fontId="33" fillId="0" borderId="0" xfId="0" applyFont="1" applyAlignment="1">
      <alignment vertical="center"/>
    </xf>
    <xf numFmtId="0" fontId="15" fillId="12" borderId="0" xfId="0" applyFont="1" applyFill="1"/>
    <xf numFmtId="164" fontId="15" fillId="12" borderId="0" xfId="0" applyNumberFormat="1" applyFont="1" applyFill="1" applyAlignment="1">
      <alignment horizontal="center"/>
    </xf>
    <xf numFmtId="0" fontId="24" fillId="12" borderId="2" xfId="0" applyFont="1" applyFill="1" applyBorder="1" applyAlignment="1">
      <alignment horizontal="center" vertical="center" wrapText="1"/>
    </xf>
    <xf numFmtId="0" fontId="15" fillId="12" borderId="30" xfId="0" applyFont="1" applyFill="1" applyBorder="1" applyAlignment="1">
      <alignment horizontal="center"/>
    </xf>
    <xf numFmtId="0" fontId="11" fillId="12" borderId="5" xfId="0" applyFont="1" applyFill="1" applyBorder="1" applyAlignment="1">
      <alignment horizontal="center" vertical="center"/>
    </xf>
    <xf numFmtId="9" fontId="11" fillId="12" borderId="5" xfId="0" applyNumberFormat="1" applyFont="1" applyFill="1" applyBorder="1" applyAlignment="1">
      <alignment horizontal="center" vertical="center"/>
    </xf>
    <xf numFmtId="164" fontId="63" fillId="12" borderId="4" xfId="0" applyNumberFormat="1" applyFont="1" applyFill="1" applyBorder="1" applyAlignment="1">
      <alignment horizontal="center" vertical="center"/>
    </xf>
    <xf numFmtId="3" fontId="33" fillId="12" borderId="0" xfId="0" applyNumberFormat="1" applyFont="1" applyFill="1" applyAlignment="1">
      <alignment horizontal="center" vertical="center"/>
    </xf>
    <xf numFmtId="0" fontId="62" fillId="12" borderId="5" xfId="0" applyFont="1" applyFill="1" applyBorder="1" applyAlignment="1">
      <alignment horizontal="center" vertical="center"/>
    </xf>
    <xf numFmtId="0" fontId="42" fillId="12" borderId="4" xfId="0" applyFont="1" applyFill="1" applyBorder="1" applyAlignment="1">
      <alignment horizontal="center" vertical="center"/>
    </xf>
    <xf numFmtId="164" fontId="11" fillId="12" borderId="27" xfId="0" applyNumberFormat="1" applyFont="1" applyFill="1" applyBorder="1" applyAlignment="1">
      <alignment horizontal="center" vertical="center"/>
    </xf>
    <xf numFmtId="0" fontId="15" fillId="12" borderId="0" xfId="0" applyFont="1" applyFill="1" applyAlignment="1">
      <alignment horizontal="center"/>
    </xf>
    <xf numFmtId="164" fontId="29" fillId="12" borderId="4" xfId="0" applyNumberFormat="1" applyFont="1" applyFill="1" applyBorder="1" applyAlignment="1">
      <alignment horizontal="center" vertical="center" wrapText="1"/>
    </xf>
    <xf numFmtId="164" fontId="15" fillId="12" borderId="0" xfId="0" applyNumberFormat="1" applyFont="1" applyFill="1" applyAlignment="1">
      <alignment horizontal="center" vertical="center"/>
    </xf>
    <xf numFmtId="164" fontId="29" fillId="12" borderId="27" xfId="0" applyNumberFormat="1" applyFont="1" applyFill="1" applyBorder="1" applyAlignment="1">
      <alignment horizontal="center" vertical="center"/>
    </xf>
    <xf numFmtId="164" fontId="33" fillId="12" borderId="5" xfId="0" applyNumberFormat="1" applyFont="1" applyFill="1" applyBorder="1" applyAlignment="1">
      <alignment horizontal="center" vertical="center"/>
    </xf>
    <xf numFmtId="164" fontId="9" fillId="12" borderId="5" xfId="0" applyNumberFormat="1" applyFont="1" applyFill="1" applyBorder="1" applyAlignment="1">
      <alignment horizontal="center" vertical="center"/>
    </xf>
    <xf numFmtId="9" fontId="9" fillId="12" borderId="10" xfId="0" applyNumberFormat="1" applyFont="1" applyFill="1" applyBorder="1" applyAlignment="1">
      <alignment horizontal="center" vertical="center"/>
    </xf>
    <xf numFmtId="164" fontId="9" fillId="12" borderId="13" xfId="0" applyNumberFormat="1" applyFont="1" applyFill="1" applyBorder="1" applyAlignment="1">
      <alignment horizontal="center" vertical="center"/>
    </xf>
    <xf numFmtId="164" fontId="9" fillId="12" borderId="10" xfId="0" applyNumberFormat="1" applyFont="1" applyFill="1" applyBorder="1" applyAlignment="1">
      <alignment horizontal="center" vertical="center"/>
    </xf>
    <xf numFmtId="0" fontId="24" fillId="12" borderId="0" xfId="0" applyFont="1" applyFill="1" applyAlignment="1">
      <alignment horizontal="center"/>
    </xf>
    <xf numFmtId="0" fontId="31" fillId="12" borderId="0" xfId="0" applyFont="1" applyFill="1"/>
    <xf numFmtId="0" fontId="33" fillId="12" borderId="0" xfId="0" applyFont="1" applyFill="1"/>
    <xf numFmtId="0" fontId="9" fillId="6" borderId="4" xfId="0" quotePrefix="1" applyFont="1" applyFill="1" applyBorder="1" applyAlignment="1">
      <alignment vertical="center"/>
    </xf>
    <xf numFmtId="0" fontId="9" fillId="6" borderId="54" xfId="0" quotePrefix="1" applyFont="1" applyFill="1" applyBorder="1" applyAlignment="1">
      <alignment vertical="center"/>
    </xf>
    <xf numFmtId="0" fontId="15" fillId="12" borderId="0" xfId="0" applyFont="1" applyFill="1" applyAlignment="1">
      <alignment horizontal="right"/>
    </xf>
    <xf numFmtId="0" fontId="15" fillId="12" borderId="0" xfId="0" applyFont="1" applyFill="1" applyAlignment="1">
      <alignment horizontal="center" vertical="center"/>
    </xf>
    <xf numFmtId="0" fontId="29" fillId="12" borderId="7" xfId="0" applyFont="1" applyFill="1" applyBorder="1" applyAlignment="1">
      <alignment horizontal="center" vertical="center" wrapText="1"/>
    </xf>
    <xf numFmtId="0" fontId="33" fillId="12" borderId="0" xfId="0" applyFont="1" applyFill="1" applyAlignment="1">
      <alignment horizontal="center" vertical="center"/>
    </xf>
    <xf numFmtId="0" fontId="15" fillId="12" borderId="7" xfId="0" applyFont="1" applyFill="1" applyBorder="1" applyAlignment="1">
      <alignment horizontal="right" vertical="center"/>
    </xf>
    <xf numFmtId="0" fontId="15" fillId="12" borderId="7" xfId="0" quotePrefix="1" applyFont="1" applyFill="1" applyBorder="1" applyAlignment="1">
      <alignment horizontal="right" vertical="center"/>
    </xf>
    <xf numFmtId="0" fontId="9" fillId="12" borderId="7" xfId="0" quotePrefix="1" applyFont="1" applyFill="1" applyBorder="1" applyAlignment="1">
      <alignment horizontal="right" vertical="center"/>
    </xf>
    <xf numFmtId="0" fontId="11" fillId="12" borderId="1" xfId="0" applyFont="1" applyFill="1" applyBorder="1" applyAlignment="1">
      <alignment horizontal="right" vertical="center"/>
    </xf>
    <xf numFmtId="0" fontId="29" fillId="12" borderId="0" xfId="0" applyFont="1" applyFill="1" applyAlignment="1">
      <alignment horizontal="right" vertical="center"/>
    </xf>
    <xf numFmtId="0" fontId="29" fillId="12" borderId="1" xfId="0" applyFont="1" applyFill="1" applyBorder="1" applyAlignment="1">
      <alignment horizontal="right" vertical="center"/>
    </xf>
    <xf numFmtId="0" fontId="9" fillId="12" borderId="0" xfId="0" applyFont="1" applyFill="1" applyAlignment="1">
      <alignment horizontal="right"/>
    </xf>
    <xf numFmtId="0" fontId="31" fillId="14" borderId="50" xfId="0" applyFont="1" applyFill="1" applyBorder="1" applyAlignment="1">
      <alignment horizontal="center" vertical="center"/>
    </xf>
    <xf numFmtId="0" fontId="10" fillId="12" borderId="0" xfId="0" applyFont="1" applyFill="1"/>
    <xf numFmtId="3" fontId="16" fillId="12" borderId="0" xfId="0" applyNumberFormat="1" applyFont="1" applyFill="1" applyAlignment="1">
      <alignment horizontal="center" vertical="center"/>
    </xf>
    <xf numFmtId="164" fontId="29" fillId="12" borderId="51" xfId="0" applyNumberFormat="1" applyFont="1" applyFill="1" applyBorder="1" applyAlignment="1">
      <alignment horizontal="left" vertical="center"/>
    </xf>
    <xf numFmtId="164" fontId="29" fillId="12" borderId="13" xfId="0" applyNumberFormat="1" applyFont="1" applyFill="1" applyBorder="1" applyAlignment="1">
      <alignment horizontal="left" vertical="center"/>
    </xf>
    <xf numFmtId="164" fontId="13" fillId="12" borderId="13" xfId="0" applyNumberFormat="1" applyFont="1" applyFill="1" applyBorder="1" applyAlignment="1">
      <alignment horizontal="center" vertical="center"/>
    </xf>
    <xf numFmtId="164" fontId="13" fillId="12" borderId="14" xfId="0" applyNumberFormat="1" applyFont="1" applyFill="1" applyBorder="1" applyAlignment="1">
      <alignment horizontal="center" vertical="center"/>
    </xf>
    <xf numFmtId="165" fontId="16" fillId="12" borderId="0" xfId="0" applyNumberFormat="1" applyFont="1" applyFill="1" applyAlignment="1">
      <alignment horizontal="right" vertical="center"/>
    </xf>
    <xf numFmtId="165" fontId="29" fillId="12" borderId="0" xfId="0" applyNumberFormat="1" applyFont="1" applyFill="1" applyAlignment="1">
      <alignment horizontal="right" vertical="center"/>
    </xf>
    <xf numFmtId="0" fontId="42" fillId="12" borderId="5" xfId="0" applyFont="1" applyFill="1" applyBorder="1" applyAlignment="1">
      <alignment horizontal="center" vertical="center"/>
    </xf>
    <xf numFmtId="0" fontId="15" fillId="12" borderId="0" xfId="0" applyFont="1" applyFill="1" applyAlignment="1">
      <alignment vertical="center"/>
    </xf>
    <xf numFmtId="0" fontId="37" fillId="12" borderId="0" xfId="0" applyFont="1" applyFill="1" applyAlignment="1">
      <alignment vertical="center"/>
    </xf>
    <xf numFmtId="0" fontId="8" fillId="12" borderId="0" xfId="0" applyFont="1" applyFill="1"/>
    <xf numFmtId="0" fontId="39" fillId="12" borderId="0" xfId="0" applyFont="1" applyFill="1" applyAlignment="1">
      <alignment vertical="center"/>
    </xf>
    <xf numFmtId="0" fontId="24" fillId="12" borderId="0" xfId="0" applyFont="1" applyFill="1"/>
    <xf numFmtId="10" fontId="10" fillId="12" borderId="0" xfId="0" applyNumberFormat="1" applyFont="1" applyFill="1"/>
    <xf numFmtId="10" fontId="9" fillId="12" borderId="0" xfId="0" applyNumberFormat="1" applyFont="1" applyFill="1"/>
    <xf numFmtId="4" fontId="10" fillId="12" borderId="0" xfId="0" applyNumberFormat="1" applyFont="1" applyFill="1"/>
    <xf numFmtId="0" fontId="33" fillId="0" borderId="4" xfId="0" applyFont="1" applyBorder="1" applyAlignment="1">
      <alignment vertical="center"/>
    </xf>
    <xf numFmtId="0" fontId="9" fillId="6" borderId="5" xfId="0" applyFont="1" applyFill="1" applyBorder="1" applyAlignment="1">
      <alignment horizontal="left" vertical="center"/>
    </xf>
    <xf numFmtId="165" fontId="9" fillId="6" borderId="7" xfId="0" quotePrefix="1" applyNumberFormat="1" applyFont="1" applyFill="1" applyBorder="1" applyAlignment="1">
      <alignment horizontal="right" vertical="center"/>
    </xf>
    <xf numFmtId="0" fontId="31" fillId="10" borderId="0" xfId="0" applyFont="1" applyFill="1" applyAlignment="1">
      <alignment vertical="center"/>
    </xf>
    <xf numFmtId="3" fontId="31" fillId="12" borderId="0" xfId="0" applyNumberFormat="1" applyFont="1" applyFill="1" applyAlignment="1">
      <alignment horizontal="center" vertical="center"/>
    </xf>
    <xf numFmtId="3" fontId="31" fillId="7" borderId="0" xfId="0" applyNumberFormat="1" applyFont="1" applyFill="1" applyAlignment="1">
      <alignment horizontal="center" vertical="center"/>
    </xf>
    <xf numFmtId="0" fontId="31" fillId="12" borderId="0" xfId="0" applyFont="1" applyFill="1" applyAlignment="1">
      <alignment horizontal="center" vertical="center"/>
    </xf>
    <xf numFmtId="0" fontId="68" fillId="7" borderId="5" xfId="0" applyFont="1" applyFill="1" applyBorder="1" applyAlignment="1">
      <alignment horizontal="center" vertical="center" wrapText="1"/>
    </xf>
    <xf numFmtId="0" fontId="36" fillId="7" borderId="0" xfId="0" applyFont="1" applyFill="1" applyAlignment="1">
      <alignment horizontal="center" vertical="center"/>
    </xf>
    <xf numFmtId="0" fontId="36" fillId="7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48" fillId="8" borderId="8" xfId="0" applyFont="1" applyFill="1" applyBorder="1" applyAlignment="1">
      <alignment horizontal="center" vertical="center"/>
    </xf>
    <xf numFmtId="0" fontId="15" fillId="8" borderId="4" xfId="0" applyFont="1" applyFill="1" applyBorder="1" applyAlignment="1">
      <alignment vertical="center"/>
    </xf>
    <xf numFmtId="0" fontId="15" fillId="8" borderId="5" xfId="0" applyFont="1" applyFill="1" applyBorder="1" applyAlignment="1">
      <alignment horizontal="left" vertical="center"/>
    </xf>
    <xf numFmtId="0" fontId="62" fillId="8" borderId="5" xfId="0" applyFont="1" applyFill="1" applyBorder="1" applyAlignment="1">
      <alignment horizontal="center" vertical="center"/>
    </xf>
    <xf numFmtId="165" fontId="13" fillId="8" borderId="7" xfId="0" quotePrefix="1" applyNumberFormat="1" applyFont="1" applyFill="1" applyBorder="1" applyAlignment="1">
      <alignment horizontal="right" vertical="center"/>
    </xf>
    <xf numFmtId="165" fontId="15" fillId="8" borderId="7" xfId="0" quotePrefix="1" applyNumberFormat="1" applyFont="1" applyFill="1" applyBorder="1" applyAlignment="1">
      <alignment horizontal="right" vertical="center"/>
    </xf>
    <xf numFmtId="0" fontId="15" fillId="8" borderId="7" xfId="0" quotePrefix="1" applyFont="1" applyFill="1" applyBorder="1" applyAlignment="1">
      <alignment horizontal="right" vertical="center"/>
    </xf>
    <xf numFmtId="165" fontId="15" fillId="8" borderId="7" xfId="0" quotePrefix="1" applyNumberFormat="1" applyFont="1" applyFill="1" applyBorder="1" applyAlignment="1">
      <alignment horizontal="left" vertical="center"/>
    </xf>
    <xf numFmtId="0" fontId="34" fillId="8" borderId="4" xfId="0" applyFont="1" applyFill="1" applyBorder="1" applyAlignment="1">
      <alignment vertical="center"/>
    </xf>
    <xf numFmtId="0" fontId="34" fillId="8" borderId="5" xfId="0" applyFont="1" applyFill="1" applyBorder="1" applyAlignment="1">
      <alignment horizontal="left" vertical="center"/>
    </xf>
    <xf numFmtId="0" fontId="69" fillId="8" borderId="5" xfId="0" applyFont="1" applyFill="1" applyBorder="1" applyAlignment="1">
      <alignment horizontal="center" vertical="center"/>
    </xf>
    <xf numFmtId="165" fontId="32" fillId="8" borderId="7" xfId="0" quotePrefix="1" applyNumberFormat="1" applyFont="1" applyFill="1" applyBorder="1" applyAlignment="1">
      <alignment horizontal="right" vertical="center"/>
    </xf>
    <xf numFmtId="165" fontId="34" fillId="8" borderId="7" xfId="0" quotePrefix="1" applyNumberFormat="1" applyFont="1" applyFill="1" applyBorder="1" applyAlignment="1">
      <alignment horizontal="right" vertical="center"/>
    </xf>
    <xf numFmtId="0" fontId="34" fillId="8" borderId="7" xfId="0" quotePrefix="1" applyFont="1" applyFill="1" applyBorder="1" applyAlignment="1">
      <alignment horizontal="right" vertical="center"/>
    </xf>
    <xf numFmtId="165" fontId="34" fillId="8" borderId="7" xfId="0" quotePrefix="1" applyNumberFormat="1" applyFont="1" applyFill="1" applyBorder="1" applyAlignment="1">
      <alignment horizontal="left" vertical="center"/>
    </xf>
    <xf numFmtId="0" fontId="9" fillId="0" borderId="4" xfId="0" quotePrefix="1" applyFont="1" applyBorder="1" applyAlignment="1">
      <alignment vertical="center"/>
    </xf>
    <xf numFmtId="0" fontId="9" fillId="0" borderId="7" xfId="0" quotePrefix="1" applyFont="1" applyBorder="1" applyAlignment="1">
      <alignment horizontal="right" vertical="center"/>
    </xf>
    <xf numFmtId="0" fontId="43" fillId="0" borderId="5" xfId="0" applyFont="1" applyBorder="1" applyAlignment="1">
      <alignment horizontal="center" vertical="center"/>
    </xf>
    <xf numFmtId="165" fontId="9" fillId="0" borderId="0" xfId="0" applyNumberFormat="1" applyFont="1" applyAlignment="1">
      <alignment vertical="center"/>
    </xf>
    <xf numFmtId="0" fontId="15" fillId="0" borderId="0" xfId="0" applyFont="1" applyAlignment="1">
      <alignment horizontal="center" vertical="center"/>
    </xf>
    <xf numFmtId="4" fontId="15" fillId="0" borderId="0" xfId="0" applyNumberFormat="1" applyFont="1" applyAlignment="1">
      <alignment vertical="center"/>
    </xf>
    <xf numFmtId="0" fontId="28" fillId="0" borderId="0" xfId="0" applyFont="1"/>
    <xf numFmtId="4" fontId="9" fillId="0" borderId="0" xfId="0" applyNumberFormat="1" applyFont="1"/>
    <xf numFmtId="0" fontId="9" fillId="0" borderId="54" xfId="0" quotePrefix="1" applyFont="1" applyBorder="1" applyAlignment="1">
      <alignment vertical="center"/>
    </xf>
    <xf numFmtId="0" fontId="48" fillId="0" borderId="9" xfId="0" applyFont="1" applyBorder="1" applyAlignment="1">
      <alignment horizontal="center" vertical="center"/>
    </xf>
    <xf numFmtId="0" fontId="37" fillId="0" borderId="54" xfId="0" quotePrefix="1" applyFont="1" applyBorder="1" applyAlignment="1">
      <alignment vertical="center"/>
    </xf>
    <xf numFmtId="0" fontId="9" fillId="0" borderId="58" xfId="0" applyFont="1" applyBorder="1" applyAlignment="1">
      <alignment horizontal="left" vertical="center"/>
    </xf>
    <xf numFmtId="0" fontId="67" fillId="0" borderId="5" xfId="0" applyFont="1" applyBorder="1" applyAlignment="1">
      <alignment horizontal="center" vertical="center"/>
    </xf>
    <xf numFmtId="0" fontId="29" fillId="10" borderId="45" xfId="0" applyFont="1" applyFill="1" applyBorder="1" applyAlignment="1">
      <alignment horizontal="center"/>
    </xf>
    <xf numFmtId="0" fontId="72" fillId="10" borderId="0" xfId="0" applyFont="1" applyFill="1" applyAlignment="1">
      <alignment horizontal="center"/>
    </xf>
    <xf numFmtId="164" fontId="38" fillId="10" borderId="0" xfId="0" applyNumberFormat="1" applyFont="1" applyFill="1"/>
    <xf numFmtId="3" fontId="1" fillId="2" borderId="0" xfId="0" applyNumberFormat="1" applyFont="1" applyFill="1"/>
    <xf numFmtId="0" fontId="15" fillId="7" borderId="0" xfId="0" applyFont="1" applyFill="1" applyAlignment="1">
      <alignment horizontal="right"/>
    </xf>
    <xf numFmtId="164" fontId="72" fillId="10" borderId="0" xfId="0" applyNumberFormat="1" applyFont="1" applyFill="1" applyAlignment="1">
      <alignment horizontal="right"/>
    </xf>
    <xf numFmtId="3" fontId="72" fillId="10" borderId="0" xfId="0" applyNumberFormat="1" applyFont="1" applyFill="1" applyAlignment="1">
      <alignment horizontal="right"/>
    </xf>
    <xf numFmtId="164" fontId="68" fillId="7" borderId="0" xfId="0" applyNumberFormat="1" applyFont="1" applyFill="1"/>
    <xf numFmtId="168" fontId="31" fillId="7" borderId="0" xfId="0" applyNumberFormat="1" applyFont="1" applyFill="1" applyAlignment="1">
      <alignment vertical="center"/>
    </xf>
    <xf numFmtId="3" fontId="24" fillId="7" borderId="0" xfId="0" applyNumberFormat="1" applyFont="1" applyFill="1"/>
    <xf numFmtId="3" fontId="16" fillId="10" borderId="0" xfId="0" applyNumberFormat="1" applyFont="1" applyFill="1" applyAlignment="1">
      <alignment horizontal="right"/>
    </xf>
    <xf numFmtId="3" fontId="61" fillId="10" borderId="0" xfId="0" applyNumberFormat="1" applyFont="1" applyFill="1" applyAlignment="1">
      <alignment horizontal="right"/>
    </xf>
    <xf numFmtId="3" fontId="55" fillId="10" borderId="0" xfId="0" applyNumberFormat="1" applyFont="1" applyFill="1" applyAlignment="1">
      <alignment horizontal="right"/>
    </xf>
    <xf numFmtId="3" fontId="56" fillId="10" borderId="0" xfId="0" applyNumberFormat="1" applyFont="1" applyFill="1" applyAlignment="1">
      <alignment horizontal="right"/>
    </xf>
    <xf numFmtId="3" fontId="38" fillId="10" borderId="0" xfId="0" applyNumberFormat="1" applyFont="1" applyFill="1" applyAlignment="1">
      <alignment horizontal="right"/>
    </xf>
    <xf numFmtId="0" fontId="67" fillId="12" borderId="5" xfId="0" applyFont="1" applyFill="1" applyBorder="1" applyAlignment="1">
      <alignment horizontal="center" vertical="center"/>
    </xf>
    <xf numFmtId="164" fontId="29" fillId="10" borderId="52" xfId="0" applyNumberFormat="1" applyFont="1" applyFill="1" applyBorder="1" applyAlignment="1">
      <alignment horizontal="left" vertical="center"/>
    </xf>
    <xf numFmtId="164" fontId="29" fillId="10" borderId="5" xfId="0" applyNumberFormat="1" applyFont="1" applyFill="1" applyBorder="1" applyAlignment="1">
      <alignment horizontal="left" vertical="center"/>
    </xf>
    <xf numFmtId="164" fontId="13" fillId="10" borderId="5" xfId="0" applyNumberFormat="1" applyFont="1" applyFill="1" applyBorder="1" applyAlignment="1">
      <alignment horizontal="center" vertical="center"/>
    </xf>
    <xf numFmtId="164" fontId="33" fillId="10" borderId="5" xfId="0" applyNumberFormat="1" applyFont="1" applyFill="1" applyBorder="1" applyAlignment="1">
      <alignment horizontal="center" vertical="center"/>
    </xf>
    <xf numFmtId="164" fontId="13" fillId="10" borderId="29" xfId="0" applyNumberFormat="1" applyFont="1" applyFill="1" applyBorder="1" applyAlignment="1">
      <alignment horizontal="center" vertical="center"/>
    </xf>
    <xf numFmtId="164" fontId="29" fillId="10" borderId="53" xfId="0" applyNumberFormat="1" applyFont="1" applyFill="1" applyBorder="1" applyAlignment="1">
      <alignment horizontal="left" vertical="center"/>
    </xf>
    <xf numFmtId="164" fontId="29" fillId="10" borderId="10" xfId="0" applyNumberFormat="1" applyFont="1" applyFill="1" applyBorder="1" applyAlignment="1">
      <alignment horizontal="left" vertical="center"/>
    </xf>
    <xf numFmtId="164" fontId="13" fillId="10" borderId="10" xfId="0" applyNumberFormat="1" applyFont="1" applyFill="1" applyBorder="1" applyAlignment="1">
      <alignment horizontal="center" vertical="center"/>
    </xf>
    <xf numFmtId="164" fontId="33" fillId="10" borderId="16" xfId="0" applyNumberFormat="1" applyFont="1" applyFill="1" applyBorder="1" applyAlignment="1">
      <alignment horizontal="center" vertical="center"/>
    </xf>
    <xf numFmtId="167" fontId="27" fillId="7" borderId="5" xfId="0" applyNumberFormat="1" applyFont="1" applyFill="1" applyBorder="1" applyAlignment="1">
      <alignment vertical="center"/>
    </xf>
    <xf numFmtId="0" fontId="48" fillId="3" borderId="8" xfId="0" applyFont="1" applyFill="1" applyBorder="1" applyAlignment="1">
      <alignment horizontal="center" vertical="center"/>
    </xf>
    <xf numFmtId="165" fontId="39" fillId="3" borderId="7" xfId="0" quotePrefix="1" applyNumberFormat="1" applyFont="1" applyFill="1" applyBorder="1" applyAlignment="1">
      <alignment horizontal="right" vertical="center"/>
    </xf>
    <xf numFmtId="165" fontId="73" fillId="3" borderId="7" xfId="0" quotePrefix="1" applyNumberFormat="1" applyFont="1" applyFill="1" applyBorder="1" applyAlignment="1">
      <alignment horizontal="right" vertical="center"/>
    </xf>
    <xf numFmtId="0" fontId="37" fillId="12" borderId="7" xfId="0" quotePrefix="1" applyFont="1" applyFill="1" applyBorder="1" applyAlignment="1">
      <alignment horizontal="right" vertical="center"/>
    </xf>
    <xf numFmtId="165" fontId="71" fillId="3" borderId="7" xfId="0" applyNumberFormat="1" applyFont="1" applyFill="1" applyBorder="1" applyAlignment="1">
      <alignment horizontal="left" vertical="center"/>
    </xf>
    <xf numFmtId="0" fontId="69" fillId="3" borderId="5" xfId="0" applyFont="1" applyFill="1" applyBorder="1" applyAlignment="1">
      <alignment horizontal="center" vertical="center"/>
    </xf>
    <xf numFmtId="0" fontId="36" fillId="7" borderId="5" xfId="0" applyFont="1" applyFill="1" applyBorder="1" applyAlignment="1">
      <alignment vertical="center"/>
    </xf>
    <xf numFmtId="0" fontId="31" fillId="7" borderId="5" xfId="0" applyFont="1" applyFill="1" applyBorder="1" applyAlignment="1">
      <alignment vertical="center"/>
    </xf>
    <xf numFmtId="0" fontId="27" fillId="7" borderId="5" xfId="0" applyFont="1" applyFill="1" applyBorder="1" applyAlignment="1">
      <alignment horizontal="center"/>
    </xf>
    <xf numFmtId="164" fontId="13" fillId="7" borderId="0" xfId="0" applyNumberFormat="1" applyFont="1" applyFill="1" applyAlignment="1">
      <alignment horizontal="center" vertical="center"/>
    </xf>
    <xf numFmtId="164" fontId="15" fillId="7" borderId="0" xfId="0" applyNumberFormat="1" applyFont="1" applyFill="1" applyAlignment="1">
      <alignment horizontal="center" vertical="center"/>
    </xf>
    <xf numFmtId="164" fontId="31" fillId="7" borderId="0" xfId="0" applyNumberFormat="1" applyFont="1" applyFill="1" applyAlignment="1">
      <alignment horizontal="center" vertical="center"/>
    </xf>
    <xf numFmtId="164" fontId="33" fillId="7" borderId="0" xfId="0" applyNumberFormat="1" applyFont="1" applyFill="1" applyAlignment="1">
      <alignment horizontal="center" vertical="center"/>
    </xf>
    <xf numFmtId="164" fontId="15" fillId="7" borderId="0" xfId="0" applyNumberFormat="1" applyFont="1" applyFill="1" applyAlignment="1">
      <alignment vertical="center"/>
    </xf>
    <xf numFmtId="164" fontId="10" fillId="7" borderId="0" xfId="0" applyNumberFormat="1" applyFont="1" applyFill="1"/>
    <xf numFmtId="164" fontId="15" fillId="0" borderId="0" xfId="0" applyNumberFormat="1" applyFont="1" applyAlignment="1">
      <alignment horizontal="center" vertical="center"/>
    </xf>
    <xf numFmtId="164" fontId="10" fillId="12" borderId="0" xfId="0" applyNumberFormat="1" applyFont="1" applyFill="1"/>
    <xf numFmtId="164" fontId="16" fillId="7" borderId="5" xfId="0" applyNumberFormat="1" applyFont="1" applyFill="1" applyBorder="1" applyAlignment="1">
      <alignment horizontal="center"/>
    </xf>
    <xf numFmtId="164" fontId="36" fillId="7" borderId="5" xfId="0" applyNumberFormat="1" applyFont="1" applyFill="1" applyBorder="1" applyAlignment="1">
      <alignment vertical="center"/>
    </xf>
    <xf numFmtId="164" fontId="15" fillId="7" borderId="0" xfId="0" applyNumberFormat="1" applyFont="1" applyFill="1" applyAlignment="1">
      <alignment horizontal="right"/>
    </xf>
    <xf numFmtId="164" fontId="27" fillId="7" borderId="5" xfId="0" applyNumberFormat="1" applyFont="1" applyFill="1" applyBorder="1" applyAlignment="1">
      <alignment horizontal="center"/>
    </xf>
    <xf numFmtId="3" fontId="31" fillId="10" borderId="0" xfId="0" applyNumberFormat="1" applyFont="1" applyFill="1" applyAlignment="1">
      <alignment horizontal="center"/>
    </xf>
    <xf numFmtId="0" fontId="68" fillId="7" borderId="0" xfId="0" applyFont="1" applyFill="1"/>
    <xf numFmtId="0" fontId="27" fillId="7" borderId="0" xfId="0" applyFont="1" applyFill="1" applyAlignment="1">
      <alignment horizontal="center" vertical="center"/>
    </xf>
    <xf numFmtId="3" fontId="27" fillId="7" borderId="0" xfId="0" applyNumberFormat="1" applyFont="1" applyFill="1"/>
    <xf numFmtId="164" fontId="27" fillId="7" borderId="0" xfId="0" applyNumberFormat="1" applyFont="1" applyFill="1" applyAlignment="1">
      <alignment vertical="center"/>
    </xf>
    <xf numFmtId="3" fontId="27" fillId="7" borderId="0" xfId="0" applyNumberFormat="1" applyFont="1" applyFill="1" applyAlignment="1">
      <alignment horizontal="center" vertical="center"/>
    </xf>
    <xf numFmtId="164" fontId="33" fillId="9" borderId="0" xfId="0" applyNumberFormat="1" applyFont="1" applyFill="1" applyAlignment="1">
      <alignment vertical="center"/>
    </xf>
    <xf numFmtId="3" fontId="33" fillId="9" borderId="0" xfId="0" applyNumberFormat="1" applyFont="1" applyFill="1" applyAlignment="1">
      <alignment vertical="center"/>
    </xf>
    <xf numFmtId="164" fontId="72" fillId="10" borderId="0" xfId="0" applyNumberFormat="1" applyFont="1" applyFill="1"/>
    <xf numFmtId="3" fontId="27" fillId="10" borderId="0" xfId="0" applyNumberFormat="1" applyFont="1" applyFill="1"/>
    <xf numFmtId="3" fontId="72" fillId="10" borderId="0" xfId="0" applyNumberFormat="1" applyFont="1" applyFill="1"/>
    <xf numFmtId="4" fontId="31" fillId="7" borderId="0" xfId="0" applyNumberFormat="1" applyFont="1" applyFill="1"/>
    <xf numFmtId="0" fontId="42" fillId="8" borderId="4" xfId="0" applyFont="1" applyFill="1" applyBorder="1" applyAlignment="1">
      <alignment horizontal="center" vertical="center"/>
    </xf>
    <xf numFmtId="164" fontId="61" fillId="10" borderId="0" xfId="0" applyNumberFormat="1" applyFont="1" applyFill="1" applyAlignment="1">
      <alignment horizontal="right"/>
    </xf>
    <xf numFmtId="164" fontId="55" fillId="10" borderId="0" xfId="0" applyNumberFormat="1" applyFont="1" applyFill="1" applyAlignment="1">
      <alignment horizontal="right"/>
    </xf>
    <xf numFmtId="164" fontId="56" fillId="10" borderId="0" xfId="0" applyNumberFormat="1" applyFont="1" applyFill="1" applyAlignment="1">
      <alignment horizontal="right"/>
    </xf>
    <xf numFmtId="164" fontId="38" fillId="10" borderId="0" xfId="0" applyNumberFormat="1" applyFont="1" applyFill="1" applyAlignment="1">
      <alignment horizontal="right"/>
    </xf>
    <xf numFmtId="0" fontId="27" fillId="7" borderId="0" xfId="0" applyFont="1" applyFill="1"/>
    <xf numFmtId="164" fontId="33" fillId="12" borderId="0" xfId="0" applyNumberFormat="1" applyFont="1" applyFill="1"/>
    <xf numFmtId="3" fontId="33" fillId="12" borderId="0" xfId="0" applyNumberFormat="1" applyFont="1" applyFill="1"/>
    <xf numFmtId="3" fontId="38" fillId="10" borderId="0" xfId="0" applyNumberFormat="1" applyFont="1" applyFill="1"/>
    <xf numFmtId="0" fontId="24" fillId="7" borderId="6" xfId="0" applyFont="1" applyFill="1" applyBorder="1" applyAlignment="1">
      <alignment horizontal="center"/>
    </xf>
    <xf numFmtId="0" fontId="24" fillId="7" borderId="15" xfId="0" applyFont="1" applyFill="1" applyBorder="1" applyAlignment="1">
      <alignment horizontal="center"/>
    </xf>
    <xf numFmtId="0" fontId="24" fillId="7" borderId="4" xfId="0" applyFont="1" applyFill="1" applyBorder="1" applyAlignment="1">
      <alignment horizontal="center"/>
    </xf>
    <xf numFmtId="0" fontId="24" fillId="7" borderId="5" xfId="0" applyFont="1" applyFill="1" applyBorder="1" applyAlignment="1">
      <alignment horizontal="center"/>
    </xf>
    <xf numFmtId="3" fontId="10" fillId="11" borderId="17" xfId="0" applyNumberFormat="1" applyFont="1" applyFill="1" applyBorder="1" applyAlignment="1">
      <alignment horizontal="center" vertical="center"/>
    </xf>
    <xf numFmtId="3" fontId="10" fillId="11" borderId="23" xfId="0" applyNumberFormat="1" applyFont="1" applyFill="1" applyBorder="1" applyAlignment="1">
      <alignment horizontal="center" vertical="center"/>
    </xf>
    <xf numFmtId="3" fontId="10" fillId="11" borderId="20" xfId="0" applyNumberFormat="1" applyFont="1" applyFill="1" applyBorder="1" applyAlignment="1">
      <alignment horizontal="center" vertical="center"/>
    </xf>
    <xf numFmtId="3" fontId="10" fillId="11" borderId="17" xfId="0" applyNumberFormat="1" applyFont="1" applyFill="1" applyBorder="1" applyAlignment="1">
      <alignment horizontal="center" vertical="center" wrapText="1"/>
    </xf>
    <xf numFmtId="3" fontId="10" fillId="11" borderId="20" xfId="0" applyNumberFormat="1" applyFont="1" applyFill="1" applyBorder="1" applyAlignment="1">
      <alignment horizontal="center" vertical="center" wrapText="1"/>
    </xf>
    <xf numFmtId="0" fontId="29" fillId="7" borderId="6" xfId="0" applyFont="1" applyFill="1" applyBorder="1" applyAlignment="1">
      <alignment horizontal="center"/>
    </xf>
    <xf numFmtId="0" fontId="29" fillId="7" borderId="15" xfId="0" applyFont="1" applyFill="1" applyBorder="1" applyAlignment="1">
      <alignment horizontal="center"/>
    </xf>
    <xf numFmtId="0" fontId="29" fillId="7" borderId="4" xfId="0" applyFont="1" applyFill="1" applyBorder="1" applyAlignment="1">
      <alignment horizontal="center"/>
    </xf>
    <xf numFmtId="0" fontId="29" fillId="7" borderId="5" xfId="0" applyFont="1" applyFill="1" applyBorder="1" applyAlignment="1">
      <alignment horizontal="center"/>
    </xf>
    <xf numFmtId="164" fontId="11" fillId="11" borderId="18" xfId="0" applyNumberFormat="1" applyFont="1" applyFill="1" applyBorder="1" applyAlignment="1">
      <alignment horizontal="center" vertical="center"/>
    </xf>
    <xf numFmtId="164" fontId="11" fillId="11" borderId="12" xfId="0" applyNumberFormat="1" applyFont="1" applyFill="1" applyBorder="1" applyAlignment="1">
      <alignment horizontal="center" vertical="center"/>
    </xf>
    <xf numFmtId="164" fontId="11" fillId="11" borderId="44" xfId="0" applyNumberFormat="1" applyFont="1" applyFill="1" applyBorder="1" applyAlignment="1">
      <alignment horizontal="center" vertical="center"/>
    </xf>
    <xf numFmtId="0" fontId="16" fillId="7" borderId="5" xfId="0" applyFont="1" applyFill="1" applyBorder="1" applyAlignment="1">
      <alignment horizontal="center"/>
    </xf>
    <xf numFmtId="0" fontId="27" fillId="7" borderId="5" xfId="0" applyFont="1" applyFill="1" applyBorder="1" applyAlignment="1">
      <alignment horizontal="center"/>
    </xf>
    <xf numFmtId="0" fontId="24" fillId="11" borderId="2" xfId="0" applyFont="1" applyFill="1" applyBorder="1" applyAlignment="1">
      <alignment horizontal="center" vertical="center" wrapText="1"/>
    </xf>
    <xf numFmtId="0" fontId="24" fillId="11" borderId="55" xfId="0" applyFont="1" applyFill="1" applyBorder="1" applyAlignment="1">
      <alignment horizontal="center" vertical="center" wrapText="1"/>
    </xf>
    <xf numFmtId="0" fontId="17" fillId="10" borderId="24" xfId="0" applyFont="1" applyFill="1" applyBorder="1" applyAlignment="1">
      <alignment horizontal="center"/>
    </xf>
    <xf numFmtId="0" fontId="17" fillId="10" borderId="25" xfId="0" applyFont="1" applyFill="1" applyBorder="1" applyAlignment="1">
      <alignment horizontal="center"/>
    </xf>
    <xf numFmtId="0" fontId="17" fillId="10" borderId="26" xfId="0" applyFont="1" applyFill="1" applyBorder="1" applyAlignment="1">
      <alignment horizontal="center"/>
    </xf>
    <xf numFmtId="0" fontId="29" fillId="10" borderId="40" xfId="0" applyFont="1" applyFill="1" applyBorder="1" applyAlignment="1">
      <alignment horizontal="center"/>
    </xf>
    <xf numFmtId="0" fontId="60" fillId="10" borderId="41" xfId="1" applyFont="1" applyFill="1" applyBorder="1" applyAlignment="1">
      <alignment horizontal="center" vertical="center" wrapText="1"/>
    </xf>
    <xf numFmtId="0" fontId="29" fillId="2" borderId="24" xfId="0" applyFont="1" applyFill="1" applyBorder="1" applyAlignment="1">
      <alignment horizontal="center" vertical="center" wrapText="1"/>
    </xf>
    <xf numFmtId="0" fontId="29" fillId="2" borderId="25" xfId="0" applyFont="1" applyFill="1" applyBorder="1" applyAlignment="1">
      <alignment horizontal="center" vertical="center" wrapText="1"/>
    </xf>
    <xf numFmtId="0" fontId="29" fillId="2" borderId="26" xfId="0" applyFont="1" applyFill="1" applyBorder="1" applyAlignment="1">
      <alignment horizontal="center" vertical="center" wrapText="1"/>
    </xf>
    <xf numFmtId="0" fontId="29" fillId="5" borderId="24" xfId="0" applyFont="1" applyFill="1" applyBorder="1" applyAlignment="1">
      <alignment horizontal="center" vertical="center" wrapText="1"/>
    </xf>
    <xf numFmtId="0" fontId="29" fillId="5" borderId="25" xfId="0" applyFont="1" applyFill="1" applyBorder="1" applyAlignment="1">
      <alignment horizontal="center" vertical="center" wrapText="1"/>
    </xf>
    <xf numFmtId="0" fontId="29" fillId="5" borderId="26" xfId="0" applyFont="1" applyFill="1" applyBorder="1" applyAlignment="1">
      <alignment horizontal="center" vertical="center" wrapText="1"/>
    </xf>
    <xf numFmtId="0" fontId="54" fillId="10" borderId="0" xfId="1" applyFont="1" applyFill="1" applyAlignment="1">
      <alignment horizontal="center"/>
    </xf>
    <xf numFmtId="0" fontId="17" fillId="10" borderId="0" xfId="0" applyFont="1" applyFill="1" applyAlignment="1">
      <alignment horizontal="center" vertical="center"/>
    </xf>
    <xf numFmtId="0" fontId="25" fillId="10" borderId="0" xfId="0" applyFont="1" applyFill="1" applyAlignment="1">
      <alignment horizontal="center" vertical="center"/>
    </xf>
    <xf numFmtId="0" fontId="17" fillId="10" borderId="0" xfId="0" applyFont="1" applyFill="1" applyAlignment="1">
      <alignment horizontal="center"/>
    </xf>
    <xf numFmtId="0" fontId="29" fillId="10" borderId="0" xfId="0" applyFont="1" applyFill="1" applyAlignment="1">
      <alignment horizontal="center"/>
    </xf>
  </cellXfs>
  <cellStyles count="2">
    <cellStyle name="Link" xfId="1" builtinId="8"/>
    <cellStyle name="Standard" xfId="0" builtinId="0"/>
  </cellStyles>
  <dxfs count="54">
    <dxf>
      <font>
        <color rgb="FFFF0000"/>
      </font>
      <numFmt numFmtId="167" formatCode="0.0%"/>
    </dxf>
    <dxf>
      <font>
        <color rgb="FFFF0000"/>
      </font>
      <numFmt numFmtId="167" formatCode="0.0%"/>
    </dxf>
    <dxf>
      <numFmt numFmtId="167" formatCode="0.0%"/>
    </dxf>
    <dxf>
      <numFmt numFmtId="167" formatCode="0.0%"/>
    </dxf>
    <dxf>
      <numFmt numFmtId="167" formatCode="0.0%"/>
    </dxf>
    <dxf>
      <numFmt numFmtId="167" formatCode="0.0%"/>
    </dxf>
    <dxf>
      <numFmt numFmtId="167" formatCode="0.0%"/>
    </dxf>
    <dxf>
      <numFmt numFmtId="167" formatCode="0.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solid">
          <fgColor indexed="64"/>
          <bgColor rgb="FF92D05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3" formatCode="#,##0"/>
      <alignment horizontal="right" vertical="bottom" textRotation="0" wrapText="0" indent="0" justifyLastLine="0" shrinkToFit="0" readingOrder="0"/>
    </dxf>
    <dxf>
      <font>
        <b/>
      </font>
      <numFmt numFmtId="3" formatCode="#,##0"/>
    </dxf>
    <dxf>
      <font>
        <b/>
      </font>
      <numFmt numFmtId="3" formatCode="#,##0"/>
    </dxf>
    <dxf>
      <font>
        <b/>
      </font>
      <numFmt numFmtId="3" formatCode="#,##0"/>
    </dxf>
    <dxf>
      <font>
        <b/>
      </font>
      <numFmt numFmtId="3" formatCode="#,##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" formatCode="#,##0"/>
    </dxf>
    <dxf>
      <font>
        <i/>
      </font>
      <numFmt numFmtId="3" formatCode="#,##0"/>
    </dxf>
    <dxf>
      <font>
        <i/>
        <color auto="1"/>
      </font>
      <numFmt numFmtId="3" formatCode="#,##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3" formatCode="#,##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  <numFmt numFmtId="3" formatCode="#,##0"/>
    </dxf>
    <dxf>
      <font>
        <i/>
      </font>
      <numFmt numFmtId="3" formatCode="#,##0"/>
    </dxf>
    <dxf>
      <font>
        <i/>
      </font>
      <numFmt numFmtId="3" formatCode="#,##0"/>
    </dxf>
    <dxf>
      <font>
        <b/>
      </font>
      <numFmt numFmtId="3" formatCode="#,##0"/>
    </dxf>
    <dxf>
      <font>
        <b/>
      </font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ook Antiqua"/>
        <family val="1"/>
        <scheme val="none"/>
      </font>
      <numFmt numFmtId="4" formatCode="#,##0.00"/>
      <fill>
        <patternFill patternType="solid">
          <fgColor indexed="64"/>
          <bgColor theme="6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ook Antiqua"/>
        <family val="1"/>
        <scheme val="none"/>
      </font>
      <numFmt numFmtId="3" formatCode="#,##0"/>
      <fill>
        <patternFill patternType="solid">
          <fgColor indexed="64"/>
          <bgColor theme="6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ook Antiqua"/>
        <family val="1"/>
        <scheme val="none"/>
      </font>
      <numFmt numFmtId="3" formatCode="#,##0"/>
      <fill>
        <patternFill patternType="solid">
          <fgColor indexed="64"/>
          <bgColor theme="6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ook Antiqua"/>
        <family val="1"/>
        <scheme val="none"/>
      </font>
      <fill>
        <patternFill patternType="solid">
          <fgColor indexed="64"/>
          <bgColor theme="2" tint="-9.9978637043366805E-2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ook Antiqua"/>
        <family val="1"/>
        <scheme val="none"/>
      </font>
      <fill>
        <patternFill patternType="solid">
          <fgColor indexed="64"/>
          <bgColor theme="6" tint="0.5999938962981048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Book Antiqua"/>
        <family val="1"/>
        <scheme val="none"/>
      </font>
      <fill>
        <patternFill patternType="solid">
          <fgColor indexed="64"/>
          <bgColor rgb="FF92D05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/>
        <strike val="0"/>
      </font>
      <fill>
        <patternFill patternType="solid">
          <bgColor rgb="FF00B050"/>
        </patternFill>
      </fill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font>
        <color rgb="FF00B050"/>
      </font>
    </dxf>
  </dxfs>
  <tableStyles count="0" defaultTableStyle="TableStyleMedium2" defaultPivotStyle="PivotStyleLight16"/>
  <colors>
    <mruColors>
      <color rgb="FFFD23ED"/>
      <color rgb="FFFFD0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r>
              <a:rPr lang="de-DE">
                <a:solidFill>
                  <a:sysClr val="windowText" lastClr="000000"/>
                </a:solidFill>
              </a:rPr>
              <a:t>Aktueller Stand</a:t>
            </a:r>
          </a:p>
          <a:p>
            <a:pPr>
              <a:defRPr/>
            </a:pPr>
            <a:r>
              <a:rPr lang="de-DE">
                <a:solidFill>
                  <a:sysClr val="windowText" lastClr="000000"/>
                </a:solidFill>
              </a:rPr>
              <a:t>und Prognose €</a:t>
            </a:r>
          </a:p>
        </c:rich>
      </c:tx>
      <c:layout>
        <c:manualLayout>
          <c:xMode val="edge"/>
          <c:yMode val="edge"/>
          <c:x val="3.3915804085648725E-2"/>
          <c:y val="3.7917015689688211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0805541273050116E-2"/>
          <c:y val="0.10467574213818567"/>
          <c:w val="0.8597564327361924"/>
          <c:h val="0.76489625830237284"/>
        </c:manualLayout>
      </c:layout>
      <c:lineChart>
        <c:grouping val="standard"/>
        <c:varyColors val="0"/>
        <c:ser>
          <c:idx val="2"/>
          <c:order val="0"/>
          <c:tx>
            <c:v>€ Erste Schätzung max.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'Gunst der Göttin'!$E$202:$E$223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'Gunst der Göttin'!$J$202:$J$223</c:f>
              <c:numCache>
                <c:formatCode>#,##0\ "€"</c:formatCode>
                <c:ptCount val="22"/>
                <c:pt idx="0">
                  <c:v>0</c:v>
                </c:pt>
                <c:pt idx="1">
                  <c:v>76466</c:v>
                </c:pt>
                <c:pt idx="2">
                  <c:v>100197</c:v>
                </c:pt>
                <c:pt idx="3">
                  <c:v>110488</c:v>
                </c:pt>
                <c:pt idx="4">
                  <c:v>123318.57599713086</c:v>
                </c:pt>
                <c:pt idx="5">
                  <c:v>132578.79505504045</c:v>
                </c:pt>
                <c:pt idx="6">
                  <c:v>143476.58418613349</c:v>
                </c:pt>
                <c:pt idx="7">
                  <c:v>173008.35635337431</c:v>
                </c:pt>
                <c:pt idx="8">
                  <c:v>190310.07899099993</c:v>
                </c:pt>
                <c:pt idx="9">
                  <c:v>201634.29237843814</c:v>
                </c:pt>
                <c:pt idx="10">
                  <c:v>213119.99187478813</c:v>
                </c:pt>
                <c:pt idx="11">
                  <c:v>221222.0527453461</c:v>
                </c:pt>
                <c:pt idx="12">
                  <c:v>229737.92176999047</c:v>
                </c:pt>
                <c:pt idx="13">
                  <c:v>236439.59528982913</c:v>
                </c:pt>
                <c:pt idx="14">
                  <c:v>247019.45864400212</c:v>
                </c:pt>
                <c:pt idx="15">
                  <c:v>276399.83758413815</c:v>
                </c:pt>
                <c:pt idx="16">
                  <c:v>288993.23085880483</c:v>
                </c:pt>
                <c:pt idx="17">
                  <c:v>301601.76345618197</c:v>
                </c:pt>
                <c:pt idx="18">
                  <c:v>313859.56841076637</c:v>
                </c:pt>
                <c:pt idx="19">
                  <c:v>336737.60824675171</c:v>
                </c:pt>
                <c:pt idx="20">
                  <c:v>358717.38160191529</c:v>
                </c:pt>
                <c:pt idx="21">
                  <c:v>404869.6068848102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92E9-44F5-946D-8A216D011837}"/>
            </c:ext>
          </c:extLst>
        </c:ser>
        <c:ser>
          <c:idx val="3"/>
          <c:order val="1"/>
          <c:tx>
            <c:v>€ Erste Schätzung min.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'Gunst der Göttin'!$E$202:$E$223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'Gunst der Göttin'!$I$202:$I$223</c:f>
              <c:numCache>
                <c:formatCode>#,##0\ "€"</c:formatCode>
                <c:ptCount val="22"/>
                <c:pt idx="0">
                  <c:v>0</c:v>
                </c:pt>
                <c:pt idx="1">
                  <c:v>76466</c:v>
                </c:pt>
                <c:pt idx="2">
                  <c:v>100197</c:v>
                </c:pt>
                <c:pt idx="3">
                  <c:v>110488</c:v>
                </c:pt>
                <c:pt idx="4">
                  <c:v>115338.6173758169</c:v>
                </c:pt>
                <c:pt idx="5">
                  <c:v>117860.74637096288</c:v>
                </c:pt>
                <c:pt idx="6">
                  <c:v>119487.4875661189</c:v>
                </c:pt>
                <c:pt idx="7">
                  <c:v>123068.23859825032</c:v>
                </c:pt>
                <c:pt idx="8">
                  <c:v>125596.76893602357</c:v>
                </c:pt>
                <c:pt idx="9">
                  <c:v>128648.60903357646</c:v>
                </c:pt>
                <c:pt idx="10">
                  <c:v>132433.40286195223</c:v>
                </c:pt>
                <c:pt idx="11">
                  <c:v>133821.69404424229</c:v>
                </c:pt>
                <c:pt idx="12">
                  <c:v>136295.8129696837</c:v>
                </c:pt>
                <c:pt idx="13">
                  <c:v>138622.70101469781</c:v>
                </c:pt>
                <c:pt idx="14">
                  <c:v>141860.98021627008</c:v>
                </c:pt>
                <c:pt idx="15">
                  <c:v>145347.31144464921</c:v>
                </c:pt>
                <c:pt idx="16">
                  <c:v>150137.11606550703</c:v>
                </c:pt>
                <c:pt idx="17">
                  <c:v>155014.13897966145</c:v>
                </c:pt>
                <c:pt idx="18">
                  <c:v>159713.52463590901</c:v>
                </c:pt>
                <c:pt idx="19">
                  <c:v>166212.48773824898</c:v>
                </c:pt>
                <c:pt idx="20">
                  <c:v>171639.22595052054</c:v>
                </c:pt>
                <c:pt idx="21">
                  <c:v>203819.57550565555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92E9-44F5-946D-8A216D011837}"/>
            </c:ext>
          </c:extLst>
        </c:ser>
        <c:ser>
          <c:idx val="1"/>
          <c:order val="2"/>
          <c:tx>
            <c:v>€ Werkzeuge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'Gunst der Göttin'!$E$202:$E$223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'Gunst der Göttin'!$K$202:$K$223</c:f>
              <c:numCache>
                <c:formatCode>#,##0\ "€"</c:formatCode>
                <c:ptCount val="22"/>
                <c:pt idx="0" formatCode="General">
                  <c:v>0</c:v>
                </c:pt>
                <c:pt idx="1">
                  <c:v>43437</c:v>
                </c:pt>
                <c:pt idx="2">
                  <c:v>49522</c:v>
                </c:pt>
                <c:pt idx="3">
                  <c:v>53901</c:v>
                </c:pt>
                <c:pt idx="4">
                  <c:v>59963</c:v>
                </c:pt>
                <c:pt idx="5">
                  <c:v>63115</c:v>
                </c:pt>
                <c:pt idx="6">
                  <c:v>65148</c:v>
                </c:pt>
                <c:pt idx="7">
                  <c:v>69623</c:v>
                </c:pt>
                <c:pt idx="8">
                  <c:v>72783</c:v>
                </c:pt>
                <c:pt idx="9">
                  <c:v>76597</c:v>
                </c:pt>
                <c:pt idx="10">
                  <c:v>81327</c:v>
                </c:pt>
                <c:pt idx="11">
                  <c:v>83062</c:v>
                </c:pt>
                <c:pt idx="12">
                  <c:v>86154</c:v>
                </c:pt>
                <c:pt idx="13">
                  <c:v>89062</c:v>
                </c:pt>
                <c:pt idx="14">
                  <c:v>93109</c:v>
                </c:pt>
                <c:pt idx="15">
                  <c:v>97466</c:v>
                </c:pt>
                <c:pt idx="16">
                  <c:v>103452</c:v>
                </c:pt>
                <c:pt idx="17">
                  <c:v>109547</c:v>
                </c:pt>
                <c:pt idx="18">
                  <c:v>115420</c:v>
                </c:pt>
                <c:pt idx="19">
                  <c:v>123542</c:v>
                </c:pt>
                <c:pt idx="20">
                  <c:v>130324</c:v>
                </c:pt>
                <c:pt idx="21">
                  <c:v>170541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A52-48EC-BA19-7C3524606F78}"/>
            </c:ext>
          </c:extLst>
        </c:ser>
        <c:ser>
          <c:idx val="4"/>
          <c:order val="3"/>
          <c:tx>
            <c:v>€ Thorwal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val>
            <c:numRef>
              <c:f>'Gunst der Göttin'!$L$202:$L$223</c:f>
              <c:numCache>
                <c:formatCode>#,##0\ "€"</c:formatCode>
                <c:ptCount val="22"/>
                <c:pt idx="0" formatCode="General">
                  <c:v>0</c:v>
                </c:pt>
                <c:pt idx="2">
                  <c:v>65000</c:v>
                </c:pt>
                <c:pt idx="12">
                  <c:v>125000</c:v>
                </c:pt>
                <c:pt idx="21">
                  <c:v>266116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B7C-46DC-8092-36A582ED1EEC}"/>
            </c:ext>
          </c:extLst>
        </c:ser>
        <c:ser>
          <c:idx val="5"/>
          <c:order val="4"/>
          <c:tx>
            <c:v>€ Sonnenküste</c:v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val>
            <c:numRef>
              <c:f>'Gunst der Göttin'!$M$202:$M$223</c:f>
              <c:numCache>
                <c:formatCode>#,##0\ "€"</c:formatCode>
                <c:ptCount val="22"/>
                <c:pt idx="0">
                  <c:v>0</c:v>
                </c:pt>
                <c:pt idx="1">
                  <c:v>89735</c:v>
                </c:pt>
                <c:pt idx="2">
                  <c:v>114003</c:v>
                </c:pt>
                <c:pt idx="3">
                  <c:v>122519</c:v>
                </c:pt>
                <c:pt idx="4">
                  <c:v>127604</c:v>
                </c:pt>
                <c:pt idx="5">
                  <c:v>131274</c:v>
                </c:pt>
                <c:pt idx="6">
                  <c:v>135593</c:v>
                </c:pt>
                <c:pt idx="7">
                  <c:v>147297</c:v>
                </c:pt>
                <c:pt idx="8">
                  <c:v>154154</c:v>
                </c:pt>
                <c:pt idx="9">
                  <c:v>158642</c:v>
                </c:pt>
                <c:pt idx="10">
                  <c:v>163194</c:v>
                </c:pt>
                <c:pt idx="11">
                  <c:v>166405</c:v>
                </c:pt>
                <c:pt idx="12">
                  <c:v>169780</c:v>
                </c:pt>
                <c:pt idx="13">
                  <c:v>172436</c:v>
                </c:pt>
                <c:pt idx="14">
                  <c:v>176629</c:v>
                </c:pt>
                <c:pt idx="15">
                  <c:v>188273</c:v>
                </c:pt>
                <c:pt idx="16">
                  <c:v>193264</c:v>
                </c:pt>
                <c:pt idx="17">
                  <c:v>198261</c:v>
                </c:pt>
                <c:pt idx="18">
                  <c:v>203119</c:v>
                </c:pt>
                <c:pt idx="19">
                  <c:v>212186</c:v>
                </c:pt>
                <c:pt idx="20">
                  <c:v>220897</c:v>
                </c:pt>
                <c:pt idx="21">
                  <c:v>239188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03C-4FCE-9797-1D2BDC224990}"/>
            </c:ext>
          </c:extLst>
        </c:ser>
        <c:ser>
          <c:idx val="6"/>
          <c:order val="5"/>
          <c:tx>
            <c:v>€ Rohals Erben</c:v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val>
            <c:numRef>
              <c:f>'Gunst der Göttin'!$N$202:$N$223</c:f>
              <c:numCache>
                <c:formatCode>#,##0\ "€"</c:formatCode>
                <c:ptCount val="22"/>
                <c:pt idx="0">
                  <c:v>0</c:v>
                </c:pt>
                <c:pt idx="1">
                  <c:v>82966</c:v>
                </c:pt>
                <c:pt idx="2">
                  <c:v>96328</c:v>
                </c:pt>
                <c:pt idx="3">
                  <c:v>115147</c:v>
                </c:pt>
                <c:pt idx="4">
                  <c:v>123834</c:v>
                </c:pt>
                <c:pt idx="5">
                  <c:v>132002</c:v>
                </c:pt>
                <c:pt idx="6">
                  <c:v>150957</c:v>
                </c:pt>
                <c:pt idx="7">
                  <c:v>164491</c:v>
                </c:pt>
                <c:pt idx="8">
                  <c:v>182858</c:v>
                </c:pt>
                <c:pt idx="9">
                  <c:v>195000</c:v>
                </c:pt>
                <c:pt idx="10">
                  <c:v>203877</c:v>
                </c:pt>
                <c:pt idx="11">
                  <c:v>212794</c:v>
                </c:pt>
                <c:pt idx="12">
                  <c:v>221864</c:v>
                </c:pt>
                <c:pt idx="13">
                  <c:v>229701</c:v>
                </c:pt>
                <c:pt idx="14">
                  <c:v>240791</c:v>
                </c:pt>
                <c:pt idx="15">
                  <c:v>249000</c:v>
                </c:pt>
                <c:pt idx="16">
                  <c:v>257666</c:v>
                </c:pt>
                <c:pt idx="17">
                  <c:v>268894</c:v>
                </c:pt>
                <c:pt idx="18">
                  <c:v>280832</c:v>
                </c:pt>
                <c:pt idx="19">
                  <c:v>299641</c:v>
                </c:pt>
                <c:pt idx="20">
                  <c:v>330836</c:v>
                </c:pt>
                <c:pt idx="21">
                  <c:v>389236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548-45C9-B38A-CB105D0ADEAD}"/>
            </c:ext>
          </c:extLst>
        </c:ser>
        <c:ser>
          <c:idx val="0"/>
          <c:order val="8"/>
          <c:tx>
            <c:v>€ Aktuelle Prognose</c:v>
          </c:tx>
          <c:spPr>
            <a:ln w="28575" cap="rnd">
              <a:solidFill>
                <a:srgbClr val="FD23ED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rgbClr val="FD23ED"/>
              </a:solidFill>
              <a:ln w="9525">
                <a:solidFill>
                  <a:srgbClr val="FD23ED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C-7548-45C9-B38A-CB105D0ADEAD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7548-45C9-B38A-CB105D0ADEAD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E-7548-45C9-B38A-CB105D0ADEAD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703C-4FCE-9797-1D2BDC224990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3C-4FCE-9797-1D2BDC224990}"/>
              </c:ext>
            </c:extLst>
          </c:dPt>
          <c:dPt>
            <c:idx val="6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3C-4FCE-9797-1D2BDC224990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703C-4FCE-9797-1D2BDC224990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703C-4FCE-9797-1D2BDC224990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703C-4FCE-9797-1D2BDC224990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703C-4FCE-9797-1D2BDC224990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703C-4FCE-9797-1D2BDC224990}"/>
              </c:ext>
            </c:extLst>
          </c:dPt>
          <c:dPt>
            <c:idx val="12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703C-4FCE-9797-1D2BDC224990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703C-4FCE-9797-1D2BDC224990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703C-4FCE-9797-1D2BDC224990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703C-4FCE-9797-1D2BDC224990}"/>
              </c:ext>
            </c:extLst>
          </c:dPt>
          <c:dPt>
            <c:idx val="16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703C-4FCE-9797-1D2BDC224990}"/>
              </c:ext>
            </c:extLst>
          </c:dPt>
          <c:dPt>
            <c:idx val="17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703C-4FCE-9797-1D2BDC224990}"/>
              </c:ext>
            </c:extLst>
          </c:dPt>
          <c:dPt>
            <c:idx val="18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703C-4FCE-9797-1D2BDC224990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703C-4FCE-9797-1D2BDC224990}"/>
              </c:ext>
            </c:extLst>
          </c:dPt>
          <c:dPt>
            <c:idx val="20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703C-4FCE-9797-1D2BDC224990}"/>
              </c:ext>
            </c:extLst>
          </c:dPt>
          <c:dPt>
            <c:idx val="21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703C-4FCE-9797-1D2BDC224990}"/>
              </c:ext>
            </c:extLst>
          </c:dPt>
          <c:dPt>
            <c:idx val="22"/>
            <c:marker>
              <c:symbol val="diamond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92E9-44F5-946D-8A216D011837}"/>
              </c:ext>
            </c:extLst>
          </c:dPt>
          <c:dPt>
            <c:idx val="23"/>
            <c:marker>
              <c:symbol val="diamond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92E9-44F5-946D-8A216D011837}"/>
              </c:ext>
            </c:extLst>
          </c:dPt>
          <c:dPt>
            <c:idx val="24"/>
            <c:marker>
              <c:symbol val="diamond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92E9-44F5-946D-8A216D011837}"/>
              </c:ext>
            </c:extLst>
          </c:dPt>
          <c:dPt>
            <c:idx val="25"/>
            <c:marker>
              <c:symbol val="diamond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92E9-44F5-946D-8A216D011837}"/>
              </c:ext>
            </c:extLst>
          </c:dPt>
          <c:cat>
            <c:numRef>
              <c:f>'Gunst der Göttin'!$E$202:$E$223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'Gunst der Göttin'!$H$202:$H$223</c:f>
              <c:numCache>
                <c:formatCode>#,##0\ "€"</c:formatCode>
                <c:ptCount val="22"/>
                <c:pt idx="0">
                  <c:v>0</c:v>
                </c:pt>
                <c:pt idx="1">
                  <c:v>76466</c:v>
                </c:pt>
                <c:pt idx="2">
                  <c:v>100197</c:v>
                </c:pt>
                <c:pt idx="3">
                  <c:v>110488</c:v>
                </c:pt>
                <c:pt idx="4">
                  <c:v>117325</c:v>
                </c:pt>
                <c:pt idx="5">
                  <c:v>120368</c:v>
                </c:pt>
                <c:pt idx="6">
                  <c:v>123198</c:v>
                </c:pt>
                <c:pt idx="7">
                  <c:v>126713</c:v>
                </c:pt>
                <c:pt idx="8">
                  <c:v>130050</c:v>
                </c:pt>
                <c:pt idx="9">
                  <c:v>133215</c:v>
                </c:pt>
                <c:pt idx="10">
                  <c:v>136715</c:v>
                </c:pt>
                <c:pt idx="11">
                  <c:v>139670</c:v>
                </c:pt>
                <c:pt idx="12">
                  <c:v>143057</c:v>
                </c:pt>
                <c:pt idx="13">
                  <c:v>149744</c:v>
                </c:pt>
                <c:pt idx="14">
                  <c:v>155980</c:v>
                </c:pt>
                <c:pt idx="15">
                  <c:v>165152</c:v>
                </c:pt>
                <c:pt idx="16">
                  <c:v>174081</c:v>
                </c:pt>
                <c:pt idx="17">
                  <c:v>181054</c:v>
                </c:pt>
                <c:pt idx="18">
                  <c:v>187527</c:v>
                </c:pt>
                <c:pt idx="19">
                  <c:v>197700</c:v>
                </c:pt>
                <c:pt idx="20">
                  <c:v>205967</c:v>
                </c:pt>
                <c:pt idx="21">
                  <c:v>232540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92E9-44F5-946D-8A216D011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141632"/>
        <c:axId val="514139008"/>
        <c:extLst>
          <c:ext xmlns:c15="http://schemas.microsoft.com/office/drawing/2012/chart" uri="{02D57815-91ED-43cb-92C2-25804820EDAC}">
            <c15:filteredLineSeries>
              <c15:ser>
                <c:idx val="8"/>
                <c:order val="6"/>
                <c:tx>
                  <c:v>€ Prognose min.</c:v>
                </c:tx>
                <c:spPr>
                  <a:ln w="28575" cap="rnd">
                    <a:solidFill>
                      <a:srgbClr val="FD23ED"/>
                    </a:solidFill>
                    <a:prstDash val="sysDot"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FD23ED"/>
                    </a:solidFill>
                    <a:ln w="9525">
                      <a:solidFill>
                        <a:srgbClr val="FD23ED"/>
                      </a:solidFill>
                    </a:ln>
                    <a:effectLst/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'Gunst der Göttin'!$Q$202:$Q$223</c15:sqref>
                        </c15:formulaRef>
                      </c:ext>
                    </c:extLst>
                    <c:numCache>
                      <c:formatCode>#,##0\ "€"</c:formatCode>
                      <c:ptCount val="22"/>
                      <c:pt idx="0">
                        <c:v>0</c:v>
                      </c:pt>
                      <c:pt idx="1">
                        <c:v>76466</c:v>
                      </c:pt>
                      <c:pt idx="2">
                        <c:v>100197</c:v>
                      </c:pt>
                      <c:pt idx="3">
                        <c:v>110488</c:v>
                      </c:pt>
                      <c:pt idx="4">
                        <c:v>117325</c:v>
                      </c:pt>
                      <c:pt idx="5">
                        <c:v>120368</c:v>
                      </c:pt>
                      <c:pt idx="6">
                        <c:v>123198</c:v>
                      </c:pt>
                      <c:pt idx="7">
                        <c:v>126713</c:v>
                      </c:pt>
                      <c:pt idx="8">
                        <c:v>130050</c:v>
                      </c:pt>
                      <c:pt idx="9">
                        <c:v>133215</c:v>
                      </c:pt>
                      <c:pt idx="10">
                        <c:v>136715</c:v>
                      </c:pt>
                      <c:pt idx="11">
                        <c:v>139670</c:v>
                      </c:pt>
                      <c:pt idx="12">
                        <c:v>143057</c:v>
                      </c:pt>
                      <c:pt idx="13">
                        <c:v>149744</c:v>
                      </c:pt>
                      <c:pt idx="14">
                        <c:v>155980</c:v>
                      </c:pt>
                      <c:pt idx="15">
                        <c:v>165152</c:v>
                      </c:pt>
                      <c:pt idx="16">
                        <c:v>174081</c:v>
                      </c:pt>
                      <c:pt idx="17">
                        <c:v>181054</c:v>
                      </c:pt>
                      <c:pt idx="18">
                        <c:v>187527</c:v>
                      </c:pt>
                      <c:pt idx="19">
                        <c:v>197700</c:v>
                      </c:pt>
                      <c:pt idx="20">
                        <c:v>205967</c:v>
                      </c:pt>
                      <c:pt idx="21">
                        <c:v>232540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33-104F-43A6-8140-3A9161B54F64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v>€ Prognose max.</c:v>
                </c:tx>
                <c:spPr>
                  <a:ln w="28575" cap="rnd">
                    <a:solidFill>
                      <a:srgbClr val="FD23ED"/>
                    </a:solidFill>
                    <a:prstDash val="sysDot"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FD23ED"/>
                    </a:solidFill>
                    <a:ln w="9525">
                      <a:solidFill>
                        <a:srgbClr val="FD23ED"/>
                      </a:solidFill>
                    </a:ln>
                    <a:effectLst/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'Gunst der Göttin'!$R$202:$R$223</c15:sqref>
                        </c15:formulaRef>
                      </c:ext>
                    </c:extLst>
                    <c:numCache>
                      <c:formatCode>#,##0\ "€"</c:formatCode>
                      <c:ptCount val="22"/>
                      <c:pt idx="0">
                        <c:v>0</c:v>
                      </c:pt>
                      <c:pt idx="1">
                        <c:v>76466</c:v>
                      </c:pt>
                      <c:pt idx="2">
                        <c:v>100197</c:v>
                      </c:pt>
                      <c:pt idx="3">
                        <c:v>110488</c:v>
                      </c:pt>
                      <c:pt idx="4">
                        <c:v>117325</c:v>
                      </c:pt>
                      <c:pt idx="5">
                        <c:v>120368</c:v>
                      </c:pt>
                      <c:pt idx="6">
                        <c:v>123198</c:v>
                      </c:pt>
                      <c:pt idx="7">
                        <c:v>126713</c:v>
                      </c:pt>
                      <c:pt idx="8">
                        <c:v>130050</c:v>
                      </c:pt>
                      <c:pt idx="9">
                        <c:v>133215</c:v>
                      </c:pt>
                      <c:pt idx="10">
                        <c:v>136715</c:v>
                      </c:pt>
                      <c:pt idx="11">
                        <c:v>139670</c:v>
                      </c:pt>
                      <c:pt idx="12">
                        <c:v>143057</c:v>
                      </c:pt>
                      <c:pt idx="13">
                        <c:v>149744</c:v>
                      </c:pt>
                      <c:pt idx="14">
                        <c:v>155980</c:v>
                      </c:pt>
                      <c:pt idx="15">
                        <c:v>165152</c:v>
                      </c:pt>
                      <c:pt idx="16">
                        <c:v>174081</c:v>
                      </c:pt>
                      <c:pt idx="17">
                        <c:v>181054</c:v>
                      </c:pt>
                      <c:pt idx="18">
                        <c:v>187527</c:v>
                      </c:pt>
                      <c:pt idx="19">
                        <c:v>197700</c:v>
                      </c:pt>
                      <c:pt idx="20">
                        <c:v>205967</c:v>
                      </c:pt>
                      <c:pt idx="21">
                        <c:v>232540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2-104F-43A6-8140-3A9161B54F64}"/>
                  </c:ext>
                </c:extLst>
              </c15:ser>
            </c15:filteredLineSeries>
          </c:ext>
        </c:extLst>
      </c:lineChart>
      <c:catAx>
        <c:axId val="51414163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de-DE"/>
          </a:p>
        </c:txPr>
        <c:crossAx val="514139008"/>
        <c:crosses val="autoZero"/>
        <c:auto val="0"/>
        <c:lblAlgn val="ctr"/>
        <c:lblOffset val="100"/>
        <c:noMultiLvlLbl val="0"/>
      </c:catAx>
      <c:valAx>
        <c:axId val="514139008"/>
        <c:scaling>
          <c:orientation val="minMax"/>
          <c:max val="40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\ &quot;T€&quot;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de-DE"/>
          </a:p>
        </c:txPr>
        <c:crossAx val="514141632"/>
        <c:crossesAt val="43874"/>
        <c:crossBetween val="midCat"/>
        <c:majorUnit val="15000"/>
        <c:minorUnit val="10000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195507066379303"/>
          <c:y val="7.5604929793808831E-3"/>
          <c:w val="0.78170031931086958"/>
          <c:h val="8.97625460050914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Book Antiqua" panose="0204060205030503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'Gunst der Göttin'!$BV$228</c:f>
              <c:strCache>
                <c:ptCount val="1"/>
                <c:pt idx="0">
                  <c:v>AML (€/kum)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'Gunst der Göttin'!$BV$229:$BV$246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'Gunst der Göttin'!$AV$229:$AV$246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5AD-4B0F-940D-184573DF9252}"/>
            </c:ext>
          </c:extLst>
        </c:ser>
        <c:ser>
          <c:idx val="3"/>
          <c:order val="1"/>
          <c:tx>
            <c:strRef>
              <c:f>'Gunst der Göttin'!$BX$228</c:f>
              <c:strCache>
                <c:ptCount val="1"/>
                <c:pt idx="0">
                  <c:v>AML (B/kum)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'Gunst der Göttin'!$BX$229:$BX$246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'Gunst der Göttin'!$AV$229:$AV$246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5AD-4B0F-940D-184573DF9252}"/>
            </c:ext>
          </c:extLst>
        </c:ser>
        <c:ser>
          <c:idx val="5"/>
          <c:order val="2"/>
          <c:tx>
            <c:strRef>
              <c:f>'Gunst der Göttin'!$BZ$228</c:f>
              <c:strCache>
                <c:ptCount val="1"/>
                <c:pt idx="0">
                  <c:v>DSK (€/kum)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'Gunst der Göttin'!$BZ$229:$BZ$246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'Gunst der Göttin'!$AV$229:$AV$246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5-85AD-4B0F-940D-184573DF9252}"/>
            </c:ext>
          </c:extLst>
        </c:ser>
        <c:ser>
          <c:idx val="7"/>
          <c:order val="3"/>
          <c:tx>
            <c:strRef>
              <c:f>'Gunst der Göttin'!$CB$228</c:f>
              <c:strCache>
                <c:ptCount val="1"/>
                <c:pt idx="0">
                  <c:v>DSK (B/kum)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'Gunst der Göttin'!$CB$229:$CB$246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'Gunst der Göttin'!$AV$229:$AV$246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7-85AD-4B0F-940D-184573DF9252}"/>
            </c:ext>
          </c:extLst>
        </c:ser>
        <c:ser>
          <c:idx val="9"/>
          <c:order val="4"/>
          <c:tx>
            <c:strRef>
              <c:f>'Gunst der Göttin'!$CD$228</c:f>
              <c:strCache>
                <c:ptCount val="1"/>
                <c:pt idx="0">
                  <c:v>WM (€/kum)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'Gunst der Göttin'!$CD$229:$CD$246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'Gunst der Göttin'!$AV$229:$AV$246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9-85AD-4B0F-940D-184573DF9252}"/>
            </c:ext>
          </c:extLst>
        </c:ser>
        <c:ser>
          <c:idx val="11"/>
          <c:order val="5"/>
          <c:tx>
            <c:strRef>
              <c:f>'Gunst der Göttin'!$CF$228</c:f>
              <c:strCache>
                <c:ptCount val="1"/>
                <c:pt idx="0">
                  <c:v>WM (B/kum)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'Gunst der Göttin'!$CF$229:$CF$246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'Gunst der Göttin'!$AV$229:$AV$246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B-85AD-4B0F-940D-184573DF9252}"/>
            </c:ext>
          </c:extLst>
        </c:ser>
        <c:ser>
          <c:idx val="14"/>
          <c:order val="6"/>
          <c:tx>
            <c:strRef>
              <c:f>'Gunst der Göttin'!$CI$228</c:f>
              <c:strCache>
                <c:ptCount val="1"/>
                <c:pt idx="0">
                  <c:v>ANB (€/kum)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'Gunst der Göttin'!$CI$229:$CI$246</c:f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'Gunst der Göttin'!$AV$229:$AV$246</c15:sqref>
                        </c15:formulaRef>
                      </c:ext>
                    </c:extLst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E-85AD-4B0F-940D-184573DF9252}"/>
            </c:ext>
          </c:extLst>
        </c:ser>
        <c:ser>
          <c:idx val="0"/>
          <c:order val="7"/>
          <c:tx>
            <c:strRef>
              <c:f>'Gunst der Göttin'!$CK$228</c:f>
              <c:strCache>
                <c:ptCount val="1"/>
                <c:pt idx="0">
                  <c:v>ANB (B/kum)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'Gunst der Göttin'!$CK$229:$CK$246</c:f>
            </c:numRef>
          </c:val>
          <c:smooth val="0"/>
          <c:extLst>
            <c:ext xmlns:c16="http://schemas.microsoft.com/office/drawing/2014/chart" uri="{C3380CC4-5D6E-409C-BE32-E72D297353CC}">
              <c16:uniqueId val="{00000011-85AD-4B0F-940D-184573DF9252}"/>
            </c:ext>
          </c:extLst>
        </c:ser>
        <c:ser>
          <c:idx val="2"/>
          <c:order val="8"/>
          <c:tx>
            <c:v>SOK (€/kum)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'Gunst der Göttin'!$BR$229:$BR$246</c:f>
            </c:numRef>
          </c:val>
          <c:smooth val="0"/>
          <c:extLst>
            <c:ext xmlns:c16="http://schemas.microsoft.com/office/drawing/2014/chart" uri="{C3380CC4-5D6E-409C-BE32-E72D297353CC}">
              <c16:uniqueId val="{00000002-D0D2-4EA0-895C-0485D4383196}"/>
            </c:ext>
          </c:extLst>
        </c:ser>
        <c:ser>
          <c:idx val="4"/>
          <c:order val="9"/>
          <c:tx>
            <c:v>SOK (B/kum)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'Gunst der Göttin'!$BT$229:$BT$246</c:f>
            </c:numRef>
          </c:val>
          <c:smooth val="0"/>
          <c:extLst>
            <c:ext xmlns:c16="http://schemas.microsoft.com/office/drawing/2014/chart" uri="{C3380CC4-5D6E-409C-BE32-E72D297353CC}">
              <c16:uniqueId val="{00000003-D0D2-4EA0-895C-0485D4383196}"/>
            </c:ext>
          </c:extLst>
        </c:ser>
        <c:ser>
          <c:idx val="6"/>
          <c:order val="10"/>
          <c:tx>
            <c:strRef>
              <c:f>'Gunst der Göttin'!$BJ$228</c:f>
              <c:strCache>
                <c:ptCount val="1"/>
                <c:pt idx="0">
                  <c:v>RE (€/kum)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'Gunst der Göttin'!$BJ$229:$BJ$246</c:f>
            </c:numRef>
          </c:val>
          <c:smooth val="0"/>
          <c:extLst>
            <c:ext xmlns:c16="http://schemas.microsoft.com/office/drawing/2014/chart" uri="{C3380CC4-5D6E-409C-BE32-E72D297353CC}">
              <c16:uniqueId val="{00000001-518E-4C7B-B4E5-A647E746FC25}"/>
            </c:ext>
          </c:extLst>
        </c:ser>
        <c:ser>
          <c:idx val="8"/>
          <c:order val="11"/>
          <c:tx>
            <c:strRef>
              <c:f>'Gunst der Göttin'!$BL$228</c:f>
              <c:strCache>
                <c:ptCount val="1"/>
                <c:pt idx="0">
                  <c:v>RE (B/kum)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'Gunst der Göttin'!$BL$229:$BL$246</c:f>
            </c:numRef>
          </c:val>
          <c:smooth val="0"/>
          <c:extLst>
            <c:ext xmlns:c16="http://schemas.microsoft.com/office/drawing/2014/chart" uri="{C3380CC4-5D6E-409C-BE32-E72D297353CC}">
              <c16:uniqueId val="{00000002-518E-4C7B-B4E5-A647E746F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1804584"/>
        <c:axId val="721798024"/>
      </c:lineChart>
      <c:catAx>
        <c:axId val="721804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21798024"/>
        <c:crosses val="autoZero"/>
        <c:auto val="1"/>
        <c:lblAlgn val="ctr"/>
        <c:lblOffset val="100"/>
        <c:noMultiLvlLbl val="0"/>
      </c:catAx>
      <c:valAx>
        <c:axId val="7217980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21804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r>
              <a:rPr lang="de-DE">
                <a:solidFill>
                  <a:sysClr val="windowText" lastClr="000000"/>
                </a:solidFill>
              </a:rPr>
              <a:t>Aktueller Stand</a:t>
            </a:r>
          </a:p>
          <a:p>
            <a:pPr>
              <a:defRPr/>
            </a:pPr>
            <a:r>
              <a:rPr lang="de-DE">
                <a:solidFill>
                  <a:sysClr val="windowText" lastClr="000000"/>
                </a:solidFill>
              </a:rPr>
              <a:t>und Prognose Backer</a:t>
            </a:r>
          </a:p>
        </c:rich>
      </c:tx>
      <c:layout>
        <c:manualLayout>
          <c:xMode val="edge"/>
          <c:yMode val="edge"/>
          <c:x val="1.111729842491575E-2"/>
          <c:y val="3.7913927170941979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3.0805541273050116E-2"/>
          <c:y val="0.10467574213818567"/>
          <c:w val="0.8597564327361924"/>
          <c:h val="0.76489625830237284"/>
        </c:manualLayout>
      </c:layout>
      <c:lineChart>
        <c:grouping val="standard"/>
        <c:varyColors val="0"/>
        <c:ser>
          <c:idx val="2"/>
          <c:order val="0"/>
          <c:tx>
            <c:v>Backer Erste Schätzung max.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'Gunst der Göttin'!$E$202:$E$223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'Gunst der Göttin'!$J$227:$J$248</c:f>
              <c:numCache>
                <c:formatCode>#,##0</c:formatCode>
                <c:ptCount val="22"/>
                <c:pt idx="0">
                  <c:v>0</c:v>
                </c:pt>
                <c:pt idx="1">
                  <c:v>317</c:v>
                </c:pt>
                <c:pt idx="2">
                  <c:v>417</c:v>
                </c:pt>
                <c:pt idx="3">
                  <c:v>458</c:v>
                </c:pt>
                <c:pt idx="4">
                  <c:v>521</c:v>
                </c:pt>
                <c:pt idx="5">
                  <c:v>564</c:v>
                </c:pt>
                <c:pt idx="6">
                  <c:v>620</c:v>
                </c:pt>
                <c:pt idx="7">
                  <c:v>767</c:v>
                </c:pt>
                <c:pt idx="8">
                  <c:v>831</c:v>
                </c:pt>
                <c:pt idx="9">
                  <c:v>876</c:v>
                </c:pt>
                <c:pt idx="10">
                  <c:v>921</c:v>
                </c:pt>
                <c:pt idx="11">
                  <c:v>958</c:v>
                </c:pt>
                <c:pt idx="12">
                  <c:v>1000</c:v>
                </c:pt>
                <c:pt idx="13">
                  <c:v>1026</c:v>
                </c:pt>
                <c:pt idx="14">
                  <c:v>1069</c:v>
                </c:pt>
                <c:pt idx="15">
                  <c:v>1199</c:v>
                </c:pt>
                <c:pt idx="16">
                  <c:v>1259</c:v>
                </c:pt>
                <c:pt idx="17">
                  <c:v>1314</c:v>
                </c:pt>
                <c:pt idx="18">
                  <c:v>1370</c:v>
                </c:pt>
                <c:pt idx="19">
                  <c:v>1473</c:v>
                </c:pt>
                <c:pt idx="20">
                  <c:v>1573</c:v>
                </c:pt>
                <c:pt idx="21">
                  <c:v>1765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2-4486-91E0-1FA3D1184EA2}"/>
            </c:ext>
          </c:extLst>
        </c:ser>
        <c:ser>
          <c:idx val="3"/>
          <c:order val="1"/>
          <c:tx>
            <c:v>Backer Erste Schätzung min.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'Gunst der Göttin'!$E$202:$E$223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'Gunst der Göttin'!$I$227:$I$248</c:f>
              <c:numCache>
                <c:formatCode>#,##0</c:formatCode>
                <c:ptCount val="22"/>
                <c:pt idx="0">
                  <c:v>0</c:v>
                </c:pt>
                <c:pt idx="1">
                  <c:v>317</c:v>
                </c:pt>
                <c:pt idx="2">
                  <c:v>417</c:v>
                </c:pt>
                <c:pt idx="3">
                  <c:v>458</c:v>
                </c:pt>
                <c:pt idx="4">
                  <c:v>475</c:v>
                </c:pt>
                <c:pt idx="5">
                  <c:v>487</c:v>
                </c:pt>
                <c:pt idx="6">
                  <c:v>494</c:v>
                </c:pt>
                <c:pt idx="7">
                  <c:v>509</c:v>
                </c:pt>
                <c:pt idx="8">
                  <c:v>518</c:v>
                </c:pt>
                <c:pt idx="9">
                  <c:v>533</c:v>
                </c:pt>
                <c:pt idx="10">
                  <c:v>548</c:v>
                </c:pt>
                <c:pt idx="11">
                  <c:v>552</c:v>
                </c:pt>
                <c:pt idx="12">
                  <c:v>563</c:v>
                </c:pt>
                <c:pt idx="13">
                  <c:v>574</c:v>
                </c:pt>
                <c:pt idx="14">
                  <c:v>586</c:v>
                </c:pt>
                <c:pt idx="15">
                  <c:v>600</c:v>
                </c:pt>
                <c:pt idx="16">
                  <c:v>617</c:v>
                </c:pt>
                <c:pt idx="17">
                  <c:v>636</c:v>
                </c:pt>
                <c:pt idx="18">
                  <c:v>658</c:v>
                </c:pt>
                <c:pt idx="19">
                  <c:v>684</c:v>
                </c:pt>
                <c:pt idx="20">
                  <c:v>712</c:v>
                </c:pt>
                <c:pt idx="21">
                  <c:v>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F2-4486-91E0-1FA3D1184EA2}"/>
            </c:ext>
          </c:extLst>
        </c:ser>
        <c:ser>
          <c:idx val="1"/>
          <c:order val="2"/>
          <c:tx>
            <c:v>Backer Werkzeuge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'Gunst der Göttin'!$E$202:$E$223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'Gunst der Göttin'!$K$227:$K$248</c:f>
              <c:numCache>
                <c:formatCode>#,##0</c:formatCode>
                <c:ptCount val="22"/>
                <c:pt idx="0">
                  <c:v>0</c:v>
                </c:pt>
                <c:pt idx="1">
                  <c:v>179</c:v>
                </c:pt>
                <c:pt idx="2">
                  <c:v>206</c:v>
                </c:pt>
                <c:pt idx="3">
                  <c:v>224</c:v>
                </c:pt>
                <c:pt idx="4">
                  <c:v>247</c:v>
                </c:pt>
                <c:pt idx="5">
                  <c:v>264</c:v>
                </c:pt>
                <c:pt idx="6">
                  <c:v>274</c:v>
                </c:pt>
                <c:pt idx="7">
                  <c:v>295</c:v>
                </c:pt>
                <c:pt idx="8">
                  <c:v>308</c:v>
                </c:pt>
                <c:pt idx="9">
                  <c:v>329</c:v>
                </c:pt>
                <c:pt idx="10">
                  <c:v>350</c:v>
                </c:pt>
                <c:pt idx="11">
                  <c:v>356</c:v>
                </c:pt>
                <c:pt idx="12">
                  <c:v>371</c:v>
                </c:pt>
                <c:pt idx="13">
                  <c:v>386</c:v>
                </c:pt>
                <c:pt idx="14">
                  <c:v>403</c:v>
                </c:pt>
                <c:pt idx="15">
                  <c:v>422</c:v>
                </c:pt>
                <c:pt idx="16">
                  <c:v>445</c:v>
                </c:pt>
                <c:pt idx="17">
                  <c:v>471</c:v>
                </c:pt>
                <c:pt idx="18">
                  <c:v>501</c:v>
                </c:pt>
                <c:pt idx="19">
                  <c:v>537</c:v>
                </c:pt>
                <c:pt idx="20">
                  <c:v>576</c:v>
                </c:pt>
                <c:pt idx="21">
                  <c:v>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F2-4486-91E0-1FA3D1184EA2}"/>
            </c:ext>
          </c:extLst>
        </c:ser>
        <c:ser>
          <c:idx val="4"/>
          <c:order val="3"/>
          <c:tx>
            <c:v>Backer Thorwal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val>
            <c:numRef>
              <c:f>'Gunst der Göttin'!$L$227:$L$248</c:f>
              <c:numCache>
                <c:formatCode>#,##0</c:formatCode>
                <c:ptCount val="22"/>
                <c:pt idx="0">
                  <c:v>0</c:v>
                </c:pt>
                <c:pt idx="1">
                  <c:v>500</c:v>
                </c:pt>
                <c:pt idx="11">
                  <c:v>900</c:v>
                </c:pt>
                <c:pt idx="2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F2-4486-91E0-1FA3D1184EA2}"/>
            </c:ext>
          </c:extLst>
        </c:ser>
        <c:ser>
          <c:idx val="5"/>
          <c:order val="4"/>
          <c:tx>
            <c:v>Backer Sonnenküste</c:v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val>
            <c:numRef>
              <c:f>'Gunst der Göttin'!$M$227:$M$248</c:f>
              <c:numCache>
                <c:formatCode>#,##0</c:formatCode>
                <c:ptCount val="22"/>
                <c:pt idx="0">
                  <c:v>0</c:v>
                </c:pt>
                <c:pt idx="1">
                  <c:v>625</c:v>
                </c:pt>
                <c:pt idx="2">
                  <c:v>789</c:v>
                </c:pt>
                <c:pt idx="3">
                  <c:v>852</c:v>
                </c:pt>
                <c:pt idx="4">
                  <c:v>891</c:v>
                </c:pt>
                <c:pt idx="5">
                  <c:v>918</c:v>
                </c:pt>
                <c:pt idx="6">
                  <c:v>953</c:v>
                </c:pt>
                <c:pt idx="7">
                  <c:v>1044</c:v>
                </c:pt>
                <c:pt idx="8">
                  <c:v>1084</c:v>
                </c:pt>
                <c:pt idx="9">
                  <c:v>1112</c:v>
                </c:pt>
                <c:pt idx="10">
                  <c:v>1140</c:v>
                </c:pt>
                <c:pt idx="11">
                  <c:v>1163</c:v>
                </c:pt>
                <c:pt idx="12">
                  <c:v>1189</c:v>
                </c:pt>
                <c:pt idx="13">
                  <c:v>1205</c:v>
                </c:pt>
                <c:pt idx="14">
                  <c:v>1232</c:v>
                </c:pt>
                <c:pt idx="15">
                  <c:v>1313</c:v>
                </c:pt>
                <c:pt idx="16">
                  <c:v>1350</c:v>
                </c:pt>
                <c:pt idx="17">
                  <c:v>1384</c:v>
                </c:pt>
                <c:pt idx="18">
                  <c:v>1419</c:v>
                </c:pt>
                <c:pt idx="19">
                  <c:v>1483</c:v>
                </c:pt>
                <c:pt idx="20">
                  <c:v>1545</c:v>
                </c:pt>
                <c:pt idx="21">
                  <c:v>1664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F2-4486-91E0-1FA3D1184EA2}"/>
            </c:ext>
          </c:extLst>
        </c:ser>
        <c:ser>
          <c:idx val="6"/>
          <c:order val="5"/>
          <c:tx>
            <c:v>Backer Rohals Erben</c:v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val>
            <c:numRef>
              <c:f>'Gunst der Göttin'!$N$227:$N$248</c:f>
              <c:numCache>
                <c:formatCode>#,##0</c:formatCode>
                <c:ptCount val="22"/>
                <c:pt idx="0">
                  <c:v>0</c:v>
                </c:pt>
                <c:pt idx="1">
                  <c:v>291</c:v>
                </c:pt>
                <c:pt idx="2">
                  <c:v>341</c:v>
                </c:pt>
                <c:pt idx="3">
                  <c:v>404</c:v>
                </c:pt>
                <c:pt idx="4">
                  <c:v>480</c:v>
                </c:pt>
                <c:pt idx="5">
                  <c:v>520</c:v>
                </c:pt>
                <c:pt idx="6">
                  <c:v>564</c:v>
                </c:pt>
                <c:pt idx="7">
                  <c:v>652</c:v>
                </c:pt>
                <c:pt idx="8">
                  <c:v>709</c:v>
                </c:pt>
                <c:pt idx="9">
                  <c:v>792</c:v>
                </c:pt>
                <c:pt idx="10">
                  <c:v>851</c:v>
                </c:pt>
                <c:pt idx="11">
                  <c:v>893</c:v>
                </c:pt>
                <c:pt idx="12">
                  <c:v>935</c:v>
                </c:pt>
                <c:pt idx="13">
                  <c:v>976</c:v>
                </c:pt>
                <c:pt idx="14">
                  <c:v>1011</c:v>
                </c:pt>
                <c:pt idx="15">
                  <c:v>1060</c:v>
                </c:pt>
                <c:pt idx="16">
                  <c:v>1096</c:v>
                </c:pt>
                <c:pt idx="17">
                  <c:v>1134</c:v>
                </c:pt>
                <c:pt idx="18">
                  <c:v>1160</c:v>
                </c:pt>
                <c:pt idx="19">
                  <c:v>1210</c:v>
                </c:pt>
                <c:pt idx="20">
                  <c:v>1290</c:v>
                </c:pt>
                <c:pt idx="21">
                  <c:v>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DF2-4486-91E0-1FA3D1184EA2}"/>
            </c:ext>
          </c:extLst>
        </c:ser>
        <c:ser>
          <c:idx val="0"/>
          <c:order val="8"/>
          <c:tx>
            <c:v>Backer Aktuelle Prognose</c:v>
          </c:tx>
          <c:spPr>
            <a:ln w="28575" cap="rnd">
              <a:solidFill>
                <a:srgbClr val="FD23ED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FD23ED"/>
              </a:solidFill>
              <a:ln w="9525">
                <a:solidFill>
                  <a:srgbClr val="FD23ED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4DF2-4486-91E0-1FA3D1184EA2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4DF2-4486-91E0-1FA3D1184EA2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F2-4486-91E0-1FA3D1184EA2}"/>
              </c:ext>
            </c:extLst>
          </c:dPt>
          <c:dPt>
            <c:idx val="4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F2-4486-91E0-1FA3D1184EA2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7F41-4F76-AB57-B6BA2F6184DC}"/>
              </c:ext>
            </c:extLst>
          </c:dPt>
          <c:dPt>
            <c:idx val="6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CF7A-4EC7-B183-194F14FA457B}"/>
              </c:ext>
            </c:extLst>
          </c:dPt>
          <c:dPt>
            <c:idx val="7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CE45-475F-8C73-6303FBADFBA9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3F5C-4E80-BFC3-297854CB585B}"/>
              </c:ext>
            </c:extLst>
          </c:dPt>
          <c:dPt>
            <c:idx val="9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3F5C-4E80-BFC3-297854CB585B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3F5C-4E80-BFC3-297854CB585B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7D33-486C-BF84-F5AFF9ADD6ED}"/>
              </c:ext>
            </c:extLst>
          </c:dPt>
          <c:dPt>
            <c:idx val="12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7D33-486C-BF84-F5AFF9ADD6ED}"/>
              </c:ext>
            </c:extLst>
          </c:dPt>
          <c:dPt>
            <c:idx val="13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7D33-486C-BF84-F5AFF9ADD6ED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2-A121-402D-A75D-869CAA51C320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7238-4EA1-BBD5-70D843C09B2D}"/>
              </c:ext>
            </c:extLst>
          </c:dPt>
          <c:dPt>
            <c:idx val="16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F8EB-4D17-BD46-7886244315DC}"/>
              </c:ext>
            </c:extLst>
          </c:dPt>
          <c:dPt>
            <c:idx val="17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93BC-4597-A852-0805225FEEF7}"/>
              </c:ext>
            </c:extLst>
          </c:dPt>
          <c:dPt>
            <c:idx val="18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93BC-4597-A852-0805225FEEF7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A-93BC-4597-A852-0805225FEEF7}"/>
              </c:ext>
            </c:extLst>
          </c:dPt>
          <c:dPt>
            <c:idx val="20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93BC-4597-A852-0805225FEEF7}"/>
              </c:ext>
            </c:extLst>
          </c:dPt>
          <c:dPt>
            <c:idx val="21"/>
            <c:marker>
              <c:symbol val="circle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C-93BC-4597-A852-0805225FEEF7}"/>
              </c:ext>
            </c:extLst>
          </c:dPt>
          <c:dPt>
            <c:idx val="22"/>
            <c:marker>
              <c:symbol val="diamond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4DF2-4486-91E0-1FA3D1184EA2}"/>
              </c:ext>
            </c:extLst>
          </c:dPt>
          <c:dPt>
            <c:idx val="23"/>
            <c:marker>
              <c:symbol val="diamond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2-4DF2-4486-91E0-1FA3D1184EA2}"/>
              </c:ext>
            </c:extLst>
          </c:dPt>
          <c:dPt>
            <c:idx val="24"/>
            <c:marker>
              <c:symbol val="diamond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4-4DF2-4486-91E0-1FA3D1184EA2}"/>
              </c:ext>
            </c:extLst>
          </c:dPt>
          <c:dPt>
            <c:idx val="25"/>
            <c:marker>
              <c:symbol val="diamond"/>
              <c:size val="5"/>
              <c:spPr>
                <a:solidFill>
                  <a:srgbClr val="FD23ED"/>
                </a:solidFill>
                <a:ln w="9525">
                  <a:solidFill>
                    <a:srgbClr val="FD23ED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FD23ED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6-4DF2-4486-91E0-1FA3D1184EA2}"/>
              </c:ext>
            </c:extLst>
          </c:dPt>
          <c:cat>
            <c:numRef>
              <c:f>'Gunst der Göttin'!$E$202:$E$223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'Gunst der Göttin'!$H$227:$H$248</c:f>
              <c:numCache>
                <c:formatCode>#,##0</c:formatCode>
                <c:ptCount val="22"/>
                <c:pt idx="0">
                  <c:v>0</c:v>
                </c:pt>
                <c:pt idx="1">
                  <c:v>317</c:v>
                </c:pt>
                <c:pt idx="2">
                  <c:v>417</c:v>
                </c:pt>
                <c:pt idx="3">
                  <c:v>458</c:v>
                </c:pt>
                <c:pt idx="4">
                  <c:v>486</c:v>
                </c:pt>
                <c:pt idx="5">
                  <c:v>497</c:v>
                </c:pt>
                <c:pt idx="6">
                  <c:v>508</c:v>
                </c:pt>
                <c:pt idx="7">
                  <c:v>523</c:v>
                </c:pt>
                <c:pt idx="8">
                  <c:v>539</c:v>
                </c:pt>
                <c:pt idx="9">
                  <c:v>551</c:v>
                </c:pt>
                <c:pt idx="10">
                  <c:v>565</c:v>
                </c:pt>
                <c:pt idx="11">
                  <c:v>582</c:v>
                </c:pt>
                <c:pt idx="12">
                  <c:v>598</c:v>
                </c:pt>
                <c:pt idx="13">
                  <c:v>624</c:v>
                </c:pt>
                <c:pt idx="14">
                  <c:v>650</c:v>
                </c:pt>
                <c:pt idx="15">
                  <c:v>690</c:v>
                </c:pt>
                <c:pt idx="16">
                  <c:v>729</c:v>
                </c:pt>
                <c:pt idx="17">
                  <c:v>757</c:v>
                </c:pt>
                <c:pt idx="18">
                  <c:v>781</c:v>
                </c:pt>
                <c:pt idx="19">
                  <c:v>827</c:v>
                </c:pt>
                <c:pt idx="20">
                  <c:v>863</c:v>
                </c:pt>
                <c:pt idx="21">
                  <c:v>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DF2-4486-91E0-1FA3D1184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141632"/>
        <c:axId val="514139008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Backer Prognose min.</c:v>
                </c:tx>
                <c:spPr>
                  <a:ln w="28575" cap="rnd">
                    <a:solidFill>
                      <a:srgbClr val="FD23ED"/>
                    </a:solidFill>
                    <a:prstDash val="sysDot"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FD23ED"/>
                    </a:solidFill>
                    <a:ln w="9525">
                      <a:solidFill>
                        <a:srgbClr val="FD23ED"/>
                      </a:solidFill>
                    </a:ln>
                    <a:effectLst/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'Gunst der Göttin'!$Q$227:$Q$248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 formatCode="General">
                        <c:v>0</c:v>
                      </c:pt>
                      <c:pt idx="1">
                        <c:v>317</c:v>
                      </c:pt>
                      <c:pt idx="2">
                        <c:v>417</c:v>
                      </c:pt>
                      <c:pt idx="3">
                        <c:v>458</c:v>
                      </c:pt>
                      <c:pt idx="4">
                        <c:v>486</c:v>
                      </c:pt>
                      <c:pt idx="5">
                        <c:v>497</c:v>
                      </c:pt>
                      <c:pt idx="6">
                        <c:v>508</c:v>
                      </c:pt>
                      <c:pt idx="7">
                        <c:v>523</c:v>
                      </c:pt>
                      <c:pt idx="8">
                        <c:v>539</c:v>
                      </c:pt>
                      <c:pt idx="9">
                        <c:v>551</c:v>
                      </c:pt>
                      <c:pt idx="10">
                        <c:v>565</c:v>
                      </c:pt>
                      <c:pt idx="11">
                        <c:v>582</c:v>
                      </c:pt>
                      <c:pt idx="12">
                        <c:v>598</c:v>
                      </c:pt>
                      <c:pt idx="13">
                        <c:v>624</c:v>
                      </c:pt>
                      <c:pt idx="14">
                        <c:v>650</c:v>
                      </c:pt>
                      <c:pt idx="15">
                        <c:v>690</c:v>
                      </c:pt>
                      <c:pt idx="16">
                        <c:v>729</c:v>
                      </c:pt>
                      <c:pt idx="17">
                        <c:v>757</c:v>
                      </c:pt>
                      <c:pt idx="18">
                        <c:v>781</c:v>
                      </c:pt>
                      <c:pt idx="19">
                        <c:v>827</c:v>
                      </c:pt>
                      <c:pt idx="20">
                        <c:v>863</c:v>
                      </c:pt>
                      <c:pt idx="21">
                        <c:v>977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6-93BC-4597-A852-0805225FEEF7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Backer Prognose max.</c:v>
                </c:tx>
                <c:spPr>
                  <a:ln w="28575" cap="rnd">
                    <a:solidFill>
                      <a:srgbClr val="FD23ED"/>
                    </a:solidFill>
                    <a:prstDash val="sysDot"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FD23ED"/>
                    </a:solidFill>
                    <a:ln w="9525">
                      <a:solidFill>
                        <a:srgbClr val="FD23ED"/>
                      </a:solidFill>
                    </a:ln>
                    <a:effectLst/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'Gunst der Göttin'!$R$227:$R$248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 formatCode="General">
                        <c:v>0</c:v>
                      </c:pt>
                      <c:pt idx="1">
                        <c:v>317</c:v>
                      </c:pt>
                      <c:pt idx="2">
                        <c:v>417</c:v>
                      </c:pt>
                      <c:pt idx="3">
                        <c:v>458</c:v>
                      </c:pt>
                      <c:pt idx="4">
                        <c:v>486</c:v>
                      </c:pt>
                      <c:pt idx="5">
                        <c:v>497</c:v>
                      </c:pt>
                      <c:pt idx="6">
                        <c:v>508</c:v>
                      </c:pt>
                      <c:pt idx="7">
                        <c:v>523</c:v>
                      </c:pt>
                      <c:pt idx="8">
                        <c:v>539</c:v>
                      </c:pt>
                      <c:pt idx="9">
                        <c:v>551</c:v>
                      </c:pt>
                      <c:pt idx="10">
                        <c:v>565</c:v>
                      </c:pt>
                      <c:pt idx="11">
                        <c:v>582</c:v>
                      </c:pt>
                      <c:pt idx="12">
                        <c:v>598</c:v>
                      </c:pt>
                      <c:pt idx="13">
                        <c:v>624</c:v>
                      </c:pt>
                      <c:pt idx="14">
                        <c:v>650</c:v>
                      </c:pt>
                      <c:pt idx="15">
                        <c:v>690</c:v>
                      </c:pt>
                      <c:pt idx="16">
                        <c:v>729</c:v>
                      </c:pt>
                      <c:pt idx="17">
                        <c:v>757</c:v>
                      </c:pt>
                      <c:pt idx="18">
                        <c:v>781</c:v>
                      </c:pt>
                      <c:pt idx="19">
                        <c:v>827</c:v>
                      </c:pt>
                      <c:pt idx="20">
                        <c:v>863</c:v>
                      </c:pt>
                      <c:pt idx="21">
                        <c:v>977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93BC-4597-A852-0805225FEEF7}"/>
                  </c:ext>
                </c:extLst>
              </c15:ser>
            </c15:filteredLineSeries>
          </c:ext>
        </c:extLst>
      </c:lineChart>
      <c:catAx>
        <c:axId val="51414163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de-DE"/>
          </a:p>
        </c:txPr>
        <c:crossAx val="514139008"/>
        <c:crosses val="autoZero"/>
        <c:auto val="0"/>
        <c:lblAlgn val="ctr"/>
        <c:lblOffset val="100"/>
        <c:noMultiLvlLbl val="0"/>
      </c:catAx>
      <c:valAx>
        <c:axId val="514139008"/>
        <c:scaling>
          <c:orientation val="minMax"/>
          <c:max val="18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de-DE"/>
          </a:p>
        </c:txPr>
        <c:crossAx val="514141632"/>
        <c:crossesAt val="43874"/>
        <c:crossBetween val="midCat"/>
        <c:majorUnit val="100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195507066379303"/>
          <c:y val="7.5604929793808831E-3"/>
          <c:w val="0.78488684575888357"/>
          <c:h val="8.28077042852412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60000"/>
        <a:lumOff val="4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Book Antiqua" panose="02040602050305030304" pitchFamily="18" charset="0"/>
        </a:defRPr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Vergleich!$C$2</c:f>
              <c:strCache>
                <c:ptCount val="1"/>
                <c:pt idx="0">
                  <c:v>Nedime (€)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Vergleich!$C$3:$C$24</c:f>
              <c:numCache>
                <c:formatCode>#,##0</c:formatCode>
                <c:ptCount val="22"/>
                <c:pt idx="0">
                  <c:v>0</c:v>
                </c:pt>
                <c:pt idx="1">
                  <c:v>14771</c:v>
                </c:pt>
                <c:pt idx="2">
                  <c:v>16764</c:v>
                </c:pt>
                <c:pt idx="3">
                  <c:v>17674</c:v>
                </c:pt>
                <c:pt idx="4">
                  <c:v>18881</c:v>
                </c:pt>
                <c:pt idx="5">
                  <c:v>21886</c:v>
                </c:pt>
                <c:pt idx="6">
                  <c:v>22571</c:v>
                </c:pt>
                <c:pt idx="7">
                  <c:v>24180</c:v>
                </c:pt>
                <c:pt idx="8">
                  <c:v>26679</c:v>
                </c:pt>
                <c:pt idx="9">
                  <c:v>27868</c:v>
                </c:pt>
                <c:pt idx="10">
                  <c:v>31587</c:v>
                </c:pt>
                <c:pt idx="11">
                  <c:v>34703</c:v>
                </c:pt>
                <c:pt idx="12">
                  <c:v>36986</c:v>
                </c:pt>
                <c:pt idx="13">
                  <c:v>37704</c:v>
                </c:pt>
                <c:pt idx="14">
                  <c:v>38541</c:v>
                </c:pt>
                <c:pt idx="15">
                  <c:v>40401</c:v>
                </c:pt>
                <c:pt idx="16">
                  <c:v>42277</c:v>
                </c:pt>
                <c:pt idx="17">
                  <c:v>44039</c:v>
                </c:pt>
                <c:pt idx="18">
                  <c:v>46661</c:v>
                </c:pt>
                <c:pt idx="19">
                  <c:v>49576</c:v>
                </c:pt>
                <c:pt idx="20">
                  <c:v>54612</c:v>
                </c:pt>
                <c:pt idx="21">
                  <c:v>62345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51-40A9-B8C8-DD6E3F7C80B9}"/>
            </c:ext>
          </c:extLst>
        </c:ser>
        <c:ser>
          <c:idx val="3"/>
          <c:order val="2"/>
          <c:tx>
            <c:strRef>
              <c:f>Vergleich!$E$2</c:f>
              <c:strCache>
                <c:ptCount val="1"/>
                <c:pt idx="0">
                  <c:v>Thorwal norm (€)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Vergleich!$E$3:$E$24</c:f>
              <c:numCache>
                <c:formatCode>#,##0</c:formatCode>
                <c:ptCount val="22"/>
                <c:pt idx="0">
                  <c:v>0</c:v>
                </c:pt>
                <c:pt idx="1">
                  <c:v>15220.890095815445</c:v>
                </c:pt>
                <c:pt idx="2">
                  <c:v>16625.895335429177</c:v>
                </c:pt>
                <c:pt idx="3">
                  <c:v>18030.90057504291</c:v>
                </c:pt>
                <c:pt idx="4">
                  <c:v>19435.905814656642</c:v>
                </c:pt>
                <c:pt idx="5">
                  <c:v>20840.911054270375</c:v>
                </c:pt>
                <c:pt idx="6">
                  <c:v>22245.916293884107</c:v>
                </c:pt>
                <c:pt idx="7">
                  <c:v>23650.92153349784</c:v>
                </c:pt>
                <c:pt idx="8">
                  <c:v>25055.926773111572</c:v>
                </c:pt>
                <c:pt idx="9">
                  <c:v>26460.932012725305</c:v>
                </c:pt>
                <c:pt idx="10">
                  <c:v>27865.937252339038</c:v>
                </c:pt>
                <c:pt idx="11">
                  <c:v>29270.942491952781</c:v>
                </c:pt>
                <c:pt idx="12">
                  <c:v>32578.348242757504</c:v>
                </c:pt>
                <c:pt idx="13">
                  <c:v>35885.753993562226</c:v>
                </c:pt>
                <c:pt idx="14">
                  <c:v>39193.159744366945</c:v>
                </c:pt>
                <c:pt idx="15">
                  <c:v>42500.565495171664</c:v>
                </c:pt>
                <c:pt idx="16">
                  <c:v>45807.971245976383</c:v>
                </c:pt>
                <c:pt idx="17">
                  <c:v>49115.376996781102</c:v>
                </c:pt>
                <c:pt idx="18">
                  <c:v>52422.782747585821</c:v>
                </c:pt>
                <c:pt idx="19">
                  <c:v>55730.18849839054</c:v>
                </c:pt>
                <c:pt idx="20">
                  <c:v>59037.594249195259</c:v>
                </c:pt>
                <c:pt idx="21">
                  <c:v>62345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51-40A9-B8C8-DD6E3F7C80B9}"/>
            </c:ext>
          </c:extLst>
        </c:ser>
        <c:ser>
          <c:idx val="5"/>
          <c:order val="4"/>
          <c:tx>
            <c:strRef>
              <c:f>Vergleich!$G$2</c:f>
              <c:strCache>
                <c:ptCount val="1"/>
                <c:pt idx="0">
                  <c:v>Werkzeuge norm (€)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Vergleich!$G$3:$G$24</c:f>
              <c:numCache>
                <c:formatCode>#,##0</c:formatCode>
                <c:ptCount val="22"/>
                <c:pt idx="0">
                  <c:v>0</c:v>
                </c:pt>
                <c:pt idx="1">
                  <c:v>15879.347283058034</c:v>
                </c:pt>
                <c:pt idx="2">
                  <c:v>18103.852387402443</c:v>
                </c:pt>
                <c:pt idx="3">
                  <c:v>19704.691804316852</c:v>
                </c:pt>
                <c:pt idx="4">
                  <c:v>21920.78875461033</c:v>
                </c:pt>
                <c:pt idx="5">
                  <c:v>23073.071431503275</c:v>
                </c:pt>
                <c:pt idx="6">
                  <c:v>23816.279135222616</c:v>
                </c:pt>
                <c:pt idx="7">
                  <c:v>25452.213456001784</c:v>
                </c:pt>
                <c:pt idx="8">
                  <c:v>26607.420708216792</c:v>
                </c:pt>
                <c:pt idx="9">
                  <c:v>28001.711993010478</c:v>
                </c:pt>
                <c:pt idx="10">
                  <c:v>29730.867152180414</c:v>
                </c:pt>
                <c:pt idx="11">
                  <c:v>30365.134425152894</c:v>
                </c:pt>
                <c:pt idx="12">
                  <c:v>31495.482787130364</c:v>
                </c:pt>
                <c:pt idx="13">
                  <c:v>32558.56591670038</c:v>
                </c:pt>
                <c:pt idx="14">
                  <c:v>34038.035457749167</c:v>
                </c:pt>
                <c:pt idx="15">
                  <c:v>35630.832292527899</c:v>
                </c:pt>
                <c:pt idx="16">
                  <c:v>37819.145777261772</c:v>
                </c:pt>
                <c:pt idx="17">
                  <c:v>40047.306600758762</c:v>
                </c:pt>
                <c:pt idx="18">
                  <c:v>42194.310459068496</c:v>
                </c:pt>
                <c:pt idx="19">
                  <c:v>45163.485554793275</c:v>
                </c:pt>
                <c:pt idx="20">
                  <c:v>47642.79428407245</c:v>
                </c:pt>
                <c:pt idx="21">
                  <c:v>62345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51-40A9-B8C8-DD6E3F7C80B9}"/>
            </c:ext>
          </c:extLst>
        </c:ser>
        <c:ser>
          <c:idx val="0"/>
          <c:order val="6"/>
          <c:tx>
            <c:strRef>
              <c:f>Vergleich!$I$2</c:f>
              <c:strCache>
                <c:ptCount val="1"/>
                <c:pt idx="0">
                  <c:v>Mythos norm (€)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Vergleich!$I$3:$I$24</c:f>
              <c:numCache>
                <c:formatCode>#,##0</c:formatCode>
                <c:ptCount val="22"/>
                <c:pt idx="0">
                  <c:v>0</c:v>
                </c:pt>
                <c:pt idx="1">
                  <c:v>8008.0810450070085</c:v>
                </c:pt>
                <c:pt idx="2">
                  <c:v>16016.162090014017</c:v>
                </c:pt>
                <c:pt idx="3">
                  <c:v>24024.243135021028</c:v>
                </c:pt>
                <c:pt idx="4">
                  <c:v>26153.174071964302</c:v>
                </c:pt>
                <c:pt idx="5">
                  <c:v>28282.10500890758</c:v>
                </c:pt>
                <c:pt idx="6">
                  <c:v>30411.035945850857</c:v>
                </c:pt>
                <c:pt idx="7">
                  <c:v>32539.966882794135</c:v>
                </c:pt>
                <c:pt idx="8">
                  <c:v>34668.897819737409</c:v>
                </c:pt>
                <c:pt idx="9">
                  <c:v>36797.828756680683</c:v>
                </c:pt>
                <c:pt idx="10">
                  <c:v>38926.759693623957</c:v>
                </c:pt>
                <c:pt idx="11">
                  <c:v>41055.690630567231</c:v>
                </c:pt>
                <c:pt idx="12">
                  <c:v>43184.621567510505</c:v>
                </c:pt>
                <c:pt idx="13">
                  <c:v>45313.552504453779</c:v>
                </c:pt>
                <c:pt idx="14">
                  <c:v>47442.483441397053</c:v>
                </c:pt>
                <c:pt idx="15">
                  <c:v>49571.414378340327</c:v>
                </c:pt>
                <c:pt idx="16">
                  <c:v>51700.345315283601</c:v>
                </c:pt>
                <c:pt idx="17">
                  <c:v>53829.276252226875</c:v>
                </c:pt>
                <c:pt idx="18">
                  <c:v>55958.207189170149</c:v>
                </c:pt>
                <c:pt idx="19">
                  <c:v>58087.138126113423</c:v>
                </c:pt>
                <c:pt idx="20">
                  <c:v>60216.069063056697</c:v>
                </c:pt>
                <c:pt idx="21">
                  <c:v>62345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51-40A9-B8C8-DD6E3F7C80B9}"/>
            </c:ext>
          </c:extLst>
        </c:ser>
        <c:ser>
          <c:idx val="8"/>
          <c:order val="9"/>
          <c:tx>
            <c:strRef>
              <c:f>Vergleich!$K$2</c:f>
              <c:strCache>
                <c:ptCount val="1"/>
                <c:pt idx="0">
                  <c:v>DSK norm (€)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val>
            <c:numRef>
              <c:f>Vergleich!$K$3:$K$24</c:f>
              <c:numCache>
                <c:formatCode>#,##0</c:formatCode>
                <c:ptCount val="22"/>
                <c:pt idx="0">
                  <c:v>0</c:v>
                </c:pt>
                <c:pt idx="1">
                  <c:v>18321.783592211064</c:v>
                </c:pt>
                <c:pt idx="2">
                  <c:v>21471.044620079439</c:v>
                </c:pt>
                <c:pt idx="3">
                  <c:v>22786.717998191623</c:v>
                </c:pt>
                <c:pt idx="4">
                  <c:v>24137.623639680951</c:v>
                </c:pt>
                <c:pt idx="5">
                  <c:v>25549.934083056156</c:v>
                </c:pt>
                <c:pt idx="6">
                  <c:v>27093.107218975038</c:v>
                </c:pt>
                <c:pt idx="7">
                  <c:v>28176.247658798078</c:v>
                </c:pt>
                <c:pt idx="8">
                  <c:v>29592.58464655924</c:v>
                </c:pt>
                <c:pt idx="9">
                  <c:v>31860.032453902542</c:v>
                </c:pt>
                <c:pt idx="10">
                  <c:v>33546.147915522975</c:v>
                </c:pt>
                <c:pt idx="11">
                  <c:v>35065.161785126103</c:v>
                </c:pt>
                <c:pt idx="12">
                  <c:v>35879.530387186358</c:v>
                </c:pt>
                <c:pt idx="13">
                  <c:v>37285.297695934387</c:v>
                </c:pt>
                <c:pt idx="14">
                  <c:v>37955.717336196598</c:v>
                </c:pt>
                <c:pt idx="15">
                  <c:v>38763.542803629673</c:v>
                </c:pt>
                <c:pt idx="16">
                  <c:v>40290.106443956465</c:v>
                </c:pt>
                <c:pt idx="17">
                  <c:v>43704.616083249915</c:v>
                </c:pt>
                <c:pt idx="18">
                  <c:v>46292.174169276972</c:v>
                </c:pt>
                <c:pt idx="19">
                  <c:v>50920.686940937128</c:v>
                </c:pt>
                <c:pt idx="20">
                  <c:v>54792.209368036936</c:v>
                </c:pt>
                <c:pt idx="21">
                  <c:v>62345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251-40A9-B8C8-DD6E3F7C80B9}"/>
            </c:ext>
          </c:extLst>
        </c:ser>
        <c:ser>
          <c:idx val="10"/>
          <c:order val="10"/>
          <c:tx>
            <c:strRef>
              <c:f>Vergleich!$M$2</c:f>
              <c:strCache>
                <c:ptCount val="1"/>
                <c:pt idx="0">
                  <c:v>Mythen norm (€)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val>
            <c:numRef>
              <c:f>Vergleich!$M$3:$M$24</c:f>
              <c:numCache>
                <c:formatCode>#,##0</c:formatCode>
                <c:ptCount val="22"/>
                <c:pt idx="0">
                  <c:v>0</c:v>
                </c:pt>
                <c:pt idx="1">
                  <c:v>13585.517272030311</c:v>
                </c:pt>
                <c:pt idx="2">
                  <c:v>16993.672736969591</c:v>
                </c:pt>
                <c:pt idx="3">
                  <c:v>19168.103632181865</c:v>
                </c:pt>
                <c:pt idx="4">
                  <c:v>21005.875268052576</c:v>
                </c:pt>
                <c:pt idx="5">
                  <c:v>22597.040532882966</c:v>
                </c:pt>
                <c:pt idx="6">
                  <c:v>25963.633126298595</c:v>
                </c:pt>
                <c:pt idx="7">
                  <c:v>27863.056354929391</c:v>
                </c:pt>
                <c:pt idx="8">
                  <c:v>30317.343918400908</c:v>
                </c:pt>
                <c:pt idx="9">
                  <c:v>31844.779446895034</c:v>
                </c:pt>
                <c:pt idx="10">
                  <c:v>33841.182709081011</c:v>
                </c:pt>
                <c:pt idx="11">
                  <c:v>34832.457194920054</c:v>
                </c:pt>
                <c:pt idx="12">
                  <c:v>37557.596137820692</c:v>
                </c:pt>
                <c:pt idx="13">
                  <c:v>38504.536894034507</c:v>
                </c:pt>
                <c:pt idx="14">
                  <c:v>39940.534105176608</c:v>
                </c:pt>
                <c:pt idx="15">
                  <c:v>40976.835035166274</c:v>
                </c:pt>
                <c:pt idx="16">
                  <c:v>42838.851679425781</c:v>
                </c:pt>
                <c:pt idx="17">
                  <c:v>44512.449972778079</c:v>
                </c:pt>
                <c:pt idx="18">
                  <c:v>46238.001855534945</c:v>
                </c:pt>
                <c:pt idx="19">
                  <c:v>49482.676692481196</c:v>
                </c:pt>
                <c:pt idx="20">
                  <c:v>54719.598504461064</c:v>
                </c:pt>
                <c:pt idx="21">
                  <c:v>62345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E4-487C-B806-F0C4AB4B9284}"/>
            </c:ext>
          </c:extLst>
        </c:ser>
        <c:ser>
          <c:idx val="12"/>
          <c:order val="12"/>
          <c:tx>
            <c:v>SOK norm (€)</c:v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val>
            <c:numRef>
              <c:f>Vergleich!$O$3:$O$24</c:f>
              <c:numCache>
                <c:formatCode>#,##0</c:formatCode>
                <c:ptCount val="22"/>
                <c:pt idx="0">
                  <c:v>0</c:v>
                </c:pt>
                <c:pt idx="1">
                  <c:v>23389.670781979032</c:v>
                </c:pt>
                <c:pt idx="2">
                  <c:v>29715.190707727812</c:v>
                </c:pt>
                <c:pt idx="3">
                  <c:v>31934.909171864809</c:v>
                </c:pt>
                <c:pt idx="4">
                  <c:v>33260.328193722096</c:v>
                </c:pt>
                <c:pt idx="5">
                  <c:v>34216.923633292638</c:v>
                </c:pt>
                <c:pt idx="6">
                  <c:v>35342.682680569254</c:v>
                </c:pt>
                <c:pt idx="7">
                  <c:v>38393.361978861816</c:v>
                </c:pt>
                <c:pt idx="8">
                  <c:v>40180.657599879589</c:v>
                </c:pt>
                <c:pt idx="9">
                  <c:v>41350.466954863958</c:v>
                </c:pt>
                <c:pt idx="10">
                  <c:v>42536.958083181431</c:v>
                </c:pt>
                <c:pt idx="11">
                  <c:v>43373.913929628579</c:v>
                </c:pt>
                <c:pt idx="12">
                  <c:v>44253.616820241819</c:v>
                </c:pt>
                <c:pt idx="13">
                  <c:v>44945.9104135659</c:v>
                </c:pt>
                <c:pt idx="14">
                  <c:v>46038.82721959296</c:v>
                </c:pt>
                <c:pt idx="15">
                  <c:v>49073.867355385722</c:v>
                </c:pt>
                <c:pt idx="16">
                  <c:v>50374.785022659999</c:v>
                </c:pt>
                <c:pt idx="17">
                  <c:v>51677.266606184254</c:v>
                </c:pt>
                <c:pt idx="18">
                  <c:v>52943.517463250668</c:v>
                </c:pt>
                <c:pt idx="19">
                  <c:v>55306.855569677406</c:v>
                </c:pt>
                <c:pt idx="20">
                  <c:v>57577.401311938731</c:v>
                </c:pt>
                <c:pt idx="21">
                  <c:v>62345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8-4F48-9EE1-DAC7BB3A5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644864"/>
        <c:axId val="502641912"/>
      </c:lineChart>
      <c:lineChart>
        <c:grouping val="standard"/>
        <c:varyColors val="0"/>
        <c:ser>
          <c:idx val="2"/>
          <c:order val="1"/>
          <c:tx>
            <c:strRef>
              <c:f>Vergleich!$D$2</c:f>
              <c:strCache>
                <c:ptCount val="1"/>
                <c:pt idx="0">
                  <c:v>Nedime (Backer)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Vergleich!$D$3:$D$24</c:f>
              <c:numCache>
                <c:formatCode>#,##0</c:formatCode>
                <c:ptCount val="22"/>
                <c:pt idx="0">
                  <c:v>0</c:v>
                </c:pt>
                <c:pt idx="1">
                  <c:v>73</c:v>
                </c:pt>
                <c:pt idx="2">
                  <c:v>82</c:v>
                </c:pt>
                <c:pt idx="3">
                  <c:v>90</c:v>
                </c:pt>
                <c:pt idx="4">
                  <c:v>95</c:v>
                </c:pt>
                <c:pt idx="5">
                  <c:v>111</c:v>
                </c:pt>
                <c:pt idx="6">
                  <c:v>114.99999999999999</c:v>
                </c:pt>
                <c:pt idx="7">
                  <c:v>124</c:v>
                </c:pt>
                <c:pt idx="8">
                  <c:v>136</c:v>
                </c:pt>
                <c:pt idx="9">
                  <c:v>142</c:v>
                </c:pt>
                <c:pt idx="10">
                  <c:v>161</c:v>
                </c:pt>
                <c:pt idx="11">
                  <c:v>178</c:v>
                </c:pt>
                <c:pt idx="12">
                  <c:v>193</c:v>
                </c:pt>
                <c:pt idx="13">
                  <c:v>197</c:v>
                </c:pt>
                <c:pt idx="14">
                  <c:v>205</c:v>
                </c:pt>
                <c:pt idx="15">
                  <c:v>214</c:v>
                </c:pt>
                <c:pt idx="16">
                  <c:v>224</c:v>
                </c:pt>
                <c:pt idx="17">
                  <c:v>233</c:v>
                </c:pt>
                <c:pt idx="18">
                  <c:v>250</c:v>
                </c:pt>
                <c:pt idx="19">
                  <c:v>267</c:v>
                </c:pt>
                <c:pt idx="20">
                  <c:v>300</c:v>
                </c:pt>
                <c:pt idx="21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51-40A9-B8C8-DD6E3F7C80B9}"/>
            </c:ext>
          </c:extLst>
        </c:ser>
        <c:ser>
          <c:idx val="4"/>
          <c:order val="3"/>
          <c:tx>
            <c:strRef>
              <c:f>Vergleich!$F$2</c:f>
              <c:strCache>
                <c:ptCount val="1"/>
                <c:pt idx="0">
                  <c:v>Thorwal norm (Backer)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Vergleich!$F$3:$F$24</c:f>
              <c:numCache>
                <c:formatCode>#,##0</c:formatCode>
                <c:ptCount val="22"/>
                <c:pt idx="0">
                  <c:v>0</c:v>
                </c:pt>
                <c:pt idx="1">
                  <c:v>110.36895674300254</c:v>
                </c:pt>
                <c:pt idx="2">
                  <c:v>119.19847328244275</c:v>
                </c:pt>
                <c:pt idx="3">
                  <c:v>128.02798982188295</c:v>
                </c:pt>
                <c:pt idx="4">
                  <c:v>136.85750636132315</c:v>
                </c:pt>
                <c:pt idx="5">
                  <c:v>145.68702290076334</c:v>
                </c:pt>
                <c:pt idx="6">
                  <c:v>154.51653944020353</c:v>
                </c:pt>
                <c:pt idx="7">
                  <c:v>163.34605597964372</c:v>
                </c:pt>
                <c:pt idx="8">
                  <c:v>172.17557251908391</c:v>
                </c:pt>
                <c:pt idx="9">
                  <c:v>181.00508905852411</c:v>
                </c:pt>
                <c:pt idx="10">
                  <c:v>189.8346055979643</c:v>
                </c:pt>
                <c:pt idx="11">
                  <c:v>198.66412213740458</c:v>
                </c:pt>
                <c:pt idx="12">
                  <c:v>213.4977099236641</c:v>
                </c:pt>
                <c:pt idx="13">
                  <c:v>228.33129770992366</c:v>
                </c:pt>
                <c:pt idx="14">
                  <c:v>243.16488549618322</c:v>
                </c:pt>
                <c:pt idx="15">
                  <c:v>257.99847328244277</c:v>
                </c:pt>
                <c:pt idx="16">
                  <c:v>272.83206106870233</c:v>
                </c:pt>
                <c:pt idx="17">
                  <c:v>287.66564885496189</c:v>
                </c:pt>
                <c:pt idx="18">
                  <c:v>302.49923664122144</c:v>
                </c:pt>
                <c:pt idx="19">
                  <c:v>317.332824427481</c:v>
                </c:pt>
                <c:pt idx="20">
                  <c:v>332.16641221374056</c:v>
                </c:pt>
                <c:pt idx="21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51-40A9-B8C8-DD6E3F7C80B9}"/>
            </c:ext>
          </c:extLst>
        </c:ser>
        <c:ser>
          <c:idx val="6"/>
          <c:order val="5"/>
          <c:tx>
            <c:strRef>
              <c:f>Vergleich!$H$2</c:f>
              <c:strCache>
                <c:ptCount val="1"/>
                <c:pt idx="0">
                  <c:v>Werkzeuge norm (Backer)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Vergleich!$H$3:$H$24</c:f>
              <c:numCache>
                <c:formatCode>#,##0</c:formatCode>
                <c:ptCount val="22"/>
                <c:pt idx="0">
                  <c:v>0</c:v>
                </c:pt>
                <c:pt idx="1">
                  <c:v>82.160052910052912</c:v>
                </c:pt>
                <c:pt idx="2">
                  <c:v>94.55291005291005</c:v>
                </c:pt>
                <c:pt idx="3">
                  <c:v>102.81481481481481</c:v>
                </c:pt>
                <c:pt idx="4">
                  <c:v>113.37169312169313</c:v>
                </c:pt>
                <c:pt idx="5">
                  <c:v>121.17460317460316</c:v>
                </c:pt>
                <c:pt idx="6">
                  <c:v>125.76455026455027</c:v>
                </c:pt>
                <c:pt idx="7">
                  <c:v>135.40343915343917</c:v>
                </c:pt>
                <c:pt idx="8">
                  <c:v>141.37037037037035</c:v>
                </c:pt>
                <c:pt idx="9">
                  <c:v>151.00925925925927</c:v>
                </c:pt>
                <c:pt idx="10">
                  <c:v>160.64814814814815</c:v>
                </c:pt>
                <c:pt idx="11">
                  <c:v>163.40211640211641</c:v>
                </c:pt>
                <c:pt idx="12">
                  <c:v>170.28703703703704</c:v>
                </c:pt>
                <c:pt idx="13">
                  <c:v>177.17195767195767</c:v>
                </c:pt>
                <c:pt idx="14">
                  <c:v>184.97486772486772</c:v>
                </c:pt>
                <c:pt idx="15">
                  <c:v>193.69576719576722</c:v>
                </c:pt>
                <c:pt idx="16">
                  <c:v>204.25264550264549</c:v>
                </c:pt>
                <c:pt idx="17">
                  <c:v>216.18650793650795</c:v>
                </c:pt>
                <c:pt idx="18">
                  <c:v>229.95634920634919</c:v>
                </c:pt>
                <c:pt idx="19">
                  <c:v>246.48015873015873</c:v>
                </c:pt>
                <c:pt idx="20">
                  <c:v>264.38095238095235</c:v>
                </c:pt>
                <c:pt idx="21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51-40A9-B8C8-DD6E3F7C80B9}"/>
            </c:ext>
          </c:extLst>
        </c:ser>
        <c:ser>
          <c:idx val="7"/>
          <c:order val="7"/>
          <c:tx>
            <c:strRef>
              <c:f>Vergleich!$J$2</c:f>
              <c:strCache>
                <c:ptCount val="1"/>
                <c:pt idx="0">
                  <c:v>Mythos norm (Backer)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Vergleich!$J$3:$J$24</c:f>
              <c:numCache>
                <c:formatCode>#,##0</c:formatCode>
                <c:ptCount val="22"/>
                <c:pt idx="0">
                  <c:v>0</c:v>
                </c:pt>
                <c:pt idx="1">
                  <c:v>48.804500703234879</c:v>
                </c:pt>
                <c:pt idx="2">
                  <c:v>97.609001406469758</c:v>
                </c:pt>
                <c:pt idx="3">
                  <c:v>146.41350210970464</c:v>
                </c:pt>
                <c:pt idx="4">
                  <c:v>157.55719643694326</c:v>
                </c:pt>
                <c:pt idx="5">
                  <c:v>168.70089076418188</c:v>
                </c:pt>
                <c:pt idx="6">
                  <c:v>179.84458509142053</c:v>
                </c:pt>
                <c:pt idx="7">
                  <c:v>190.98827941865915</c:v>
                </c:pt>
                <c:pt idx="8">
                  <c:v>202.13197374589777</c:v>
                </c:pt>
                <c:pt idx="9">
                  <c:v>213.27566807313639</c:v>
                </c:pt>
                <c:pt idx="10">
                  <c:v>224.41936240037501</c:v>
                </c:pt>
                <c:pt idx="11">
                  <c:v>235.56305672761363</c:v>
                </c:pt>
                <c:pt idx="12">
                  <c:v>246.70675105485225</c:v>
                </c:pt>
                <c:pt idx="13">
                  <c:v>257.85044538209087</c:v>
                </c:pt>
                <c:pt idx="14">
                  <c:v>268.99413970932949</c:v>
                </c:pt>
                <c:pt idx="15">
                  <c:v>280.13783403656817</c:v>
                </c:pt>
                <c:pt idx="16">
                  <c:v>291.28152836380679</c:v>
                </c:pt>
                <c:pt idx="17">
                  <c:v>302.42522269104546</c:v>
                </c:pt>
                <c:pt idx="18">
                  <c:v>313.56891701828408</c:v>
                </c:pt>
                <c:pt idx="19">
                  <c:v>324.71261134552276</c:v>
                </c:pt>
                <c:pt idx="20">
                  <c:v>335.85630567276144</c:v>
                </c:pt>
                <c:pt idx="21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51-40A9-B8C8-DD6E3F7C80B9}"/>
            </c:ext>
          </c:extLst>
        </c:ser>
        <c:ser>
          <c:idx val="9"/>
          <c:order val="8"/>
          <c:tx>
            <c:strRef>
              <c:f>Vergleich!$L$2</c:f>
              <c:strCache>
                <c:ptCount val="1"/>
                <c:pt idx="0">
                  <c:v>DSK norm (Backer)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</a:ln>
              <a:effectLst/>
            </c:spPr>
          </c:marker>
          <c:cat>
            <c:numRef>
              <c:f>Vergleich!$B$3:$B$24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cat>
          <c:val>
            <c:numRef>
              <c:f>Vergleich!$L$3:$L$24</c:f>
              <c:numCache>
                <c:formatCode>#,##0</c:formatCode>
                <c:ptCount val="22"/>
                <c:pt idx="0">
                  <c:v>0</c:v>
                </c:pt>
                <c:pt idx="1">
                  <c:v>103.14786585365853</c:v>
                </c:pt>
                <c:pt idx="2">
                  <c:v>123.24847560975608</c:v>
                </c:pt>
                <c:pt idx="3">
                  <c:v>131.1829268292683</c:v>
                </c:pt>
                <c:pt idx="4">
                  <c:v>139.64634146341464</c:v>
                </c:pt>
                <c:pt idx="5">
                  <c:v>148.10975609756096</c:v>
                </c:pt>
                <c:pt idx="6">
                  <c:v>155.51524390243904</c:v>
                </c:pt>
                <c:pt idx="7">
                  <c:v>162.92073170731706</c:v>
                </c:pt>
                <c:pt idx="8">
                  <c:v>171.91310975609755</c:v>
                </c:pt>
                <c:pt idx="9">
                  <c:v>185.13719512195124</c:v>
                </c:pt>
                <c:pt idx="10">
                  <c:v>195.1875</c:v>
                </c:pt>
                <c:pt idx="11">
                  <c:v>204.17987804878047</c:v>
                </c:pt>
                <c:pt idx="12">
                  <c:v>208.94054878048783</c:v>
                </c:pt>
                <c:pt idx="13">
                  <c:v>216.875</c:v>
                </c:pt>
                <c:pt idx="14">
                  <c:v>220.57774390243901</c:v>
                </c:pt>
                <c:pt idx="15">
                  <c:v>225.86737804878047</c:v>
                </c:pt>
                <c:pt idx="16">
                  <c:v>234.85975609756099</c:v>
                </c:pt>
                <c:pt idx="17">
                  <c:v>257.60518292682929</c:v>
                </c:pt>
                <c:pt idx="18">
                  <c:v>271.88719512195121</c:v>
                </c:pt>
                <c:pt idx="19">
                  <c:v>290.40091463414637</c:v>
                </c:pt>
                <c:pt idx="20">
                  <c:v>308.91463414634148</c:v>
                </c:pt>
                <c:pt idx="21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51-40A9-B8C8-DD6E3F7C80B9}"/>
            </c:ext>
          </c:extLst>
        </c:ser>
        <c:ser>
          <c:idx val="11"/>
          <c:order val="11"/>
          <c:tx>
            <c:strRef>
              <c:f>Vergleich!$N$2</c:f>
              <c:strCache>
                <c:ptCount val="1"/>
                <c:pt idx="0">
                  <c:v>Mythen norm (Backer)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Vergleich!$N$3:$N$24</c:f>
              <c:numCache>
                <c:formatCode>#,##0</c:formatCode>
                <c:ptCount val="22"/>
                <c:pt idx="0">
                  <c:v>0</c:v>
                </c:pt>
                <c:pt idx="1">
                  <c:v>80.453629032258064</c:v>
                </c:pt>
                <c:pt idx="2">
                  <c:v>101.44153225806453</c:v>
                </c:pt>
                <c:pt idx="3">
                  <c:v>113.33467741935483</c:v>
                </c:pt>
                <c:pt idx="4">
                  <c:v>124.52822580645162</c:v>
                </c:pt>
                <c:pt idx="5">
                  <c:v>133.62298387096774</c:v>
                </c:pt>
                <c:pt idx="6">
                  <c:v>153.91129032258064</c:v>
                </c:pt>
                <c:pt idx="7">
                  <c:v>165.10483870967744</c:v>
                </c:pt>
                <c:pt idx="8">
                  <c:v>176.99798387096777</c:v>
                </c:pt>
                <c:pt idx="9">
                  <c:v>186.79233870967744</c:v>
                </c:pt>
                <c:pt idx="10">
                  <c:v>197.28629032258067</c:v>
                </c:pt>
                <c:pt idx="11">
                  <c:v>203.58266129032256</c:v>
                </c:pt>
                <c:pt idx="12">
                  <c:v>217.57459677419357</c:v>
                </c:pt>
                <c:pt idx="13">
                  <c:v>223.17137096774195</c:v>
                </c:pt>
                <c:pt idx="14">
                  <c:v>230.86693548387095</c:v>
                </c:pt>
                <c:pt idx="15">
                  <c:v>235.76411290322582</c:v>
                </c:pt>
                <c:pt idx="16">
                  <c:v>244.15927419354838</c:v>
                </c:pt>
                <c:pt idx="17">
                  <c:v>253.95362903225805</c:v>
                </c:pt>
                <c:pt idx="18">
                  <c:v>263.74798387096774</c:v>
                </c:pt>
                <c:pt idx="19">
                  <c:v>280.53830645161293</c:v>
                </c:pt>
                <c:pt idx="20">
                  <c:v>307.82258064516128</c:v>
                </c:pt>
                <c:pt idx="21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E4-487C-B806-F0C4AB4B9284}"/>
            </c:ext>
          </c:extLst>
        </c:ser>
        <c:ser>
          <c:idx val="13"/>
          <c:order val="13"/>
          <c:tx>
            <c:v>SOK norm (Backer)</c:v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Vergleich!$P$3:$P$24</c:f>
              <c:numCache>
                <c:formatCode>#,##0</c:formatCode>
                <c:ptCount val="22"/>
                <c:pt idx="0">
                  <c:v>0</c:v>
                </c:pt>
                <c:pt idx="1">
                  <c:v>130.33353365384616</c:v>
                </c:pt>
                <c:pt idx="2">
                  <c:v>164.53305288461539</c:v>
                </c:pt>
                <c:pt idx="3">
                  <c:v>177.67067307692307</c:v>
                </c:pt>
                <c:pt idx="4">
                  <c:v>185.80348557692307</c:v>
                </c:pt>
                <c:pt idx="5">
                  <c:v>191.43389423076923</c:v>
                </c:pt>
                <c:pt idx="6">
                  <c:v>198.73257211538461</c:v>
                </c:pt>
                <c:pt idx="7">
                  <c:v>217.70913461538461</c:v>
                </c:pt>
                <c:pt idx="8">
                  <c:v>226.05048076923077</c:v>
                </c:pt>
                <c:pt idx="9">
                  <c:v>231.88942307692307</c:v>
                </c:pt>
                <c:pt idx="10">
                  <c:v>237.72836538461539</c:v>
                </c:pt>
                <c:pt idx="11">
                  <c:v>242.52463942307693</c:v>
                </c:pt>
                <c:pt idx="12">
                  <c:v>247.94651442307693</c:v>
                </c:pt>
                <c:pt idx="13">
                  <c:v>251.28305288461539</c:v>
                </c:pt>
                <c:pt idx="14">
                  <c:v>256.91346153846155</c:v>
                </c:pt>
                <c:pt idx="15">
                  <c:v>273.8046875</c:v>
                </c:pt>
                <c:pt idx="16">
                  <c:v>281.52043269230768</c:v>
                </c:pt>
                <c:pt idx="17">
                  <c:v>288.61057692307696</c:v>
                </c:pt>
                <c:pt idx="18">
                  <c:v>295.90925480769232</c:v>
                </c:pt>
                <c:pt idx="19">
                  <c:v>309.25540865384619</c:v>
                </c:pt>
                <c:pt idx="20">
                  <c:v>322.18449519230768</c:v>
                </c:pt>
                <c:pt idx="21">
                  <c:v>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8-4F48-9EE1-DAC7BB3A5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508600"/>
        <c:axId val="568508928"/>
      </c:lineChart>
      <c:catAx>
        <c:axId val="50264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02641912"/>
        <c:crosses val="autoZero"/>
        <c:auto val="1"/>
        <c:lblAlgn val="ctr"/>
        <c:lblOffset val="100"/>
        <c:noMultiLvlLbl val="0"/>
      </c:catAx>
      <c:valAx>
        <c:axId val="502641912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\ &quot;€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02644864"/>
        <c:crosses val="autoZero"/>
        <c:crossBetween val="between"/>
        <c:majorUnit val="5000"/>
      </c:valAx>
      <c:valAx>
        <c:axId val="568508928"/>
        <c:scaling>
          <c:orientation val="minMax"/>
          <c:max val="70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68508600"/>
        <c:crosses val="max"/>
        <c:crossBetween val="between"/>
        <c:majorUnit val="50"/>
      </c:valAx>
      <c:catAx>
        <c:axId val="568508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68508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hinter-dem-schwarzen-auge.de/links/" TargetMode="External"/><Relationship Id="rId3" Type="http://schemas.openxmlformats.org/officeDocument/2006/relationships/chart" Target="../charts/chart2.xml"/><Relationship Id="rId7" Type="http://schemas.openxmlformats.org/officeDocument/2006/relationships/image" Target="../media/image4.jpg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hyperlink" Target="https://www.gameontabletop.com/cf856/das-schwarze-auge-die-gunst-der-gottin.html" TargetMode="External"/><Relationship Id="rId5" Type="http://schemas.openxmlformats.org/officeDocument/2006/relationships/image" Target="../media/image3.png"/><Relationship Id="rId10" Type="http://schemas.openxmlformats.org/officeDocument/2006/relationships/chart" Target="../charts/chart3.xml"/><Relationship Id="rId4" Type="http://schemas.openxmlformats.org/officeDocument/2006/relationships/image" Target="../media/image2.png"/><Relationship Id="rId9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60854</xdr:colOff>
      <xdr:row>249</xdr:row>
      <xdr:rowOff>9259</xdr:rowOff>
    </xdr:from>
    <xdr:to>
      <xdr:col>12</xdr:col>
      <xdr:colOff>0</xdr:colOff>
      <xdr:row>261</xdr:row>
      <xdr:rowOff>104774</xdr:rowOff>
    </xdr:to>
    <xdr:sp macro="" textlink="">
      <xdr:nvSpPr>
        <xdr:cNvPr id="15" name="Textfeld 14">
          <a:extLst>
            <a:ext uri="{FF2B5EF4-FFF2-40B4-BE49-F238E27FC236}">
              <a16:creationId xmlns:a16="http://schemas.microsoft.com/office/drawing/2014/main" id="{02A2DF1A-BAA4-4851-AB48-5B80266E9280}"/>
            </a:ext>
          </a:extLst>
        </xdr:cNvPr>
        <xdr:cNvSpPr txBox="1"/>
      </xdr:nvSpPr>
      <xdr:spPr>
        <a:xfrm>
          <a:off x="146579" y="52530109"/>
          <a:ext cx="14502871" cy="196241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solidFill>
            <a:schemeClr val="tx1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400" b="1" baseline="0"/>
            <a:t>Dieser Einkaufsführer ist eine rein private Geschichte und </a:t>
          </a:r>
          <a:r>
            <a:rPr lang="de-DE" sz="1400" b="1" u="sng" baseline="0"/>
            <a:t>ohne Gewähr</a:t>
          </a:r>
          <a:r>
            <a:rPr lang="de-DE" sz="1400" b="1" baseline="0"/>
            <a:t> auf Vollständigkeit und 100%ige Korrektheit!</a:t>
          </a:r>
        </a:p>
        <a:p>
          <a:endParaRPr lang="de-DE" sz="1400" b="1" baseline="0"/>
        </a:p>
        <a:p>
          <a:r>
            <a:rPr lang="de-DE" sz="1400" b="1" baseline="0"/>
            <a:t>Danke an Kai (4 Helden und 1 Schelm) für seinen großartigen Crawler :)</a:t>
          </a:r>
        </a:p>
        <a:p>
          <a:endParaRPr lang="de-DE" sz="800" b="1" baseline="0"/>
        </a:p>
        <a:p>
          <a:r>
            <a:rPr lang="de-DE" sz="1400" b="1" baseline="0"/>
            <a:t>Bei Fehlern meinerseits ist NICHT Ulisses dafür verantwortlich zu machen! Und ich bitte auch nicht ;)</a:t>
          </a:r>
        </a:p>
        <a:p>
          <a:r>
            <a:rPr lang="de-DE" sz="1400" b="1" baseline="0"/>
            <a:t>Ihr dürft mir Fehler aber sehr gerne in den CF-Kommentaren, in meinem Blog oder Discord, bei Facebook oder im Orkenspalter-Forum melden!</a:t>
          </a:r>
        </a:p>
        <a:p>
          <a:endParaRPr lang="de-DE" sz="800" b="1" baseline="0"/>
        </a:p>
        <a:p>
          <a:r>
            <a:rPr lang="de-DE" sz="1400" b="1" baseline="0"/>
            <a:t>Und nun gemeinsam auf ins Abenteuer!</a:t>
          </a:r>
        </a:p>
        <a:p>
          <a:r>
            <a:rPr lang="de-DE" sz="1400" b="1"/>
            <a:t>Euer GTStar	von Hinter dem Schwarzen Auge</a:t>
          </a:r>
          <a:r>
            <a:rPr lang="de-DE" sz="1400" b="1" baseline="0"/>
            <a:t> ...der DSA-Community-Podcast / DSA-Fantalk / DSA-Nachrichten in 2W20 Minuten / etc.</a:t>
          </a:r>
          <a:r>
            <a:rPr lang="de-DE" sz="1400" b="1"/>
            <a:t>					</a:t>
          </a:r>
          <a:r>
            <a:rPr lang="de-DE" sz="300" b="1"/>
            <a:t>Wer das liest ist neugierig ;)</a:t>
          </a:r>
        </a:p>
      </xdr:txBody>
    </xdr:sp>
    <xdr:clientData/>
  </xdr:twoCellAnchor>
  <xdr:twoCellAnchor>
    <xdr:from>
      <xdr:col>1</xdr:col>
      <xdr:colOff>71436</xdr:colOff>
      <xdr:row>200</xdr:row>
      <xdr:rowOff>105833</xdr:rowOff>
    </xdr:from>
    <xdr:to>
      <xdr:col>3</xdr:col>
      <xdr:colOff>1369218</xdr:colOff>
      <xdr:row>223</xdr:row>
      <xdr:rowOff>142876</xdr:rowOff>
    </xdr:to>
    <xdr:graphicFrame macro="">
      <xdr:nvGraphicFramePr>
        <xdr:cNvPr id="44" name="Diagramm 43">
          <a:extLst>
            <a:ext uri="{FF2B5EF4-FFF2-40B4-BE49-F238E27FC236}">
              <a16:creationId xmlns:a16="http://schemas.microsoft.com/office/drawing/2014/main" id="{A89B5485-9BAF-4F11-ABE9-4732FBF57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1278730</xdr:colOff>
      <xdr:row>52</xdr:row>
      <xdr:rowOff>190500</xdr:rowOff>
    </xdr:from>
    <xdr:ext cx="317392" cy="317392"/>
    <xdr:pic>
      <xdr:nvPicPr>
        <xdr:cNvPr id="49" name="Grafik 48" descr="campaign image 6">
          <a:extLst>
            <a:ext uri="{FF2B5EF4-FFF2-40B4-BE49-F238E27FC236}">
              <a16:creationId xmlns:a16="http://schemas.microsoft.com/office/drawing/2014/main" id="{C42BDB7D-E636-4967-A691-8812A1FE1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7480" y="7362825"/>
          <a:ext cx="317392" cy="31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72</xdr:col>
      <xdr:colOff>196453</xdr:colOff>
      <xdr:row>247</xdr:row>
      <xdr:rowOff>152399</xdr:rowOff>
    </xdr:from>
    <xdr:to>
      <xdr:col>86</xdr:col>
      <xdr:colOff>523875</xdr:colOff>
      <xdr:row>290</xdr:row>
      <xdr:rowOff>11906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C027FC00-2D44-44A3-9880-9030337ECD3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9</xdr:col>
      <xdr:colOff>472848</xdr:colOff>
      <xdr:row>11</xdr:row>
      <xdr:rowOff>35448</xdr:rowOff>
    </xdr:from>
    <xdr:ext cx="317392" cy="317392"/>
    <xdr:pic>
      <xdr:nvPicPr>
        <xdr:cNvPr id="16" name="Grafik 15" descr="campaign image 6">
          <a:extLst>
            <a:ext uri="{FF2B5EF4-FFF2-40B4-BE49-F238E27FC236}">
              <a16:creationId xmlns:a16="http://schemas.microsoft.com/office/drawing/2014/main" id="{C47511E2-D98F-46F9-9863-B194020BD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86379" y="3607323"/>
          <a:ext cx="317392" cy="31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68791</xdr:colOff>
      <xdr:row>11</xdr:row>
      <xdr:rowOff>41496</xdr:rowOff>
    </xdr:from>
    <xdr:ext cx="320386" cy="315864"/>
    <xdr:pic>
      <xdr:nvPicPr>
        <xdr:cNvPr id="17" name="Grafik 16" descr="Loddari">
          <a:extLst>
            <a:ext uri="{FF2B5EF4-FFF2-40B4-BE49-F238E27FC236}">
              <a16:creationId xmlns:a16="http://schemas.microsoft.com/office/drawing/2014/main" id="{BCE75B0C-79E2-4638-A4D7-190FDB6D9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2322" y="3613371"/>
          <a:ext cx="320386" cy="31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243417</xdr:colOff>
      <xdr:row>11</xdr:row>
      <xdr:rowOff>357451</xdr:rowOff>
    </xdr:from>
    <xdr:to>
      <xdr:col>9</xdr:col>
      <xdr:colOff>555146</xdr:colOff>
      <xdr:row>11</xdr:row>
      <xdr:rowOff>669180</xdr:rowOff>
    </xdr:to>
    <xdr:pic>
      <xdr:nvPicPr>
        <xdr:cNvPr id="20" name="Grafik 19" descr="campaign image 7">
          <a:extLst>
            <a:ext uri="{FF2B5EF4-FFF2-40B4-BE49-F238E27FC236}">
              <a16:creationId xmlns:a16="http://schemas.microsoft.com/office/drawing/2014/main" id="{E305F2A3-C620-4037-ADBC-434A236FB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6948" y="3929326"/>
          <a:ext cx="311729" cy="311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425223</xdr:colOff>
      <xdr:row>11</xdr:row>
      <xdr:rowOff>35448</xdr:rowOff>
    </xdr:from>
    <xdr:ext cx="317392" cy="317392"/>
    <xdr:pic>
      <xdr:nvPicPr>
        <xdr:cNvPr id="21" name="Grafik 20" descr="campaign image 6">
          <a:extLst>
            <a:ext uri="{FF2B5EF4-FFF2-40B4-BE49-F238E27FC236}">
              <a16:creationId xmlns:a16="http://schemas.microsoft.com/office/drawing/2014/main" id="{738054E1-EAC6-49E3-A47E-5F0691EA5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2192" y="3607323"/>
          <a:ext cx="317392" cy="31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40216</xdr:colOff>
      <xdr:row>11</xdr:row>
      <xdr:rowOff>41496</xdr:rowOff>
    </xdr:from>
    <xdr:ext cx="320386" cy="315864"/>
    <xdr:pic>
      <xdr:nvPicPr>
        <xdr:cNvPr id="22" name="Grafik 21" descr="Loddari">
          <a:extLst>
            <a:ext uri="{FF2B5EF4-FFF2-40B4-BE49-F238E27FC236}">
              <a16:creationId xmlns:a16="http://schemas.microsoft.com/office/drawing/2014/main" id="{4E4AD2F2-0C19-4299-BB79-557A49EA1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185" y="3613371"/>
          <a:ext cx="320386" cy="31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243417</xdr:colOff>
      <xdr:row>11</xdr:row>
      <xdr:rowOff>357451</xdr:rowOff>
    </xdr:from>
    <xdr:ext cx="311729" cy="311729"/>
    <xdr:pic>
      <xdr:nvPicPr>
        <xdr:cNvPr id="23" name="Grafik 22" descr="campaign image 7">
          <a:extLst>
            <a:ext uri="{FF2B5EF4-FFF2-40B4-BE49-F238E27FC236}">
              <a16:creationId xmlns:a16="http://schemas.microsoft.com/office/drawing/2014/main" id="{C78714EA-A23B-4000-9EC5-C47B143A1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0386" y="3929326"/>
          <a:ext cx="311729" cy="311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425223</xdr:colOff>
      <xdr:row>11</xdr:row>
      <xdr:rowOff>35448</xdr:rowOff>
    </xdr:from>
    <xdr:ext cx="317392" cy="317392"/>
    <xdr:pic>
      <xdr:nvPicPr>
        <xdr:cNvPr id="24" name="Grafik 23" descr="campaign image 6">
          <a:extLst>
            <a:ext uri="{FF2B5EF4-FFF2-40B4-BE49-F238E27FC236}">
              <a16:creationId xmlns:a16="http://schemas.microsoft.com/office/drawing/2014/main" id="{50FF1384-0636-459F-90E9-E38014602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05629" y="3607323"/>
          <a:ext cx="317392" cy="31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40216</xdr:colOff>
      <xdr:row>11</xdr:row>
      <xdr:rowOff>41496</xdr:rowOff>
    </xdr:from>
    <xdr:ext cx="320386" cy="315864"/>
    <xdr:pic>
      <xdr:nvPicPr>
        <xdr:cNvPr id="25" name="Grafik 24" descr="Loddari">
          <a:extLst>
            <a:ext uri="{FF2B5EF4-FFF2-40B4-BE49-F238E27FC236}">
              <a16:creationId xmlns:a16="http://schemas.microsoft.com/office/drawing/2014/main" id="{432B59F2-1A4E-4301-9D16-C6DB55005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0622" y="3613371"/>
          <a:ext cx="320386" cy="31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243417</xdr:colOff>
      <xdr:row>11</xdr:row>
      <xdr:rowOff>357451</xdr:rowOff>
    </xdr:from>
    <xdr:ext cx="311729" cy="311729"/>
    <xdr:pic>
      <xdr:nvPicPr>
        <xdr:cNvPr id="26" name="Grafik 25" descr="campaign image 7">
          <a:extLst>
            <a:ext uri="{FF2B5EF4-FFF2-40B4-BE49-F238E27FC236}">
              <a16:creationId xmlns:a16="http://schemas.microsoft.com/office/drawing/2014/main" id="{AC35A3A6-073E-4303-93B8-E2EF3AFDA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3823" y="3929326"/>
          <a:ext cx="311729" cy="311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3422386</xdr:colOff>
      <xdr:row>61</xdr:row>
      <xdr:rowOff>200025</xdr:rowOff>
    </xdr:from>
    <xdr:to>
      <xdr:col>2</xdr:col>
      <xdr:colOff>3734115</xdr:colOff>
      <xdr:row>74</xdr:row>
      <xdr:rowOff>58786</xdr:rowOff>
    </xdr:to>
    <xdr:pic>
      <xdr:nvPicPr>
        <xdr:cNvPr id="27" name="Grafik 26" descr="campaign image 7">
          <a:extLst>
            <a:ext uri="{FF2B5EF4-FFF2-40B4-BE49-F238E27FC236}">
              <a16:creationId xmlns:a16="http://schemas.microsoft.com/office/drawing/2014/main" id="{FF0914C2-56B9-40FE-8F22-FF79DA124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1136" y="8286750"/>
          <a:ext cx="311729" cy="315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1262063</xdr:colOff>
      <xdr:row>151</xdr:row>
      <xdr:rowOff>188119</xdr:rowOff>
    </xdr:from>
    <xdr:ext cx="320386" cy="315864"/>
    <xdr:pic>
      <xdr:nvPicPr>
        <xdr:cNvPr id="47" name="Grafik 46" descr="Loddari">
          <a:extLst>
            <a:ext uri="{FF2B5EF4-FFF2-40B4-BE49-F238E27FC236}">
              <a16:creationId xmlns:a16="http://schemas.microsoft.com/office/drawing/2014/main" id="{07B648B9-19E8-4DDD-A72F-435488603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0813" y="25296019"/>
          <a:ext cx="320386" cy="31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248702</xdr:colOff>
      <xdr:row>11</xdr:row>
      <xdr:rowOff>41496</xdr:rowOff>
    </xdr:from>
    <xdr:ext cx="320386" cy="315864"/>
    <xdr:pic>
      <xdr:nvPicPr>
        <xdr:cNvPr id="35" name="Grafik 34" descr="Loddari">
          <a:extLst>
            <a:ext uri="{FF2B5EF4-FFF2-40B4-BE49-F238E27FC236}">
              <a16:creationId xmlns:a16="http://schemas.microsoft.com/office/drawing/2014/main" id="{C6E70D87-D40B-493F-8690-FA9090D4C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8796" y="3613371"/>
          <a:ext cx="320386" cy="31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472848</xdr:colOff>
      <xdr:row>11</xdr:row>
      <xdr:rowOff>44973</xdr:rowOff>
    </xdr:from>
    <xdr:ext cx="317392" cy="317392"/>
    <xdr:pic>
      <xdr:nvPicPr>
        <xdr:cNvPr id="28" name="Grafik 27" descr="campaign image 6">
          <a:extLst>
            <a:ext uri="{FF2B5EF4-FFF2-40B4-BE49-F238E27FC236}">
              <a16:creationId xmlns:a16="http://schemas.microsoft.com/office/drawing/2014/main" id="{23DBA75A-5D1B-497B-9609-0D669B9C9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6067" y="3616848"/>
          <a:ext cx="317392" cy="317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87841</xdr:colOff>
      <xdr:row>11</xdr:row>
      <xdr:rowOff>41496</xdr:rowOff>
    </xdr:from>
    <xdr:ext cx="320386" cy="315864"/>
    <xdr:pic>
      <xdr:nvPicPr>
        <xdr:cNvPr id="29" name="Grafik 28" descr="Loddari">
          <a:extLst>
            <a:ext uri="{FF2B5EF4-FFF2-40B4-BE49-F238E27FC236}">
              <a16:creationId xmlns:a16="http://schemas.microsoft.com/office/drawing/2014/main" id="{787F8ED3-24F0-49B7-80D1-BFE7599C1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1060" y="3613371"/>
          <a:ext cx="320386" cy="31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981076</xdr:colOff>
      <xdr:row>7</xdr:row>
      <xdr:rowOff>38099</xdr:rowOff>
    </xdr:from>
    <xdr:to>
      <xdr:col>2</xdr:col>
      <xdr:colOff>5695950</xdr:colOff>
      <xdr:row>13</xdr:row>
      <xdr:rowOff>39580</xdr:rowOff>
    </xdr:to>
    <xdr:pic>
      <xdr:nvPicPr>
        <xdr:cNvPr id="3" name="Grafik 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CA4ED34-F031-4EB8-F395-D675C6468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6" y="752474"/>
          <a:ext cx="4714874" cy="3135206"/>
        </a:xfrm>
        <a:prstGeom prst="rect">
          <a:avLst/>
        </a:prstGeom>
      </xdr:spPr>
    </xdr:pic>
    <xdr:clientData/>
  </xdr:twoCellAnchor>
  <xdr:twoCellAnchor editAs="oneCell">
    <xdr:from>
      <xdr:col>12</xdr:col>
      <xdr:colOff>454816</xdr:colOff>
      <xdr:row>7</xdr:row>
      <xdr:rowOff>19050</xdr:rowOff>
    </xdr:from>
    <xdr:to>
      <xdr:col>15</xdr:col>
      <xdr:colOff>2638425</xdr:colOff>
      <xdr:row>13</xdr:row>
      <xdr:rowOff>216863</xdr:rowOff>
    </xdr:to>
    <xdr:pic>
      <xdr:nvPicPr>
        <xdr:cNvPr id="8" name="Grafik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C26D25F-E4C2-E93D-C2EF-7F37FC8BB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4266" y="733425"/>
          <a:ext cx="3612359" cy="3331538"/>
        </a:xfrm>
        <a:prstGeom prst="rect">
          <a:avLst/>
        </a:prstGeom>
      </xdr:spPr>
    </xdr:pic>
    <xdr:clientData/>
  </xdr:twoCellAnchor>
  <xdr:twoCellAnchor editAs="oneCell">
    <xdr:from>
      <xdr:col>2</xdr:col>
      <xdr:colOff>2859881</xdr:colOff>
      <xdr:row>161</xdr:row>
      <xdr:rowOff>180975</xdr:rowOff>
    </xdr:from>
    <xdr:to>
      <xdr:col>2</xdr:col>
      <xdr:colOff>3171610</xdr:colOff>
      <xdr:row>165</xdr:row>
      <xdr:rowOff>39735</xdr:rowOff>
    </xdr:to>
    <xdr:pic>
      <xdr:nvPicPr>
        <xdr:cNvPr id="9" name="Grafik 8" descr="campaign image 7">
          <a:extLst>
            <a:ext uri="{FF2B5EF4-FFF2-40B4-BE49-F238E27FC236}">
              <a16:creationId xmlns:a16="http://schemas.microsoft.com/office/drawing/2014/main" id="{C91848E9-B480-4518-8EC6-87ADA70A9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631" y="27346275"/>
          <a:ext cx="311729" cy="315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225</xdr:row>
      <xdr:rowOff>0</xdr:rowOff>
    </xdr:from>
    <xdr:to>
      <xdr:col>3</xdr:col>
      <xdr:colOff>1373982</xdr:colOff>
      <xdr:row>248</xdr:row>
      <xdr:rowOff>1323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A831F1DF-23B1-4198-9721-9B78D3C52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257175</xdr:colOff>
      <xdr:row>11</xdr:row>
      <xdr:rowOff>371475</xdr:rowOff>
    </xdr:from>
    <xdr:to>
      <xdr:col>8</xdr:col>
      <xdr:colOff>568904</xdr:colOff>
      <xdr:row>11</xdr:row>
      <xdr:rowOff>683204</xdr:rowOff>
    </xdr:to>
    <xdr:pic>
      <xdr:nvPicPr>
        <xdr:cNvPr id="5" name="Grafik 4" descr="campaign image 7">
          <a:extLst>
            <a:ext uri="{FF2B5EF4-FFF2-40B4-BE49-F238E27FC236}">
              <a16:creationId xmlns:a16="http://schemas.microsoft.com/office/drawing/2014/main" id="{0D6850B7-7161-4781-B8B3-8FEBB23C2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1925" y="3295650"/>
          <a:ext cx="311729" cy="311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723899</xdr:colOff>
      <xdr:row>27</xdr:row>
      <xdr:rowOff>33336</xdr:rowOff>
    </xdr:from>
    <xdr:to>
      <xdr:col>19</xdr:col>
      <xdr:colOff>714374</xdr:colOff>
      <xdr:row>52</xdr:row>
      <xdr:rowOff>57149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386C9BA-881E-46C9-8576-20415BCC7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FE6C9E0-F6F6-45FF-A5D1-EBE4C7FC0B79}" name="Tabelle2" displayName="Tabelle2" ref="G16:J37" totalsRowShown="0" headerRowDxfId="45" dataDxfId="44" tableBorderDxfId="43">
  <autoFilter ref="G16:J37" xr:uid="{7E5D117A-5BCD-41C7-9378-1146F36C69B4}"/>
  <sortState xmlns:xlrd2="http://schemas.microsoft.com/office/spreadsheetml/2017/richdata2" ref="G17:J37">
    <sortCondition descending="1" ref="H16:H37"/>
  </sortState>
  <tableColumns count="4">
    <tableColumn id="1" xr3:uid="{3BF4B4A5-763F-44D6-82F2-633AF2B5A661}" name="Tag" dataDxfId="42"/>
    <tableColumn id="2" xr3:uid="{C2C59895-AB02-4E18-B5B3-A6018F118014}" name="€" dataDxfId="41">
      <calculatedColumnFormula>VLOOKUP(G17,$U$202:$AE$223,11,FALSE)</calculatedColumnFormula>
    </tableColumn>
    <tableColumn id="3" xr3:uid="{E1A7CA4C-C663-4044-B496-19D15B31B27D}" name="Backer" dataDxfId="40">
      <calculatedColumnFormula>VLOOKUP(G17,$U$202:$AD$223,10,FALSE)</calculatedColumnFormula>
    </tableColumn>
    <tableColumn id="4" xr3:uid="{628BDD77-5B3E-47FF-80AF-C00DB68B39F0}" name="€/Backer" dataDxfId="39">
      <calculatedColumnFormula>IFERROR(Tabelle2[[#This Row],[€]]/Tabelle2[[#This Row],[Backer]],"")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6EA9654-149B-455B-B037-D0C330FFD6EF}" name="Tabelle3" displayName="Tabelle3" ref="B2:AN24" totalsRowShown="0" headerRowDxfId="38">
  <autoFilter ref="B2:AN24" xr:uid="{27422959-90AD-4338-8C23-E3B9F7316881}"/>
  <tableColumns count="39">
    <tableColumn id="1" xr3:uid="{F20F49F8-6EB7-43C1-9922-F620A023E7F0}" name="Tag"/>
    <tableColumn id="2" xr3:uid="{6971CB83-29C8-475B-A31E-D387F03E1C07}" name="Nedime (€)" dataDxfId="37"/>
    <tableColumn id="3" xr3:uid="{F664882F-3BD9-41DE-A643-1C890FC1B073}" name="Nedime (Backer)" dataDxfId="36"/>
    <tableColumn id="4" xr3:uid="{6F8F036B-D5DC-4216-84F0-2BEBB08CBACA}" name="Thorwal norm (€)" dataDxfId="35"/>
    <tableColumn id="5" xr3:uid="{FD2FB521-94BA-46E4-A5EA-A7CEFF140F9A}" name="Thorwal norm (Backer)" dataDxfId="34"/>
    <tableColumn id="6" xr3:uid="{25BEFAD5-BE69-4A80-ABD3-5577E99AE16C}" name="Werkzeuge norm (€)" dataDxfId="33"/>
    <tableColumn id="7" xr3:uid="{AF4584B6-52C3-49C8-9E39-F43C0B8FEB14}" name="Werkzeuge norm (Backer)" dataDxfId="32"/>
    <tableColumn id="22" xr3:uid="{266EF583-8DD5-4805-B391-903ED2BAC519}" name="Mythos norm (€)" dataDxfId="31"/>
    <tableColumn id="23" xr3:uid="{3AB32905-68A3-4D5A-B37B-E5533823CB41}" name="Mythos norm (Backer)" dataDxfId="30"/>
    <tableColumn id="28" xr3:uid="{48AFB569-0998-4E2C-8C85-86F96730174E}" name="DSK norm (€)" dataDxfId="29"/>
    <tableColumn id="27" xr3:uid="{E47209D4-64AB-4094-A811-0DF73184FDC3}" name="DSK norm (Backer)" dataDxfId="28"/>
    <tableColumn id="30" xr3:uid="{1CA79BBE-302A-4822-AE79-917DFA78E074}" name="Mythen norm (€)" dataDxfId="27"/>
    <tableColumn id="31" xr3:uid="{6670A725-1507-4497-9A0C-43A65D0B6954}" name="Mythen norm (Backer)" dataDxfId="26"/>
    <tableColumn id="36" xr3:uid="{2953A814-9630-4F7F-9B69-5E63A7325641}" name="SOK norm (€)" dataDxfId="25"/>
    <tableColumn id="37" xr3:uid="{3770DD86-5295-4580-8942-09F337054C13}" name="SOK norm (Backer)" dataDxfId="24"/>
    <tableColumn id="8" xr3:uid="{2114D7A1-DEA0-40EE-9B8B-0A668EFEB97B}" name="Thorwal (€)" dataDxfId="23"/>
    <tableColumn id="9" xr3:uid="{9A9EB59B-6CA6-4F08-B68D-0962E0D83338}" name="Thorwal (Backer)" dataDxfId="22"/>
    <tableColumn id="10" xr3:uid="{DF5363C3-935A-49F1-B72D-9DF733CE4302}" name="Werkzeuge (€)" dataDxfId="21"/>
    <tableColumn id="11" xr3:uid="{4CFD1B7C-52BE-49FD-B7F5-1D7A36D73889}" name="Werkzeuge (Backer)" dataDxfId="20"/>
    <tableColumn id="18" xr3:uid="{C732132C-C661-400E-A33E-810D292F34AA}" name="Mythos (€)" dataDxfId="19"/>
    <tableColumn id="19" xr3:uid="{90EA6656-0F6B-435F-8A50-D1F413A22B34}" name="Mythos (Backer)" dataDxfId="18"/>
    <tableColumn id="26" xr3:uid="{F4AEE733-FE50-4D43-B8B6-2CFA99AA7EE6}" name="DSK (€)" dataDxfId="17"/>
    <tableColumn id="29" xr3:uid="{519C5630-D167-4EFA-B84F-F9BC19E907B3}" name="DSK (Backer)" dataDxfId="16"/>
    <tableColumn id="20" xr3:uid="{C33B8766-778A-4CBA-B6CD-11F696D9BF3F}" name="Mythen (€)" dataDxfId="15"/>
    <tableColumn id="21" xr3:uid="{7FE9A82A-5A08-46A8-A0C2-586311B74BB6}" name="Mythen (Backer)" dataDxfId="14"/>
    <tableColumn id="34" xr3:uid="{ECB31B1D-5FD5-4EF9-871C-99A9FFBB4E6B}" name="SOK (€)" dataDxfId="13"/>
    <tableColumn id="35" xr3:uid="{1E34A881-32F6-48DB-8A12-F2F7F315C3B2}" name="SOK (Backer)" dataDxfId="12"/>
    <tableColumn id="32" xr3:uid="{E4B16DC1-4EE4-4038-B4B5-B981FD62F8EA}" name="RE (€)" dataDxfId="11">
      <calculatedColumnFormula>'Gunst der Göttin'!BE202</calculatedColumnFormula>
    </tableColumn>
    <tableColumn id="33" xr3:uid="{8EB42BB1-C038-48A6-A211-78A44E799A6C}" name="RE (Backer)" dataDxfId="10">
      <calculatedColumnFormula>'Gunst der Göttin'!BF202</calculatedColumnFormula>
    </tableColumn>
    <tableColumn id="38" xr3:uid="{1AF87199-875A-4AB9-9AC0-88E8D7A82669}" name="DGG (€)" dataDxfId="9"/>
    <tableColumn id="39" xr3:uid="{1B706C0D-84D1-42A8-B0AB-701DEC761DD3}" name="DGG (Backer)" dataDxfId="8"/>
    <tableColumn id="12" xr3:uid="{CE532E56-7537-4234-994D-EF5975A2D3B8}" name="Aventuria (€) %" dataDxfId="7">
      <calculatedColumnFormula>Tabelle3[[#This Row],[Nedime (€)]]/C$24</calculatedColumnFormula>
    </tableColumn>
    <tableColumn id="13" xr3:uid="{6E91BB61-A019-4B20-A7F5-D01EA616EE80}" name="Aventuria (Backer) %" dataDxfId="6">
      <calculatedColumnFormula>Tabelle3[[#This Row],[Nedime (Backer)]]/D$24</calculatedColumnFormula>
    </tableColumn>
    <tableColumn id="14" xr3:uid="{FBF481DA-2BF3-4C7F-8B01-5CB18A4093B2}" name="Thorwal (€) %" dataDxfId="5">
      <calculatedColumnFormula>Tabelle3[[#This Row],[Thorwal (€)]]/Q$24</calculatedColumnFormula>
    </tableColumn>
    <tableColumn id="15" xr3:uid="{B21023AA-7241-4A20-9F45-D78A9ACC5244}" name="Thorwal (Backer) %" dataDxfId="4">
      <calculatedColumnFormula>Tabelle3[[#This Row],[Thorwal (Backer)]]/R$24</calculatedColumnFormula>
    </tableColumn>
    <tableColumn id="16" xr3:uid="{DC7AD9E1-E99C-4261-9C20-A1E356A99AC0}" name="Werkzeuge (€) %" dataDxfId="3">
      <calculatedColumnFormula>Tabelle3[[#This Row],[Werkzeuge (€)]]/S$24</calculatedColumnFormula>
    </tableColumn>
    <tableColumn id="17" xr3:uid="{BB027685-5D11-4F55-81EA-63B2D41CE363}" name="Werkzeuge (Backer) %" dataDxfId="2">
      <calculatedColumnFormula>Tabelle3[[#This Row],[Werkzeuge (Backer)]]/T$24</calculatedColumnFormula>
    </tableColumn>
    <tableColumn id="24" xr3:uid="{A23C8788-EEA7-4461-8240-391ABED3EBA3}" name="Mythos (€) %" dataDxfId="1">
      <calculatedColumnFormula>Tabelle3[[#This Row],[Mythos (€)]]/U$24</calculatedColumnFormula>
    </tableColumn>
    <tableColumn id="25" xr3:uid="{5DE909DD-E845-49F6-9E9A-EA884B351553}" name="Mthos (Backer) %" dataDxfId="0">
      <calculatedColumnFormula>Tabelle3[[#This Row],[Mythos (Backer)]]/V$24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hinterdemauge.blogspot.com/" TargetMode="External"/><Relationship Id="rId7" Type="http://schemas.openxmlformats.org/officeDocument/2006/relationships/table" Target="../tables/table1.xml"/><Relationship Id="rId2" Type="http://schemas.openxmlformats.org/officeDocument/2006/relationships/hyperlink" Target="https://www.gameontabletop.com/cf856/das-schwarze-auge-die-gunst-der-gottin.html" TargetMode="External"/><Relationship Id="rId1" Type="http://schemas.openxmlformats.org/officeDocument/2006/relationships/hyperlink" Target="https://hinter-dem-schwarzen-auge.de/links/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4982B-0226-4FC4-B481-9BD26DD7F965}">
  <sheetPr>
    <pageSetUpPr fitToPage="1"/>
  </sheetPr>
  <dimension ref="A1:DJ293"/>
  <sheetViews>
    <sheetView showGridLines="0" showZeros="0" tabSelected="1" zoomScaleNormal="100" workbookViewId="0">
      <pane xSplit="4" ySplit="15" topLeftCell="E16" activePane="bottomRight" state="frozen"/>
      <selection pane="topRight" activeCell="F1" sqref="F1"/>
      <selection pane="bottomLeft" activeCell="A6" sqref="A6"/>
      <selection pane="bottomRight" activeCell="B42" sqref="B42"/>
    </sheetView>
  </sheetViews>
  <sheetFormatPr baseColWidth="10" defaultRowHeight="18.75" outlineLevelRow="1" outlineLevelCol="2" x14ac:dyDescent="0.3"/>
  <cols>
    <col min="1" max="1" width="1.28515625" style="211" customWidth="1"/>
    <col min="2" max="2" width="20.140625" style="184" customWidth="1"/>
    <col min="3" max="3" width="85.7109375" style="105" customWidth="1"/>
    <col min="4" max="4" width="25.5703125" style="105" bestFit="1" customWidth="1"/>
    <col min="5" max="5" width="12.42578125" style="185" customWidth="1"/>
    <col min="6" max="6" width="12.42578125" style="354" hidden="1" customWidth="1" outlineLevel="1"/>
    <col min="7" max="7" width="12.42578125" style="185" customWidth="1" collapsed="1"/>
    <col min="8" max="12" width="12.42578125" style="185" customWidth="1"/>
    <col min="13" max="13" width="10.7109375" style="186" customWidth="1"/>
    <col min="14" max="14" width="10.7109375" style="187" customWidth="1"/>
    <col min="15" max="15" width="7.28515625" style="368" hidden="1" customWidth="1" outlineLevel="1"/>
    <col min="16" max="16" width="47" style="188" bestFit="1" customWidth="1" collapsed="1"/>
    <col min="17" max="18" width="10.140625" style="188" customWidth="1"/>
    <col min="19" max="19" width="11.42578125" style="197" hidden="1" customWidth="1" outlineLevel="2"/>
    <col min="20" max="24" width="11.42578125" style="44" hidden="1" customWidth="1" outlineLevel="1"/>
    <col min="25" max="25" width="6.140625" style="44" hidden="1" customWidth="1" outlineLevel="2"/>
    <col min="26" max="26" width="7.28515625" style="44" hidden="1" customWidth="1" outlineLevel="1"/>
    <col min="27" max="27" width="9.28515625" style="44" hidden="1" customWidth="1" outlineLevel="2"/>
    <col min="28" max="28" width="12.5703125" style="44" hidden="1" customWidth="1" outlineLevel="1"/>
    <col min="29" max="31" width="11.42578125" style="44" hidden="1" customWidth="1" outlineLevel="1"/>
    <col min="32" max="32" width="11.42578125" style="45" hidden="1" customWidth="1" outlineLevel="1"/>
    <col min="33" max="34" width="11.42578125" style="44" hidden="1" customWidth="1" outlineLevel="1"/>
    <col min="35" max="35" width="11.42578125" style="305" hidden="1" customWidth="1" outlineLevel="1"/>
    <col min="36" max="36" width="11.42578125" style="44" hidden="1" customWidth="1" outlineLevel="1"/>
    <col min="37" max="37" width="11.42578125" style="305" hidden="1" customWidth="1" outlineLevel="1"/>
    <col min="38" max="38" width="11.42578125" style="44" hidden="1" customWidth="1" outlineLevel="1"/>
    <col min="39" max="39" width="14" style="44" hidden="1" customWidth="1" outlineLevel="1"/>
    <col min="40" max="42" width="11.42578125" style="60" hidden="1" customWidth="1" outlineLevel="1"/>
    <col min="43" max="43" width="11.42578125" style="44" hidden="1" customWidth="1" outlineLevel="1"/>
    <col min="44" max="46" width="11.42578125" style="60" hidden="1" customWidth="1" outlineLevel="1"/>
    <col min="47" max="74" width="11.42578125" style="44" hidden="1" customWidth="1" outlineLevel="1"/>
    <col min="75" max="76" width="11.42578125" style="45" hidden="1" customWidth="1" outlineLevel="1"/>
    <col min="77" max="78" width="11.42578125" style="44" hidden="1" customWidth="1" outlineLevel="1"/>
    <col min="79" max="80" width="11.42578125" style="45" hidden="1" customWidth="1" outlineLevel="1"/>
    <col min="81" max="82" width="11.42578125" style="44" hidden="1" customWidth="1" outlineLevel="1"/>
    <col min="83" max="84" width="11.42578125" style="45" hidden="1" customWidth="1" outlineLevel="1"/>
    <col min="85" max="85" width="11.28515625" style="44" hidden="1" customWidth="1" outlineLevel="1"/>
    <col min="86" max="87" width="11.42578125" style="44" hidden="1" customWidth="1" outlineLevel="1"/>
    <col min="88" max="89" width="11.42578125" style="45" hidden="1" customWidth="1" outlineLevel="1"/>
    <col min="90" max="90" width="11.42578125" style="46" hidden="1" customWidth="1" outlineLevel="1"/>
    <col min="91" max="91" width="11.42578125" style="44" hidden="1" customWidth="1" outlineLevel="1"/>
    <col min="92" max="92" width="11.42578125" style="211" collapsed="1"/>
    <col min="93" max="110" width="11.42578125" style="211"/>
    <col min="111" max="16384" width="11.42578125" style="105"/>
  </cols>
  <sheetData>
    <row r="1" spans="1:114" s="44" customFormat="1" ht="19.5" hidden="1" customHeight="1" outlineLevel="1" thickBot="1" x14ac:dyDescent="0.35">
      <c r="B1" s="290"/>
      <c r="C1" s="62"/>
      <c r="D1" s="63"/>
      <c r="E1" s="65" t="s">
        <v>21</v>
      </c>
      <c r="F1" s="343"/>
      <c r="G1" s="69">
        <v>24</v>
      </c>
      <c r="H1" s="65" t="s">
        <v>20</v>
      </c>
      <c r="I1" s="66">
        <v>232540</v>
      </c>
      <c r="J1" s="39" t="s">
        <v>22</v>
      </c>
      <c r="K1" s="74">
        <v>240000</v>
      </c>
      <c r="L1" s="82" t="s">
        <v>102</v>
      </c>
      <c r="M1" s="291"/>
      <c r="N1" s="292"/>
      <c r="O1" s="368"/>
      <c r="S1" s="197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471"/>
      <c r="AJ1" s="107"/>
      <c r="AK1" s="471"/>
      <c r="AL1" s="107"/>
      <c r="AM1" s="92"/>
      <c r="AN1" s="92"/>
      <c r="AO1" s="92"/>
      <c r="AP1" s="60"/>
      <c r="AR1" s="60"/>
      <c r="AS1" s="60"/>
      <c r="AT1" s="60"/>
      <c r="BW1" s="45"/>
      <c r="BX1" s="45"/>
      <c r="CA1" s="45"/>
      <c r="CB1" s="45"/>
      <c r="CE1" s="45"/>
      <c r="CF1" s="45"/>
      <c r="CJ1" s="45"/>
      <c r="CK1" s="45"/>
      <c r="CL1" s="46"/>
    </row>
    <row r="2" spans="1:114" s="44" customFormat="1" ht="19.5" hidden="1" customHeight="1" outlineLevel="1" thickBot="1" x14ac:dyDescent="0.35">
      <c r="B2" s="290"/>
      <c r="E2" s="65" t="s">
        <v>18</v>
      </c>
      <c r="F2" s="343"/>
      <c r="G2" s="76">
        <v>44902</v>
      </c>
      <c r="H2" s="65" t="s">
        <v>19</v>
      </c>
      <c r="I2" s="69">
        <v>977</v>
      </c>
      <c r="J2" s="70" t="s">
        <v>36</v>
      </c>
      <c r="K2" s="77">
        <v>21</v>
      </c>
      <c r="L2" s="85">
        <f>SUM(F13:L13)</f>
        <v>977</v>
      </c>
      <c r="M2" s="291"/>
      <c r="N2" s="292"/>
      <c r="O2" s="368"/>
      <c r="Q2" s="211"/>
      <c r="R2" s="211"/>
      <c r="S2" s="197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471"/>
      <c r="AJ2" s="107"/>
      <c r="AK2" s="471"/>
      <c r="AL2" s="107"/>
      <c r="AM2" s="92"/>
      <c r="AN2" s="92"/>
      <c r="AO2" s="92"/>
      <c r="AP2" s="60"/>
      <c r="AR2" s="60"/>
      <c r="AS2" s="60"/>
      <c r="AT2" s="60"/>
      <c r="BW2" s="45"/>
      <c r="BX2" s="45"/>
      <c r="CA2" s="45"/>
      <c r="CB2" s="45"/>
      <c r="CE2" s="45"/>
      <c r="CF2" s="45"/>
      <c r="CJ2" s="45"/>
      <c r="CK2" s="45"/>
      <c r="CL2" s="46"/>
    </row>
    <row r="3" spans="1:114" s="44" customFormat="1" ht="19.5" hidden="1" customHeight="1" outlineLevel="1" thickBot="1" x14ac:dyDescent="0.35">
      <c r="B3" s="290"/>
      <c r="E3" s="65" t="s">
        <v>39</v>
      </c>
      <c r="F3" s="343"/>
      <c r="G3" s="74" t="s">
        <v>400</v>
      </c>
      <c r="H3" s="65" t="s">
        <v>150</v>
      </c>
      <c r="I3" s="72">
        <f>I1/I2</f>
        <v>238.014329580348</v>
      </c>
      <c r="J3" s="70"/>
      <c r="K3" s="70"/>
      <c r="L3" s="293">
        <f>L2-I2</f>
        <v>0</v>
      </c>
      <c r="M3" s="291"/>
      <c r="N3" s="292"/>
      <c r="O3" s="368"/>
      <c r="Q3" s="211"/>
      <c r="R3" s="211"/>
      <c r="S3" s="197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92"/>
      <c r="AH3" s="92"/>
      <c r="AI3" s="471"/>
      <c r="AJ3" s="107"/>
      <c r="AK3" s="471"/>
      <c r="AL3" s="107"/>
      <c r="AM3" s="92"/>
      <c r="AN3" s="92"/>
      <c r="AO3" s="92"/>
      <c r="AP3" s="60"/>
      <c r="AR3" s="60"/>
      <c r="AS3" s="60"/>
      <c r="AT3" s="60"/>
      <c r="BW3" s="45"/>
      <c r="BX3" s="45"/>
      <c r="CA3" s="45"/>
      <c r="CB3" s="45"/>
      <c r="CE3" s="45"/>
      <c r="CF3" s="45"/>
      <c r="CJ3" s="45"/>
      <c r="CK3" s="45"/>
      <c r="CL3" s="46"/>
    </row>
    <row r="4" spans="1:114" s="44" customFormat="1" ht="19.5" hidden="1" customHeight="1" outlineLevel="1" thickBot="1" x14ac:dyDescent="0.35">
      <c r="B4" s="290"/>
      <c r="E4" s="70"/>
      <c r="F4" s="343"/>
      <c r="M4" s="291"/>
      <c r="N4" s="292"/>
      <c r="O4" s="368"/>
      <c r="Q4" s="211"/>
      <c r="R4" s="211"/>
      <c r="S4" s="197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471"/>
      <c r="AJ4" s="107"/>
      <c r="AK4" s="471"/>
      <c r="AL4" s="107"/>
      <c r="AM4" s="92"/>
      <c r="AN4" s="92"/>
      <c r="AO4" s="92"/>
      <c r="AP4" s="60"/>
      <c r="AR4" s="60"/>
      <c r="AS4" s="60"/>
      <c r="AT4" s="60"/>
      <c r="BW4" s="45"/>
      <c r="BX4" s="45"/>
      <c r="CA4" s="45"/>
      <c r="CB4" s="45"/>
      <c r="CE4" s="45"/>
      <c r="CF4" s="45"/>
      <c r="CJ4" s="45"/>
      <c r="CK4" s="45"/>
      <c r="CL4" s="46"/>
    </row>
    <row r="5" spans="1:114" s="2" customFormat="1" ht="19.5" collapsed="1" thickBot="1" x14ac:dyDescent="0.35">
      <c r="A5" s="211"/>
      <c r="B5" s="212" t="str">
        <f>"Stand: "&amp;TEXT(G2,"TT.MM.JJJJ")</f>
        <v>Stand: 07.12.2022</v>
      </c>
      <c r="C5" s="536" t="s">
        <v>404</v>
      </c>
      <c r="D5" s="536"/>
      <c r="E5" s="524" t="s">
        <v>235</v>
      </c>
      <c r="F5" s="525"/>
      <c r="G5" s="525"/>
      <c r="H5" s="525"/>
      <c r="I5" s="525"/>
      <c r="J5" s="525"/>
      <c r="K5" s="525"/>
      <c r="L5" s="526"/>
      <c r="M5" s="539" t="s">
        <v>234</v>
      </c>
      <c r="N5" s="539"/>
      <c r="O5" s="539"/>
      <c r="P5" s="539"/>
      <c r="Q5" s="211"/>
      <c r="R5" s="211"/>
      <c r="S5" s="191"/>
      <c r="T5" s="92"/>
      <c r="U5" s="92"/>
      <c r="V5" s="92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92"/>
      <c r="AI5" s="471"/>
      <c r="AJ5" s="107"/>
      <c r="AK5" s="471"/>
      <c r="AL5" s="107"/>
      <c r="AM5" s="92"/>
      <c r="AN5" s="92"/>
      <c r="AO5" s="92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5"/>
      <c r="BX5" s="45"/>
      <c r="BY5" s="44"/>
      <c r="BZ5" s="44"/>
      <c r="CA5" s="45"/>
      <c r="CB5" s="45"/>
      <c r="CC5" s="44"/>
      <c r="CD5" s="44"/>
      <c r="CE5" s="45"/>
      <c r="CF5" s="45"/>
      <c r="CG5" s="44"/>
      <c r="CH5" s="44"/>
      <c r="CI5" s="44"/>
      <c r="CJ5" s="45"/>
      <c r="CK5" s="45"/>
      <c r="CL5" s="46"/>
      <c r="CM5" s="44"/>
      <c r="CN5" s="211"/>
      <c r="CO5" s="211"/>
      <c r="CP5" s="211"/>
      <c r="CQ5" s="211"/>
      <c r="CR5" s="211"/>
      <c r="CS5" s="211"/>
      <c r="CT5" s="211"/>
      <c r="CU5" s="211"/>
      <c r="CV5" s="211"/>
      <c r="CW5" s="211"/>
      <c r="CX5" s="211"/>
      <c r="CY5" s="211"/>
      <c r="CZ5" s="211"/>
      <c r="DA5" s="211"/>
      <c r="DB5" s="211"/>
      <c r="DC5" s="211"/>
      <c r="DD5" s="211"/>
      <c r="DE5" s="211"/>
      <c r="DF5" s="211"/>
      <c r="DG5" s="211"/>
      <c r="DH5" s="211"/>
      <c r="DI5" s="211"/>
      <c r="DJ5" s="211"/>
    </row>
    <row r="6" spans="1:114" s="2" customFormat="1" ht="18" x14ac:dyDescent="0.3">
      <c r="A6" s="211"/>
      <c r="B6" s="213" t="str">
        <f>G3&amp;" Uhr"</f>
        <v>18:00 Uhr</v>
      </c>
      <c r="C6" s="536" t="s">
        <v>405</v>
      </c>
      <c r="D6" s="536"/>
      <c r="E6" s="527" t="s">
        <v>236</v>
      </c>
      <c r="F6" s="527"/>
      <c r="G6" s="527"/>
      <c r="H6" s="527"/>
      <c r="I6" s="527"/>
      <c r="J6" s="527"/>
      <c r="K6" s="527"/>
      <c r="L6" s="527"/>
      <c r="M6" s="538" t="s">
        <v>214</v>
      </c>
      <c r="N6" s="538"/>
      <c r="O6" s="538"/>
      <c r="P6" s="538"/>
      <c r="Q6" s="211"/>
      <c r="R6" s="211"/>
      <c r="S6" s="192" t="s">
        <v>5</v>
      </c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471"/>
      <c r="AJ6" s="107"/>
      <c r="AK6" s="471"/>
      <c r="AL6" s="107"/>
      <c r="AM6" s="92"/>
      <c r="AN6" s="92"/>
      <c r="AO6" s="92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5"/>
      <c r="BX6" s="45"/>
      <c r="BY6" s="44"/>
      <c r="BZ6" s="44"/>
      <c r="CA6" s="45"/>
      <c r="CB6" s="45"/>
      <c r="CC6" s="44"/>
      <c r="CD6" s="44"/>
      <c r="CE6" s="45"/>
      <c r="CF6" s="45"/>
      <c r="CG6" s="44"/>
      <c r="CH6" s="44"/>
      <c r="CI6" s="44"/>
      <c r="CJ6" s="45"/>
      <c r="CK6" s="45"/>
      <c r="CL6" s="46"/>
      <c r="CM6" s="44"/>
      <c r="CN6" s="211"/>
      <c r="CO6" s="211"/>
      <c r="CP6" s="211"/>
      <c r="CQ6" s="211"/>
      <c r="CR6" s="211"/>
      <c r="CS6" s="211"/>
      <c r="CT6" s="211"/>
      <c r="CU6" s="211"/>
      <c r="CV6" s="211"/>
      <c r="CW6" s="211"/>
      <c r="CX6" s="211"/>
      <c r="CY6" s="211"/>
      <c r="CZ6" s="211"/>
      <c r="DA6" s="211"/>
      <c r="DB6" s="211"/>
      <c r="DC6" s="211"/>
      <c r="DD6" s="211"/>
      <c r="DE6" s="211"/>
      <c r="DF6" s="211"/>
      <c r="DG6" s="211"/>
      <c r="DH6" s="211"/>
      <c r="DI6" s="211"/>
      <c r="DJ6" s="211"/>
    </row>
    <row r="7" spans="1:114" s="2" customFormat="1" ht="18.75" customHeight="1" thickBot="1" x14ac:dyDescent="0.35">
      <c r="A7" s="211"/>
      <c r="B7" s="214"/>
      <c r="C7" s="537"/>
      <c r="D7" s="537"/>
      <c r="E7" s="528" t="s">
        <v>237</v>
      </c>
      <c r="F7" s="528"/>
      <c r="G7" s="528"/>
      <c r="H7" s="528"/>
      <c r="I7" s="528"/>
      <c r="J7" s="528"/>
      <c r="K7" s="528"/>
      <c r="L7" s="528"/>
      <c r="M7" s="535" t="s">
        <v>366</v>
      </c>
      <c r="N7" s="535"/>
      <c r="O7" s="535"/>
      <c r="P7" s="535"/>
      <c r="Q7" s="211"/>
      <c r="R7" s="211"/>
      <c r="S7" s="192" t="s">
        <v>5</v>
      </c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471"/>
      <c r="AJ7" s="107"/>
      <c r="AK7" s="471"/>
      <c r="AL7" s="107"/>
      <c r="AM7" s="92"/>
      <c r="AN7" s="92"/>
      <c r="AO7" s="92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5"/>
      <c r="BX7" s="45"/>
      <c r="BY7" s="44"/>
      <c r="BZ7" s="44"/>
      <c r="CA7" s="45"/>
      <c r="CB7" s="45"/>
      <c r="CC7" s="44"/>
      <c r="CD7" s="44"/>
      <c r="CE7" s="45"/>
      <c r="CF7" s="45"/>
      <c r="CG7" s="44"/>
      <c r="CH7" s="44"/>
      <c r="CI7" s="44"/>
      <c r="CJ7" s="45"/>
      <c r="CK7" s="45"/>
      <c r="CL7" s="46"/>
      <c r="CM7" s="44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</row>
    <row r="8" spans="1:114" s="2" customFormat="1" ht="36.75" customHeight="1" thickBot="1" x14ac:dyDescent="0.35">
      <c r="A8" s="211"/>
      <c r="B8" s="215" t="s">
        <v>31</v>
      </c>
      <c r="C8" s="211"/>
      <c r="D8" s="211"/>
      <c r="E8" s="529" t="s">
        <v>0</v>
      </c>
      <c r="F8" s="530"/>
      <c r="G8" s="530"/>
      <c r="H8" s="530"/>
      <c r="I8" s="530"/>
      <c r="J8" s="530"/>
      <c r="K8" s="530"/>
      <c r="L8" s="531"/>
      <c r="M8" s="233"/>
      <c r="N8" s="234"/>
      <c r="O8" s="368"/>
      <c r="P8" s="211"/>
      <c r="Q8" s="211"/>
      <c r="R8" s="211"/>
      <c r="S8" s="193" t="s">
        <v>14</v>
      </c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471"/>
      <c r="AJ8" s="107"/>
      <c r="AK8" s="471"/>
      <c r="AL8" s="107"/>
      <c r="AM8" s="92"/>
      <c r="AN8" s="92"/>
      <c r="AO8" s="92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5"/>
      <c r="BX8" s="45"/>
      <c r="BY8" s="44"/>
      <c r="BZ8" s="44"/>
      <c r="CA8" s="45"/>
      <c r="CB8" s="45"/>
      <c r="CC8" s="44"/>
      <c r="CD8" s="44"/>
      <c r="CE8" s="45"/>
      <c r="CF8" s="45"/>
      <c r="CG8" s="44"/>
      <c r="CH8" s="44"/>
      <c r="CI8" s="44"/>
      <c r="CJ8" s="45"/>
      <c r="CK8" s="45"/>
      <c r="CL8" s="46"/>
      <c r="CM8" s="44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</row>
    <row r="9" spans="1:114" s="2" customFormat="1" ht="59.25" customHeight="1" thickBot="1" x14ac:dyDescent="0.35">
      <c r="A9" s="211"/>
      <c r="B9" s="216" t="s">
        <v>1</v>
      </c>
      <c r="C9" s="211"/>
      <c r="D9" s="211"/>
      <c r="E9" s="532" t="s">
        <v>218</v>
      </c>
      <c r="F9" s="533"/>
      <c r="G9" s="533"/>
      <c r="H9" s="533"/>
      <c r="I9" s="533"/>
      <c r="J9" s="533"/>
      <c r="K9" s="533"/>
      <c r="L9" s="534"/>
      <c r="M9" s="233"/>
      <c r="N9" s="234"/>
      <c r="O9" s="368"/>
      <c r="P9" s="211"/>
      <c r="Q9" s="211"/>
      <c r="R9" s="211"/>
      <c r="S9" s="193" t="s">
        <v>14</v>
      </c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471"/>
      <c r="AJ9" s="107"/>
      <c r="AK9" s="471"/>
      <c r="AL9" s="107"/>
      <c r="AM9" s="92"/>
      <c r="AN9" s="92"/>
      <c r="AO9" s="92"/>
      <c r="AP9" s="44"/>
      <c r="AQ9" s="44"/>
      <c r="AR9" s="44"/>
      <c r="AS9" s="44"/>
      <c r="AT9" s="44"/>
      <c r="AU9" s="73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5"/>
      <c r="BX9" s="45"/>
      <c r="BY9" s="44"/>
      <c r="BZ9" s="44"/>
      <c r="CA9" s="45"/>
      <c r="CB9" s="45"/>
      <c r="CC9" s="44"/>
      <c r="CD9" s="44"/>
      <c r="CE9" s="45"/>
      <c r="CF9" s="45"/>
      <c r="CG9" s="44"/>
      <c r="CH9" s="44"/>
      <c r="CI9" s="44"/>
      <c r="CJ9" s="45"/>
      <c r="CK9" s="45"/>
      <c r="CL9" s="46"/>
      <c r="CM9" s="44"/>
      <c r="CN9" s="211"/>
      <c r="CO9" s="211"/>
      <c r="CP9" s="211"/>
      <c r="CQ9" s="211"/>
      <c r="CR9" s="211"/>
      <c r="CS9" s="211"/>
      <c r="CT9" s="211"/>
      <c r="CU9" s="211"/>
      <c r="CV9" s="211"/>
      <c r="CW9" s="211"/>
      <c r="CX9" s="211"/>
      <c r="CY9" s="211"/>
      <c r="CZ9" s="211"/>
      <c r="DA9" s="211"/>
      <c r="DB9" s="211"/>
      <c r="DC9" s="211"/>
      <c r="DD9" s="211"/>
      <c r="DE9" s="211"/>
      <c r="DF9" s="211"/>
    </row>
    <row r="10" spans="1:114" s="2" customFormat="1" ht="18" x14ac:dyDescent="0.3">
      <c r="A10" s="211"/>
      <c r="B10" s="217" t="s">
        <v>33</v>
      </c>
      <c r="C10" s="211"/>
      <c r="D10" s="211"/>
      <c r="E10" s="240"/>
      <c r="F10" s="344"/>
      <c r="G10" s="241"/>
      <c r="H10" s="241"/>
      <c r="I10" s="241"/>
      <c r="J10" s="241"/>
      <c r="K10" s="241"/>
      <c r="L10" s="241"/>
      <c r="M10" s="233"/>
      <c r="N10" s="234"/>
      <c r="O10" s="368"/>
      <c r="P10" s="211"/>
      <c r="Q10" s="211"/>
      <c r="R10" s="211"/>
      <c r="S10" s="192" t="s">
        <v>5</v>
      </c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471"/>
      <c r="AJ10" s="107"/>
      <c r="AK10" s="471"/>
      <c r="AL10" s="107"/>
      <c r="AM10" s="92"/>
      <c r="AN10" s="92"/>
      <c r="AO10" s="92"/>
      <c r="AP10" s="44"/>
      <c r="AQ10" s="44"/>
      <c r="AR10" s="44"/>
      <c r="AS10" s="44"/>
      <c r="AT10" s="44"/>
      <c r="AU10" s="73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5"/>
      <c r="BX10" s="45"/>
      <c r="BY10" s="44"/>
      <c r="BZ10" s="44"/>
      <c r="CA10" s="45"/>
      <c r="CB10" s="45"/>
      <c r="CC10" s="44"/>
      <c r="CD10" s="44"/>
      <c r="CE10" s="45"/>
      <c r="CF10" s="45"/>
      <c r="CG10" s="44"/>
      <c r="CH10" s="44"/>
      <c r="CI10" s="44"/>
      <c r="CJ10" s="45"/>
      <c r="CK10" s="45"/>
      <c r="CL10" s="46"/>
      <c r="CM10" s="44"/>
      <c r="CN10" s="211"/>
      <c r="CO10" s="211"/>
      <c r="CP10" s="211"/>
      <c r="CQ10" s="211"/>
      <c r="CR10" s="211"/>
      <c r="CS10" s="211"/>
      <c r="CT10" s="211"/>
      <c r="CU10" s="211"/>
      <c r="CV10" s="211"/>
      <c r="CW10" s="211"/>
      <c r="CX10" s="211"/>
      <c r="CY10" s="211"/>
      <c r="CZ10" s="211"/>
      <c r="DA10" s="211"/>
      <c r="DB10" s="211"/>
      <c r="DC10" s="211"/>
      <c r="DD10" s="211"/>
      <c r="DE10" s="211"/>
      <c r="DF10" s="211"/>
    </row>
    <row r="11" spans="1:114" s="75" customFormat="1" ht="60" x14ac:dyDescent="0.25">
      <c r="A11" s="218"/>
      <c r="B11" s="217" t="s">
        <v>114</v>
      </c>
      <c r="C11" s="218"/>
      <c r="D11" s="219"/>
      <c r="E11" s="522" t="s">
        <v>177</v>
      </c>
      <c r="F11" s="345"/>
      <c r="G11" s="294" t="s">
        <v>250</v>
      </c>
      <c r="H11" s="260" t="s">
        <v>251</v>
      </c>
      <c r="I11" s="294" t="s">
        <v>252</v>
      </c>
      <c r="J11" s="260" t="s">
        <v>253</v>
      </c>
      <c r="K11" s="260" t="s">
        <v>254</v>
      </c>
      <c r="L11" s="261" t="s">
        <v>255</v>
      </c>
      <c r="M11" s="237"/>
      <c r="N11" s="234"/>
      <c r="O11" s="368"/>
      <c r="P11" s="218"/>
      <c r="Q11" s="211"/>
      <c r="R11" s="211"/>
      <c r="S11" s="193" t="s">
        <v>14</v>
      </c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471"/>
      <c r="AJ11" s="107"/>
      <c r="AK11" s="471"/>
      <c r="AL11" s="107"/>
      <c r="AM11" s="92"/>
      <c r="AN11" s="92"/>
      <c r="AO11" s="92"/>
      <c r="AP11" s="79"/>
      <c r="AQ11" s="79"/>
      <c r="AR11" s="71"/>
      <c r="AS11" s="71"/>
      <c r="AT11" s="71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71"/>
      <c r="BV11" s="71"/>
      <c r="BW11" s="78"/>
      <c r="BX11" s="78"/>
      <c r="BY11" s="71"/>
      <c r="BZ11" s="71"/>
      <c r="CA11" s="78"/>
      <c r="CB11" s="78"/>
      <c r="CC11" s="71"/>
      <c r="CD11" s="71"/>
      <c r="CE11" s="78"/>
      <c r="CF11" s="78"/>
      <c r="CG11" s="71"/>
      <c r="CH11" s="71"/>
      <c r="CI11" s="71"/>
      <c r="CJ11" s="78"/>
      <c r="CK11" s="78"/>
      <c r="CL11" s="81"/>
      <c r="CM11" s="71"/>
      <c r="CN11" s="218"/>
      <c r="CO11" s="218"/>
      <c r="CP11" s="218"/>
      <c r="CQ11" s="218"/>
      <c r="CR11" s="218"/>
      <c r="CS11" s="218"/>
      <c r="CT11" s="218"/>
      <c r="CU11" s="218"/>
      <c r="CV11" s="218"/>
      <c r="CW11" s="218"/>
      <c r="CX11" s="218"/>
      <c r="CY11" s="218"/>
      <c r="CZ11" s="218"/>
      <c r="DA11" s="218"/>
      <c r="DB11" s="218"/>
      <c r="DC11" s="218"/>
      <c r="DD11" s="218"/>
      <c r="DE11" s="218"/>
      <c r="DF11" s="218"/>
    </row>
    <row r="12" spans="1:114" s="2" customFormat="1" ht="54.75" thickBot="1" x14ac:dyDescent="0.35">
      <c r="A12" s="211"/>
      <c r="B12" s="220" t="s">
        <v>2</v>
      </c>
      <c r="C12" s="211"/>
      <c r="D12" s="221"/>
      <c r="E12" s="523"/>
      <c r="F12" s="346"/>
      <c r="G12" s="262"/>
      <c r="H12" s="262"/>
      <c r="I12" s="262"/>
      <c r="J12" s="262"/>
      <c r="K12" s="262"/>
      <c r="L12" s="263"/>
      <c r="M12" s="238"/>
      <c r="N12" s="234"/>
      <c r="O12" s="368"/>
      <c r="P12" s="211"/>
      <c r="Q12" s="211"/>
      <c r="R12" s="211"/>
      <c r="S12" s="193" t="s">
        <v>179</v>
      </c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471"/>
      <c r="AJ12" s="107"/>
      <c r="AK12" s="471"/>
      <c r="AL12" s="107"/>
      <c r="AM12" s="92"/>
      <c r="AN12" s="92"/>
      <c r="AO12" s="92"/>
      <c r="AP12" s="44"/>
      <c r="AQ12" s="44"/>
      <c r="AR12" s="44"/>
      <c r="AS12" s="44"/>
      <c r="AT12" s="44"/>
      <c r="AU12" s="83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5"/>
      <c r="BX12" s="45"/>
      <c r="BY12" s="44"/>
      <c r="BZ12" s="44"/>
      <c r="CA12" s="45"/>
      <c r="CB12" s="45"/>
      <c r="CC12" s="44"/>
      <c r="CD12" s="44"/>
      <c r="CE12" s="45"/>
      <c r="CF12" s="45"/>
      <c r="CG12" s="44"/>
      <c r="CH12" s="44"/>
      <c r="CI12" s="44"/>
      <c r="CJ12" s="45"/>
      <c r="CK12" s="45"/>
      <c r="CL12" s="46"/>
      <c r="CM12" s="44"/>
      <c r="CN12" s="211"/>
      <c r="CO12" s="211"/>
      <c r="CP12" s="211"/>
      <c r="CQ12" s="211"/>
      <c r="CR12" s="211"/>
      <c r="CS12" s="211"/>
      <c r="CT12" s="211"/>
      <c r="CU12" s="211"/>
      <c r="CV12" s="211"/>
      <c r="CW12" s="211"/>
      <c r="CX12" s="211"/>
      <c r="CY12" s="211"/>
      <c r="CZ12" s="211"/>
      <c r="DA12" s="211"/>
      <c r="DB12" s="211"/>
      <c r="DC12" s="211"/>
      <c r="DD12" s="211"/>
      <c r="DE12" s="211"/>
      <c r="DF12" s="211"/>
    </row>
    <row r="13" spans="1:114" s="84" customFormat="1" ht="18" x14ac:dyDescent="0.3">
      <c r="A13" s="222"/>
      <c r="B13" s="231"/>
      <c r="C13" s="436"/>
      <c r="D13" s="271"/>
      <c r="E13" s="264" t="s">
        <v>32</v>
      </c>
      <c r="F13" s="347"/>
      <c r="G13" s="265">
        <v>189</v>
      </c>
      <c r="H13" s="265">
        <v>6</v>
      </c>
      <c r="I13" s="265">
        <v>185</v>
      </c>
      <c r="J13" s="265">
        <v>324</v>
      </c>
      <c r="K13" s="265">
        <v>63</v>
      </c>
      <c r="L13" s="266">
        <v>210</v>
      </c>
      <c r="M13" s="239"/>
      <c r="N13" s="239"/>
      <c r="O13" s="369"/>
      <c r="P13" s="222"/>
      <c r="Q13" s="211"/>
      <c r="R13" s="211"/>
      <c r="S13" s="193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471"/>
      <c r="AJ13" s="107"/>
      <c r="AK13" s="471"/>
      <c r="AL13" s="107"/>
      <c r="AM13" s="92"/>
      <c r="AN13" s="92"/>
      <c r="AO13" s="92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86"/>
      <c r="BX13" s="86"/>
      <c r="BY13" s="67"/>
      <c r="BZ13" s="67"/>
      <c r="CA13" s="86"/>
      <c r="CB13" s="86"/>
      <c r="CC13" s="67"/>
      <c r="CD13" s="67"/>
      <c r="CE13" s="86"/>
      <c r="CF13" s="86"/>
      <c r="CG13" s="67"/>
      <c r="CH13" s="67"/>
      <c r="CI13" s="67"/>
      <c r="CJ13" s="86"/>
      <c r="CK13" s="86"/>
      <c r="CL13" s="87"/>
      <c r="CM13" s="67"/>
      <c r="CN13" s="222"/>
      <c r="CO13" s="222"/>
      <c r="CP13" s="222"/>
      <c r="CQ13" s="222"/>
      <c r="CR13" s="222"/>
      <c r="CS13" s="222"/>
      <c r="CT13" s="222"/>
      <c r="CU13" s="222"/>
      <c r="CV13" s="222"/>
      <c r="CW13" s="222"/>
      <c r="CX13" s="222"/>
      <c r="CY13" s="222"/>
      <c r="CZ13" s="222"/>
      <c r="DA13" s="222"/>
      <c r="DB13" s="222"/>
      <c r="DC13" s="222"/>
      <c r="DD13" s="222"/>
      <c r="DE13" s="222"/>
      <c r="DF13" s="222"/>
    </row>
    <row r="14" spans="1:114" s="84" customFormat="1" thickBot="1" x14ac:dyDescent="0.35">
      <c r="A14" s="222"/>
      <c r="B14" s="231"/>
      <c r="C14" s="436" t="s">
        <v>233</v>
      </c>
      <c r="D14" s="271"/>
      <c r="E14" s="264" t="s">
        <v>226</v>
      </c>
      <c r="F14" s="348">
        <f t="shared" ref="F14:L14" si="0">F13/$I$2</f>
        <v>0</v>
      </c>
      <c r="G14" s="334">
        <f t="shared" si="0"/>
        <v>0.19344933469805528</v>
      </c>
      <c r="H14" s="334">
        <f t="shared" si="0"/>
        <v>6.1412487205731829E-3</v>
      </c>
      <c r="I14" s="334">
        <f t="shared" si="0"/>
        <v>0.18935516888433981</v>
      </c>
      <c r="J14" s="334">
        <f t="shared" si="0"/>
        <v>0.33162743091095187</v>
      </c>
      <c r="K14" s="334">
        <f t="shared" si="0"/>
        <v>6.4483111566018422E-2</v>
      </c>
      <c r="L14" s="335">
        <f t="shared" si="0"/>
        <v>0.21494370522006143</v>
      </c>
      <c r="M14" s="239"/>
      <c r="N14" s="239"/>
      <c r="O14" s="369"/>
      <c r="P14" s="222"/>
      <c r="Q14" s="211"/>
      <c r="R14" s="211"/>
      <c r="S14" s="193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471"/>
      <c r="AJ14" s="107"/>
      <c r="AK14" s="471"/>
      <c r="AL14" s="107"/>
      <c r="AM14" s="92"/>
      <c r="AN14" s="92"/>
      <c r="AO14" s="92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86"/>
      <c r="BX14" s="86"/>
      <c r="BY14" s="67"/>
      <c r="BZ14" s="67"/>
      <c r="CA14" s="86"/>
      <c r="CB14" s="86"/>
      <c r="CC14" s="67"/>
      <c r="CD14" s="67"/>
      <c r="CE14" s="86"/>
      <c r="CF14" s="86"/>
      <c r="CG14" s="67"/>
      <c r="CH14" s="67"/>
      <c r="CI14" s="67"/>
      <c r="CJ14" s="86"/>
      <c r="CK14" s="86"/>
      <c r="CL14" s="87"/>
      <c r="CM14" s="67"/>
      <c r="CN14" s="222"/>
      <c r="CO14" s="222"/>
      <c r="CP14" s="222"/>
      <c r="CQ14" s="222"/>
      <c r="CR14" s="222"/>
      <c r="CS14" s="222"/>
      <c r="CT14" s="222"/>
      <c r="CU14" s="222"/>
      <c r="CV14" s="222"/>
      <c r="CW14" s="222"/>
      <c r="CX14" s="222"/>
      <c r="CY14" s="222"/>
      <c r="CZ14" s="222"/>
      <c r="DA14" s="222"/>
      <c r="DB14" s="222"/>
      <c r="DC14" s="222"/>
      <c r="DD14" s="222"/>
      <c r="DE14" s="222"/>
      <c r="DF14" s="222"/>
    </row>
    <row r="15" spans="1:114" s="88" customFormat="1" ht="45" x14ac:dyDescent="0.25">
      <c r="A15" s="218"/>
      <c r="B15" s="267" t="s">
        <v>217</v>
      </c>
      <c r="C15" s="320" t="s">
        <v>215</v>
      </c>
      <c r="D15" s="321" t="s">
        <v>3</v>
      </c>
      <c r="E15" s="322"/>
      <c r="F15" s="349"/>
      <c r="G15" s="322">
        <v>40</v>
      </c>
      <c r="H15" s="322">
        <v>40</v>
      </c>
      <c r="I15" s="322">
        <v>100</v>
      </c>
      <c r="J15" s="323">
        <v>195</v>
      </c>
      <c r="K15" s="324">
        <v>225</v>
      </c>
      <c r="L15" s="324">
        <v>380</v>
      </c>
      <c r="M15" s="268" t="s">
        <v>15</v>
      </c>
      <c r="N15" s="269" t="s">
        <v>4</v>
      </c>
      <c r="O15" s="370" t="s">
        <v>185</v>
      </c>
      <c r="P15" s="325" t="s">
        <v>101</v>
      </c>
      <c r="Q15" s="211"/>
      <c r="R15" s="211"/>
      <c r="S15" s="193" t="s">
        <v>14</v>
      </c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471"/>
      <c r="AJ15" s="107"/>
      <c r="AK15" s="471"/>
      <c r="AL15" s="107"/>
      <c r="AM15" s="92"/>
      <c r="AN15" s="92"/>
      <c r="AO15" s="92"/>
      <c r="AP15" s="67"/>
      <c r="AQ15" s="67"/>
      <c r="AR15" s="71"/>
      <c r="AS15" s="71"/>
      <c r="AT15" s="71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71"/>
      <c r="BW15" s="78"/>
      <c r="BX15" s="78"/>
      <c r="BY15" s="71"/>
      <c r="BZ15" s="71"/>
      <c r="CA15" s="78"/>
      <c r="CB15" s="78"/>
      <c r="CC15" s="71"/>
      <c r="CD15" s="71"/>
      <c r="CE15" s="78"/>
      <c r="CF15" s="78"/>
      <c r="CG15" s="71"/>
      <c r="CH15" s="71"/>
      <c r="CI15" s="71"/>
      <c r="CJ15" s="78"/>
      <c r="CK15" s="78"/>
      <c r="CL15" s="81"/>
      <c r="CM15" s="71"/>
      <c r="CN15" s="218"/>
      <c r="CO15" s="218"/>
      <c r="CP15" s="218"/>
      <c r="CQ15" s="218"/>
      <c r="CR15" s="218"/>
      <c r="CS15" s="218"/>
      <c r="CT15" s="218"/>
      <c r="CU15" s="218"/>
      <c r="CV15" s="218"/>
      <c r="CW15" s="218"/>
      <c r="CX15" s="218"/>
      <c r="CY15" s="218"/>
      <c r="CZ15" s="218"/>
      <c r="DA15" s="218"/>
      <c r="DB15" s="218"/>
      <c r="DC15" s="218"/>
      <c r="DD15" s="218"/>
      <c r="DE15" s="218"/>
      <c r="DF15" s="218"/>
    </row>
    <row r="16" spans="1:114" s="88" customFormat="1" ht="18" hidden="1" outlineLevel="1" x14ac:dyDescent="0.25">
      <c r="A16" s="218"/>
      <c r="B16" s="89">
        <v>0</v>
      </c>
      <c r="C16" s="90" t="s">
        <v>238</v>
      </c>
      <c r="D16" s="288">
        <v>20000</v>
      </c>
      <c r="E16" s="44"/>
      <c r="F16" s="350"/>
      <c r="G16" s="208" t="s">
        <v>36</v>
      </c>
      <c r="H16" s="208" t="s">
        <v>20</v>
      </c>
      <c r="I16" s="208" t="s">
        <v>19</v>
      </c>
      <c r="J16" s="208" t="s">
        <v>46</v>
      </c>
      <c r="K16" s="92"/>
      <c r="L16" s="337"/>
      <c r="M16" s="337"/>
      <c r="N16" s="337"/>
      <c r="O16" s="371"/>
      <c r="P16" s="92"/>
      <c r="Q16" s="211"/>
      <c r="R16" s="211"/>
      <c r="S16" s="193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471"/>
      <c r="AJ16" s="107"/>
      <c r="AK16" s="471"/>
      <c r="AL16" s="107"/>
      <c r="AM16" s="92"/>
      <c r="AN16" s="92"/>
      <c r="AO16" s="92"/>
      <c r="AP16" s="67"/>
      <c r="AQ16" s="71"/>
      <c r="AR16" s="71"/>
      <c r="AS16" s="71"/>
      <c r="AT16" s="71"/>
      <c r="AU16" s="67"/>
      <c r="AV16" s="67"/>
      <c r="AW16" s="67"/>
      <c r="AX16" s="67"/>
      <c r="AY16" s="67"/>
      <c r="AZ16" s="67"/>
      <c r="BA16" s="67"/>
      <c r="BB16" s="67"/>
      <c r="BC16" s="67"/>
      <c r="BD16" s="67"/>
      <c r="BE16" s="67"/>
      <c r="BF16" s="67"/>
      <c r="BG16" s="67"/>
      <c r="BH16" s="67"/>
      <c r="BI16" s="67"/>
      <c r="BJ16" s="67"/>
      <c r="BK16" s="67"/>
      <c r="BL16" s="67"/>
      <c r="BM16" s="67"/>
      <c r="BN16" s="67"/>
      <c r="BO16" s="67"/>
      <c r="BP16" s="67"/>
      <c r="BQ16" s="67"/>
      <c r="BR16" s="67"/>
      <c r="BS16" s="67"/>
      <c r="BT16" s="67"/>
      <c r="BU16" s="67"/>
      <c r="BV16" s="71"/>
      <c r="BW16" s="78"/>
      <c r="BX16" s="78"/>
      <c r="BY16" s="71"/>
      <c r="BZ16" s="71"/>
      <c r="CA16" s="78"/>
      <c r="CB16" s="78"/>
      <c r="CC16" s="71"/>
      <c r="CD16" s="71"/>
      <c r="CE16" s="78"/>
      <c r="CF16" s="78"/>
      <c r="CG16" s="71"/>
      <c r="CH16" s="71"/>
      <c r="CI16" s="71"/>
      <c r="CJ16" s="78"/>
      <c r="CK16" s="78"/>
      <c r="CL16" s="81"/>
      <c r="CM16" s="71"/>
      <c r="CN16" s="218"/>
      <c r="CO16" s="218"/>
      <c r="CP16" s="218"/>
      <c r="CQ16" s="218"/>
      <c r="CR16" s="218"/>
      <c r="CS16" s="218"/>
      <c r="CT16" s="218"/>
      <c r="CU16" s="218"/>
      <c r="CV16" s="218"/>
      <c r="CW16" s="218"/>
      <c r="CX16" s="218"/>
      <c r="CY16" s="218"/>
      <c r="CZ16" s="218"/>
      <c r="DA16" s="218"/>
      <c r="DB16" s="218"/>
      <c r="DC16" s="218"/>
      <c r="DD16" s="218"/>
      <c r="DE16" s="218"/>
      <c r="DF16" s="218"/>
    </row>
    <row r="17" spans="1:110" s="88" customFormat="1" ht="18" hidden="1" outlineLevel="1" x14ac:dyDescent="0.25">
      <c r="A17" s="218"/>
      <c r="B17" s="89">
        <v>1</v>
      </c>
      <c r="C17" s="90" t="s">
        <v>239</v>
      </c>
      <c r="D17" s="288">
        <f>D16+5000</f>
        <v>25000</v>
      </c>
      <c r="E17" s="147" t="s">
        <v>23</v>
      </c>
      <c r="F17" s="350"/>
      <c r="G17" s="379">
        <v>1</v>
      </c>
      <c r="H17" s="206">
        <f t="shared" ref="H17:H37" si="1">VLOOKUP(G17,$U$202:$AE$223,11,FALSE)</f>
        <v>76466</v>
      </c>
      <c r="I17" s="206">
        <f t="shared" ref="I17:I37" si="2">VLOOKUP(G17,$U$202:$AD$223,10,FALSE)</f>
        <v>317</v>
      </c>
      <c r="J17" s="207">
        <f>IFERROR(Tabelle2[[#This Row],[€]]/Tabelle2[[#This Row],[Backer]],"")</f>
        <v>241.21766561514195</v>
      </c>
      <c r="K17" s="92"/>
      <c r="L17" s="337"/>
      <c r="M17" s="337"/>
      <c r="N17" s="337"/>
      <c r="O17" s="371"/>
      <c r="P17" s="92"/>
      <c r="Q17" s="211"/>
      <c r="R17" s="211"/>
      <c r="S17" s="193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471"/>
      <c r="AJ17" s="107"/>
      <c r="AK17" s="471"/>
      <c r="AL17" s="107"/>
      <c r="AM17" s="92"/>
      <c r="AN17" s="92"/>
      <c r="AO17" s="92"/>
      <c r="AP17" s="67"/>
      <c r="AQ17" s="71"/>
      <c r="AR17" s="71"/>
      <c r="AS17" s="71"/>
      <c r="AT17" s="71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71"/>
      <c r="BW17" s="78"/>
      <c r="BX17" s="78"/>
      <c r="BY17" s="71"/>
      <c r="BZ17" s="71"/>
      <c r="CA17" s="78"/>
      <c r="CB17" s="78"/>
      <c r="CC17" s="71"/>
      <c r="CD17" s="71"/>
      <c r="CE17" s="78"/>
      <c r="CF17" s="78"/>
      <c r="CG17" s="71"/>
      <c r="CH17" s="71"/>
      <c r="CI17" s="71"/>
      <c r="CJ17" s="78"/>
      <c r="CK17" s="78"/>
      <c r="CL17" s="81"/>
      <c r="CM17" s="71"/>
      <c r="CN17" s="218"/>
      <c r="CO17" s="218"/>
      <c r="CP17" s="218"/>
      <c r="CQ17" s="218"/>
      <c r="CR17" s="218"/>
      <c r="CS17" s="218"/>
      <c r="CT17" s="218"/>
      <c r="CU17" s="218"/>
      <c r="CV17" s="218"/>
      <c r="CW17" s="218"/>
      <c r="CX17" s="218"/>
      <c r="CY17" s="218"/>
      <c r="CZ17" s="218"/>
      <c r="DA17" s="218"/>
      <c r="DB17" s="218"/>
      <c r="DC17" s="218"/>
      <c r="DD17" s="218"/>
      <c r="DE17" s="218"/>
      <c r="DF17" s="218"/>
    </row>
    <row r="18" spans="1:110" s="88" customFormat="1" ht="18" hidden="1" outlineLevel="1" x14ac:dyDescent="0.25">
      <c r="A18" s="218"/>
      <c r="B18" s="89">
        <v>2</v>
      </c>
      <c r="C18" s="90" t="s">
        <v>240</v>
      </c>
      <c r="D18" s="288">
        <f t="shared" ref="D18:D22" si="3">D17+5000</f>
        <v>30000</v>
      </c>
      <c r="E18" s="174" t="s">
        <v>24</v>
      </c>
      <c r="F18" s="350"/>
      <c r="G18" s="379">
        <v>21</v>
      </c>
      <c r="H18" s="206">
        <f t="shared" si="1"/>
        <v>26573</v>
      </c>
      <c r="I18" s="206">
        <f t="shared" si="2"/>
        <v>114</v>
      </c>
      <c r="J18" s="207">
        <f>IFERROR(Tabelle2[[#This Row],[€]]/Tabelle2[[#This Row],[Backer]],"")</f>
        <v>233.09649122807016</v>
      </c>
      <c r="K18" s="92"/>
      <c r="L18" s="337"/>
      <c r="M18" s="337"/>
      <c r="N18" s="337"/>
      <c r="O18" s="371"/>
      <c r="P18" s="92"/>
      <c r="Q18" s="211"/>
      <c r="R18" s="211"/>
      <c r="S18" s="193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471"/>
      <c r="AJ18" s="107"/>
      <c r="AK18" s="471"/>
      <c r="AL18" s="107"/>
      <c r="AM18" s="92"/>
      <c r="AN18" s="92"/>
      <c r="AO18" s="92"/>
      <c r="AP18" s="67"/>
      <c r="AQ18" s="71"/>
      <c r="AR18" s="71"/>
      <c r="AS18" s="71"/>
      <c r="AT18" s="71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71"/>
      <c r="BW18" s="78"/>
      <c r="BX18" s="78"/>
      <c r="BY18" s="71"/>
      <c r="BZ18" s="71"/>
      <c r="CA18" s="78"/>
      <c r="CB18" s="78"/>
      <c r="CC18" s="71"/>
      <c r="CD18" s="71"/>
      <c r="CE18" s="78"/>
      <c r="CF18" s="78"/>
      <c r="CG18" s="71"/>
      <c r="CH18" s="71"/>
      <c r="CI18" s="71"/>
      <c r="CJ18" s="78"/>
      <c r="CK18" s="78"/>
      <c r="CL18" s="81"/>
      <c r="CM18" s="71"/>
      <c r="CN18" s="218"/>
      <c r="CO18" s="218"/>
      <c r="CP18" s="218"/>
      <c r="CQ18" s="218"/>
      <c r="CR18" s="218"/>
      <c r="CS18" s="218"/>
      <c r="CT18" s="218"/>
      <c r="CU18" s="218"/>
      <c r="CV18" s="218"/>
      <c r="CW18" s="218"/>
      <c r="CX18" s="218"/>
      <c r="CY18" s="218"/>
      <c r="CZ18" s="218"/>
      <c r="DA18" s="218"/>
      <c r="DB18" s="218"/>
      <c r="DC18" s="218"/>
      <c r="DD18" s="218"/>
      <c r="DE18" s="218"/>
      <c r="DF18" s="218"/>
    </row>
    <row r="19" spans="1:110" s="88" customFormat="1" ht="18" hidden="1" outlineLevel="1" x14ac:dyDescent="0.25">
      <c r="A19" s="218"/>
      <c r="B19" s="89">
        <v>3</v>
      </c>
      <c r="C19" s="90" t="s">
        <v>241</v>
      </c>
      <c r="D19" s="288">
        <f t="shared" si="3"/>
        <v>35000</v>
      </c>
      <c r="E19" s="147" t="s">
        <v>26</v>
      </c>
      <c r="F19" s="350"/>
      <c r="G19" s="379">
        <v>2</v>
      </c>
      <c r="H19" s="206">
        <f t="shared" si="1"/>
        <v>23731</v>
      </c>
      <c r="I19" s="206">
        <f t="shared" si="2"/>
        <v>100</v>
      </c>
      <c r="J19" s="207">
        <f>IFERROR(Tabelle2[[#This Row],[€]]/Tabelle2[[#This Row],[Backer]],"")</f>
        <v>237.31</v>
      </c>
      <c r="K19" s="92"/>
      <c r="L19" s="337"/>
      <c r="M19" s="337"/>
      <c r="N19" s="337"/>
      <c r="O19" s="371"/>
      <c r="P19" s="92"/>
      <c r="Q19" s="211"/>
      <c r="R19" s="211"/>
      <c r="S19" s="193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471"/>
      <c r="AJ19" s="107"/>
      <c r="AK19" s="471"/>
      <c r="AL19" s="107"/>
      <c r="AM19" s="92"/>
      <c r="AN19" s="92"/>
      <c r="AO19" s="92"/>
      <c r="AP19" s="67"/>
      <c r="AQ19" s="71"/>
      <c r="AR19" s="71"/>
      <c r="AS19" s="71"/>
      <c r="AT19" s="71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71"/>
      <c r="BW19" s="78"/>
      <c r="BX19" s="78"/>
      <c r="BY19" s="71"/>
      <c r="BZ19" s="71"/>
      <c r="CA19" s="78"/>
      <c r="CB19" s="78"/>
      <c r="CC19" s="71"/>
      <c r="CD19" s="71"/>
      <c r="CE19" s="78"/>
      <c r="CF19" s="78"/>
      <c r="CG19" s="71"/>
      <c r="CH19" s="71"/>
      <c r="CI19" s="71"/>
      <c r="CJ19" s="78"/>
      <c r="CK19" s="78"/>
      <c r="CL19" s="81"/>
      <c r="CM19" s="71"/>
      <c r="CN19" s="218"/>
      <c r="CO19" s="218"/>
      <c r="CP19" s="218"/>
      <c r="CQ19" s="218"/>
      <c r="CR19" s="218"/>
      <c r="CS19" s="218"/>
      <c r="CT19" s="218"/>
      <c r="CU19" s="218"/>
      <c r="CV19" s="218"/>
      <c r="CW19" s="218"/>
      <c r="CX19" s="218"/>
      <c r="CY19" s="218"/>
      <c r="CZ19" s="218"/>
      <c r="DA19" s="218"/>
      <c r="DB19" s="218"/>
      <c r="DC19" s="218"/>
      <c r="DD19" s="218"/>
      <c r="DE19" s="218"/>
      <c r="DF19" s="218"/>
    </row>
    <row r="20" spans="1:110" s="88" customFormat="1" ht="18" hidden="1" outlineLevel="1" x14ac:dyDescent="0.25">
      <c r="A20" s="218"/>
      <c r="B20" s="89">
        <v>4</v>
      </c>
      <c r="C20" s="90" t="s">
        <v>242</v>
      </c>
      <c r="D20" s="288">
        <f t="shared" si="3"/>
        <v>40000</v>
      </c>
      <c r="E20" s="174" t="s">
        <v>103</v>
      </c>
      <c r="F20" s="350"/>
      <c r="G20" s="379">
        <v>3</v>
      </c>
      <c r="H20" s="206">
        <f t="shared" si="1"/>
        <v>10291</v>
      </c>
      <c r="I20" s="206">
        <f t="shared" si="2"/>
        <v>41</v>
      </c>
      <c r="J20" s="207">
        <f>IFERROR(Tabelle2[[#This Row],[€]]/Tabelle2[[#This Row],[Backer]],"")</f>
        <v>251</v>
      </c>
      <c r="K20" s="92"/>
      <c r="L20" s="337"/>
      <c r="M20" s="337"/>
      <c r="N20" s="337"/>
      <c r="O20" s="371"/>
      <c r="P20" s="92"/>
      <c r="Q20" s="211"/>
      <c r="R20" s="211"/>
      <c r="S20" s="193"/>
      <c r="T20" s="92"/>
      <c r="U20" s="71"/>
      <c r="V20" s="71"/>
      <c r="W20" s="71"/>
      <c r="X20" s="71"/>
      <c r="Y20" s="71"/>
      <c r="Z20" s="71"/>
      <c r="AA20" s="71"/>
      <c r="AB20" s="71"/>
      <c r="AC20" s="67"/>
      <c r="AD20" s="67"/>
      <c r="AE20" s="67"/>
      <c r="AF20" s="86"/>
      <c r="AG20" s="67"/>
      <c r="AH20" s="67"/>
      <c r="AI20" s="472"/>
      <c r="AJ20" s="67"/>
      <c r="AK20" s="472"/>
      <c r="AL20" s="67"/>
      <c r="AM20" s="67"/>
      <c r="AN20" s="67"/>
      <c r="AO20" s="67"/>
      <c r="AP20" s="67"/>
      <c r="AQ20" s="71"/>
      <c r="AR20" s="71"/>
      <c r="AS20" s="71"/>
      <c r="AT20" s="71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  <c r="BK20" s="67"/>
      <c r="BL20" s="67"/>
      <c r="BM20" s="67"/>
      <c r="BN20" s="67"/>
      <c r="BO20" s="67"/>
      <c r="BP20" s="67"/>
      <c r="BQ20" s="67"/>
      <c r="BR20" s="67"/>
      <c r="BS20" s="67"/>
      <c r="BT20" s="67"/>
      <c r="BU20" s="67"/>
      <c r="BV20" s="71"/>
      <c r="BW20" s="78"/>
      <c r="BX20" s="78"/>
      <c r="BY20" s="71"/>
      <c r="BZ20" s="71"/>
      <c r="CA20" s="78"/>
      <c r="CB20" s="78"/>
      <c r="CC20" s="71"/>
      <c r="CD20" s="71"/>
      <c r="CE20" s="78"/>
      <c r="CF20" s="78"/>
      <c r="CG20" s="71"/>
      <c r="CH20" s="71"/>
      <c r="CI20" s="71"/>
      <c r="CJ20" s="78"/>
      <c r="CK20" s="78"/>
      <c r="CL20" s="81"/>
      <c r="CM20" s="71"/>
      <c r="CN20" s="218"/>
      <c r="CO20" s="218"/>
      <c r="CP20" s="218"/>
      <c r="CQ20" s="218"/>
      <c r="CR20" s="218"/>
      <c r="CS20" s="218"/>
      <c r="CT20" s="218"/>
      <c r="CU20" s="218"/>
      <c r="CV20" s="218"/>
      <c r="CW20" s="218"/>
      <c r="CX20" s="218"/>
      <c r="CY20" s="218"/>
      <c r="CZ20" s="218"/>
      <c r="DA20" s="218"/>
      <c r="DB20" s="218"/>
      <c r="DC20" s="218"/>
      <c r="DD20" s="218"/>
      <c r="DE20" s="218"/>
      <c r="DF20" s="218"/>
    </row>
    <row r="21" spans="1:110" s="88" customFormat="1" ht="18" hidden="1" outlineLevel="1" x14ac:dyDescent="0.25">
      <c r="A21" s="218"/>
      <c r="B21" s="89">
        <v>5</v>
      </c>
      <c r="C21" s="90" t="s">
        <v>243</v>
      </c>
      <c r="D21" s="288">
        <f t="shared" si="3"/>
        <v>45000</v>
      </c>
      <c r="E21" s="147" t="s">
        <v>25</v>
      </c>
      <c r="F21" s="350"/>
      <c r="G21" s="379">
        <v>19</v>
      </c>
      <c r="H21" s="206">
        <f t="shared" si="1"/>
        <v>10173</v>
      </c>
      <c r="I21" s="206">
        <f t="shared" si="2"/>
        <v>46</v>
      </c>
      <c r="J21" s="207">
        <f>IFERROR(Tabelle2[[#This Row],[€]]/Tabelle2[[#This Row],[Backer]],"")</f>
        <v>221.15217391304347</v>
      </c>
      <c r="K21" s="92"/>
      <c r="L21" s="337"/>
      <c r="M21" s="337"/>
      <c r="N21" s="337"/>
      <c r="O21" s="371"/>
      <c r="P21" s="92"/>
      <c r="Q21" s="211"/>
      <c r="R21" s="211"/>
      <c r="S21" s="193"/>
      <c r="T21" s="92"/>
      <c r="U21" s="71"/>
      <c r="V21" s="71"/>
      <c r="W21" s="71"/>
      <c r="X21" s="71"/>
      <c r="Y21" s="71"/>
      <c r="Z21" s="71"/>
      <c r="AA21" s="71"/>
      <c r="AB21" s="71"/>
      <c r="AC21" s="67"/>
      <c r="AD21" s="67"/>
      <c r="AE21" s="67"/>
      <c r="AF21" s="86"/>
      <c r="AG21" s="67"/>
      <c r="AH21" s="67"/>
      <c r="AI21" s="472"/>
      <c r="AJ21" s="67"/>
      <c r="AK21" s="472"/>
      <c r="AL21" s="67"/>
      <c r="AM21" s="67"/>
      <c r="AN21" s="67"/>
      <c r="AO21" s="67"/>
      <c r="AP21" s="67"/>
      <c r="AQ21" s="71"/>
      <c r="AR21" s="71"/>
      <c r="AS21" s="71"/>
      <c r="AT21" s="71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  <c r="BM21" s="67"/>
      <c r="BN21" s="67"/>
      <c r="BO21" s="67"/>
      <c r="BP21" s="67"/>
      <c r="BQ21" s="67"/>
      <c r="BR21" s="67"/>
      <c r="BS21" s="67"/>
      <c r="BT21" s="67"/>
      <c r="BU21" s="67"/>
      <c r="BV21" s="71"/>
      <c r="BW21" s="78"/>
      <c r="BX21" s="78"/>
      <c r="BY21" s="71"/>
      <c r="BZ21" s="71"/>
      <c r="CA21" s="78"/>
      <c r="CB21" s="78"/>
      <c r="CC21" s="71"/>
      <c r="CD21" s="71"/>
      <c r="CE21" s="78"/>
      <c r="CF21" s="78"/>
      <c r="CG21" s="71"/>
      <c r="CH21" s="71"/>
      <c r="CI21" s="71"/>
      <c r="CJ21" s="78"/>
      <c r="CK21" s="78"/>
      <c r="CL21" s="81"/>
      <c r="CM21" s="71"/>
      <c r="CN21" s="218"/>
      <c r="CO21" s="218"/>
      <c r="CP21" s="218"/>
      <c r="CQ21" s="218"/>
      <c r="CR21" s="218"/>
      <c r="CS21" s="218"/>
      <c r="CT21" s="218"/>
      <c r="CU21" s="218"/>
      <c r="CV21" s="218"/>
      <c r="CW21" s="218"/>
      <c r="CX21" s="218"/>
      <c r="CY21" s="218"/>
      <c r="CZ21" s="218"/>
      <c r="DA21" s="218"/>
      <c r="DB21" s="218"/>
      <c r="DC21" s="218"/>
      <c r="DD21" s="218"/>
      <c r="DE21" s="218"/>
      <c r="DF21" s="218"/>
    </row>
    <row r="22" spans="1:110" s="88" customFormat="1" ht="18" hidden="1" outlineLevel="1" x14ac:dyDescent="0.25">
      <c r="A22" s="218"/>
      <c r="B22" s="89">
        <v>6</v>
      </c>
      <c r="C22" s="90" t="s">
        <v>244</v>
      </c>
      <c r="D22" s="288">
        <f t="shared" si="3"/>
        <v>50000</v>
      </c>
      <c r="E22" s="172" t="s">
        <v>104</v>
      </c>
      <c r="F22" s="350"/>
      <c r="G22" s="379">
        <v>15</v>
      </c>
      <c r="H22" s="206">
        <f t="shared" si="1"/>
        <v>9172</v>
      </c>
      <c r="I22" s="206">
        <f t="shared" si="2"/>
        <v>40</v>
      </c>
      <c r="J22" s="207">
        <f>IFERROR(Tabelle2[[#This Row],[€]]/Tabelle2[[#This Row],[Backer]],"")</f>
        <v>229.3</v>
      </c>
      <c r="K22" s="92"/>
      <c r="L22" s="337"/>
      <c r="M22" s="337"/>
      <c r="N22" s="337"/>
      <c r="O22" s="371"/>
      <c r="P22" s="92"/>
      <c r="Q22" s="211"/>
      <c r="R22" s="211"/>
      <c r="S22" s="193"/>
      <c r="T22" s="92"/>
      <c r="U22" s="71"/>
      <c r="V22" s="71"/>
      <c r="W22" s="71"/>
      <c r="X22" s="71"/>
      <c r="Y22" s="71"/>
      <c r="Z22" s="71"/>
      <c r="AA22" s="71"/>
      <c r="AB22" s="71"/>
      <c r="AC22" s="67"/>
      <c r="AD22" s="67"/>
      <c r="AE22" s="67"/>
      <c r="AF22" s="86"/>
      <c r="AG22" s="67"/>
      <c r="AH22" s="67"/>
      <c r="AI22" s="472"/>
      <c r="AJ22" s="67"/>
      <c r="AK22" s="472"/>
      <c r="AL22" s="67"/>
      <c r="AM22" s="67"/>
      <c r="AN22" s="67"/>
      <c r="AO22" s="67"/>
      <c r="AP22" s="67"/>
      <c r="AQ22" s="71"/>
      <c r="AR22" s="71"/>
      <c r="AS22" s="71"/>
      <c r="AT22" s="71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  <c r="BK22" s="67"/>
      <c r="BL22" s="67"/>
      <c r="BM22" s="67"/>
      <c r="BN22" s="67"/>
      <c r="BO22" s="67"/>
      <c r="BP22" s="67"/>
      <c r="BQ22" s="67"/>
      <c r="BR22" s="67"/>
      <c r="BS22" s="67"/>
      <c r="BT22" s="67"/>
      <c r="BU22" s="67"/>
      <c r="BV22" s="71"/>
      <c r="BW22" s="78"/>
      <c r="BX22" s="78"/>
      <c r="BY22" s="71"/>
      <c r="BZ22" s="71"/>
      <c r="CA22" s="78"/>
      <c r="CB22" s="78"/>
      <c r="CC22" s="71"/>
      <c r="CD22" s="71"/>
      <c r="CE22" s="78"/>
      <c r="CF22" s="78"/>
      <c r="CG22" s="71"/>
      <c r="CH22" s="71"/>
      <c r="CI22" s="71"/>
      <c r="CJ22" s="78"/>
      <c r="CK22" s="78"/>
      <c r="CL22" s="81"/>
      <c r="CM22" s="71"/>
      <c r="CN22" s="218"/>
      <c r="CO22" s="218"/>
      <c r="CP22" s="218"/>
      <c r="CQ22" s="218"/>
      <c r="CR22" s="218"/>
      <c r="CS22" s="218"/>
      <c r="CT22" s="218"/>
      <c r="CU22" s="218"/>
      <c r="CV22" s="218"/>
      <c r="CW22" s="218"/>
      <c r="CX22" s="218"/>
      <c r="CY22" s="218"/>
      <c r="CZ22" s="218"/>
      <c r="DA22" s="218"/>
      <c r="DB22" s="218"/>
      <c r="DC22" s="218"/>
      <c r="DD22" s="218"/>
      <c r="DE22" s="218"/>
      <c r="DF22" s="218"/>
    </row>
    <row r="23" spans="1:110" s="88" customFormat="1" ht="18" hidden="1" outlineLevel="1" x14ac:dyDescent="0.25">
      <c r="A23" s="218"/>
      <c r="B23" s="89">
        <v>7</v>
      </c>
      <c r="C23" s="90" t="s">
        <v>245</v>
      </c>
      <c r="D23" s="288">
        <f>D22+10000</f>
        <v>60000</v>
      </c>
      <c r="E23" s="149" t="s">
        <v>27</v>
      </c>
      <c r="F23" s="350"/>
      <c r="G23" s="379">
        <v>16</v>
      </c>
      <c r="H23" s="206">
        <f t="shared" si="1"/>
        <v>8929</v>
      </c>
      <c r="I23" s="206">
        <f t="shared" si="2"/>
        <v>39</v>
      </c>
      <c r="J23" s="207">
        <f>IFERROR(Tabelle2[[#This Row],[€]]/Tabelle2[[#This Row],[Backer]],"")</f>
        <v>228.94871794871796</v>
      </c>
      <c r="K23" s="92"/>
      <c r="L23" s="337"/>
      <c r="M23" s="337"/>
      <c r="N23" s="337"/>
      <c r="O23" s="371"/>
      <c r="P23" s="92"/>
      <c r="Q23" s="211"/>
      <c r="R23" s="211"/>
      <c r="S23" s="193"/>
      <c r="T23" s="92"/>
      <c r="U23" s="71"/>
      <c r="V23" s="71"/>
      <c r="W23" s="71"/>
      <c r="X23" s="71"/>
      <c r="Y23" s="71"/>
      <c r="Z23" s="71"/>
      <c r="AA23" s="71"/>
      <c r="AB23" s="71"/>
      <c r="AC23" s="67"/>
      <c r="AD23" s="67"/>
      <c r="AE23" s="67"/>
      <c r="AF23" s="86"/>
      <c r="AG23" s="67"/>
      <c r="AH23" s="67"/>
      <c r="AI23" s="472"/>
      <c r="AJ23" s="67"/>
      <c r="AK23" s="472"/>
      <c r="AL23" s="67"/>
      <c r="AM23" s="67"/>
      <c r="AN23" s="67"/>
      <c r="AO23" s="67"/>
      <c r="AP23" s="67"/>
      <c r="AQ23" s="71"/>
      <c r="AR23" s="71"/>
      <c r="AS23" s="71"/>
      <c r="AT23" s="71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71"/>
      <c r="BW23" s="78"/>
      <c r="BX23" s="78"/>
      <c r="BY23" s="71"/>
      <c r="BZ23" s="71"/>
      <c r="CA23" s="78"/>
      <c r="CB23" s="78"/>
      <c r="CC23" s="71"/>
      <c r="CD23" s="71"/>
      <c r="CE23" s="78"/>
      <c r="CF23" s="78"/>
      <c r="CG23" s="71"/>
      <c r="CH23" s="71"/>
      <c r="CI23" s="71"/>
      <c r="CJ23" s="78"/>
      <c r="CK23" s="78"/>
      <c r="CL23" s="81"/>
      <c r="CM23" s="71"/>
      <c r="CN23" s="218"/>
      <c r="CO23" s="218"/>
      <c r="CP23" s="218"/>
      <c r="CQ23" s="218"/>
      <c r="CR23" s="218"/>
      <c r="CS23" s="218"/>
      <c r="CT23" s="218"/>
      <c r="CU23" s="218"/>
      <c r="CV23" s="218"/>
      <c r="CW23" s="218"/>
      <c r="CX23" s="218"/>
      <c r="CY23" s="218"/>
      <c r="CZ23" s="218"/>
      <c r="DA23" s="218"/>
      <c r="DB23" s="218"/>
      <c r="DC23" s="218"/>
      <c r="DD23" s="218"/>
      <c r="DE23" s="218"/>
      <c r="DF23" s="218"/>
    </row>
    <row r="24" spans="1:110" s="88" customFormat="1" ht="18" hidden="1" outlineLevel="1" x14ac:dyDescent="0.25">
      <c r="A24" s="218"/>
      <c r="B24" s="89">
        <v>8</v>
      </c>
      <c r="C24" s="90" t="s">
        <v>246</v>
      </c>
      <c r="D24" s="288">
        <f t="shared" ref="D24:D41" si="4">D23+10000</f>
        <v>70000</v>
      </c>
      <c r="E24" s="172" t="s">
        <v>105</v>
      </c>
      <c r="F24" s="350"/>
      <c r="G24" s="379">
        <v>20</v>
      </c>
      <c r="H24" s="206">
        <f t="shared" si="1"/>
        <v>8267</v>
      </c>
      <c r="I24" s="206">
        <f t="shared" si="2"/>
        <v>36</v>
      </c>
      <c r="J24" s="207">
        <f>IFERROR(Tabelle2[[#This Row],[€]]/Tabelle2[[#This Row],[Backer]],"")</f>
        <v>229.63888888888889</v>
      </c>
      <c r="K24" s="92"/>
      <c r="L24" s="337"/>
      <c r="M24" s="337"/>
      <c r="N24" s="337"/>
      <c r="O24" s="371"/>
      <c r="P24" s="92"/>
      <c r="Q24" s="211"/>
      <c r="R24" s="211"/>
      <c r="S24" s="193"/>
      <c r="T24" s="92"/>
      <c r="U24" s="71"/>
      <c r="V24" s="71"/>
      <c r="W24" s="71"/>
      <c r="X24" s="71"/>
      <c r="Y24" s="71"/>
      <c r="Z24" s="71"/>
      <c r="AA24" s="71"/>
      <c r="AB24" s="71"/>
      <c r="AC24" s="67"/>
      <c r="AD24" s="67"/>
      <c r="AE24" s="67"/>
      <c r="AF24" s="86"/>
      <c r="AG24" s="67"/>
      <c r="AH24" s="67"/>
      <c r="AI24" s="472"/>
      <c r="AJ24" s="67"/>
      <c r="AK24" s="472"/>
      <c r="AL24" s="67"/>
      <c r="AM24" s="67"/>
      <c r="AN24" s="67"/>
      <c r="AO24" s="67"/>
      <c r="AP24" s="67"/>
      <c r="AQ24" s="71"/>
      <c r="AR24" s="71"/>
      <c r="AS24" s="71"/>
      <c r="AT24" s="71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71"/>
      <c r="BW24" s="78"/>
      <c r="BX24" s="78"/>
      <c r="BY24" s="71"/>
      <c r="BZ24" s="71"/>
      <c r="CA24" s="78"/>
      <c r="CB24" s="78"/>
      <c r="CC24" s="71"/>
      <c r="CD24" s="71"/>
      <c r="CE24" s="78"/>
      <c r="CF24" s="78"/>
      <c r="CG24" s="71"/>
      <c r="CH24" s="71"/>
      <c r="CI24" s="71"/>
      <c r="CJ24" s="78"/>
      <c r="CK24" s="78"/>
      <c r="CL24" s="81"/>
      <c r="CM24" s="71"/>
      <c r="CN24" s="218"/>
      <c r="CO24" s="218"/>
      <c r="CP24" s="218"/>
      <c r="CQ24" s="218"/>
      <c r="CR24" s="218"/>
      <c r="CS24" s="218"/>
      <c r="CT24" s="218"/>
      <c r="CU24" s="218"/>
      <c r="CV24" s="218"/>
      <c r="CW24" s="218"/>
      <c r="CX24" s="218"/>
      <c r="CY24" s="218"/>
      <c r="CZ24" s="218"/>
      <c r="DA24" s="218"/>
      <c r="DB24" s="218"/>
      <c r="DC24" s="218"/>
      <c r="DD24" s="218"/>
      <c r="DE24" s="218"/>
      <c r="DF24" s="218"/>
    </row>
    <row r="25" spans="1:110" s="88" customFormat="1" ht="18" hidden="1" outlineLevel="1" x14ac:dyDescent="0.25">
      <c r="A25" s="218"/>
      <c r="B25" s="89">
        <v>9</v>
      </c>
      <c r="C25" s="90" t="s">
        <v>247</v>
      </c>
      <c r="D25" s="288">
        <f t="shared" si="4"/>
        <v>80000</v>
      </c>
      <c r="E25" s="149" t="s">
        <v>29</v>
      </c>
      <c r="F25" s="350"/>
      <c r="G25" s="379">
        <v>17</v>
      </c>
      <c r="H25" s="206">
        <f t="shared" si="1"/>
        <v>6973</v>
      </c>
      <c r="I25" s="206">
        <f t="shared" si="2"/>
        <v>28</v>
      </c>
      <c r="J25" s="207">
        <f>IFERROR(Tabelle2[[#This Row],[€]]/Tabelle2[[#This Row],[Backer]],"")</f>
        <v>249.03571428571428</v>
      </c>
      <c r="K25" s="92"/>
      <c r="L25" s="337"/>
      <c r="M25" s="337"/>
      <c r="N25" s="337"/>
      <c r="O25" s="371"/>
      <c r="P25" s="92"/>
      <c r="Q25" s="211"/>
      <c r="R25" s="211"/>
      <c r="S25" s="193"/>
      <c r="T25" s="92"/>
      <c r="U25" s="71"/>
      <c r="V25" s="71"/>
      <c r="W25" s="71"/>
      <c r="X25" s="71"/>
      <c r="Y25" s="71"/>
      <c r="Z25" s="71"/>
      <c r="AA25" s="71"/>
      <c r="AB25" s="71"/>
      <c r="AC25" s="67"/>
      <c r="AD25" s="67"/>
      <c r="AE25" s="67"/>
      <c r="AF25" s="86"/>
      <c r="AG25" s="67"/>
      <c r="AH25" s="67"/>
      <c r="AI25" s="472"/>
      <c r="AJ25" s="67"/>
      <c r="AK25" s="472"/>
      <c r="AL25" s="67"/>
      <c r="AM25" s="67"/>
      <c r="AN25" s="67"/>
      <c r="AO25" s="67"/>
      <c r="AP25" s="67"/>
      <c r="AQ25" s="71"/>
      <c r="AR25" s="71"/>
      <c r="AS25" s="71"/>
      <c r="AT25" s="71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7"/>
      <c r="BM25" s="67"/>
      <c r="BN25" s="67"/>
      <c r="BO25" s="67"/>
      <c r="BP25" s="67"/>
      <c r="BQ25" s="67"/>
      <c r="BR25" s="67"/>
      <c r="BS25" s="67"/>
      <c r="BT25" s="67"/>
      <c r="BU25" s="67"/>
      <c r="BV25" s="71"/>
      <c r="BW25" s="78"/>
      <c r="BX25" s="78"/>
      <c r="BY25" s="71"/>
      <c r="BZ25" s="71"/>
      <c r="CA25" s="78"/>
      <c r="CB25" s="78"/>
      <c r="CC25" s="71"/>
      <c r="CD25" s="71"/>
      <c r="CE25" s="78"/>
      <c r="CF25" s="78"/>
      <c r="CG25" s="71"/>
      <c r="CH25" s="71"/>
      <c r="CI25" s="71"/>
      <c r="CJ25" s="78"/>
      <c r="CK25" s="78"/>
      <c r="CL25" s="81"/>
      <c r="CM25" s="71"/>
      <c r="CN25" s="218"/>
      <c r="CO25" s="218"/>
      <c r="CP25" s="218"/>
      <c r="CQ25" s="218"/>
      <c r="CR25" s="218"/>
      <c r="CS25" s="218"/>
      <c r="CT25" s="218"/>
      <c r="CU25" s="218"/>
      <c r="CV25" s="218"/>
      <c r="CW25" s="218"/>
      <c r="CX25" s="218"/>
      <c r="CY25" s="218"/>
      <c r="CZ25" s="218"/>
      <c r="DA25" s="218"/>
      <c r="DB25" s="218"/>
      <c r="DC25" s="218"/>
      <c r="DD25" s="218"/>
      <c r="DE25" s="218"/>
      <c r="DF25" s="218"/>
    </row>
    <row r="26" spans="1:110" s="407" customFormat="1" ht="18" hidden="1" outlineLevel="1" x14ac:dyDescent="0.25">
      <c r="A26" s="400"/>
      <c r="B26" s="89">
        <v>10</v>
      </c>
      <c r="C26" s="90" t="s">
        <v>248</v>
      </c>
      <c r="D26" s="288">
        <f t="shared" si="4"/>
        <v>90000</v>
      </c>
      <c r="E26" s="149" t="s">
        <v>28</v>
      </c>
      <c r="F26" s="401"/>
      <c r="G26" s="379">
        <v>4</v>
      </c>
      <c r="H26" s="206">
        <f t="shared" si="1"/>
        <v>6837</v>
      </c>
      <c r="I26" s="206">
        <f t="shared" si="2"/>
        <v>28</v>
      </c>
      <c r="J26" s="207">
        <f>IFERROR(Tabelle2[[#This Row],[€]]/Tabelle2[[#This Row],[Backer]],"")</f>
        <v>244.17857142857142</v>
      </c>
      <c r="K26" s="402"/>
      <c r="L26" s="402"/>
      <c r="M26" s="402"/>
      <c r="N26" s="402"/>
      <c r="O26" s="403"/>
      <c r="P26" s="402"/>
      <c r="Q26" s="211"/>
      <c r="R26" s="211"/>
      <c r="S26" s="404"/>
      <c r="T26" s="402"/>
      <c r="U26" s="94"/>
      <c r="V26" s="94"/>
      <c r="W26" s="94"/>
      <c r="X26" s="94"/>
      <c r="Y26" s="94"/>
      <c r="Z26" s="94"/>
      <c r="AA26" s="94"/>
      <c r="AB26" s="94"/>
      <c r="AC26" s="147"/>
      <c r="AD26" s="147"/>
      <c r="AE26" s="147"/>
      <c r="AF26" s="405"/>
      <c r="AG26" s="147"/>
      <c r="AH26" s="147"/>
      <c r="AI26" s="473"/>
      <c r="AJ26" s="147"/>
      <c r="AK26" s="473"/>
      <c r="AL26" s="147"/>
      <c r="AM26" s="147"/>
      <c r="AN26" s="147"/>
      <c r="AO26" s="147"/>
      <c r="AP26" s="147"/>
      <c r="AQ26" s="94"/>
      <c r="AR26" s="94"/>
      <c r="AS26" s="94"/>
      <c r="AT26" s="94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94"/>
      <c r="BW26" s="406"/>
      <c r="BX26" s="406"/>
      <c r="BY26" s="94"/>
      <c r="BZ26" s="94"/>
      <c r="CA26" s="406"/>
      <c r="CB26" s="406"/>
      <c r="CC26" s="94"/>
      <c r="CD26" s="94"/>
      <c r="CE26" s="406"/>
      <c r="CF26" s="406"/>
      <c r="CG26" s="94"/>
      <c r="CH26" s="94"/>
      <c r="CI26" s="94"/>
      <c r="CJ26" s="406"/>
      <c r="CK26" s="406"/>
      <c r="CL26" s="139"/>
      <c r="CM26" s="94"/>
      <c r="CN26" s="400"/>
      <c r="CO26" s="400"/>
      <c r="CP26" s="400"/>
      <c r="CQ26" s="400"/>
      <c r="CR26" s="400"/>
      <c r="CS26" s="400"/>
      <c r="CT26" s="400"/>
      <c r="CU26" s="400"/>
      <c r="CV26" s="400"/>
      <c r="CW26" s="400"/>
      <c r="CX26" s="400"/>
      <c r="CY26" s="400"/>
      <c r="CZ26" s="400"/>
      <c r="DA26" s="400"/>
      <c r="DB26" s="400"/>
      <c r="DC26" s="400"/>
      <c r="DD26" s="400"/>
      <c r="DE26" s="400"/>
      <c r="DF26" s="400"/>
    </row>
    <row r="27" spans="1:110" s="407" customFormat="1" ht="18" hidden="1" outlineLevel="1" x14ac:dyDescent="0.25">
      <c r="A27" s="400"/>
      <c r="B27" s="89">
        <v>11</v>
      </c>
      <c r="C27" s="90" t="s">
        <v>249</v>
      </c>
      <c r="D27" s="288">
        <f t="shared" si="4"/>
        <v>100000</v>
      </c>
      <c r="E27" s="149" t="s">
        <v>30</v>
      </c>
      <c r="F27" s="401"/>
      <c r="G27" s="379">
        <v>13</v>
      </c>
      <c r="H27" s="206">
        <f t="shared" si="1"/>
        <v>6687</v>
      </c>
      <c r="I27" s="206">
        <f t="shared" si="2"/>
        <v>26</v>
      </c>
      <c r="J27" s="207">
        <f>IFERROR(Tabelle2[[#This Row],[€]]/Tabelle2[[#This Row],[Backer]],"")</f>
        <v>257.19230769230768</v>
      </c>
      <c r="K27" s="402"/>
      <c r="L27" s="402"/>
      <c r="M27" s="402"/>
      <c r="N27" s="402"/>
      <c r="O27" s="403"/>
      <c r="P27" s="402"/>
      <c r="Q27" s="211"/>
      <c r="R27" s="211"/>
      <c r="S27" s="404"/>
      <c r="T27" s="402"/>
      <c r="U27" s="94"/>
      <c r="V27" s="94"/>
      <c r="W27" s="94"/>
      <c r="X27" s="94"/>
      <c r="Y27" s="94"/>
      <c r="Z27" s="94"/>
      <c r="AA27" s="94"/>
      <c r="AB27" s="94"/>
      <c r="AC27" s="147"/>
      <c r="AD27" s="147"/>
      <c r="AE27" s="147"/>
      <c r="AF27" s="405"/>
      <c r="AG27" s="147"/>
      <c r="AH27" s="147"/>
      <c r="AI27" s="473"/>
      <c r="AJ27" s="147"/>
      <c r="AK27" s="473"/>
      <c r="AL27" s="147"/>
      <c r="AM27" s="147"/>
      <c r="AN27" s="147"/>
      <c r="AO27" s="147"/>
      <c r="AP27" s="147"/>
      <c r="AQ27" s="94"/>
      <c r="AR27" s="94"/>
      <c r="AS27" s="94"/>
      <c r="AT27" s="94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94"/>
      <c r="BW27" s="406"/>
      <c r="BX27" s="406"/>
      <c r="BY27" s="94"/>
      <c r="BZ27" s="94"/>
      <c r="CA27" s="406"/>
      <c r="CB27" s="406"/>
      <c r="CC27" s="94"/>
      <c r="CD27" s="94"/>
      <c r="CE27" s="406"/>
      <c r="CF27" s="406"/>
      <c r="CG27" s="94"/>
      <c r="CH27" s="94"/>
      <c r="CI27" s="94"/>
      <c r="CJ27" s="406"/>
      <c r="CK27" s="406"/>
      <c r="CL27" s="139"/>
      <c r="CM27" s="94"/>
      <c r="CN27" s="400"/>
      <c r="CO27" s="400"/>
      <c r="CP27" s="400"/>
      <c r="CQ27" s="400"/>
      <c r="CR27" s="400"/>
      <c r="CS27" s="400"/>
      <c r="CT27" s="400"/>
      <c r="CU27" s="400"/>
      <c r="CV27" s="400"/>
      <c r="CW27" s="400"/>
      <c r="CX27" s="400"/>
      <c r="CY27" s="400"/>
      <c r="CZ27" s="400"/>
      <c r="DA27" s="400"/>
      <c r="DB27" s="400"/>
      <c r="DC27" s="400"/>
      <c r="DD27" s="400"/>
      <c r="DE27" s="400"/>
      <c r="DF27" s="400"/>
    </row>
    <row r="28" spans="1:110" s="407" customFormat="1" ht="18" hidden="1" outlineLevel="1" x14ac:dyDescent="0.25">
      <c r="A28" s="400"/>
      <c r="B28" s="89">
        <v>12</v>
      </c>
      <c r="C28" s="90" t="s">
        <v>270</v>
      </c>
      <c r="D28" s="288">
        <f t="shared" si="4"/>
        <v>110000</v>
      </c>
      <c r="E28" s="149" t="s">
        <v>106</v>
      </c>
      <c r="F28" s="401"/>
      <c r="G28" s="379">
        <v>18</v>
      </c>
      <c r="H28" s="206">
        <f t="shared" si="1"/>
        <v>6473</v>
      </c>
      <c r="I28" s="206">
        <f t="shared" si="2"/>
        <v>24</v>
      </c>
      <c r="J28" s="207">
        <f>IFERROR(Tabelle2[[#This Row],[€]]/Tabelle2[[#This Row],[Backer]],"")</f>
        <v>269.70833333333331</v>
      </c>
      <c r="K28" s="402"/>
      <c r="L28" s="402"/>
      <c r="M28" s="402"/>
      <c r="N28" s="402"/>
      <c r="O28" s="403"/>
      <c r="P28" s="402"/>
      <c r="Q28" s="211"/>
      <c r="R28" s="211"/>
      <c r="S28" s="404"/>
      <c r="T28" s="402"/>
      <c r="U28" s="94"/>
      <c r="V28" s="94"/>
      <c r="W28" s="94"/>
      <c r="X28" s="94"/>
      <c r="Y28" s="94"/>
      <c r="Z28" s="94"/>
      <c r="AA28" s="94"/>
      <c r="AB28" s="94"/>
      <c r="AC28" s="147"/>
      <c r="AD28" s="147"/>
      <c r="AE28" s="147"/>
      <c r="AF28" s="405"/>
      <c r="AG28" s="147"/>
      <c r="AH28" s="147"/>
      <c r="AI28" s="473"/>
      <c r="AJ28" s="147"/>
      <c r="AK28" s="473"/>
      <c r="AL28" s="147"/>
      <c r="AM28" s="147"/>
      <c r="AN28" s="147"/>
      <c r="AO28" s="147"/>
      <c r="AP28" s="147"/>
      <c r="AQ28" s="94"/>
      <c r="AR28" s="94"/>
      <c r="AS28" s="94"/>
      <c r="AT28" s="94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94"/>
      <c r="BW28" s="406"/>
      <c r="BX28" s="406"/>
      <c r="BY28" s="94"/>
      <c r="BZ28" s="94"/>
      <c r="CA28" s="406"/>
      <c r="CB28" s="406"/>
      <c r="CC28" s="94"/>
      <c r="CD28" s="94"/>
      <c r="CE28" s="406"/>
      <c r="CF28" s="406"/>
      <c r="CG28" s="94"/>
      <c r="CH28" s="94"/>
      <c r="CI28" s="94"/>
      <c r="CJ28" s="406"/>
      <c r="CK28" s="406"/>
      <c r="CL28" s="139"/>
      <c r="CM28" s="94"/>
      <c r="CN28" s="400"/>
      <c r="CO28" s="400"/>
      <c r="CP28" s="400"/>
      <c r="CQ28" s="400"/>
      <c r="CR28" s="400"/>
      <c r="CS28" s="400"/>
      <c r="CT28" s="400"/>
      <c r="CU28" s="400"/>
      <c r="CV28" s="400"/>
      <c r="CW28" s="400"/>
      <c r="CX28" s="400"/>
      <c r="CY28" s="400"/>
      <c r="CZ28" s="400"/>
      <c r="DA28" s="400"/>
      <c r="DB28" s="400"/>
      <c r="DC28" s="400"/>
      <c r="DD28" s="400"/>
      <c r="DE28" s="400"/>
      <c r="DF28" s="400"/>
    </row>
    <row r="29" spans="1:110" s="342" customFormat="1" ht="18" hidden="1" outlineLevel="1" x14ac:dyDescent="0.25">
      <c r="A29" s="336"/>
      <c r="B29" s="89">
        <v>13</v>
      </c>
      <c r="C29" s="90" t="s">
        <v>271</v>
      </c>
      <c r="D29" s="288">
        <f t="shared" si="4"/>
        <v>120000</v>
      </c>
      <c r="E29" s="149" t="s">
        <v>34</v>
      </c>
      <c r="F29" s="350"/>
      <c r="G29" s="379">
        <v>14</v>
      </c>
      <c r="H29" s="206">
        <f t="shared" si="1"/>
        <v>6236</v>
      </c>
      <c r="I29" s="206">
        <f t="shared" si="2"/>
        <v>26</v>
      </c>
      <c r="J29" s="207">
        <f>IFERROR(Tabelle2[[#This Row],[€]]/Tabelle2[[#This Row],[Backer]],"")</f>
        <v>239.84615384615384</v>
      </c>
      <c r="K29" s="337"/>
      <c r="L29" s="337"/>
      <c r="M29" s="337"/>
      <c r="N29" s="337"/>
      <c r="O29" s="371"/>
      <c r="P29" s="337"/>
      <c r="Q29" s="211"/>
      <c r="R29" s="211"/>
      <c r="S29" s="338"/>
      <c r="T29" s="337"/>
      <c r="U29" s="339"/>
      <c r="V29" s="339"/>
      <c r="W29" s="339"/>
      <c r="X29" s="339"/>
      <c r="Y29" s="339"/>
      <c r="Z29" s="339"/>
      <c r="AA29" s="339"/>
      <c r="AB29" s="339"/>
      <c r="AC29" s="149"/>
      <c r="AD29" s="149"/>
      <c r="AE29" s="149"/>
      <c r="AF29" s="340"/>
      <c r="AG29" s="149"/>
      <c r="AH29" s="149"/>
      <c r="AI29" s="474"/>
      <c r="AJ29" s="149"/>
      <c r="AK29" s="474"/>
      <c r="AL29" s="149"/>
      <c r="AM29" s="149"/>
      <c r="AN29" s="149"/>
      <c r="AO29" s="149"/>
      <c r="AP29" s="149"/>
      <c r="AQ29" s="339"/>
      <c r="AR29" s="339"/>
      <c r="AS29" s="339"/>
      <c r="AT29" s="33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  <c r="BT29" s="149"/>
      <c r="BU29" s="149"/>
      <c r="BV29" s="339"/>
      <c r="BW29" s="341"/>
      <c r="BX29" s="341"/>
      <c r="BY29" s="339"/>
      <c r="BZ29" s="339"/>
      <c r="CA29" s="341"/>
      <c r="CB29" s="341"/>
      <c r="CC29" s="339"/>
      <c r="CD29" s="339"/>
      <c r="CE29" s="341"/>
      <c r="CF29" s="341"/>
      <c r="CG29" s="339"/>
      <c r="CH29" s="339"/>
      <c r="CI29" s="339"/>
      <c r="CJ29" s="341"/>
      <c r="CK29" s="341"/>
      <c r="CL29" s="161"/>
      <c r="CM29" s="339"/>
      <c r="CN29" s="336"/>
      <c r="CO29" s="336"/>
      <c r="CP29" s="336"/>
      <c r="CQ29" s="336"/>
      <c r="CR29" s="336"/>
      <c r="CS29" s="336"/>
      <c r="CT29" s="336"/>
      <c r="CU29" s="336"/>
      <c r="CV29" s="336"/>
      <c r="CW29" s="336"/>
      <c r="CX29" s="336"/>
      <c r="CY29" s="336"/>
      <c r="CZ29" s="336"/>
      <c r="DA29" s="336"/>
      <c r="DB29" s="336"/>
      <c r="DC29" s="336"/>
      <c r="DD29" s="336"/>
      <c r="DE29" s="336"/>
      <c r="DF29" s="336"/>
    </row>
    <row r="30" spans="1:110" s="342" customFormat="1" ht="18" hidden="1" outlineLevel="1" x14ac:dyDescent="0.25">
      <c r="A30" s="336"/>
      <c r="B30" s="89">
        <v>14</v>
      </c>
      <c r="C30" s="90" t="s">
        <v>367</v>
      </c>
      <c r="D30" s="288">
        <f t="shared" si="4"/>
        <v>130000</v>
      </c>
      <c r="E30" s="149" t="s">
        <v>107</v>
      </c>
      <c r="F30" s="350"/>
      <c r="G30" s="379">
        <v>7</v>
      </c>
      <c r="H30" s="206">
        <f t="shared" si="1"/>
        <v>3515</v>
      </c>
      <c r="I30" s="206">
        <f t="shared" si="2"/>
        <v>15</v>
      </c>
      <c r="J30" s="207">
        <f>IFERROR(Tabelle2[[#This Row],[€]]/Tabelle2[[#This Row],[Backer]],"")</f>
        <v>234.33333333333334</v>
      </c>
      <c r="K30" s="337"/>
      <c r="L30" s="337"/>
      <c r="M30" s="337"/>
      <c r="N30" s="337"/>
      <c r="O30" s="371"/>
      <c r="P30" s="337"/>
      <c r="Q30" s="211"/>
      <c r="R30" s="211"/>
      <c r="S30" s="338"/>
      <c r="T30" s="337"/>
      <c r="U30" s="339"/>
      <c r="V30" s="339"/>
      <c r="W30" s="339"/>
      <c r="X30" s="339"/>
      <c r="Y30" s="339"/>
      <c r="Z30" s="339"/>
      <c r="AA30" s="339"/>
      <c r="AB30" s="339"/>
      <c r="AC30" s="149"/>
      <c r="AD30" s="149"/>
      <c r="AE30" s="149"/>
      <c r="AF30" s="340"/>
      <c r="AG30" s="149"/>
      <c r="AH30" s="149"/>
      <c r="AI30" s="474"/>
      <c r="AJ30" s="149"/>
      <c r="AK30" s="474"/>
      <c r="AL30" s="149"/>
      <c r="AM30" s="149"/>
      <c r="AN30" s="149"/>
      <c r="AO30" s="149"/>
      <c r="AP30" s="149"/>
      <c r="AQ30" s="339"/>
      <c r="AR30" s="339"/>
      <c r="AS30" s="339"/>
      <c r="AT30" s="33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9"/>
      <c r="BS30" s="149"/>
      <c r="BT30" s="149"/>
      <c r="BU30" s="149"/>
      <c r="BV30" s="339"/>
      <c r="BW30" s="341"/>
      <c r="BX30" s="341"/>
      <c r="BY30" s="339"/>
      <c r="BZ30" s="339"/>
      <c r="CA30" s="341"/>
      <c r="CB30" s="341"/>
      <c r="CC30" s="339"/>
      <c r="CD30" s="339"/>
      <c r="CE30" s="341"/>
      <c r="CF30" s="341"/>
      <c r="CG30" s="339"/>
      <c r="CH30" s="339"/>
      <c r="CI30" s="339"/>
      <c r="CJ30" s="341"/>
      <c r="CK30" s="341"/>
      <c r="CL30" s="161"/>
      <c r="CM30" s="339"/>
      <c r="CN30" s="336"/>
      <c r="CO30" s="336"/>
      <c r="CP30" s="336"/>
      <c r="CQ30" s="336"/>
      <c r="CR30" s="336"/>
      <c r="CS30" s="336"/>
      <c r="CT30" s="336"/>
      <c r="CU30" s="336"/>
      <c r="CV30" s="336"/>
      <c r="CW30" s="336"/>
      <c r="CX30" s="336"/>
      <c r="CY30" s="336"/>
      <c r="CZ30" s="336"/>
      <c r="DA30" s="336"/>
      <c r="DB30" s="336"/>
      <c r="DC30" s="336"/>
      <c r="DD30" s="336"/>
      <c r="DE30" s="336"/>
      <c r="DF30" s="336"/>
    </row>
    <row r="31" spans="1:110" s="342" customFormat="1" ht="18" hidden="1" outlineLevel="1" x14ac:dyDescent="0.25">
      <c r="A31" s="336"/>
      <c r="B31" s="89">
        <v>15</v>
      </c>
      <c r="C31" s="90" t="s">
        <v>368</v>
      </c>
      <c r="D31" s="288">
        <f t="shared" si="4"/>
        <v>140000</v>
      </c>
      <c r="E31" s="149" t="s">
        <v>35</v>
      </c>
      <c r="F31" s="350"/>
      <c r="G31" s="379">
        <v>10</v>
      </c>
      <c r="H31" s="206">
        <f t="shared" si="1"/>
        <v>3500</v>
      </c>
      <c r="I31" s="206">
        <f t="shared" si="2"/>
        <v>14</v>
      </c>
      <c r="J31" s="207">
        <f>IFERROR(Tabelle2[[#This Row],[€]]/Tabelle2[[#This Row],[Backer]],"")</f>
        <v>250</v>
      </c>
      <c r="K31" s="337"/>
      <c r="L31" s="337"/>
      <c r="M31" s="337"/>
      <c r="N31" s="337"/>
      <c r="O31" s="371"/>
      <c r="P31" s="337"/>
      <c r="Q31" s="211"/>
      <c r="R31" s="211"/>
      <c r="S31" s="338"/>
      <c r="T31" s="337"/>
      <c r="U31" s="339"/>
      <c r="V31" s="339"/>
      <c r="W31" s="339"/>
      <c r="X31" s="339"/>
      <c r="Y31" s="339"/>
      <c r="Z31" s="339"/>
      <c r="AA31" s="339"/>
      <c r="AB31" s="339"/>
      <c r="AC31" s="149"/>
      <c r="AD31" s="149"/>
      <c r="AE31" s="149"/>
      <c r="AF31" s="340"/>
      <c r="AG31" s="149"/>
      <c r="AH31" s="149"/>
      <c r="AI31" s="474"/>
      <c r="AJ31" s="149"/>
      <c r="AK31" s="474"/>
      <c r="AL31" s="149"/>
      <c r="AM31" s="149"/>
      <c r="AN31" s="149"/>
      <c r="AO31" s="149"/>
      <c r="AP31" s="149"/>
      <c r="AQ31" s="339"/>
      <c r="AR31" s="339"/>
      <c r="AS31" s="339"/>
      <c r="AT31" s="33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  <c r="BP31" s="149"/>
      <c r="BQ31" s="149"/>
      <c r="BR31" s="149"/>
      <c r="BS31" s="149"/>
      <c r="BT31" s="149"/>
      <c r="BU31" s="149"/>
      <c r="BV31" s="339"/>
      <c r="BW31" s="341"/>
      <c r="BX31" s="341"/>
      <c r="BY31" s="339"/>
      <c r="BZ31" s="339"/>
      <c r="CA31" s="341"/>
      <c r="CB31" s="341"/>
      <c r="CC31" s="339"/>
      <c r="CD31" s="339"/>
      <c r="CE31" s="341"/>
      <c r="CF31" s="341"/>
      <c r="CG31" s="339"/>
      <c r="CH31" s="339"/>
      <c r="CI31" s="339"/>
      <c r="CJ31" s="341"/>
      <c r="CK31" s="341"/>
      <c r="CL31" s="161"/>
      <c r="CM31" s="339"/>
      <c r="CN31" s="336"/>
      <c r="CO31" s="336"/>
      <c r="CP31" s="336"/>
      <c r="CQ31" s="336"/>
      <c r="CR31" s="336"/>
      <c r="CS31" s="336"/>
      <c r="CT31" s="336"/>
      <c r="CU31" s="336"/>
      <c r="CV31" s="336"/>
      <c r="CW31" s="336"/>
      <c r="CX31" s="336"/>
      <c r="CY31" s="336"/>
      <c r="CZ31" s="336"/>
      <c r="DA31" s="336"/>
      <c r="DB31" s="336"/>
      <c r="DC31" s="336"/>
      <c r="DD31" s="336"/>
      <c r="DE31" s="336"/>
      <c r="DF31" s="336"/>
    </row>
    <row r="32" spans="1:110" s="342" customFormat="1" ht="18" hidden="1" outlineLevel="1" x14ac:dyDescent="0.25">
      <c r="A32" s="336"/>
      <c r="B32" s="89">
        <v>16</v>
      </c>
      <c r="C32" s="90" t="s">
        <v>369</v>
      </c>
      <c r="D32" s="288">
        <f t="shared" si="4"/>
        <v>150000</v>
      </c>
      <c r="E32" s="149" t="s">
        <v>108</v>
      </c>
      <c r="F32" s="350"/>
      <c r="G32" s="379">
        <v>12</v>
      </c>
      <c r="H32" s="206">
        <f t="shared" si="1"/>
        <v>3387</v>
      </c>
      <c r="I32" s="206">
        <f t="shared" si="2"/>
        <v>16</v>
      </c>
      <c r="J32" s="207">
        <f>IFERROR(Tabelle2[[#This Row],[€]]/Tabelle2[[#This Row],[Backer]],"")</f>
        <v>211.6875</v>
      </c>
      <c r="K32" s="337"/>
      <c r="L32" s="337"/>
      <c r="M32" s="337"/>
      <c r="N32" s="337"/>
      <c r="O32" s="371"/>
      <c r="P32" s="337"/>
      <c r="Q32" s="211"/>
      <c r="R32" s="211"/>
      <c r="S32" s="338"/>
      <c r="T32" s="337"/>
      <c r="U32" s="339"/>
      <c r="V32" s="339"/>
      <c r="W32" s="339"/>
      <c r="X32" s="339"/>
      <c r="Y32" s="339"/>
      <c r="Z32" s="339"/>
      <c r="AA32" s="339"/>
      <c r="AB32" s="339"/>
      <c r="AC32" s="149"/>
      <c r="AD32" s="149"/>
      <c r="AE32" s="149"/>
      <c r="AF32" s="340"/>
      <c r="AG32" s="149"/>
      <c r="AH32" s="149"/>
      <c r="AI32" s="474"/>
      <c r="AJ32" s="149"/>
      <c r="AK32" s="474"/>
      <c r="AL32" s="149"/>
      <c r="AM32" s="149"/>
      <c r="AN32" s="149"/>
      <c r="AO32" s="149"/>
      <c r="AP32" s="149"/>
      <c r="AQ32" s="339"/>
      <c r="AR32" s="339"/>
      <c r="AS32" s="339"/>
      <c r="AT32" s="33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9"/>
      <c r="BS32" s="149"/>
      <c r="BT32" s="149"/>
      <c r="BU32" s="149"/>
      <c r="BV32" s="339"/>
      <c r="BW32" s="341"/>
      <c r="BX32" s="341"/>
      <c r="BY32" s="339"/>
      <c r="BZ32" s="339"/>
      <c r="CA32" s="341"/>
      <c r="CB32" s="341"/>
      <c r="CC32" s="339"/>
      <c r="CD32" s="339"/>
      <c r="CE32" s="341"/>
      <c r="CF32" s="341"/>
      <c r="CG32" s="339"/>
      <c r="CH32" s="339"/>
      <c r="CI32" s="339"/>
      <c r="CJ32" s="341"/>
      <c r="CK32" s="341"/>
      <c r="CL32" s="161"/>
      <c r="CM32" s="339"/>
      <c r="CN32" s="336"/>
      <c r="CO32" s="336"/>
      <c r="CP32" s="336"/>
      <c r="CQ32" s="336"/>
      <c r="CR32" s="336"/>
      <c r="CS32" s="336"/>
      <c r="CT32" s="336"/>
      <c r="CU32" s="336"/>
      <c r="CV32" s="336"/>
      <c r="CW32" s="336"/>
      <c r="CX32" s="336"/>
      <c r="CY32" s="336"/>
      <c r="CZ32" s="336"/>
      <c r="DA32" s="336"/>
      <c r="DB32" s="336"/>
      <c r="DC32" s="336"/>
      <c r="DD32" s="336"/>
      <c r="DE32" s="336"/>
      <c r="DF32" s="336"/>
    </row>
    <row r="33" spans="1:110" s="342" customFormat="1" ht="18" hidden="1" outlineLevel="1" x14ac:dyDescent="0.25">
      <c r="A33" s="336"/>
      <c r="B33" s="89">
        <v>17</v>
      </c>
      <c r="C33" s="90" t="s">
        <v>374</v>
      </c>
      <c r="D33" s="288">
        <f t="shared" si="4"/>
        <v>160000</v>
      </c>
      <c r="E33" s="149" t="s">
        <v>109</v>
      </c>
      <c r="F33" s="350"/>
      <c r="G33" s="379">
        <v>8</v>
      </c>
      <c r="H33" s="206">
        <f t="shared" si="1"/>
        <v>3337</v>
      </c>
      <c r="I33" s="206">
        <f t="shared" si="2"/>
        <v>16</v>
      </c>
      <c r="J33" s="207">
        <f>IFERROR(Tabelle2[[#This Row],[€]]/Tabelle2[[#This Row],[Backer]],"")</f>
        <v>208.5625</v>
      </c>
      <c r="K33" s="337"/>
      <c r="L33" s="337"/>
      <c r="M33" s="337"/>
      <c r="N33" s="337"/>
      <c r="O33" s="371"/>
      <c r="P33" s="337"/>
      <c r="Q33" s="211"/>
      <c r="R33" s="211"/>
      <c r="S33" s="338"/>
      <c r="T33" s="337"/>
      <c r="U33" s="339"/>
      <c r="V33" s="339"/>
      <c r="W33" s="339"/>
      <c r="X33" s="339"/>
      <c r="Y33" s="339"/>
      <c r="Z33" s="339"/>
      <c r="AA33" s="339"/>
      <c r="AB33" s="339"/>
      <c r="AC33" s="149"/>
      <c r="AD33" s="149"/>
      <c r="AE33" s="149"/>
      <c r="AF33" s="340"/>
      <c r="AG33" s="149"/>
      <c r="AH33" s="149"/>
      <c r="AI33" s="474"/>
      <c r="AJ33" s="149"/>
      <c r="AK33" s="474"/>
      <c r="AL33" s="149"/>
      <c r="AM33" s="149"/>
      <c r="AN33" s="149"/>
      <c r="AO33" s="149"/>
      <c r="AP33" s="149"/>
      <c r="AQ33" s="339"/>
      <c r="AR33" s="339"/>
      <c r="AS33" s="339"/>
      <c r="AT33" s="33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9"/>
      <c r="BT33" s="149"/>
      <c r="BU33" s="149"/>
      <c r="BV33" s="339"/>
      <c r="BW33" s="341"/>
      <c r="BX33" s="341"/>
      <c r="BY33" s="339"/>
      <c r="BZ33" s="339"/>
      <c r="CA33" s="341"/>
      <c r="CB33" s="341"/>
      <c r="CC33" s="339"/>
      <c r="CD33" s="339"/>
      <c r="CE33" s="341"/>
      <c r="CF33" s="341"/>
      <c r="CG33" s="339"/>
      <c r="CH33" s="339"/>
      <c r="CI33" s="339"/>
      <c r="CJ33" s="341"/>
      <c r="CK33" s="341"/>
      <c r="CL33" s="161"/>
      <c r="CM33" s="339"/>
      <c r="CN33" s="336"/>
      <c r="CO33" s="336"/>
      <c r="CP33" s="336"/>
      <c r="CQ33" s="336"/>
      <c r="CR33" s="336"/>
      <c r="CS33" s="336"/>
      <c r="CT33" s="336"/>
      <c r="CU33" s="336"/>
      <c r="CV33" s="336"/>
      <c r="CW33" s="336"/>
      <c r="CX33" s="336"/>
      <c r="CY33" s="336"/>
      <c r="CZ33" s="336"/>
      <c r="DA33" s="336"/>
      <c r="DB33" s="336"/>
      <c r="DC33" s="336"/>
      <c r="DD33" s="336"/>
      <c r="DE33" s="336"/>
      <c r="DF33" s="336"/>
    </row>
    <row r="34" spans="1:110" s="342" customFormat="1" ht="18" hidden="1" outlineLevel="1" x14ac:dyDescent="0.25">
      <c r="A34" s="336"/>
      <c r="B34" s="89">
        <v>18</v>
      </c>
      <c r="C34" s="90" t="s">
        <v>375</v>
      </c>
      <c r="D34" s="288">
        <f t="shared" si="4"/>
        <v>170000</v>
      </c>
      <c r="E34" s="149" t="s">
        <v>110</v>
      </c>
      <c r="F34" s="350"/>
      <c r="G34" s="379">
        <v>9</v>
      </c>
      <c r="H34" s="206">
        <f t="shared" si="1"/>
        <v>3165</v>
      </c>
      <c r="I34" s="206">
        <f t="shared" si="2"/>
        <v>12</v>
      </c>
      <c r="J34" s="207">
        <f>IFERROR(Tabelle2[[#This Row],[€]]/Tabelle2[[#This Row],[Backer]],"")</f>
        <v>263.75</v>
      </c>
      <c r="K34" s="337"/>
      <c r="L34" s="337"/>
      <c r="M34" s="337"/>
      <c r="N34" s="337"/>
      <c r="O34" s="371"/>
      <c r="P34" s="337"/>
      <c r="Q34" s="211"/>
      <c r="R34" s="211"/>
      <c r="S34" s="338"/>
      <c r="T34" s="337"/>
      <c r="U34" s="339"/>
      <c r="V34" s="339"/>
      <c r="W34" s="339"/>
      <c r="X34" s="339"/>
      <c r="Y34" s="339"/>
      <c r="Z34" s="339"/>
      <c r="AA34" s="339"/>
      <c r="AB34" s="339"/>
      <c r="AC34" s="149"/>
      <c r="AD34" s="149"/>
      <c r="AE34" s="149"/>
      <c r="AF34" s="340"/>
      <c r="AG34" s="149"/>
      <c r="AH34" s="149"/>
      <c r="AI34" s="474"/>
      <c r="AJ34" s="149"/>
      <c r="AK34" s="474"/>
      <c r="AL34" s="149"/>
      <c r="AM34" s="149"/>
      <c r="AN34" s="149"/>
      <c r="AO34" s="149"/>
      <c r="AP34" s="149"/>
      <c r="AQ34" s="339"/>
      <c r="AR34" s="339"/>
      <c r="AS34" s="339"/>
      <c r="AT34" s="33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9"/>
      <c r="BS34" s="149"/>
      <c r="BT34" s="149"/>
      <c r="BU34" s="149"/>
      <c r="BV34" s="339"/>
      <c r="BW34" s="341"/>
      <c r="BX34" s="341"/>
      <c r="BY34" s="339"/>
      <c r="BZ34" s="339"/>
      <c r="CA34" s="341"/>
      <c r="CB34" s="341"/>
      <c r="CC34" s="339"/>
      <c r="CD34" s="339"/>
      <c r="CE34" s="341"/>
      <c r="CF34" s="341"/>
      <c r="CG34" s="339"/>
      <c r="CH34" s="339"/>
      <c r="CI34" s="339"/>
      <c r="CJ34" s="341"/>
      <c r="CK34" s="341"/>
      <c r="CL34" s="161"/>
      <c r="CM34" s="339"/>
      <c r="CN34" s="336"/>
      <c r="CO34" s="336"/>
      <c r="CP34" s="336"/>
      <c r="CQ34" s="336"/>
      <c r="CR34" s="336"/>
      <c r="CS34" s="336"/>
      <c r="CT34" s="336"/>
      <c r="CU34" s="336"/>
      <c r="CV34" s="336"/>
      <c r="CW34" s="336"/>
      <c r="CX34" s="336"/>
      <c r="CY34" s="336"/>
      <c r="CZ34" s="336"/>
      <c r="DA34" s="336"/>
      <c r="DB34" s="336"/>
      <c r="DC34" s="336"/>
      <c r="DD34" s="336"/>
      <c r="DE34" s="336"/>
      <c r="DF34" s="336"/>
    </row>
    <row r="35" spans="1:110" s="342" customFormat="1" ht="18" hidden="1" outlineLevel="1" x14ac:dyDescent="0.25">
      <c r="A35" s="336"/>
      <c r="B35" s="89">
        <v>19</v>
      </c>
      <c r="C35" s="90" t="s">
        <v>380</v>
      </c>
      <c r="D35" s="288">
        <f t="shared" si="4"/>
        <v>180000</v>
      </c>
      <c r="E35" s="149" t="s">
        <v>113</v>
      </c>
      <c r="F35" s="350"/>
      <c r="G35" s="379">
        <v>5</v>
      </c>
      <c r="H35" s="206">
        <f t="shared" si="1"/>
        <v>3043</v>
      </c>
      <c r="I35" s="206">
        <f t="shared" si="2"/>
        <v>11</v>
      </c>
      <c r="J35" s="207">
        <f>IFERROR(Tabelle2[[#This Row],[€]]/Tabelle2[[#This Row],[Backer]],"")</f>
        <v>276.63636363636363</v>
      </c>
      <c r="K35" s="337"/>
      <c r="L35" s="337"/>
      <c r="M35" s="337"/>
      <c r="N35" s="337"/>
      <c r="O35" s="371"/>
      <c r="P35" s="337"/>
      <c r="Q35" s="211"/>
      <c r="R35" s="211"/>
      <c r="S35" s="338"/>
      <c r="T35" s="337"/>
      <c r="U35" s="339"/>
      <c r="V35" s="339"/>
      <c r="W35" s="339"/>
      <c r="X35" s="339"/>
      <c r="Y35" s="339"/>
      <c r="Z35" s="339"/>
      <c r="AA35" s="339"/>
      <c r="AB35" s="339"/>
      <c r="AC35" s="149"/>
      <c r="AD35" s="149"/>
      <c r="AE35" s="149"/>
      <c r="AF35" s="340"/>
      <c r="AG35" s="149"/>
      <c r="AH35" s="149"/>
      <c r="AI35" s="474"/>
      <c r="AJ35" s="149"/>
      <c r="AK35" s="474"/>
      <c r="AL35" s="149"/>
      <c r="AM35" s="149"/>
      <c r="AN35" s="149"/>
      <c r="AO35" s="149"/>
      <c r="AP35" s="149"/>
      <c r="AQ35" s="339"/>
      <c r="AR35" s="339"/>
      <c r="AS35" s="339"/>
      <c r="AT35" s="33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339"/>
      <c r="BW35" s="341"/>
      <c r="BX35" s="341"/>
      <c r="BY35" s="339"/>
      <c r="BZ35" s="339"/>
      <c r="CA35" s="341"/>
      <c r="CB35" s="341"/>
      <c r="CC35" s="339"/>
      <c r="CD35" s="339"/>
      <c r="CE35" s="341"/>
      <c r="CF35" s="341"/>
      <c r="CG35" s="339"/>
      <c r="CH35" s="339"/>
      <c r="CI35" s="339"/>
      <c r="CJ35" s="341"/>
      <c r="CK35" s="341"/>
      <c r="CL35" s="161"/>
      <c r="CM35" s="339"/>
      <c r="CN35" s="336"/>
      <c r="CO35" s="336"/>
      <c r="CP35" s="336"/>
      <c r="CQ35" s="336"/>
      <c r="CR35" s="336"/>
      <c r="CS35" s="336"/>
      <c r="CT35" s="336"/>
      <c r="CU35" s="336"/>
      <c r="CV35" s="336"/>
      <c r="CW35" s="336"/>
      <c r="CX35" s="336"/>
      <c r="CY35" s="336"/>
      <c r="CZ35" s="336"/>
      <c r="DA35" s="336"/>
      <c r="DB35" s="336"/>
      <c r="DC35" s="336"/>
      <c r="DD35" s="336"/>
      <c r="DE35" s="336"/>
      <c r="DF35" s="336"/>
    </row>
    <row r="36" spans="1:110" s="342" customFormat="1" ht="18" hidden="1" outlineLevel="1" x14ac:dyDescent="0.25">
      <c r="A36" s="336"/>
      <c r="B36" s="89">
        <v>20</v>
      </c>
      <c r="C36" s="90" t="s">
        <v>392</v>
      </c>
      <c r="D36" s="288">
        <f t="shared" si="4"/>
        <v>190000</v>
      </c>
      <c r="E36" s="149" t="s">
        <v>111</v>
      </c>
      <c r="F36" s="350"/>
      <c r="G36" s="379">
        <v>11</v>
      </c>
      <c r="H36" s="206">
        <f t="shared" si="1"/>
        <v>2955</v>
      </c>
      <c r="I36" s="206">
        <f t="shared" si="2"/>
        <v>17</v>
      </c>
      <c r="J36" s="207">
        <f>IFERROR(Tabelle2[[#This Row],[€]]/Tabelle2[[#This Row],[Backer]],"")</f>
        <v>173.8235294117647</v>
      </c>
      <c r="K36" s="337"/>
      <c r="L36" s="337"/>
      <c r="M36" s="337"/>
      <c r="N36" s="337"/>
      <c r="O36" s="371"/>
      <c r="P36" s="337"/>
      <c r="Q36" s="211"/>
      <c r="R36" s="211"/>
      <c r="S36" s="338"/>
      <c r="T36" s="337"/>
      <c r="U36" s="339"/>
      <c r="V36" s="339"/>
      <c r="W36" s="339"/>
      <c r="X36" s="339"/>
      <c r="Y36" s="339"/>
      <c r="Z36" s="339"/>
      <c r="AA36" s="339"/>
      <c r="AB36" s="339"/>
      <c r="AC36" s="149"/>
      <c r="AD36" s="149"/>
      <c r="AE36" s="149"/>
      <c r="AF36" s="340"/>
      <c r="AG36" s="149"/>
      <c r="AH36" s="149"/>
      <c r="AI36" s="474"/>
      <c r="AJ36" s="149"/>
      <c r="AK36" s="474"/>
      <c r="AL36" s="149"/>
      <c r="AM36" s="149"/>
      <c r="AN36" s="149"/>
      <c r="AO36" s="149"/>
      <c r="AP36" s="149"/>
      <c r="AQ36" s="339"/>
      <c r="AR36" s="339"/>
      <c r="AS36" s="339"/>
      <c r="AT36" s="33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339"/>
      <c r="BW36" s="341"/>
      <c r="BX36" s="341"/>
      <c r="BY36" s="339"/>
      <c r="BZ36" s="339"/>
      <c r="CA36" s="341"/>
      <c r="CB36" s="341"/>
      <c r="CC36" s="339"/>
      <c r="CD36" s="339"/>
      <c r="CE36" s="341"/>
      <c r="CF36" s="341"/>
      <c r="CG36" s="339"/>
      <c r="CH36" s="339"/>
      <c r="CI36" s="339"/>
      <c r="CJ36" s="341"/>
      <c r="CK36" s="341"/>
      <c r="CL36" s="161"/>
      <c r="CM36" s="339"/>
      <c r="CN36" s="336"/>
      <c r="CO36" s="336"/>
      <c r="CP36" s="336"/>
      <c r="CQ36" s="336"/>
      <c r="CR36" s="336"/>
      <c r="CS36" s="336"/>
      <c r="CT36" s="336"/>
      <c r="CU36" s="336"/>
      <c r="CV36" s="336"/>
      <c r="CW36" s="336"/>
      <c r="CX36" s="336"/>
      <c r="CY36" s="336"/>
      <c r="CZ36" s="336"/>
      <c r="DA36" s="336"/>
      <c r="DB36" s="336"/>
      <c r="DC36" s="336"/>
      <c r="DD36" s="336"/>
      <c r="DE36" s="336"/>
      <c r="DF36" s="336"/>
    </row>
    <row r="37" spans="1:110" s="342" customFormat="1" ht="18" hidden="1" outlineLevel="1" x14ac:dyDescent="0.25">
      <c r="A37" s="336"/>
      <c r="B37" s="89">
        <v>21</v>
      </c>
      <c r="C37" s="90" t="s">
        <v>393</v>
      </c>
      <c r="D37" s="288">
        <f t="shared" si="4"/>
        <v>200000</v>
      </c>
      <c r="E37" s="149" t="s">
        <v>112</v>
      </c>
      <c r="F37" s="350"/>
      <c r="G37" s="379">
        <v>6</v>
      </c>
      <c r="H37" s="206">
        <f t="shared" si="1"/>
        <v>2830</v>
      </c>
      <c r="I37" s="206">
        <f t="shared" si="2"/>
        <v>11</v>
      </c>
      <c r="J37" s="207">
        <f>IFERROR(Tabelle2[[#This Row],[€]]/Tabelle2[[#This Row],[Backer]],"")</f>
        <v>257.27272727272725</v>
      </c>
      <c r="K37" s="337"/>
      <c r="L37" s="337"/>
      <c r="M37" s="337"/>
      <c r="N37" s="337"/>
      <c r="O37" s="371"/>
      <c r="P37" s="337"/>
      <c r="Q37" s="211"/>
      <c r="R37" s="211"/>
      <c r="S37" s="338"/>
      <c r="T37" s="337"/>
      <c r="U37" s="339"/>
      <c r="V37" s="339"/>
      <c r="W37" s="339"/>
      <c r="X37" s="339"/>
      <c r="Y37" s="339"/>
      <c r="Z37" s="339"/>
      <c r="AA37" s="339"/>
      <c r="AB37" s="339"/>
      <c r="AC37" s="149"/>
      <c r="AD37" s="149"/>
      <c r="AE37" s="149"/>
      <c r="AF37" s="340"/>
      <c r="AG37" s="149"/>
      <c r="AH37" s="149"/>
      <c r="AI37" s="474"/>
      <c r="AJ37" s="149"/>
      <c r="AK37" s="474"/>
      <c r="AL37" s="149"/>
      <c r="AM37" s="149"/>
      <c r="AN37" s="149"/>
      <c r="AO37" s="149"/>
      <c r="AP37" s="149"/>
      <c r="AQ37" s="339"/>
      <c r="AR37" s="339"/>
      <c r="AS37" s="339"/>
      <c r="AT37" s="33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339"/>
      <c r="BW37" s="341"/>
      <c r="BX37" s="341"/>
      <c r="BY37" s="339"/>
      <c r="BZ37" s="339"/>
      <c r="CA37" s="341"/>
      <c r="CB37" s="341"/>
      <c r="CC37" s="339"/>
      <c r="CD37" s="339"/>
      <c r="CE37" s="341"/>
      <c r="CF37" s="341"/>
      <c r="CG37" s="339"/>
      <c r="CH37" s="339"/>
      <c r="CI37" s="339"/>
      <c r="CJ37" s="341"/>
      <c r="CK37" s="341"/>
      <c r="CL37" s="161"/>
      <c r="CM37" s="339"/>
      <c r="CN37" s="336"/>
      <c r="CO37" s="336"/>
      <c r="CP37" s="336"/>
      <c r="CQ37" s="336"/>
      <c r="CR37" s="336"/>
      <c r="CS37" s="336"/>
      <c r="CT37" s="336"/>
      <c r="CU37" s="336"/>
      <c r="CV37" s="336"/>
      <c r="CW37" s="336"/>
      <c r="CX37" s="336"/>
      <c r="CY37" s="336"/>
      <c r="CZ37" s="336"/>
      <c r="DA37" s="336"/>
      <c r="DB37" s="336"/>
      <c r="DC37" s="336"/>
      <c r="DD37" s="336"/>
      <c r="DE37" s="336"/>
      <c r="DF37" s="336"/>
    </row>
    <row r="38" spans="1:110" s="342" customFormat="1" ht="18" hidden="1" outlineLevel="1" x14ac:dyDescent="0.3">
      <c r="A38" s="336"/>
      <c r="B38" s="89">
        <v>22</v>
      </c>
      <c r="C38" s="90" t="s">
        <v>394</v>
      </c>
      <c r="D38" s="288">
        <f t="shared" si="4"/>
        <v>210000</v>
      </c>
      <c r="E38" s="40"/>
      <c r="F38" s="350"/>
      <c r="G38" s="337"/>
      <c r="H38" s="337"/>
      <c r="I38" s="337"/>
      <c r="J38" s="337"/>
      <c r="K38" s="337"/>
      <c r="L38" s="337"/>
      <c r="M38" s="337"/>
      <c r="N38" s="337"/>
      <c r="O38" s="371"/>
      <c r="P38" s="337"/>
      <c r="Q38" s="211"/>
      <c r="R38" s="211"/>
      <c r="S38" s="338"/>
      <c r="T38" s="337"/>
      <c r="U38" s="339"/>
      <c r="V38" s="339"/>
      <c r="W38" s="339"/>
      <c r="X38" s="339"/>
      <c r="Y38" s="339"/>
      <c r="Z38" s="339"/>
      <c r="AA38" s="339"/>
      <c r="AB38" s="339"/>
      <c r="AC38" s="149"/>
      <c r="AD38" s="149"/>
      <c r="AE38" s="149"/>
      <c r="AF38" s="340"/>
      <c r="AG38" s="149"/>
      <c r="AH38" s="149"/>
      <c r="AI38" s="474"/>
      <c r="AJ38" s="149"/>
      <c r="AK38" s="474"/>
      <c r="AL38" s="149"/>
      <c r="AM38" s="149"/>
      <c r="AN38" s="149"/>
      <c r="AO38" s="149"/>
      <c r="AP38" s="149"/>
      <c r="AQ38" s="149"/>
      <c r="AR38" s="339"/>
      <c r="AS38" s="339"/>
      <c r="AT38" s="33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339"/>
      <c r="BW38" s="341"/>
      <c r="BX38" s="341"/>
      <c r="BY38" s="339"/>
      <c r="BZ38" s="339"/>
      <c r="CA38" s="341"/>
      <c r="CB38" s="341"/>
      <c r="CC38" s="339"/>
      <c r="CD38" s="339"/>
      <c r="CE38" s="341"/>
      <c r="CF38" s="341"/>
      <c r="CG38" s="339"/>
      <c r="CH38" s="339"/>
      <c r="CI38" s="339"/>
      <c r="CJ38" s="341"/>
      <c r="CK38" s="341"/>
      <c r="CL38" s="161"/>
      <c r="CM38" s="339"/>
      <c r="CN38" s="336"/>
      <c r="CO38" s="336"/>
      <c r="CP38" s="336"/>
      <c r="CQ38" s="336"/>
      <c r="CR38" s="336"/>
      <c r="CS38" s="336"/>
      <c r="CT38" s="336"/>
      <c r="CU38" s="336"/>
      <c r="CV38" s="336"/>
      <c r="CW38" s="336"/>
      <c r="CX38" s="336"/>
      <c r="CY38" s="336"/>
      <c r="CZ38" s="336"/>
      <c r="DA38" s="336"/>
      <c r="DB38" s="336"/>
      <c r="DC38" s="336"/>
      <c r="DD38" s="336"/>
      <c r="DE38" s="336"/>
      <c r="DF38" s="336"/>
    </row>
    <row r="39" spans="1:110" s="407" customFormat="1" ht="18" hidden="1" outlineLevel="1" x14ac:dyDescent="0.3">
      <c r="A39" s="400"/>
      <c r="B39" s="89">
        <v>23</v>
      </c>
      <c r="C39" s="90" t="s">
        <v>399</v>
      </c>
      <c r="D39" s="288">
        <f t="shared" si="4"/>
        <v>220000</v>
      </c>
      <c r="E39" s="500"/>
      <c r="F39" s="401"/>
      <c r="G39" s="402"/>
      <c r="H39" s="402"/>
      <c r="I39" s="402"/>
      <c r="J39" s="402"/>
      <c r="K39" s="402"/>
      <c r="L39" s="402"/>
      <c r="M39" s="402"/>
      <c r="N39" s="402"/>
      <c r="O39" s="403"/>
      <c r="P39" s="402"/>
      <c r="Q39" s="236"/>
      <c r="R39" s="236"/>
      <c r="S39" s="404"/>
      <c r="T39" s="402"/>
      <c r="U39" s="94"/>
      <c r="V39" s="94"/>
      <c r="W39" s="94"/>
      <c r="X39" s="94"/>
      <c r="Y39" s="94"/>
      <c r="Z39" s="94"/>
      <c r="AA39" s="94"/>
      <c r="AB39" s="94"/>
      <c r="AC39" s="147"/>
      <c r="AD39" s="147"/>
      <c r="AE39" s="147"/>
      <c r="AF39" s="405"/>
      <c r="AG39" s="147"/>
      <c r="AH39" s="147"/>
      <c r="AI39" s="473"/>
      <c r="AJ39" s="147"/>
      <c r="AK39" s="473"/>
      <c r="AL39" s="147"/>
      <c r="AM39" s="147"/>
      <c r="AN39" s="147"/>
      <c r="AO39" s="147"/>
      <c r="AP39" s="147"/>
      <c r="AQ39" s="147"/>
      <c r="AR39" s="94"/>
      <c r="AS39" s="94"/>
      <c r="AT39" s="94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94"/>
      <c r="BW39" s="406"/>
      <c r="BX39" s="406"/>
      <c r="BY39" s="94"/>
      <c r="BZ39" s="94"/>
      <c r="CA39" s="406"/>
      <c r="CB39" s="406"/>
      <c r="CC39" s="94"/>
      <c r="CD39" s="94"/>
      <c r="CE39" s="406"/>
      <c r="CF39" s="406"/>
      <c r="CG39" s="94"/>
      <c r="CH39" s="94"/>
      <c r="CI39" s="94"/>
      <c r="CJ39" s="406"/>
      <c r="CK39" s="406"/>
      <c r="CL39" s="139"/>
      <c r="CM39" s="94"/>
      <c r="CN39" s="400"/>
      <c r="CO39" s="400"/>
      <c r="CP39" s="400"/>
      <c r="CQ39" s="400"/>
      <c r="CR39" s="400"/>
      <c r="CS39" s="400"/>
      <c r="CT39" s="400"/>
      <c r="CU39" s="400"/>
      <c r="CV39" s="400"/>
      <c r="CW39" s="400"/>
      <c r="CX39" s="400"/>
      <c r="CY39" s="400"/>
      <c r="CZ39" s="400"/>
      <c r="DA39" s="400"/>
      <c r="DB39" s="400"/>
      <c r="DC39" s="400"/>
      <c r="DD39" s="400"/>
      <c r="DE39" s="400"/>
      <c r="DF39" s="400"/>
    </row>
    <row r="40" spans="1:110" s="407" customFormat="1" ht="18" hidden="1" outlineLevel="1" x14ac:dyDescent="0.3">
      <c r="A40" s="400"/>
      <c r="B40" s="89">
        <v>24</v>
      </c>
      <c r="C40" s="90" t="s">
        <v>401</v>
      </c>
      <c r="D40" s="288">
        <f t="shared" si="4"/>
        <v>230000</v>
      </c>
      <c r="E40" s="500"/>
      <c r="F40" s="401"/>
      <c r="G40" s="402"/>
      <c r="H40" s="402"/>
      <c r="I40" s="402"/>
      <c r="J40" s="402"/>
      <c r="K40" s="402"/>
      <c r="L40" s="402"/>
      <c r="M40" s="402"/>
      <c r="N40" s="402"/>
      <c r="O40" s="403"/>
      <c r="P40" s="402"/>
      <c r="Q40" s="236"/>
      <c r="R40" s="236"/>
      <c r="S40" s="404"/>
      <c r="T40" s="402"/>
      <c r="U40" s="94"/>
      <c r="V40" s="94"/>
      <c r="W40" s="94"/>
      <c r="X40" s="94"/>
      <c r="Y40" s="94"/>
      <c r="Z40" s="94"/>
      <c r="AA40" s="94"/>
      <c r="AB40" s="94"/>
      <c r="AC40" s="147"/>
      <c r="AD40" s="147"/>
      <c r="AE40" s="147"/>
      <c r="AF40" s="405"/>
      <c r="AG40" s="147"/>
      <c r="AH40" s="147"/>
      <c r="AI40" s="473"/>
      <c r="AJ40" s="147"/>
      <c r="AK40" s="473"/>
      <c r="AL40" s="147"/>
      <c r="AM40" s="147"/>
      <c r="AN40" s="147"/>
      <c r="AO40" s="147"/>
      <c r="AP40" s="147"/>
      <c r="AQ40" s="147"/>
      <c r="AR40" s="94"/>
      <c r="AS40" s="94"/>
      <c r="AT40" s="94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94"/>
      <c r="BW40" s="406"/>
      <c r="BX40" s="406"/>
      <c r="BY40" s="94"/>
      <c r="BZ40" s="94"/>
      <c r="CA40" s="406"/>
      <c r="CB40" s="406"/>
      <c r="CC40" s="94"/>
      <c r="CD40" s="94"/>
      <c r="CE40" s="406"/>
      <c r="CF40" s="406"/>
      <c r="CG40" s="94"/>
      <c r="CH40" s="94"/>
      <c r="CI40" s="94"/>
      <c r="CJ40" s="406"/>
      <c r="CK40" s="406"/>
      <c r="CL40" s="139"/>
      <c r="CM40" s="94"/>
      <c r="CN40" s="400"/>
      <c r="CO40" s="400"/>
      <c r="CP40" s="400"/>
      <c r="CQ40" s="400"/>
      <c r="CR40" s="400"/>
      <c r="CS40" s="400"/>
      <c r="CT40" s="400"/>
      <c r="CU40" s="400"/>
      <c r="CV40" s="400"/>
      <c r="CW40" s="400"/>
      <c r="CX40" s="400"/>
      <c r="CY40" s="400"/>
      <c r="CZ40" s="400"/>
      <c r="DA40" s="400"/>
      <c r="DB40" s="400"/>
      <c r="DC40" s="400"/>
      <c r="DD40" s="400"/>
      <c r="DE40" s="400"/>
      <c r="DF40" s="400"/>
    </row>
    <row r="41" spans="1:110" s="342" customFormat="1" ht="18" hidden="1" outlineLevel="1" x14ac:dyDescent="0.3">
      <c r="A41" s="336"/>
      <c r="B41" s="148">
        <v>25</v>
      </c>
      <c r="C41" s="40"/>
      <c r="D41" s="289">
        <f t="shared" si="4"/>
        <v>240000</v>
      </c>
      <c r="E41" s="40"/>
      <c r="F41" s="350"/>
      <c r="G41" s="337"/>
      <c r="H41" s="337"/>
      <c r="I41" s="337"/>
      <c r="J41" s="337"/>
      <c r="K41" s="337"/>
      <c r="L41" s="337"/>
      <c r="M41" s="337"/>
      <c r="N41" s="337"/>
      <c r="O41" s="371"/>
      <c r="P41" s="337"/>
      <c r="Q41" s="211"/>
      <c r="R41" s="211"/>
      <c r="S41" s="338"/>
      <c r="T41" s="337"/>
      <c r="U41" s="339"/>
      <c r="V41" s="339"/>
      <c r="W41" s="339"/>
      <c r="X41" s="339"/>
      <c r="Y41" s="339"/>
      <c r="Z41" s="339"/>
      <c r="AA41" s="339"/>
      <c r="AB41" s="339"/>
      <c r="AC41" s="149"/>
      <c r="AD41" s="149"/>
      <c r="AE41" s="149"/>
      <c r="AF41" s="340"/>
      <c r="AG41" s="149"/>
      <c r="AH41" s="149"/>
      <c r="AI41" s="474"/>
      <c r="AJ41" s="149"/>
      <c r="AK41" s="474"/>
      <c r="AL41" s="149"/>
      <c r="AM41" s="149"/>
      <c r="AN41" s="149"/>
      <c r="AO41" s="149"/>
      <c r="AP41" s="149"/>
      <c r="AQ41" s="149"/>
      <c r="AR41" s="339"/>
      <c r="AS41" s="339"/>
      <c r="AT41" s="33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339"/>
      <c r="BW41" s="341"/>
      <c r="BX41" s="341"/>
      <c r="BY41" s="339"/>
      <c r="BZ41" s="339"/>
      <c r="CA41" s="341"/>
      <c r="CB41" s="341"/>
      <c r="CC41" s="339"/>
      <c r="CD41" s="339"/>
      <c r="CE41" s="341"/>
      <c r="CF41" s="341"/>
      <c r="CG41" s="339"/>
      <c r="CH41" s="339"/>
      <c r="CI41" s="339"/>
      <c r="CJ41" s="341"/>
      <c r="CK41" s="341"/>
      <c r="CL41" s="161"/>
      <c r="CM41" s="339"/>
      <c r="CN41" s="336"/>
      <c r="CO41" s="336"/>
      <c r="CP41" s="336"/>
      <c r="CQ41" s="336"/>
      <c r="CR41" s="336"/>
      <c r="CS41" s="336"/>
      <c r="CT41" s="336"/>
      <c r="CU41" s="336"/>
      <c r="CV41" s="336"/>
      <c r="CW41" s="336"/>
      <c r="CX41" s="336"/>
      <c r="CY41" s="336"/>
      <c r="CZ41" s="336"/>
      <c r="DA41" s="336"/>
      <c r="DB41" s="336"/>
      <c r="DC41" s="336"/>
      <c r="DD41" s="336"/>
      <c r="DE41" s="336"/>
      <c r="DF41" s="336"/>
    </row>
    <row r="42" spans="1:110" s="101" customFormat="1" ht="18" collapsed="1" x14ac:dyDescent="0.25">
      <c r="A42" s="223"/>
      <c r="B42" s="204"/>
      <c r="C42" s="95" t="s">
        <v>256</v>
      </c>
      <c r="D42" s="96" t="s">
        <v>169</v>
      </c>
      <c r="E42" s="310" t="s">
        <v>213</v>
      </c>
      <c r="F42" s="351" t="s">
        <v>208</v>
      </c>
      <c r="G42" s="203" t="s">
        <v>5</v>
      </c>
      <c r="H42" s="310" t="s">
        <v>208</v>
      </c>
      <c r="I42" s="310" t="s">
        <v>208</v>
      </c>
      <c r="J42" s="203" t="s">
        <v>5</v>
      </c>
      <c r="K42" s="310" t="s">
        <v>208</v>
      </c>
      <c r="L42" s="203" t="s">
        <v>5</v>
      </c>
      <c r="M42" s="97">
        <v>40</v>
      </c>
      <c r="N42" s="98">
        <v>39.950000000000003</v>
      </c>
      <c r="O42" s="372">
        <v>5</v>
      </c>
      <c r="P42" s="99"/>
      <c r="Q42" s="211"/>
      <c r="R42" s="211"/>
      <c r="S42" s="192" t="s">
        <v>5</v>
      </c>
      <c r="T42" s="71"/>
      <c r="U42" s="71"/>
      <c r="V42" s="71"/>
      <c r="W42" s="71"/>
      <c r="X42" s="71"/>
      <c r="Y42" s="91"/>
      <c r="Z42" s="91"/>
      <c r="AA42" s="91"/>
      <c r="AB42" s="91"/>
      <c r="AC42" s="67"/>
      <c r="AD42" s="67"/>
      <c r="AE42" s="67"/>
      <c r="AF42" s="67"/>
      <c r="AG42" s="67"/>
      <c r="AH42" s="67"/>
      <c r="AI42" s="472"/>
      <c r="AJ42" s="67"/>
      <c r="AK42" s="472"/>
      <c r="AL42" s="67"/>
      <c r="AM42" s="67"/>
      <c r="AN42" s="67"/>
      <c r="AO42" s="67"/>
      <c r="AP42" s="67"/>
      <c r="AQ42" s="67"/>
      <c r="AR42" s="91"/>
      <c r="AS42" s="91"/>
      <c r="AT42" s="91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100"/>
      <c r="CM42" s="91"/>
      <c r="CN42" s="223"/>
      <c r="CO42" s="223"/>
      <c r="CP42" s="223"/>
      <c r="CQ42" s="223"/>
      <c r="CR42" s="223"/>
      <c r="CS42" s="223"/>
      <c r="CT42" s="223"/>
      <c r="CU42" s="223"/>
      <c r="CV42" s="223"/>
      <c r="CW42" s="223"/>
      <c r="CX42" s="223"/>
      <c r="CY42" s="223"/>
      <c r="CZ42" s="223"/>
      <c r="DA42" s="223"/>
      <c r="DB42" s="223"/>
      <c r="DC42" s="223"/>
      <c r="DD42" s="223"/>
      <c r="DE42" s="223"/>
      <c r="DF42" s="223"/>
    </row>
    <row r="43" spans="1:110" s="101" customFormat="1" ht="18" collapsed="1" x14ac:dyDescent="0.25">
      <c r="A43" s="223"/>
      <c r="B43" s="204"/>
      <c r="C43" s="95" t="s">
        <v>257</v>
      </c>
      <c r="D43" s="96" t="s">
        <v>169</v>
      </c>
      <c r="E43" s="310" t="s">
        <v>213</v>
      </c>
      <c r="F43" s="351" t="s">
        <v>208</v>
      </c>
      <c r="G43" s="310" t="s">
        <v>208</v>
      </c>
      <c r="H43" s="310" t="s">
        <v>208</v>
      </c>
      <c r="I43" s="310" t="s">
        <v>208</v>
      </c>
      <c r="J43" s="310" t="s">
        <v>208</v>
      </c>
      <c r="K43" s="203" t="s">
        <v>5</v>
      </c>
      <c r="L43" s="203" t="s">
        <v>5</v>
      </c>
      <c r="M43" s="97">
        <v>70</v>
      </c>
      <c r="N43" s="98">
        <v>69.95</v>
      </c>
      <c r="O43" s="372">
        <v>5</v>
      </c>
      <c r="P43" s="99"/>
      <c r="Q43" s="211"/>
      <c r="R43" s="211"/>
      <c r="S43" s="192" t="s">
        <v>5</v>
      </c>
      <c r="T43" s="71"/>
      <c r="U43" s="71"/>
      <c r="V43" s="71"/>
      <c r="W43" s="71"/>
      <c r="X43" s="71"/>
      <c r="Y43" s="91"/>
      <c r="Z43" s="91"/>
      <c r="AA43" s="91"/>
      <c r="AB43" s="91"/>
      <c r="AC43" s="67"/>
      <c r="AD43" s="67"/>
      <c r="AE43" s="67"/>
      <c r="AF43" s="67"/>
      <c r="AG43" s="67"/>
      <c r="AH43" s="67"/>
      <c r="AI43" s="472"/>
      <c r="AJ43" s="67"/>
      <c r="AK43" s="472"/>
      <c r="AL43" s="67"/>
      <c r="AM43" s="67"/>
      <c r="AN43" s="67"/>
      <c r="AO43" s="67"/>
      <c r="AP43" s="67"/>
      <c r="AQ43" s="67"/>
      <c r="AR43" s="91"/>
      <c r="AS43" s="91"/>
      <c r="AT43" s="91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100"/>
      <c r="CM43" s="91"/>
      <c r="CN43" s="223"/>
      <c r="CO43" s="223"/>
      <c r="CP43" s="223"/>
      <c r="CQ43" s="223"/>
      <c r="CR43" s="223"/>
      <c r="CS43" s="223"/>
      <c r="CT43" s="223"/>
      <c r="CU43" s="223"/>
      <c r="CV43" s="223"/>
      <c r="CW43" s="223"/>
      <c r="CX43" s="223"/>
      <c r="CY43" s="223"/>
      <c r="CZ43" s="223"/>
      <c r="DA43" s="223"/>
      <c r="DB43" s="223"/>
      <c r="DC43" s="223"/>
      <c r="DD43" s="223"/>
      <c r="DE43" s="223"/>
      <c r="DF43" s="223"/>
    </row>
    <row r="44" spans="1:110" ht="18" x14ac:dyDescent="0.25">
      <c r="B44" s="204"/>
      <c r="C44" s="95" t="s">
        <v>258</v>
      </c>
      <c r="D44" s="96" t="s">
        <v>169</v>
      </c>
      <c r="E44" s="310" t="s">
        <v>213</v>
      </c>
      <c r="F44" s="351" t="s">
        <v>208</v>
      </c>
      <c r="G44" s="310" t="s">
        <v>208</v>
      </c>
      <c r="H44" s="310" t="s">
        <v>208</v>
      </c>
      <c r="I44" s="310" t="s">
        <v>208</v>
      </c>
      <c r="J44" s="203" t="s">
        <v>5</v>
      </c>
      <c r="K44" s="203" t="s">
        <v>5</v>
      </c>
      <c r="L44" s="203" t="s">
        <v>5</v>
      </c>
      <c r="M44" s="97">
        <v>45</v>
      </c>
      <c r="N44" s="102">
        <v>44.95</v>
      </c>
      <c r="O44" s="373">
        <v>5</v>
      </c>
      <c r="P44" s="103"/>
      <c r="Q44" s="211"/>
      <c r="R44" s="211"/>
      <c r="S44" s="192" t="s">
        <v>5</v>
      </c>
      <c r="T44" s="71"/>
      <c r="U44" s="71"/>
      <c r="V44" s="71"/>
      <c r="W44" s="71"/>
      <c r="X44" s="71"/>
      <c r="AC44" s="67"/>
      <c r="AD44" s="67"/>
      <c r="AE44" s="67"/>
      <c r="AF44" s="67"/>
      <c r="AH44" s="67"/>
      <c r="AI44" s="472"/>
      <c r="AJ44" s="67"/>
      <c r="AK44" s="472"/>
      <c r="AL44" s="67"/>
      <c r="AM44" s="67"/>
      <c r="AN44" s="67"/>
      <c r="AO44" s="67"/>
      <c r="AP44" s="67"/>
      <c r="AR44" s="91"/>
      <c r="BW44" s="44"/>
      <c r="BX44" s="44"/>
      <c r="CA44" s="44"/>
      <c r="CB44" s="44"/>
      <c r="CE44" s="44"/>
      <c r="CF44" s="44"/>
      <c r="CJ44" s="44"/>
      <c r="CK44" s="44"/>
    </row>
    <row r="45" spans="1:110" ht="18" x14ac:dyDescent="0.25">
      <c r="B45" s="204"/>
      <c r="C45" s="95" t="s">
        <v>259</v>
      </c>
      <c r="D45" s="96" t="s">
        <v>170</v>
      </c>
      <c r="E45" s="310" t="s">
        <v>213</v>
      </c>
      <c r="F45" s="351" t="s">
        <v>208</v>
      </c>
      <c r="G45" s="310" t="s">
        <v>208</v>
      </c>
      <c r="H45" s="310" t="s">
        <v>208</v>
      </c>
      <c r="I45" s="310" t="s">
        <v>208</v>
      </c>
      <c r="J45" s="203" t="s">
        <v>5</v>
      </c>
      <c r="K45" s="203" t="s">
        <v>5</v>
      </c>
      <c r="L45" s="203" t="s">
        <v>5</v>
      </c>
      <c r="M45" s="97">
        <v>20</v>
      </c>
      <c r="N45" s="102">
        <v>19.95</v>
      </c>
      <c r="O45" s="373">
        <v>5</v>
      </c>
      <c r="P45" s="103"/>
      <c r="Q45" s="211"/>
      <c r="R45" s="211"/>
      <c r="S45" s="192" t="s">
        <v>5</v>
      </c>
      <c r="T45" s="71"/>
      <c r="U45" s="71"/>
      <c r="V45" s="71"/>
      <c r="W45" s="71"/>
      <c r="X45" s="71"/>
      <c r="AC45" s="67"/>
      <c r="AD45" s="67"/>
      <c r="AE45" s="67"/>
      <c r="AF45" s="67"/>
      <c r="AH45" s="67"/>
      <c r="AI45" s="472"/>
      <c r="AJ45" s="67"/>
      <c r="AK45" s="472"/>
      <c r="AL45" s="67"/>
      <c r="AM45" s="67"/>
      <c r="AN45" s="67"/>
      <c r="AO45" s="67"/>
      <c r="AP45" s="67"/>
      <c r="AR45" s="91"/>
      <c r="BW45" s="44"/>
      <c r="BX45" s="44"/>
      <c r="CA45" s="44"/>
      <c r="CB45" s="44"/>
      <c r="CE45" s="44"/>
      <c r="CF45" s="44"/>
      <c r="CJ45" s="44"/>
      <c r="CK45" s="44"/>
    </row>
    <row r="46" spans="1:110" s="101" customFormat="1" ht="18" x14ac:dyDescent="0.25">
      <c r="A46" s="223"/>
      <c r="B46" s="204"/>
      <c r="C46" s="95" t="s">
        <v>260</v>
      </c>
      <c r="D46" s="96" t="s">
        <v>170</v>
      </c>
      <c r="E46" s="310" t="s">
        <v>213</v>
      </c>
      <c r="F46" s="351" t="s">
        <v>208</v>
      </c>
      <c r="G46" s="310" t="s">
        <v>208</v>
      </c>
      <c r="H46" s="310" t="s">
        <v>208</v>
      </c>
      <c r="I46" s="310" t="s">
        <v>208</v>
      </c>
      <c r="J46" s="203" t="s">
        <v>5</v>
      </c>
      <c r="K46" s="203" t="s">
        <v>5</v>
      </c>
      <c r="L46" s="203" t="s">
        <v>5</v>
      </c>
      <c r="M46" s="97">
        <v>20</v>
      </c>
      <c r="N46" s="102">
        <v>19.95</v>
      </c>
      <c r="O46" s="372">
        <v>5</v>
      </c>
      <c r="P46" s="99"/>
      <c r="Q46" s="211"/>
      <c r="R46" s="211"/>
      <c r="S46" s="192" t="s">
        <v>5</v>
      </c>
      <c r="T46" s="71"/>
      <c r="U46" s="71"/>
      <c r="V46" s="71"/>
      <c r="W46" s="71"/>
      <c r="X46" s="71"/>
      <c r="Y46" s="93"/>
      <c r="Z46" s="91"/>
      <c r="AA46" s="91"/>
      <c r="AB46" s="71"/>
      <c r="AC46" s="67"/>
      <c r="AD46" s="104"/>
      <c r="AE46" s="67"/>
      <c r="AF46" s="67"/>
      <c r="AG46" s="67"/>
      <c r="AH46" s="67"/>
      <c r="AI46" s="472"/>
      <c r="AJ46" s="67"/>
      <c r="AK46" s="472"/>
      <c r="AL46" s="67"/>
      <c r="AM46" s="67"/>
      <c r="AN46" s="67"/>
      <c r="AO46" s="67"/>
      <c r="AP46" s="67"/>
      <c r="AQ46" s="67"/>
      <c r="AR46" s="91"/>
      <c r="AS46" s="91"/>
      <c r="AT46" s="91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100"/>
      <c r="CM46" s="91"/>
      <c r="CN46" s="223"/>
      <c r="CO46" s="223"/>
      <c r="CP46" s="223"/>
      <c r="CQ46" s="223"/>
      <c r="CR46" s="223"/>
      <c r="CS46" s="223"/>
      <c r="CT46" s="223"/>
      <c r="CU46" s="223"/>
      <c r="CV46" s="223"/>
      <c r="CW46" s="223"/>
      <c r="CX46" s="223"/>
      <c r="CY46" s="223"/>
      <c r="CZ46" s="223"/>
      <c r="DA46" s="223"/>
      <c r="DB46" s="223"/>
      <c r="DC46" s="223"/>
      <c r="DD46" s="223"/>
      <c r="DE46" s="223"/>
      <c r="DF46" s="223"/>
    </row>
    <row r="47" spans="1:110" ht="18" x14ac:dyDescent="0.25">
      <c r="B47" s="204"/>
      <c r="C47" s="95" t="s">
        <v>261</v>
      </c>
      <c r="D47" s="96" t="s">
        <v>169</v>
      </c>
      <c r="E47" s="310" t="s">
        <v>213</v>
      </c>
      <c r="F47" s="351" t="s">
        <v>208</v>
      </c>
      <c r="G47" s="310" t="s">
        <v>208</v>
      </c>
      <c r="H47" s="310" t="s">
        <v>208</v>
      </c>
      <c r="I47" s="310" t="s">
        <v>208</v>
      </c>
      <c r="J47" s="203" t="s">
        <v>5</v>
      </c>
      <c r="K47" s="203" t="s">
        <v>5</v>
      </c>
      <c r="L47" s="203" t="s">
        <v>5</v>
      </c>
      <c r="M47" s="97">
        <v>35</v>
      </c>
      <c r="N47" s="102">
        <v>34.950000000000003</v>
      </c>
      <c r="O47" s="373">
        <v>5</v>
      </c>
      <c r="P47" s="103"/>
      <c r="Q47" s="211"/>
      <c r="R47" s="211"/>
      <c r="S47" s="192" t="s">
        <v>5</v>
      </c>
      <c r="T47" s="71"/>
      <c r="U47" s="71"/>
      <c r="V47" s="71"/>
      <c r="W47" s="71"/>
      <c r="X47" s="71"/>
      <c r="AC47" s="67"/>
      <c r="AD47" s="67"/>
      <c r="AE47" s="67"/>
      <c r="AF47" s="67"/>
      <c r="AH47" s="67"/>
      <c r="AI47" s="472"/>
      <c r="AJ47" s="67"/>
      <c r="AK47" s="472"/>
      <c r="AL47" s="67"/>
      <c r="AM47" s="67"/>
      <c r="AN47" s="67"/>
      <c r="AO47" s="67"/>
      <c r="AP47" s="67"/>
      <c r="AR47" s="91"/>
      <c r="BW47" s="44"/>
      <c r="BX47" s="44"/>
      <c r="CA47" s="44"/>
      <c r="CB47" s="44"/>
      <c r="CE47" s="44"/>
      <c r="CF47" s="44"/>
      <c r="CJ47" s="44"/>
      <c r="CK47" s="44"/>
    </row>
    <row r="48" spans="1:110" s="101" customFormat="1" ht="18" x14ac:dyDescent="0.25">
      <c r="A48" s="223"/>
      <c r="B48" s="204"/>
      <c r="C48" s="95" t="s">
        <v>262</v>
      </c>
      <c r="D48" s="96" t="s">
        <v>169</v>
      </c>
      <c r="E48" s="310" t="s">
        <v>213</v>
      </c>
      <c r="F48" s="351" t="s">
        <v>208</v>
      </c>
      <c r="G48" s="310" t="s">
        <v>208</v>
      </c>
      <c r="H48" s="310" t="s">
        <v>208</v>
      </c>
      <c r="I48" s="310" t="s">
        <v>208</v>
      </c>
      <c r="J48" s="203" t="s">
        <v>5</v>
      </c>
      <c r="K48" s="203" t="s">
        <v>5</v>
      </c>
      <c r="L48" s="203" t="s">
        <v>5</v>
      </c>
      <c r="M48" s="97">
        <v>35</v>
      </c>
      <c r="N48" s="102">
        <v>34.950000000000003</v>
      </c>
      <c r="O48" s="372">
        <v>5</v>
      </c>
      <c r="P48" s="99"/>
      <c r="Q48" s="211"/>
      <c r="R48" s="211"/>
      <c r="S48" s="192" t="s">
        <v>5</v>
      </c>
      <c r="T48" s="71"/>
      <c r="U48" s="71"/>
      <c r="V48" s="71"/>
      <c r="W48" s="71"/>
      <c r="X48" s="71"/>
      <c r="Y48" s="93"/>
      <c r="Z48" s="91"/>
      <c r="AA48" s="91"/>
      <c r="AB48" s="71"/>
      <c r="AC48" s="67"/>
      <c r="AD48" s="104"/>
      <c r="AE48" s="67"/>
      <c r="AF48" s="67"/>
      <c r="AG48" s="67"/>
      <c r="AH48" s="67"/>
      <c r="AI48" s="472"/>
      <c r="AJ48" s="67"/>
      <c r="AK48" s="472"/>
      <c r="AL48" s="67"/>
      <c r="AM48" s="67"/>
      <c r="AN48" s="67"/>
      <c r="AO48" s="67"/>
      <c r="AP48" s="67"/>
      <c r="AQ48" s="67"/>
      <c r="AR48" s="91"/>
      <c r="AS48" s="91"/>
      <c r="AT48" s="91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100"/>
      <c r="CM48" s="91"/>
      <c r="CN48" s="223"/>
      <c r="CO48" s="223"/>
      <c r="CP48" s="223"/>
      <c r="CQ48" s="223"/>
      <c r="CR48" s="223"/>
      <c r="CS48" s="223"/>
      <c r="CT48" s="223"/>
      <c r="CU48" s="223"/>
      <c r="CV48" s="223"/>
      <c r="CW48" s="223"/>
      <c r="CX48" s="223"/>
      <c r="CY48" s="223"/>
      <c r="CZ48" s="223"/>
      <c r="DA48" s="223"/>
      <c r="DB48" s="223"/>
      <c r="DC48" s="223"/>
      <c r="DD48" s="223"/>
      <c r="DE48" s="223"/>
      <c r="DF48" s="223"/>
    </row>
    <row r="49" spans="1:110" ht="18" x14ac:dyDescent="0.25">
      <c r="B49" s="204"/>
      <c r="C49" s="95" t="s">
        <v>265</v>
      </c>
      <c r="D49" s="96" t="s">
        <v>171</v>
      </c>
      <c r="E49" s="310" t="s">
        <v>213</v>
      </c>
      <c r="F49" s="351" t="s">
        <v>208</v>
      </c>
      <c r="G49" s="310" t="s">
        <v>208</v>
      </c>
      <c r="H49" s="310" t="s">
        <v>208</v>
      </c>
      <c r="I49" s="310" t="s">
        <v>208</v>
      </c>
      <c r="J49" s="203" t="s">
        <v>5</v>
      </c>
      <c r="K49" s="203" t="s">
        <v>5</v>
      </c>
      <c r="L49" s="203" t="s">
        <v>5</v>
      </c>
      <c r="M49" s="97">
        <v>20</v>
      </c>
      <c r="N49" s="102">
        <v>19.95</v>
      </c>
      <c r="O49" s="373">
        <v>2</v>
      </c>
      <c r="P49" s="103"/>
      <c r="Q49" s="211"/>
      <c r="R49" s="211"/>
      <c r="S49" s="192" t="s">
        <v>5</v>
      </c>
      <c r="T49" s="104"/>
      <c r="U49" s="71"/>
      <c r="V49" s="71"/>
      <c r="W49" s="71"/>
      <c r="X49" s="71"/>
      <c r="AB49" s="106"/>
      <c r="AC49" s="107"/>
      <c r="AD49" s="81"/>
      <c r="AE49" s="60"/>
      <c r="AF49" s="60"/>
      <c r="AG49" s="67"/>
      <c r="AH49" s="67"/>
      <c r="AI49" s="472"/>
      <c r="AJ49" s="67"/>
      <c r="AK49" s="472"/>
      <c r="AL49" s="67"/>
      <c r="AM49" s="67"/>
      <c r="AN49" s="67"/>
      <c r="AO49" s="67"/>
      <c r="AP49" s="67"/>
      <c r="AQ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W49" s="44"/>
      <c r="BX49" s="44"/>
      <c r="CA49" s="44"/>
      <c r="CB49" s="44"/>
      <c r="CE49" s="44"/>
      <c r="CF49" s="44"/>
      <c r="CJ49" s="44"/>
      <c r="CK49" s="44"/>
    </row>
    <row r="50" spans="1:110" s="101" customFormat="1" ht="18" x14ac:dyDescent="0.25">
      <c r="A50" s="223"/>
      <c r="B50" s="204"/>
      <c r="C50" s="95" t="s">
        <v>267</v>
      </c>
      <c r="D50" s="96" t="s">
        <v>169</v>
      </c>
      <c r="E50" s="310" t="s">
        <v>213</v>
      </c>
      <c r="F50" s="351" t="s">
        <v>208</v>
      </c>
      <c r="G50" s="310" t="s">
        <v>208</v>
      </c>
      <c r="H50" s="310" t="s">
        <v>208</v>
      </c>
      <c r="I50" s="310" t="s">
        <v>208</v>
      </c>
      <c r="J50" s="310" t="s">
        <v>208</v>
      </c>
      <c r="K50" s="310" t="s">
        <v>208</v>
      </c>
      <c r="L50" s="203" t="s">
        <v>5</v>
      </c>
      <c r="M50" s="97">
        <v>20</v>
      </c>
      <c r="N50" s="102">
        <v>19.95</v>
      </c>
      <c r="O50" s="372">
        <v>5</v>
      </c>
      <c r="P50" s="99"/>
      <c r="Q50" s="211"/>
      <c r="R50" s="211"/>
      <c r="S50" s="192" t="s">
        <v>5</v>
      </c>
      <c r="T50" s="71"/>
      <c r="U50" s="71"/>
      <c r="V50" s="71"/>
      <c r="W50" s="71"/>
      <c r="X50" s="71"/>
      <c r="Y50" s="93"/>
      <c r="Z50" s="91"/>
      <c r="AA50" s="91"/>
      <c r="AB50" s="71"/>
      <c r="AC50" s="67"/>
      <c r="AD50" s="104"/>
      <c r="AE50" s="67"/>
      <c r="AF50" s="67"/>
      <c r="AG50" s="67"/>
      <c r="AH50" s="67"/>
      <c r="AI50" s="472"/>
      <c r="AJ50" s="67"/>
      <c r="AK50" s="472"/>
      <c r="AL50" s="67"/>
      <c r="AM50" s="67"/>
      <c r="AN50" s="67"/>
      <c r="AO50" s="67"/>
      <c r="AP50" s="67"/>
      <c r="AQ50" s="67"/>
      <c r="AR50" s="91"/>
      <c r="AS50" s="91"/>
      <c r="AT50" s="91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100"/>
      <c r="CM50" s="91"/>
      <c r="CN50" s="223"/>
      <c r="CO50" s="223"/>
      <c r="CP50" s="223"/>
      <c r="CQ50" s="223"/>
      <c r="CR50" s="223"/>
      <c r="CS50" s="223"/>
      <c r="CT50" s="223"/>
      <c r="CU50" s="223"/>
      <c r="CV50" s="223"/>
      <c r="CW50" s="223"/>
      <c r="CX50" s="223"/>
      <c r="CY50" s="223"/>
      <c r="CZ50" s="223"/>
      <c r="DA50" s="223"/>
      <c r="DB50" s="223"/>
      <c r="DC50" s="223"/>
      <c r="DD50" s="223"/>
      <c r="DE50" s="223"/>
      <c r="DF50" s="223"/>
    </row>
    <row r="51" spans="1:110" s="101" customFormat="1" ht="18" x14ac:dyDescent="0.25">
      <c r="A51" s="223"/>
      <c r="B51" s="204"/>
      <c r="C51" s="95" t="s">
        <v>263</v>
      </c>
      <c r="D51" s="96" t="s">
        <v>170</v>
      </c>
      <c r="E51" s="310" t="s">
        <v>213</v>
      </c>
      <c r="F51" s="351" t="s">
        <v>208</v>
      </c>
      <c r="G51" s="310" t="s">
        <v>208</v>
      </c>
      <c r="H51" s="310" t="s">
        <v>208</v>
      </c>
      <c r="I51" s="310" t="s">
        <v>208</v>
      </c>
      <c r="J51" s="310" t="s">
        <v>208</v>
      </c>
      <c r="K51" s="310" t="s">
        <v>208</v>
      </c>
      <c r="L51" s="203" t="s">
        <v>5</v>
      </c>
      <c r="M51" s="97">
        <v>20</v>
      </c>
      <c r="N51" s="102">
        <v>19.95</v>
      </c>
      <c r="O51" s="373">
        <v>2</v>
      </c>
      <c r="P51" s="103"/>
      <c r="Q51" s="211"/>
      <c r="R51" s="211"/>
      <c r="S51" s="192" t="s">
        <v>5</v>
      </c>
      <c r="T51" s="104"/>
      <c r="U51" s="71"/>
      <c r="V51" s="71"/>
      <c r="W51" s="71"/>
      <c r="X51" s="71"/>
      <c r="Y51" s="91"/>
      <c r="Z51" s="91"/>
      <c r="AA51" s="91"/>
      <c r="AB51" s="71"/>
      <c r="AC51" s="67"/>
      <c r="AD51" s="81"/>
      <c r="AE51" s="67"/>
      <c r="AF51" s="67"/>
      <c r="AG51" s="67"/>
      <c r="AH51" s="67"/>
      <c r="AI51" s="472"/>
      <c r="AJ51" s="67"/>
      <c r="AK51" s="472"/>
      <c r="AL51" s="67"/>
      <c r="AM51" s="67"/>
      <c r="AN51" s="67"/>
      <c r="AO51" s="67"/>
      <c r="AP51" s="67"/>
      <c r="AQ51" s="67"/>
      <c r="AR51" s="91"/>
      <c r="AS51" s="91"/>
      <c r="AT51" s="91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100"/>
      <c r="CM51" s="91"/>
      <c r="CN51" s="223"/>
      <c r="CO51" s="223"/>
      <c r="CP51" s="223"/>
      <c r="CQ51" s="223"/>
      <c r="CR51" s="223"/>
      <c r="CS51" s="223"/>
      <c r="CT51" s="223"/>
      <c r="CU51" s="223"/>
      <c r="CV51" s="223"/>
      <c r="CW51" s="223"/>
      <c r="CX51" s="223"/>
      <c r="CY51" s="223"/>
      <c r="CZ51" s="223"/>
      <c r="DA51" s="223"/>
      <c r="DB51" s="223"/>
      <c r="DC51" s="223"/>
      <c r="DD51" s="223"/>
      <c r="DE51" s="223"/>
      <c r="DF51" s="223"/>
    </row>
    <row r="52" spans="1:110" ht="18" x14ac:dyDescent="0.25">
      <c r="B52" s="204"/>
      <c r="C52" s="95" t="s">
        <v>264</v>
      </c>
      <c r="D52" s="96" t="s">
        <v>173</v>
      </c>
      <c r="E52" s="310" t="s">
        <v>213</v>
      </c>
      <c r="F52" s="351" t="s">
        <v>208</v>
      </c>
      <c r="G52" s="310" t="s">
        <v>208</v>
      </c>
      <c r="H52" s="310" t="s">
        <v>208</v>
      </c>
      <c r="I52" s="310" t="s">
        <v>208</v>
      </c>
      <c r="J52" s="310" t="s">
        <v>208</v>
      </c>
      <c r="K52" s="310" t="s">
        <v>208</v>
      </c>
      <c r="L52" s="203" t="s">
        <v>5</v>
      </c>
      <c r="M52" s="97">
        <v>50</v>
      </c>
      <c r="N52" s="102">
        <v>49.95</v>
      </c>
      <c r="O52" s="373">
        <v>2</v>
      </c>
      <c r="P52" s="103"/>
      <c r="Q52" s="211"/>
      <c r="R52" s="211"/>
      <c r="S52" s="192" t="s">
        <v>5</v>
      </c>
      <c r="T52" s="104"/>
      <c r="U52" s="71"/>
      <c r="V52" s="71"/>
      <c r="W52" s="71"/>
      <c r="X52" s="71"/>
      <c r="AB52" s="106"/>
      <c r="AC52" s="107"/>
      <c r="AD52" s="81"/>
      <c r="AE52" s="67"/>
      <c r="AF52" s="67"/>
      <c r="AG52" s="67"/>
      <c r="AH52" s="67"/>
      <c r="AI52" s="472"/>
      <c r="AJ52" s="67"/>
      <c r="AK52" s="472"/>
      <c r="AL52" s="67"/>
      <c r="AM52" s="67"/>
      <c r="AN52" s="67"/>
      <c r="AO52" s="67"/>
      <c r="AP52" s="67"/>
      <c r="AQ52" s="67"/>
      <c r="AR52" s="44"/>
      <c r="AS52" s="44"/>
      <c r="AT52" s="44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W52" s="44"/>
      <c r="BX52" s="44"/>
      <c r="CA52" s="44"/>
      <c r="CB52" s="44"/>
      <c r="CE52" s="44"/>
      <c r="CF52" s="44"/>
      <c r="CJ52" s="44"/>
      <c r="CK52" s="44"/>
    </row>
    <row r="53" spans="1:110" s="88" customFormat="1" ht="18" x14ac:dyDescent="0.25">
      <c r="A53" s="218"/>
      <c r="B53" s="204"/>
      <c r="C53" s="95" t="s">
        <v>266</v>
      </c>
      <c r="D53" s="96" t="s">
        <v>211</v>
      </c>
      <c r="E53" s="310" t="s">
        <v>213</v>
      </c>
      <c r="F53" s="351" t="s">
        <v>208</v>
      </c>
      <c r="G53" s="310" t="s">
        <v>208</v>
      </c>
      <c r="H53" s="310" t="s">
        <v>208</v>
      </c>
      <c r="I53" s="310" t="s">
        <v>208</v>
      </c>
      <c r="J53" s="310" t="s">
        <v>208</v>
      </c>
      <c r="K53" s="310" t="s">
        <v>208</v>
      </c>
      <c r="L53" s="203" t="s">
        <v>5</v>
      </c>
      <c r="M53" s="97">
        <v>35</v>
      </c>
      <c r="N53" s="102">
        <v>34.950000000000003</v>
      </c>
      <c r="O53" s="373">
        <v>2</v>
      </c>
      <c r="P53" s="103"/>
      <c r="Q53" s="211"/>
      <c r="R53" s="211"/>
      <c r="S53" s="192" t="s">
        <v>5</v>
      </c>
      <c r="T53" s="71"/>
      <c r="U53" s="71"/>
      <c r="V53" s="71"/>
      <c r="W53" s="71"/>
      <c r="X53" s="71"/>
      <c r="Y53" s="94"/>
      <c r="Z53" s="71"/>
      <c r="AA53" s="71"/>
      <c r="AB53" s="106"/>
      <c r="AC53" s="107"/>
      <c r="AD53" s="81"/>
      <c r="AE53" s="67"/>
      <c r="AF53" s="67"/>
      <c r="AG53" s="67"/>
      <c r="AH53" s="67"/>
      <c r="AI53" s="472"/>
      <c r="AJ53" s="67"/>
      <c r="AK53" s="472"/>
      <c r="AL53" s="67"/>
      <c r="AM53" s="67"/>
      <c r="AN53" s="67"/>
      <c r="AO53" s="67"/>
      <c r="AP53" s="67"/>
      <c r="AQ53" s="67"/>
      <c r="AR53" s="71"/>
      <c r="AS53" s="71"/>
      <c r="AT53" s="71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71"/>
      <c r="BW53" s="71"/>
      <c r="BX53" s="71"/>
      <c r="BY53" s="71"/>
      <c r="BZ53" s="71"/>
      <c r="CA53" s="71"/>
      <c r="CB53" s="71"/>
      <c r="CC53" s="71"/>
      <c r="CD53" s="71"/>
      <c r="CE53" s="71"/>
      <c r="CF53" s="71"/>
      <c r="CG53" s="71"/>
      <c r="CH53" s="71"/>
      <c r="CI53" s="71"/>
      <c r="CJ53" s="71"/>
      <c r="CK53" s="71"/>
      <c r="CL53" s="81"/>
      <c r="CM53" s="71"/>
      <c r="CN53" s="218"/>
      <c r="CO53" s="218"/>
      <c r="CP53" s="218"/>
      <c r="CQ53" s="218"/>
      <c r="CR53" s="218"/>
      <c r="CS53" s="218"/>
      <c r="CT53" s="218"/>
      <c r="CU53" s="218"/>
      <c r="CV53" s="218"/>
      <c r="CW53" s="218"/>
      <c r="CX53" s="218"/>
      <c r="CY53" s="218"/>
      <c r="CZ53" s="218"/>
      <c r="DA53" s="218"/>
      <c r="DB53" s="218"/>
      <c r="DC53" s="218"/>
      <c r="DD53" s="218"/>
      <c r="DE53" s="218"/>
      <c r="DF53" s="218"/>
    </row>
    <row r="54" spans="1:110" s="101" customFormat="1" ht="18" x14ac:dyDescent="0.3">
      <c r="A54" s="223"/>
      <c r="B54" s="204"/>
      <c r="C54" s="397" t="s">
        <v>186</v>
      </c>
      <c r="D54" s="96" t="s">
        <v>172</v>
      </c>
      <c r="E54" s="310" t="s">
        <v>213</v>
      </c>
      <c r="F54" s="352" t="s">
        <v>5</v>
      </c>
      <c r="G54" s="203" t="s">
        <v>5</v>
      </c>
      <c r="H54" s="310" t="s">
        <v>213</v>
      </c>
      <c r="I54" s="310" t="s">
        <v>213</v>
      </c>
      <c r="J54" s="203" t="s">
        <v>5</v>
      </c>
      <c r="K54" s="203" t="s">
        <v>5</v>
      </c>
      <c r="L54" s="203" t="s">
        <v>5</v>
      </c>
      <c r="M54" s="108" t="s">
        <v>6</v>
      </c>
      <c r="N54" s="295">
        <v>9.9499999999999993</v>
      </c>
      <c r="O54" s="374" t="s">
        <v>6</v>
      </c>
      <c r="P54" s="113" t="s">
        <v>7</v>
      </c>
      <c r="Q54" s="211"/>
      <c r="R54" s="211"/>
      <c r="S54" s="192" t="s">
        <v>5</v>
      </c>
      <c r="T54" s="71"/>
      <c r="U54" s="71"/>
      <c r="V54" s="71"/>
      <c r="W54" s="71"/>
      <c r="X54" s="71"/>
      <c r="Y54" s="91"/>
      <c r="Z54" s="91"/>
      <c r="AA54" s="91"/>
      <c r="AB54" s="91"/>
      <c r="AC54" s="67"/>
      <c r="AD54" s="67"/>
      <c r="AE54" s="109"/>
      <c r="AF54" s="109"/>
      <c r="AG54" s="67"/>
      <c r="AH54" s="67"/>
      <c r="AI54" s="472"/>
      <c r="AJ54" s="67"/>
      <c r="AK54" s="472"/>
      <c r="AL54" s="67"/>
      <c r="AM54" s="45"/>
      <c r="AN54" s="109"/>
      <c r="AO54" s="109"/>
      <c r="AP54" s="109"/>
      <c r="AQ54" s="109"/>
      <c r="AR54" s="109"/>
      <c r="AS54" s="109"/>
      <c r="AT54" s="109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91"/>
      <c r="BW54" s="110"/>
      <c r="BX54" s="110"/>
      <c r="BY54" s="91"/>
      <c r="BZ54" s="91"/>
      <c r="CA54" s="110"/>
      <c r="CB54" s="110"/>
      <c r="CC54" s="91"/>
      <c r="CD54" s="91"/>
      <c r="CE54" s="110"/>
      <c r="CF54" s="110"/>
      <c r="CG54" s="91"/>
      <c r="CH54" s="91"/>
      <c r="CI54" s="91"/>
      <c r="CJ54" s="110"/>
      <c r="CK54" s="110"/>
      <c r="CL54" s="100"/>
      <c r="CM54" s="91"/>
      <c r="CN54" s="223"/>
      <c r="CO54" s="223"/>
      <c r="CP54" s="223"/>
      <c r="CQ54" s="223"/>
      <c r="CR54" s="223"/>
      <c r="CS54" s="223"/>
      <c r="CT54" s="223"/>
      <c r="CU54" s="223"/>
      <c r="CV54" s="223"/>
      <c r="CW54" s="223"/>
      <c r="CX54" s="223"/>
      <c r="CY54" s="223"/>
      <c r="CZ54" s="223"/>
      <c r="DA54" s="223"/>
      <c r="DB54" s="223"/>
      <c r="DC54" s="223"/>
      <c r="DD54" s="223"/>
      <c r="DE54" s="223"/>
      <c r="DF54" s="223"/>
    </row>
    <row r="55" spans="1:110" s="116" customFormat="1" ht="18" x14ac:dyDescent="0.3">
      <c r="A55" s="224"/>
      <c r="B55" s="205"/>
      <c r="C55" s="431" t="s">
        <v>402</v>
      </c>
      <c r="D55" s="111" t="s">
        <v>151</v>
      </c>
      <c r="E55" s="310" t="s">
        <v>213</v>
      </c>
      <c r="F55" s="351" t="s">
        <v>212</v>
      </c>
      <c r="G55" s="203" t="s">
        <v>5</v>
      </c>
      <c r="H55" s="310" t="str">
        <f>H$164</f>
        <v>Kauf nach CF</v>
      </c>
      <c r="I55" s="310" t="s">
        <v>213</v>
      </c>
      <c r="J55" s="203" t="s">
        <v>5</v>
      </c>
      <c r="K55" s="203" t="s">
        <v>5</v>
      </c>
      <c r="L55" s="203" t="s">
        <v>5</v>
      </c>
      <c r="M55" s="108" t="s">
        <v>6</v>
      </c>
      <c r="N55" s="112" t="s">
        <v>6</v>
      </c>
      <c r="O55" s="374" t="s">
        <v>6</v>
      </c>
      <c r="P55" s="113"/>
      <c r="Q55" s="211"/>
      <c r="R55" s="211"/>
      <c r="S55" s="194" t="s">
        <v>5</v>
      </c>
      <c r="T55" s="114">
        <f>AD55</f>
        <v>0</v>
      </c>
      <c r="U55" s="71"/>
      <c r="V55" s="71"/>
      <c r="W55" s="71"/>
      <c r="X55" s="71"/>
      <c r="Y55" s="45"/>
      <c r="Z55" s="45"/>
      <c r="AA55" s="45"/>
      <c r="AB55" s="45"/>
      <c r="AC55" s="67"/>
      <c r="AD55" s="81"/>
      <c r="AE55" s="64"/>
      <c r="AF55" s="64"/>
      <c r="AG55" s="67"/>
      <c r="AH55" s="67"/>
      <c r="AI55" s="472"/>
      <c r="AJ55" s="67"/>
      <c r="AK55" s="472"/>
      <c r="AL55" s="67"/>
      <c r="AM55" s="45"/>
      <c r="AN55" s="64"/>
      <c r="AO55" s="64"/>
      <c r="AP55" s="64"/>
      <c r="AQ55" s="64"/>
      <c r="AR55" s="64"/>
      <c r="AS55" s="64"/>
      <c r="AT55" s="64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115"/>
      <c r="CM55" s="45"/>
      <c r="CN55" s="224"/>
      <c r="CO55" s="224"/>
      <c r="CP55" s="224"/>
      <c r="CQ55" s="224"/>
      <c r="CR55" s="224"/>
      <c r="CS55" s="224"/>
      <c r="CT55" s="224"/>
      <c r="CU55" s="224"/>
      <c r="CV55" s="224"/>
      <c r="CW55" s="224"/>
      <c r="CX55" s="224"/>
      <c r="CY55" s="224"/>
      <c r="CZ55" s="224"/>
      <c r="DA55" s="224"/>
      <c r="DB55" s="224"/>
      <c r="DC55" s="224"/>
      <c r="DD55" s="224"/>
      <c r="DE55" s="224"/>
      <c r="DF55" s="224"/>
    </row>
    <row r="56" spans="1:110" s="116" customFormat="1" ht="18" x14ac:dyDescent="0.3">
      <c r="A56" s="224"/>
      <c r="B56" s="205"/>
      <c r="C56" s="423" t="s">
        <v>337</v>
      </c>
      <c r="D56" s="111" t="s">
        <v>382</v>
      </c>
      <c r="E56" s="310" t="s">
        <v>213</v>
      </c>
      <c r="F56" s="352" t="s">
        <v>5</v>
      </c>
      <c r="G56" s="203" t="s">
        <v>5</v>
      </c>
      <c r="H56" s="310" t="s">
        <v>213</v>
      </c>
      <c r="I56" s="310" t="s">
        <v>213</v>
      </c>
      <c r="J56" s="203" t="s">
        <v>5</v>
      </c>
      <c r="K56" s="203" t="s">
        <v>5</v>
      </c>
      <c r="L56" s="203" t="s">
        <v>5</v>
      </c>
      <c r="M56" s="108" t="s">
        <v>6</v>
      </c>
      <c r="N56" s="112" t="s">
        <v>6</v>
      </c>
      <c r="O56" s="374" t="s">
        <v>6</v>
      </c>
      <c r="P56" s="113"/>
      <c r="Q56" s="211"/>
      <c r="R56" s="211"/>
      <c r="S56" s="194" t="s">
        <v>5</v>
      </c>
      <c r="T56" s="114">
        <f>AD56</f>
        <v>0</v>
      </c>
      <c r="U56" s="71"/>
      <c r="V56" s="71"/>
      <c r="W56" s="71"/>
      <c r="X56" s="71"/>
      <c r="Y56" s="45"/>
      <c r="Z56" s="45"/>
      <c r="AA56" s="45"/>
      <c r="AB56" s="45"/>
      <c r="AC56" s="67"/>
      <c r="AD56" s="81"/>
      <c r="AE56" s="64"/>
      <c r="AF56" s="64"/>
      <c r="AG56" s="67"/>
      <c r="AH56" s="67"/>
      <c r="AI56" s="472"/>
      <c r="AJ56" s="67"/>
      <c r="AK56" s="472"/>
      <c r="AL56" s="67"/>
      <c r="AM56" s="45"/>
      <c r="AN56" s="64"/>
      <c r="AO56" s="64"/>
      <c r="AP56" s="64"/>
      <c r="AQ56" s="64"/>
      <c r="AR56" s="64"/>
      <c r="AS56" s="64"/>
      <c r="AT56" s="64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115"/>
      <c r="CM56" s="45"/>
      <c r="CN56" s="224"/>
      <c r="CO56" s="224"/>
      <c r="CP56" s="224"/>
      <c r="CQ56" s="224"/>
      <c r="CR56" s="224"/>
      <c r="CS56" s="224"/>
      <c r="CT56" s="224"/>
      <c r="CU56" s="224"/>
      <c r="CV56" s="224"/>
      <c r="CW56" s="224"/>
      <c r="CX56" s="224"/>
      <c r="CY56" s="224"/>
      <c r="CZ56" s="224"/>
      <c r="DA56" s="224"/>
      <c r="DB56" s="224"/>
      <c r="DC56" s="224"/>
      <c r="DD56" s="224"/>
      <c r="DE56" s="224"/>
      <c r="DF56" s="224"/>
    </row>
    <row r="57" spans="1:110" s="116" customFormat="1" ht="18" x14ac:dyDescent="0.3">
      <c r="A57" s="224"/>
      <c r="B57" s="205"/>
      <c r="C57" s="423" t="s">
        <v>376</v>
      </c>
      <c r="D57" s="111" t="s">
        <v>383</v>
      </c>
      <c r="E57" s="310" t="s">
        <v>213</v>
      </c>
      <c r="F57" s="352" t="s">
        <v>208</v>
      </c>
      <c r="G57" s="203" t="s">
        <v>5</v>
      </c>
      <c r="H57" s="310" t="s">
        <v>213</v>
      </c>
      <c r="I57" s="310" t="s">
        <v>213</v>
      </c>
      <c r="J57" s="203" t="s">
        <v>5</v>
      </c>
      <c r="K57" s="203" t="s">
        <v>5</v>
      </c>
      <c r="L57" s="203" t="s">
        <v>5</v>
      </c>
      <c r="M57" s="108" t="s">
        <v>6</v>
      </c>
      <c r="N57" s="112" t="s">
        <v>6</v>
      </c>
      <c r="O57" s="374" t="s">
        <v>6</v>
      </c>
      <c r="P57" s="113"/>
      <c r="Q57" s="211"/>
      <c r="R57" s="211"/>
      <c r="S57" s="194" t="s">
        <v>5</v>
      </c>
      <c r="T57" s="114">
        <f>AD57</f>
        <v>0</v>
      </c>
      <c r="U57" s="71"/>
      <c r="V57" s="71"/>
      <c r="W57" s="71"/>
      <c r="X57" s="71"/>
      <c r="Y57" s="45"/>
      <c r="Z57" s="45"/>
      <c r="AA57" s="45"/>
      <c r="AB57" s="45"/>
      <c r="AC57" s="67"/>
      <c r="AD57" s="81"/>
      <c r="AE57" s="64"/>
      <c r="AF57" s="64"/>
      <c r="AG57" s="67"/>
      <c r="AH57" s="67"/>
      <c r="AI57" s="472"/>
      <c r="AJ57" s="67"/>
      <c r="AK57" s="472"/>
      <c r="AL57" s="67"/>
      <c r="AM57" s="45"/>
      <c r="AN57" s="64"/>
      <c r="AO57" s="64"/>
      <c r="AP57" s="64"/>
      <c r="AQ57" s="64"/>
      <c r="AR57" s="64"/>
      <c r="AS57" s="64"/>
      <c r="AT57" s="64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115"/>
      <c r="CM57" s="45"/>
      <c r="CN57" s="224"/>
      <c r="CO57" s="224"/>
      <c r="CP57" s="224"/>
      <c r="CQ57" s="224"/>
      <c r="CR57" s="224"/>
      <c r="CS57" s="224"/>
      <c r="CT57" s="224"/>
      <c r="CU57" s="224"/>
      <c r="CV57" s="224"/>
      <c r="CW57" s="224"/>
      <c r="CX57" s="224"/>
      <c r="CY57" s="224"/>
      <c r="CZ57" s="224"/>
      <c r="DA57" s="224"/>
      <c r="DB57" s="224"/>
      <c r="DC57" s="224"/>
      <c r="DD57" s="224"/>
      <c r="DE57" s="224"/>
      <c r="DF57" s="224"/>
    </row>
    <row r="58" spans="1:110" s="116" customFormat="1" ht="18" x14ac:dyDescent="0.3">
      <c r="A58" s="224"/>
      <c r="B58" s="205"/>
      <c r="C58" s="431" t="s">
        <v>395</v>
      </c>
      <c r="D58" s="111" t="s">
        <v>384</v>
      </c>
      <c r="E58" s="310" t="s">
        <v>213</v>
      </c>
      <c r="F58" s="352" t="s">
        <v>208</v>
      </c>
      <c r="G58" s="203" t="s">
        <v>5</v>
      </c>
      <c r="H58" s="310" t="s">
        <v>213</v>
      </c>
      <c r="I58" s="310" t="s">
        <v>213</v>
      </c>
      <c r="J58" s="203" t="s">
        <v>5</v>
      </c>
      <c r="K58" s="203" t="s">
        <v>5</v>
      </c>
      <c r="L58" s="203" t="s">
        <v>5</v>
      </c>
      <c r="M58" s="108" t="s">
        <v>6</v>
      </c>
      <c r="N58" s="112" t="s">
        <v>6</v>
      </c>
      <c r="O58" s="374" t="s">
        <v>6</v>
      </c>
      <c r="P58" s="113"/>
      <c r="Q58" s="211"/>
      <c r="R58" s="211"/>
      <c r="S58" s="194" t="s">
        <v>5</v>
      </c>
      <c r="T58" s="114">
        <f t="shared" ref="T58" si="5">AD58</f>
        <v>0</v>
      </c>
      <c r="U58" s="71"/>
      <c r="V58" s="71"/>
      <c r="W58" s="71"/>
      <c r="X58" s="71"/>
      <c r="Y58" s="45"/>
      <c r="Z58" s="45"/>
      <c r="AA58" s="45"/>
      <c r="AB58" s="45"/>
      <c r="AC58" s="67"/>
      <c r="AD58" s="81"/>
      <c r="AE58" s="64"/>
      <c r="AF58" s="64"/>
      <c r="AG58" s="67"/>
      <c r="AH58" s="67"/>
      <c r="AI58" s="472"/>
      <c r="AJ58" s="67"/>
      <c r="AK58" s="472"/>
      <c r="AL58" s="67"/>
      <c r="AM58" s="45"/>
      <c r="AN58" s="64"/>
      <c r="AO58" s="64"/>
      <c r="AP58" s="64"/>
      <c r="AQ58" s="64"/>
      <c r="AR58" s="64"/>
      <c r="AS58" s="64"/>
      <c r="AT58" s="64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  <c r="BS58" s="67"/>
      <c r="BT58" s="67"/>
      <c r="BU58" s="67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115"/>
      <c r="CM58" s="45"/>
      <c r="CN58" s="224"/>
      <c r="CO58" s="224"/>
      <c r="CP58" s="224"/>
      <c r="CQ58" s="224"/>
      <c r="CR58" s="224"/>
      <c r="CS58" s="224"/>
      <c r="CT58" s="224"/>
      <c r="CU58" s="224"/>
      <c r="CV58" s="224"/>
      <c r="CW58" s="224"/>
      <c r="CX58" s="224"/>
      <c r="CY58" s="224"/>
      <c r="CZ58" s="224"/>
      <c r="DA58" s="224"/>
      <c r="DB58" s="224"/>
      <c r="DC58" s="224"/>
      <c r="DD58" s="224"/>
      <c r="DE58" s="224"/>
      <c r="DF58" s="224"/>
    </row>
    <row r="59" spans="1:110" s="116" customFormat="1" ht="18" hidden="1" outlineLevel="1" x14ac:dyDescent="0.3">
      <c r="A59" s="224"/>
      <c r="B59" s="205"/>
      <c r="C59" s="366" t="s">
        <v>190</v>
      </c>
      <c r="D59" s="398" t="s">
        <v>174</v>
      </c>
      <c r="E59" s="310" t="s">
        <v>213</v>
      </c>
      <c r="F59" s="352" t="s">
        <v>5</v>
      </c>
      <c r="G59" s="310" t="s">
        <v>208</v>
      </c>
      <c r="H59" s="310" t="s">
        <v>208</v>
      </c>
      <c r="I59" s="310" t="s">
        <v>208</v>
      </c>
      <c r="J59" s="310" t="s">
        <v>208</v>
      </c>
      <c r="K59" s="310" t="s">
        <v>208</v>
      </c>
      <c r="L59" s="203" t="s">
        <v>5</v>
      </c>
      <c r="M59" s="108" t="s">
        <v>6</v>
      </c>
      <c r="N59" s="112" t="s">
        <v>6</v>
      </c>
      <c r="O59" s="374" t="s">
        <v>6</v>
      </c>
      <c r="P59" s="113"/>
      <c r="Q59" s="211"/>
      <c r="R59" s="211"/>
      <c r="S59" s="194" t="s">
        <v>5</v>
      </c>
      <c r="T59" s="114"/>
      <c r="U59" s="71"/>
      <c r="V59" s="71"/>
      <c r="W59" s="71"/>
      <c r="X59" s="71"/>
      <c r="Y59" s="45"/>
      <c r="Z59" s="45"/>
      <c r="AA59" s="45"/>
      <c r="AB59" s="45"/>
      <c r="AC59" s="67"/>
      <c r="AD59" s="81"/>
      <c r="AE59" s="64"/>
      <c r="AF59" s="64"/>
      <c r="AG59" s="67"/>
      <c r="AH59" s="67"/>
      <c r="AI59" s="472"/>
      <c r="AJ59" s="67"/>
      <c r="AK59" s="472"/>
      <c r="AL59" s="67"/>
      <c r="AM59" s="45"/>
      <c r="AN59" s="64"/>
      <c r="AO59" s="64"/>
      <c r="AP59" s="64"/>
      <c r="AQ59" s="64"/>
      <c r="AR59" s="64"/>
      <c r="AS59" s="64"/>
      <c r="AT59" s="64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115"/>
      <c r="CM59" s="45"/>
      <c r="CN59" s="224"/>
      <c r="CO59" s="224"/>
      <c r="CP59" s="224"/>
      <c r="CQ59" s="224"/>
      <c r="CR59" s="224"/>
      <c r="CS59" s="224"/>
      <c r="CT59" s="224"/>
      <c r="CU59" s="224"/>
      <c r="CV59" s="224"/>
      <c r="CW59" s="224"/>
      <c r="CX59" s="224"/>
      <c r="CY59" s="224"/>
      <c r="CZ59" s="224"/>
      <c r="DA59" s="224"/>
      <c r="DB59" s="224"/>
      <c r="DC59" s="224"/>
      <c r="DD59" s="224"/>
      <c r="DE59" s="224"/>
      <c r="DF59" s="224"/>
    </row>
    <row r="60" spans="1:110" s="116" customFormat="1" ht="18" hidden="1" outlineLevel="1" x14ac:dyDescent="0.3">
      <c r="A60" s="224"/>
      <c r="B60" s="205"/>
      <c r="C60" s="366" t="s">
        <v>191</v>
      </c>
      <c r="D60" s="398" t="s">
        <v>174</v>
      </c>
      <c r="E60" s="310" t="s">
        <v>213</v>
      </c>
      <c r="F60" s="352" t="s">
        <v>5</v>
      </c>
      <c r="G60" s="310" t="s">
        <v>208</v>
      </c>
      <c r="H60" s="310" t="s">
        <v>208</v>
      </c>
      <c r="I60" s="310" t="s">
        <v>208</v>
      </c>
      <c r="J60" s="310" t="s">
        <v>208</v>
      </c>
      <c r="K60" s="310" t="s">
        <v>208</v>
      </c>
      <c r="L60" s="203" t="s">
        <v>5</v>
      </c>
      <c r="M60" s="108" t="s">
        <v>6</v>
      </c>
      <c r="N60" s="112" t="s">
        <v>6</v>
      </c>
      <c r="O60" s="374" t="s">
        <v>6</v>
      </c>
      <c r="P60" s="113"/>
      <c r="Q60" s="211"/>
      <c r="R60" s="211"/>
      <c r="S60" s="194" t="s">
        <v>5</v>
      </c>
      <c r="T60" s="114"/>
      <c r="U60" s="71"/>
      <c r="V60" s="71"/>
      <c r="W60" s="71"/>
      <c r="X60" s="71"/>
      <c r="Y60" s="45"/>
      <c r="Z60" s="45"/>
      <c r="AA60" s="45"/>
      <c r="AB60" s="45"/>
      <c r="AC60" s="67"/>
      <c r="AD60" s="81"/>
      <c r="AE60" s="64"/>
      <c r="AF60" s="64"/>
      <c r="AG60" s="67"/>
      <c r="AH60" s="67"/>
      <c r="AI60" s="472"/>
      <c r="AJ60" s="67"/>
      <c r="AK60" s="472"/>
      <c r="AL60" s="67"/>
      <c r="AM60" s="45"/>
      <c r="AN60" s="64"/>
      <c r="AO60" s="64"/>
      <c r="AP60" s="64"/>
      <c r="AQ60" s="64"/>
      <c r="AR60" s="64"/>
      <c r="AS60" s="64"/>
      <c r="AT60" s="64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115"/>
      <c r="CM60" s="45"/>
      <c r="CN60" s="224"/>
      <c r="CO60" s="224"/>
      <c r="CP60" s="224"/>
      <c r="CQ60" s="224"/>
      <c r="CR60" s="224"/>
      <c r="CS60" s="224"/>
      <c r="CT60" s="224"/>
      <c r="CU60" s="224"/>
      <c r="CV60" s="224"/>
      <c r="CW60" s="224"/>
      <c r="CX60" s="224"/>
      <c r="CY60" s="224"/>
      <c r="CZ60" s="224"/>
      <c r="DA60" s="224"/>
      <c r="DB60" s="224"/>
      <c r="DC60" s="224"/>
      <c r="DD60" s="224"/>
      <c r="DE60" s="224"/>
      <c r="DF60" s="224"/>
    </row>
    <row r="61" spans="1:110" s="88" customFormat="1" ht="18" collapsed="1" x14ac:dyDescent="0.25">
      <c r="A61" s="218"/>
      <c r="B61" s="205"/>
      <c r="C61" s="431" t="s">
        <v>397</v>
      </c>
      <c r="D61" s="111" t="s">
        <v>176</v>
      </c>
      <c r="E61" s="310" t="s">
        <v>213</v>
      </c>
      <c r="F61" s="351" t="s">
        <v>212</v>
      </c>
      <c r="G61" s="203" t="s">
        <v>5</v>
      </c>
      <c r="H61" s="310" t="str">
        <f t="shared" ref="H61" si="6">H$164</f>
        <v>Kauf nach CF</v>
      </c>
      <c r="I61" s="310" t="s">
        <v>213</v>
      </c>
      <c r="J61" s="203" t="s">
        <v>5</v>
      </c>
      <c r="K61" s="203" t="s">
        <v>5</v>
      </c>
      <c r="L61" s="203" t="s">
        <v>5</v>
      </c>
      <c r="M61" s="108" t="s">
        <v>6</v>
      </c>
      <c r="N61" s="112" t="s">
        <v>6</v>
      </c>
      <c r="O61" s="374" t="s">
        <v>6</v>
      </c>
      <c r="P61" s="113"/>
      <c r="Q61" s="211"/>
      <c r="R61" s="211"/>
      <c r="S61" s="192" t="s">
        <v>5</v>
      </c>
      <c r="T61" s="71"/>
      <c r="U61" s="71"/>
      <c r="V61" s="71"/>
      <c r="W61" s="71"/>
      <c r="X61" s="71"/>
      <c r="Y61" s="44"/>
      <c r="Z61" s="71"/>
      <c r="AA61" s="71"/>
      <c r="AB61" s="71"/>
      <c r="AC61" s="71"/>
      <c r="AD61" s="71"/>
      <c r="AE61" s="71"/>
      <c r="AF61" s="71"/>
      <c r="AG61" s="71"/>
      <c r="AH61" s="71"/>
      <c r="AI61" s="475"/>
      <c r="AJ61" s="71"/>
      <c r="AK61" s="475"/>
      <c r="AL61" s="71"/>
      <c r="AM61" s="71"/>
      <c r="AN61" s="106"/>
      <c r="AO61" s="106"/>
      <c r="AP61" s="106"/>
      <c r="AQ61" s="71"/>
      <c r="AR61" s="106"/>
      <c r="AS61" s="106"/>
      <c r="AT61" s="106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  <c r="BK61" s="71"/>
      <c r="BL61" s="71"/>
      <c r="BM61" s="71"/>
      <c r="BN61" s="71"/>
      <c r="BO61" s="71"/>
      <c r="BP61" s="71"/>
      <c r="BQ61" s="71"/>
      <c r="BR61" s="71"/>
      <c r="BS61" s="71"/>
      <c r="BT61" s="71"/>
      <c r="BU61" s="71"/>
      <c r="BV61" s="71"/>
      <c r="BW61" s="71"/>
      <c r="BX61" s="71"/>
      <c r="BY61" s="71"/>
      <c r="BZ61" s="71"/>
      <c r="CA61" s="71"/>
      <c r="CB61" s="71"/>
      <c r="CC61" s="71"/>
      <c r="CD61" s="71"/>
      <c r="CE61" s="71"/>
      <c r="CF61" s="71"/>
      <c r="CG61" s="71"/>
      <c r="CH61" s="71"/>
      <c r="CI61" s="71"/>
      <c r="CJ61" s="71"/>
      <c r="CK61" s="71"/>
      <c r="CL61" s="81"/>
      <c r="CM61" s="71"/>
      <c r="CN61" s="223"/>
      <c r="CO61" s="223"/>
      <c r="CP61" s="223"/>
      <c r="CQ61" s="223"/>
      <c r="CR61" s="218"/>
      <c r="CS61" s="218"/>
      <c r="CT61" s="218"/>
      <c r="CU61" s="218"/>
      <c r="CV61" s="218"/>
      <c r="CW61" s="218"/>
      <c r="CX61" s="218"/>
      <c r="CY61" s="218"/>
      <c r="CZ61" s="218"/>
      <c r="DA61" s="218"/>
      <c r="DB61" s="218"/>
      <c r="DC61" s="218"/>
      <c r="DD61" s="218"/>
      <c r="DE61" s="218"/>
      <c r="DF61" s="218"/>
    </row>
    <row r="62" spans="1:110" s="116" customFormat="1" ht="18" x14ac:dyDescent="0.3">
      <c r="A62" s="224"/>
      <c r="B62" s="205"/>
      <c r="C62" s="431" t="s">
        <v>370</v>
      </c>
      <c r="D62" s="111" t="s">
        <v>385</v>
      </c>
      <c r="E62" s="310"/>
      <c r="F62" s="352" t="s">
        <v>5</v>
      </c>
      <c r="G62" s="203" t="s">
        <v>5</v>
      </c>
      <c r="H62" s="310"/>
      <c r="I62" s="310" t="s">
        <v>213</v>
      </c>
      <c r="J62" s="203" t="s">
        <v>5</v>
      </c>
      <c r="K62" s="203" t="s">
        <v>5</v>
      </c>
      <c r="L62" s="203" t="s">
        <v>5</v>
      </c>
      <c r="M62" s="108" t="s">
        <v>6</v>
      </c>
      <c r="N62" s="112" t="s">
        <v>6</v>
      </c>
      <c r="O62" s="374" t="s">
        <v>6</v>
      </c>
      <c r="P62" s="113"/>
      <c r="Q62" s="211"/>
      <c r="R62" s="211"/>
      <c r="S62" s="194" t="s">
        <v>5</v>
      </c>
      <c r="T62" s="114">
        <f>AD62</f>
        <v>0</v>
      </c>
      <c r="U62" s="71"/>
      <c r="V62" s="71"/>
      <c r="W62" s="71"/>
      <c r="X62" s="71"/>
      <c r="Y62" s="45"/>
      <c r="Z62" s="45"/>
      <c r="AA62" s="45"/>
      <c r="AB62" s="45"/>
      <c r="AC62" s="67"/>
      <c r="AD62" s="81"/>
      <c r="AE62" s="64"/>
      <c r="AF62" s="64"/>
      <c r="AG62" s="67"/>
      <c r="AH62" s="67"/>
      <c r="AI62" s="472"/>
      <c r="AJ62" s="67"/>
      <c r="AK62" s="472"/>
      <c r="AL62" s="67"/>
      <c r="AM62" s="45"/>
      <c r="AN62" s="64"/>
      <c r="AO62" s="64"/>
      <c r="AP62" s="64"/>
      <c r="AQ62" s="64"/>
      <c r="AR62" s="64"/>
      <c r="AS62" s="64"/>
      <c r="AT62" s="64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115"/>
      <c r="CM62" s="45"/>
      <c r="CN62" s="224"/>
      <c r="CO62" s="224"/>
      <c r="CP62" s="224"/>
      <c r="CQ62" s="224"/>
      <c r="CR62" s="224"/>
      <c r="CS62" s="224"/>
      <c r="CT62" s="224"/>
      <c r="CU62" s="224"/>
      <c r="CV62" s="224"/>
      <c r="CW62" s="224"/>
      <c r="CX62" s="224"/>
      <c r="CY62" s="224"/>
      <c r="CZ62" s="224"/>
      <c r="DA62" s="224"/>
      <c r="DB62" s="224"/>
      <c r="DC62" s="224"/>
      <c r="DD62" s="224"/>
      <c r="DE62" s="224"/>
      <c r="DF62" s="224"/>
    </row>
    <row r="63" spans="1:110" s="88" customFormat="1" ht="18" hidden="1" outlineLevel="1" x14ac:dyDescent="0.25">
      <c r="A63" s="218"/>
      <c r="B63" s="205"/>
      <c r="C63" s="433" t="s">
        <v>344</v>
      </c>
      <c r="D63" s="434" t="s">
        <v>151</v>
      </c>
      <c r="E63" s="310" t="s">
        <v>213</v>
      </c>
      <c r="F63" s="351" t="s">
        <v>208</v>
      </c>
      <c r="G63" s="310" t="s">
        <v>208</v>
      </c>
      <c r="H63" s="310" t="s">
        <v>208</v>
      </c>
      <c r="I63" s="310" t="s">
        <v>208</v>
      </c>
      <c r="J63" s="310" t="s">
        <v>208</v>
      </c>
      <c r="K63" s="310" t="s">
        <v>208</v>
      </c>
      <c r="L63" s="203"/>
      <c r="M63" s="108" t="s">
        <v>6</v>
      </c>
      <c r="N63" s="112" t="s">
        <v>6</v>
      </c>
      <c r="O63" s="374" t="s">
        <v>6</v>
      </c>
      <c r="P63" s="113"/>
      <c r="Q63" s="211"/>
      <c r="R63" s="211"/>
      <c r="S63" s="192" t="s">
        <v>5</v>
      </c>
      <c r="T63" s="71"/>
      <c r="U63" s="71"/>
      <c r="V63" s="71"/>
      <c r="W63" s="71"/>
      <c r="X63" s="71"/>
      <c r="Y63" s="44"/>
      <c r="Z63" s="71"/>
      <c r="AA63" s="71"/>
      <c r="AB63" s="71"/>
      <c r="AC63" s="71"/>
      <c r="AD63" s="71"/>
      <c r="AE63" s="71"/>
      <c r="AF63" s="71"/>
      <c r="AG63" s="71"/>
      <c r="AH63" s="71"/>
      <c r="AI63" s="475"/>
      <c r="AJ63" s="71"/>
      <c r="AK63" s="475"/>
      <c r="AL63" s="71"/>
      <c r="AM63" s="71"/>
      <c r="AN63" s="106"/>
      <c r="AO63" s="106"/>
      <c r="AP63" s="106"/>
      <c r="AQ63" s="71"/>
      <c r="AR63" s="106"/>
      <c r="AS63" s="106"/>
      <c r="AT63" s="106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81"/>
      <c r="CM63" s="71"/>
      <c r="CN63" s="218"/>
      <c r="CO63" s="218"/>
      <c r="CP63" s="218"/>
      <c r="CQ63" s="218"/>
      <c r="CR63" s="218"/>
      <c r="CS63" s="218"/>
      <c r="CT63" s="218"/>
      <c r="CU63" s="218"/>
      <c r="CV63" s="218"/>
      <c r="CW63" s="218"/>
      <c r="CX63" s="218"/>
      <c r="CY63" s="218"/>
      <c r="CZ63" s="218"/>
      <c r="DA63" s="218"/>
      <c r="DB63" s="218"/>
      <c r="DC63" s="218"/>
      <c r="DD63" s="218"/>
      <c r="DE63" s="218"/>
      <c r="DF63" s="218"/>
    </row>
    <row r="64" spans="1:110" s="88" customFormat="1" ht="18" hidden="1" outlineLevel="1" x14ac:dyDescent="0.25">
      <c r="A64" s="218"/>
      <c r="B64" s="205"/>
      <c r="C64" s="367" t="s">
        <v>231</v>
      </c>
      <c r="D64" s="398" t="s">
        <v>176</v>
      </c>
      <c r="E64" s="310" t="s">
        <v>213</v>
      </c>
      <c r="F64" s="351" t="s">
        <v>208</v>
      </c>
      <c r="G64" s="310" t="s">
        <v>208</v>
      </c>
      <c r="H64" s="310" t="s">
        <v>208</v>
      </c>
      <c r="I64" s="310" t="s">
        <v>208</v>
      </c>
      <c r="J64" s="310" t="s">
        <v>208</v>
      </c>
      <c r="K64" s="310" t="s">
        <v>208</v>
      </c>
      <c r="L64" s="203"/>
      <c r="M64" s="108" t="s">
        <v>6</v>
      </c>
      <c r="N64" s="112" t="s">
        <v>6</v>
      </c>
      <c r="O64" s="374" t="s">
        <v>6</v>
      </c>
      <c r="P64" s="113"/>
      <c r="Q64" s="211"/>
      <c r="R64" s="211"/>
      <c r="S64" s="192" t="s">
        <v>5</v>
      </c>
      <c r="T64" s="71"/>
      <c r="U64" s="71"/>
      <c r="V64" s="71"/>
      <c r="W64" s="71"/>
      <c r="X64" s="71"/>
      <c r="Y64" s="44"/>
      <c r="Z64" s="71"/>
      <c r="AA64" s="71"/>
      <c r="AB64" s="71"/>
      <c r="AC64" s="71"/>
      <c r="AD64" s="71"/>
      <c r="AE64" s="71"/>
      <c r="AF64" s="71"/>
      <c r="AG64" s="71"/>
      <c r="AH64" s="71"/>
      <c r="AI64" s="475"/>
      <c r="AJ64" s="71"/>
      <c r="AK64" s="475"/>
      <c r="AL64" s="71"/>
      <c r="AM64" s="71"/>
      <c r="AN64" s="106"/>
      <c r="AO64" s="106"/>
      <c r="AP64" s="106"/>
      <c r="AQ64" s="71"/>
      <c r="AR64" s="106"/>
      <c r="AS64" s="106"/>
      <c r="AT64" s="106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81"/>
      <c r="CM64" s="71"/>
      <c r="CN64" s="218"/>
      <c r="CO64" s="218"/>
      <c r="CP64" s="218"/>
      <c r="CQ64" s="218"/>
      <c r="CR64" s="218"/>
      <c r="CS64" s="218"/>
      <c r="CT64" s="218"/>
      <c r="CU64" s="218"/>
      <c r="CV64" s="218"/>
      <c r="CW64" s="218"/>
      <c r="CX64" s="218"/>
      <c r="CY64" s="218"/>
      <c r="CZ64" s="218"/>
      <c r="DA64" s="218"/>
      <c r="DB64" s="218"/>
      <c r="DC64" s="218"/>
      <c r="DD64" s="218"/>
      <c r="DE64" s="218"/>
      <c r="DF64" s="218"/>
    </row>
    <row r="65" spans="1:110" s="88" customFormat="1" ht="18" hidden="1" outlineLevel="1" x14ac:dyDescent="0.25">
      <c r="A65" s="218"/>
      <c r="B65" s="205"/>
      <c r="C65" s="367" t="s">
        <v>230</v>
      </c>
      <c r="D65" s="398" t="s">
        <v>176</v>
      </c>
      <c r="E65" s="310" t="s">
        <v>213</v>
      </c>
      <c r="F65" s="351" t="s">
        <v>208</v>
      </c>
      <c r="G65" s="310" t="s">
        <v>208</v>
      </c>
      <c r="H65" s="310" t="s">
        <v>208</v>
      </c>
      <c r="I65" s="310" t="s">
        <v>208</v>
      </c>
      <c r="J65" s="310" t="s">
        <v>208</v>
      </c>
      <c r="K65" s="310" t="s">
        <v>208</v>
      </c>
      <c r="L65" s="203"/>
      <c r="M65" s="108" t="s">
        <v>6</v>
      </c>
      <c r="N65" s="112" t="s">
        <v>6</v>
      </c>
      <c r="O65" s="374" t="s">
        <v>6</v>
      </c>
      <c r="P65" s="113"/>
      <c r="Q65" s="211"/>
      <c r="R65" s="211"/>
      <c r="S65" s="192" t="s">
        <v>5</v>
      </c>
      <c r="T65" s="71"/>
      <c r="U65" s="71"/>
      <c r="V65" s="71"/>
      <c r="W65" s="71"/>
      <c r="X65" s="71"/>
      <c r="Y65" s="44"/>
      <c r="Z65" s="71"/>
      <c r="AA65" s="71"/>
      <c r="AB65" s="71"/>
      <c r="AC65" s="71"/>
      <c r="AD65" s="71"/>
      <c r="AE65" s="71"/>
      <c r="AF65" s="71"/>
      <c r="AG65" s="71"/>
      <c r="AH65" s="71"/>
      <c r="AI65" s="475"/>
      <c r="AJ65" s="71"/>
      <c r="AK65" s="475"/>
      <c r="AL65" s="71"/>
      <c r="AM65" s="71"/>
      <c r="AN65" s="106"/>
      <c r="AO65" s="106"/>
      <c r="AP65" s="106"/>
      <c r="AQ65" s="71"/>
      <c r="AR65" s="106"/>
      <c r="AS65" s="106"/>
      <c r="AT65" s="106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81"/>
      <c r="CM65" s="71"/>
      <c r="CN65" s="218"/>
      <c r="CO65" s="218"/>
      <c r="CP65" s="218"/>
      <c r="CQ65" s="218"/>
      <c r="CR65" s="218"/>
      <c r="CS65" s="218"/>
      <c r="CT65" s="218"/>
      <c r="CU65" s="218"/>
      <c r="CV65" s="218"/>
      <c r="CW65" s="218"/>
      <c r="CX65" s="218"/>
      <c r="CY65" s="218"/>
      <c r="CZ65" s="218"/>
      <c r="DA65" s="218"/>
      <c r="DB65" s="218"/>
      <c r="DC65" s="218"/>
      <c r="DD65" s="218"/>
      <c r="DE65" s="218"/>
      <c r="DF65" s="218"/>
    </row>
    <row r="66" spans="1:110" s="88" customFormat="1" ht="18" hidden="1" outlineLevel="1" x14ac:dyDescent="0.25">
      <c r="A66" s="218"/>
      <c r="B66" s="432"/>
      <c r="C66" s="367" t="s">
        <v>192</v>
      </c>
      <c r="D66" s="398" t="s">
        <v>180</v>
      </c>
      <c r="E66" s="310" t="s">
        <v>213</v>
      </c>
      <c r="F66" s="351" t="s">
        <v>208</v>
      </c>
      <c r="G66" s="310" t="s">
        <v>208</v>
      </c>
      <c r="H66" s="310" t="s">
        <v>208</v>
      </c>
      <c r="I66" s="310" t="s">
        <v>208</v>
      </c>
      <c r="J66" s="310" t="s">
        <v>208</v>
      </c>
      <c r="K66" s="310" t="s">
        <v>208</v>
      </c>
      <c r="L66" s="203"/>
      <c r="M66" s="108" t="s">
        <v>6</v>
      </c>
      <c r="N66" s="112" t="s">
        <v>6</v>
      </c>
      <c r="O66" s="374" t="s">
        <v>6</v>
      </c>
      <c r="P66" s="103"/>
      <c r="Q66" s="211"/>
      <c r="R66" s="211"/>
      <c r="S66" s="192" t="s">
        <v>5</v>
      </c>
      <c r="T66" s="71"/>
      <c r="U66" s="71"/>
      <c r="V66" s="71"/>
      <c r="W66" s="71"/>
      <c r="X66" s="71"/>
      <c r="Y66" s="44"/>
      <c r="Z66" s="71"/>
      <c r="AA66" s="71"/>
      <c r="AB66" s="71"/>
      <c r="AC66" s="71"/>
      <c r="AD66" s="71"/>
      <c r="AE66" s="71"/>
      <c r="AF66" s="71"/>
      <c r="AG66" s="71"/>
      <c r="AH66" s="71"/>
      <c r="AI66" s="475"/>
      <c r="AJ66" s="71"/>
      <c r="AK66" s="475"/>
      <c r="AL66" s="71"/>
      <c r="AM66" s="71"/>
      <c r="AN66" s="106"/>
      <c r="AO66" s="106"/>
      <c r="AP66" s="106"/>
      <c r="AQ66" s="71"/>
      <c r="AR66" s="106"/>
      <c r="AS66" s="106"/>
      <c r="AT66" s="106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81"/>
      <c r="CM66" s="71"/>
      <c r="CN66" s="218"/>
      <c r="CO66" s="218"/>
      <c r="CP66" s="218"/>
      <c r="CQ66" s="218"/>
      <c r="CR66" s="218"/>
      <c r="CS66" s="218"/>
      <c r="CT66" s="218"/>
      <c r="CU66" s="218"/>
      <c r="CV66" s="218"/>
      <c r="CW66" s="218"/>
      <c r="CX66" s="218"/>
      <c r="CY66" s="218"/>
      <c r="CZ66" s="218"/>
      <c r="DA66" s="218"/>
      <c r="DB66" s="218"/>
      <c r="DC66" s="218"/>
      <c r="DD66" s="218"/>
      <c r="DE66" s="218"/>
      <c r="DF66" s="218"/>
    </row>
    <row r="67" spans="1:110" s="116" customFormat="1" ht="18" hidden="1" outlineLevel="1" x14ac:dyDescent="0.3">
      <c r="A67" s="224"/>
      <c r="B67" s="205"/>
      <c r="C67" s="366"/>
      <c r="D67" s="398" t="s">
        <v>174</v>
      </c>
      <c r="E67" s="310" t="s">
        <v>213</v>
      </c>
      <c r="F67" s="352" t="s">
        <v>5</v>
      </c>
      <c r="G67" s="310" t="s">
        <v>208</v>
      </c>
      <c r="H67" s="310" t="s">
        <v>208</v>
      </c>
      <c r="I67" s="310" t="s">
        <v>208</v>
      </c>
      <c r="J67" s="310" t="s">
        <v>208</v>
      </c>
      <c r="K67" s="310" t="s">
        <v>208</v>
      </c>
      <c r="L67" s="203" t="s">
        <v>5</v>
      </c>
      <c r="M67" s="108" t="s">
        <v>6</v>
      </c>
      <c r="N67" s="112" t="s">
        <v>6</v>
      </c>
      <c r="O67" s="374" t="s">
        <v>6</v>
      </c>
      <c r="P67" s="113"/>
      <c r="Q67" s="211"/>
      <c r="R67" s="211"/>
      <c r="S67" s="194" t="s">
        <v>5</v>
      </c>
      <c r="T67" s="114"/>
      <c r="U67" s="71"/>
      <c r="V67" s="71"/>
      <c r="W67" s="71"/>
      <c r="X67" s="71"/>
      <c r="Y67" s="45"/>
      <c r="Z67" s="45"/>
      <c r="AA67" s="45"/>
      <c r="AB67" s="45"/>
      <c r="AC67" s="67"/>
      <c r="AD67" s="81"/>
      <c r="AE67" s="64"/>
      <c r="AF67" s="64"/>
      <c r="AG67" s="67"/>
      <c r="AH67" s="67"/>
      <c r="AI67" s="472"/>
      <c r="AJ67" s="67"/>
      <c r="AK67" s="472"/>
      <c r="AL67" s="67"/>
      <c r="AM67" s="45"/>
      <c r="AN67" s="64"/>
      <c r="AO67" s="64"/>
      <c r="AP67" s="64"/>
      <c r="AQ67" s="64"/>
      <c r="AR67" s="64"/>
      <c r="AS67" s="64"/>
      <c r="AT67" s="64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  <c r="BS67" s="67"/>
      <c r="BT67" s="67"/>
      <c r="BU67" s="67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115"/>
      <c r="CM67" s="45"/>
      <c r="CN67" s="224"/>
      <c r="CO67" s="224"/>
      <c r="CP67" s="224"/>
      <c r="CQ67" s="224"/>
      <c r="CR67" s="224"/>
      <c r="CS67" s="224"/>
      <c r="CT67" s="224"/>
      <c r="CU67" s="224"/>
      <c r="CV67" s="224"/>
      <c r="CW67" s="224"/>
      <c r="CX67" s="224"/>
      <c r="CY67" s="224"/>
      <c r="CZ67" s="224"/>
      <c r="DA67" s="224"/>
      <c r="DB67" s="224"/>
      <c r="DC67" s="224"/>
      <c r="DD67" s="224"/>
      <c r="DE67" s="224"/>
      <c r="DF67" s="224"/>
    </row>
    <row r="68" spans="1:110" s="116" customFormat="1" ht="18" hidden="1" outlineLevel="1" x14ac:dyDescent="0.3">
      <c r="A68" s="224"/>
      <c r="B68" s="205"/>
      <c r="C68" s="366"/>
      <c r="D68" s="398" t="s">
        <v>174</v>
      </c>
      <c r="E68" s="310" t="s">
        <v>213</v>
      </c>
      <c r="F68" s="352" t="s">
        <v>5</v>
      </c>
      <c r="G68" s="310" t="s">
        <v>208</v>
      </c>
      <c r="H68" s="310" t="s">
        <v>208</v>
      </c>
      <c r="I68" s="310" t="s">
        <v>208</v>
      </c>
      <c r="J68" s="310" t="s">
        <v>208</v>
      </c>
      <c r="K68" s="310" t="s">
        <v>208</v>
      </c>
      <c r="L68" s="203" t="s">
        <v>5</v>
      </c>
      <c r="M68" s="108" t="s">
        <v>6</v>
      </c>
      <c r="N68" s="112" t="s">
        <v>6</v>
      </c>
      <c r="O68" s="374" t="s">
        <v>6</v>
      </c>
      <c r="P68" s="113"/>
      <c r="Q68" s="211"/>
      <c r="R68" s="211"/>
      <c r="S68" s="194" t="s">
        <v>5</v>
      </c>
      <c r="T68" s="114"/>
      <c r="U68" s="71"/>
      <c r="V68" s="71"/>
      <c r="W68" s="71"/>
      <c r="X68" s="71"/>
      <c r="Y68" s="45"/>
      <c r="Z68" s="45"/>
      <c r="AA68" s="45"/>
      <c r="AB68" s="45"/>
      <c r="AC68" s="67"/>
      <c r="AD68" s="81"/>
      <c r="AE68" s="64"/>
      <c r="AF68" s="64"/>
      <c r="AG68" s="67"/>
      <c r="AH68" s="67"/>
      <c r="AI68" s="472"/>
      <c r="AJ68" s="67"/>
      <c r="AK68" s="472"/>
      <c r="AL68" s="67"/>
      <c r="AM68" s="45"/>
      <c r="AN68" s="64"/>
      <c r="AO68" s="64"/>
      <c r="AP68" s="64"/>
      <c r="AQ68" s="64"/>
      <c r="AR68" s="64"/>
      <c r="AS68" s="64"/>
      <c r="AT68" s="64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  <c r="BS68" s="67"/>
      <c r="BT68" s="67"/>
      <c r="BU68" s="67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115"/>
      <c r="CM68" s="45"/>
      <c r="CN68" s="224"/>
      <c r="CO68" s="224"/>
      <c r="CP68" s="224"/>
      <c r="CQ68" s="224"/>
      <c r="CR68" s="224"/>
      <c r="CS68" s="224"/>
      <c r="CT68" s="224"/>
      <c r="CU68" s="224"/>
      <c r="CV68" s="224"/>
      <c r="CW68" s="224"/>
      <c r="CX68" s="224"/>
      <c r="CY68" s="224"/>
      <c r="CZ68" s="224"/>
      <c r="DA68" s="224"/>
      <c r="DB68" s="224"/>
      <c r="DC68" s="224"/>
      <c r="DD68" s="224"/>
      <c r="DE68" s="224"/>
      <c r="DF68" s="224"/>
    </row>
    <row r="69" spans="1:110" s="116" customFormat="1" ht="18" hidden="1" outlineLevel="1" x14ac:dyDescent="0.3">
      <c r="A69" s="224"/>
      <c r="B69" s="205"/>
      <c r="C69" s="366"/>
      <c r="D69" s="398" t="s">
        <v>174</v>
      </c>
      <c r="E69" s="310" t="s">
        <v>213</v>
      </c>
      <c r="F69" s="352" t="s">
        <v>5</v>
      </c>
      <c r="G69" s="310" t="s">
        <v>208</v>
      </c>
      <c r="H69" s="310" t="s">
        <v>208</v>
      </c>
      <c r="I69" s="310" t="s">
        <v>208</v>
      </c>
      <c r="J69" s="310" t="s">
        <v>208</v>
      </c>
      <c r="K69" s="310" t="s">
        <v>208</v>
      </c>
      <c r="L69" s="203" t="s">
        <v>5</v>
      </c>
      <c r="M69" s="108" t="s">
        <v>6</v>
      </c>
      <c r="N69" s="112" t="s">
        <v>6</v>
      </c>
      <c r="O69" s="374" t="s">
        <v>6</v>
      </c>
      <c r="P69" s="113"/>
      <c r="Q69" s="211"/>
      <c r="R69" s="211"/>
      <c r="S69" s="194" t="s">
        <v>5</v>
      </c>
      <c r="T69" s="114"/>
      <c r="U69" s="71"/>
      <c r="V69" s="71"/>
      <c r="W69" s="71"/>
      <c r="X69" s="71"/>
      <c r="Y69" s="45"/>
      <c r="Z69" s="45"/>
      <c r="AA69" s="45"/>
      <c r="AB69" s="45"/>
      <c r="AC69" s="67"/>
      <c r="AD69" s="81"/>
      <c r="AE69" s="64"/>
      <c r="AF69" s="64"/>
      <c r="AG69" s="67"/>
      <c r="AH69" s="67"/>
      <c r="AI69" s="472"/>
      <c r="AJ69" s="67"/>
      <c r="AK69" s="472"/>
      <c r="AL69" s="67"/>
      <c r="AM69" s="45"/>
      <c r="AN69" s="64"/>
      <c r="AO69" s="64"/>
      <c r="AP69" s="64"/>
      <c r="AQ69" s="64"/>
      <c r="AR69" s="64"/>
      <c r="AS69" s="64"/>
      <c r="AT69" s="64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  <c r="BS69" s="67"/>
      <c r="BT69" s="67"/>
      <c r="BU69" s="67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115"/>
      <c r="CM69" s="45"/>
      <c r="CN69" s="224"/>
      <c r="CO69" s="224"/>
      <c r="CP69" s="224"/>
      <c r="CQ69" s="224"/>
      <c r="CR69" s="224"/>
      <c r="CS69" s="224"/>
      <c r="CT69" s="224"/>
      <c r="CU69" s="224"/>
      <c r="CV69" s="224"/>
      <c r="CW69" s="224"/>
      <c r="CX69" s="224"/>
      <c r="CY69" s="224"/>
      <c r="CZ69" s="224"/>
      <c r="DA69" s="224"/>
      <c r="DB69" s="224"/>
      <c r="DC69" s="224"/>
      <c r="DD69" s="224"/>
      <c r="DE69" s="224"/>
      <c r="DF69" s="224"/>
    </row>
    <row r="70" spans="1:110" s="116" customFormat="1" ht="18" hidden="1" outlineLevel="1" x14ac:dyDescent="0.3">
      <c r="A70" s="224"/>
      <c r="B70" s="205"/>
      <c r="C70" s="366" t="s">
        <v>193</v>
      </c>
      <c r="D70" s="398" t="s">
        <v>175</v>
      </c>
      <c r="E70" s="310" t="s">
        <v>213</v>
      </c>
      <c r="F70" s="352" t="s">
        <v>5</v>
      </c>
      <c r="G70" s="310" t="s">
        <v>208</v>
      </c>
      <c r="H70" s="310" t="s">
        <v>208</v>
      </c>
      <c r="I70" s="310" t="s">
        <v>208</v>
      </c>
      <c r="J70" s="310" t="s">
        <v>208</v>
      </c>
      <c r="K70" s="310" t="s">
        <v>208</v>
      </c>
      <c r="L70" s="203" t="s">
        <v>5</v>
      </c>
      <c r="M70" s="108" t="s">
        <v>6</v>
      </c>
      <c r="N70" s="112" t="s">
        <v>6</v>
      </c>
      <c r="O70" s="374" t="s">
        <v>6</v>
      </c>
      <c r="P70" s="113"/>
      <c r="Q70" s="211"/>
      <c r="R70" s="211"/>
      <c r="S70" s="194" t="s">
        <v>5</v>
      </c>
      <c r="T70" s="114"/>
      <c r="U70" s="71"/>
      <c r="V70" s="71"/>
      <c r="W70" s="71"/>
      <c r="X70" s="71"/>
      <c r="Y70" s="45"/>
      <c r="Z70" s="45"/>
      <c r="AA70" s="45"/>
      <c r="AB70" s="45"/>
      <c r="AC70" s="67"/>
      <c r="AD70" s="81"/>
      <c r="AE70" s="64"/>
      <c r="AF70" s="64"/>
      <c r="AG70" s="67"/>
      <c r="AH70" s="67"/>
      <c r="AI70" s="472"/>
      <c r="AJ70" s="67"/>
      <c r="AK70" s="472"/>
      <c r="AL70" s="67"/>
      <c r="AM70" s="45"/>
      <c r="AN70" s="64"/>
      <c r="AO70" s="64"/>
      <c r="AP70" s="64"/>
      <c r="AQ70" s="64"/>
      <c r="AR70" s="64"/>
      <c r="AS70" s="64"/>
      <c r="AT70" s="64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  <c r="BM70" s="67"/>
      <c r="BN70" s="67"/>
      <c r="BO70" s="67"/>
      <c r="BP70" s="67"/>
      <c r="BQ70" s="67"/>
      <c r="BR70" s="67"/>
      <c r="BS70" s="67"/>
      <c r="BT70" s="67"/>
      <c r="BU70" s="67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115"/>
      <c r="CM70" s="45"/>
      <c r="CN70" s="224"/>
      <c r="CO70" s="224"/>
      <c r="CP70" s="224"/>
      <c r="CQ70" s="224"/>
      <c r="CR70" s="224"/>
      <c r="CS70" s="224"/>
      <c r="CT70" s="224"/>
      <c r="CU70" s="224"/>
      <c r="CV70" s="224"/>
      <c r="CW70" s="224"/>
      <c r="CX70" s="224"/>
      <c r="CY70" s="224"/>
      <c r="CZ70" s="224"/>
      <c r="DA70" s="224"/>
      <c r="DB70" s="224"/>
      <c r="DC70" s="224"/>
      <c r="DD70" s="224"/>
      <c r="DE70" s="224"/>
      <c r="DF70" s="224"/>
    </row>
    <row r="71" spans="1:110" s="116" customFormat="1" ht="18" hidden="1" outlineLevel="1" x14ac:dyDescent="0.3">
      <c r="A71" s="224"/>
      <c r="B71" s="205"/>
      <c r="C71" s="366" t="s">
        <v>196</v>
      </c>
      <c r="D71" s="398" t="s">
        <v>175</v>
      </c>
      <c r="E71" s="310" t="s">
        <v>213</v>
      </c>
      <c r="F71" s="352" t="s">
        <v>5</v>
      </c>
      <c r="G71" s="310" t="s">
        <v>208</v>
      </c>
      <c r="H71" s="310" t="s">
        <v>208</v>
      </c>
      <c r="I71" s="310" t="s">
        <v>208</v>
      </c>
      <c r="J71" s="310" t="s">
        <v>208</v>
      </c>
      <c r="K71" s="310" t="s">
        <v>208</v>
      </c>
      <c r="L71" s="203" t="s">
        <v>5</v>
      </c>
      <c r="M71" s="108" t="s">
        <v>6</v>
      </c>
      <c r="N71" s="112" t="s">
        <v>6</v>
      </c>
      <c r="O71" s="374" t="s">
        <v>6</v>
      </c>
      <c r="P71" s="113"/>
      <c r="Q71" s="211"/>
      <c r="R71" s="211"/>
      <c r="S71" s="194" t="s">
        <v>5</v>
      </c>
      <c r="T71" s="114"/>
      <c r="U71" s="71"/>
      <c r="V71" s="71"/>
      <c r="W71" s="71"/>
      <c r="X71" s="71"/>
      <c r="Y71" s="45"/>
      <c r="Z71" s="45"/>
      <c r="AA71" s="45"/>
      <c r="AB71" s="45"/>
      <c r="AC71" s="67"/>
      <c r="AD71" s="81"/>
      <c r="AE71" s="64"/>
      <c r="AF71" s="64"/>
      <c r="AG71" s="67"/>
      <c r="AH71" s="67"/>
      <c r="AI71" s="472"/>
      <c r="AJ71" s="67"/>
      <c r="AK71" s="472"/>
      <c r="AL71" s="67"/>
      <c r="AM71" s="45"/>
      <c r="AN71" s="64"/>
      <c r="AO71" s="64"/>
      <c r="AP71" s="64"/>
      <c r="AQ71" s="64"/>
      <c r="AR71" s="64"/>
      <c r="AS71" s="64"/>
      <c r="AT71" s="64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  <c r="BQ71" s="67"/>
      <c r="BR71" s="67"/>
      <c r="BS71" s="67"/>
      <c r="BT71" s="67"/>
      <c r="BU71" s="67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115"/>
      <c r="CM71" s="45"/>
      <c r="CN71" s="224"/>
      <c r="CO71" s="224"/>
      <c r="CP71" s="224"/>
      <c r="CQ71" s="224"/>
      <c r="CR71" s="224"/>
      <c r="CS71" s="224"/>
      <c r="CT71" s="224"/>
      <c r="CU71" s="224"/>
      <c r="CV71" s="224"/>
      <c r="CW71" s="224"/>
      <c r="CX71" s="224"/>
      <c r="CY71" s="224"/>
      <c r="CZ71" s="224"/>
      <c r="DA71" s="224"/>
      <c r="DB71" s="224"/>
      <c r="DC71" s="224"/>
      <c r="DD71" s="224"/>
      <c r="DE71" s="224"/>
      <c r="DF71" s="224"/>
    </row>
    <row r="72" spans="1:110" s="116" customFormat="1" ht="18" hidden="1" outlineLevel="1" x14ac:dyDescent="0.3">
      <c r="A72" s="224"/>
      <c r="B72" s="205"/>
      <c r="C72" s="366"/>
      <c r="D72" s="398" t="s">
        <v>175</v>
      </c>
      <c r="E72" s="310" t="s">
        <v>213</v>
      </c>
      <c r="F72" s="352" t="s">
        <v>5</v>
      </c>
      <c r="G72" s="310" t="s">
        <v>208</v>
      </c>
      <c r="H72" s="310" t="s">
        <v>208</v>
      </c>
      <c r="I72" s="203"/>
      <c r="J72" s="203"/>
      <c r="K72" s="203"/>
      <c r="L72" s="203" t="s">
        <v>5</v>
      </c>
      <c r="M72" s="108" t="s">
        <v>6</v>
      </c>
      <c r="N72" s="112" t="s">
        <v>6</v>
      </c>
      <c r="O72" s="374" t="s">
        <v>6</v>
      </c>
      <c r="P72" s="113"/>
      <c r="Q72" s="211"/>
      <c r="R72" s="211"/>
      <c r="S72" s="194" t="s">
        <v>5</v>
      </c>
      <c r="T72" s="114"/>
      <c r="U72" s="71"/>
      <c r="V72" s="71"/>
      <c r="W72" s="71"/>
      <c r="X72" s="71"/>
      <c r="Y72" s="45"/>
      <c r="Z72" s="45"/>
      <c r="AA72" s="45"/>
      <c r="AB72" s="45"/>
      <c r="AC72" s="67"/>
      <c r="AD72" s="81"/>
      <c r="AE72" s="64"/>
      <c r="AF72" s="64"/>
      <c r="AG72" s="67"/>
      <c r="AH72" s="67"/>
      <c r="AI72" s="472"/>
      <c r="AJ72" s="67"/>
      <c r="AK72" s="472"/>
      <c r="AL72" s="67"/>
      <c r="AM72" s="45"/>
      <c r="AN72" s="64"/>
      <c r="AO72" s="64"/>
      <c r="AP72" s="64"/>
      <c r="AQ72" s="64"/>
      <c r="AR72" s="64"/>
      <c r="AS72" s="64"/>
      <c r="AT72" s="64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115"/>
      <c r="CM72" s="45"/>
      <c r="CN72" s="224"/>
      <c r="CO72" s="224"/>
      <c r="CP72" s="224"/>
      <c r="CQ72" s="224"/>
      <c r="CR72" s="224"/>
      <c r="CS72" s="224"/>
      <c r="CT72" s="224"/>
      <c r="CU72" s="224"/>
      <c r="CV72" s="224"/>
      <c r="CW72" s="224"/>
      <c r="CX72" s="224"/>
      <c r="CY72" s="224"/>
      <c r="CZ72" s="224"/>
      <c r="DA72" s="224"/>
      <c r="DB72" s="224"/>
      <c r="DC72" s="224"/>
      <c r="DD72" s="224"/>
      <c r="DE72" s="224"/>
      <c r="DF72" s="224"/>
    </row>
    <row r="73" spans="1:110" s="101" customFormat="1" ht="18" collapsed="1" x14ac:dyDescent="0.3">
      <c r="A73" s="223"/>
      <c r="B73" s="204"/>
      <c r="C73" s="397" t="s">
        <v>371</v>
      </c>
      <c r="D73" s="96" t="s">
        <v>169</v>
      </c>
      <c r="E73" s="310" t="s">
        <v>213</v>
      </c>
      <c r="F73" s="351" t="s">
        <v>208</v>
      </c>
      <c r="G73" s="310" t="s">
        <v>208</v>
      </c>
      <c r="H73" s="310" t="s">
        <v>208</v>
      </c>
      <c r="I73" s="310" t="s">
        <v>208</v>
      </c>
      <c r="J73" s="310" t="s">
        <v>208</v>
      </c>
      <c r="K73" s="310" t="s">
        <v>208</v>
      </c>
      <c r="L73" s="203" t="s">
        <v>5</v>
      </c>
      <c r="M73" s="108">
        <v>35</v>
      </c>
      <c r="N73" s="112">
        <v>34.950000000000003</v>
      </c>
      <c r="O73" s="374" t="s">
        <v>6</v>
      </c>
      <c r="P73" s="296"/>
      <c r="Q73" s="211"/>
      <c r="R73" s="211"/>
      <c r="S73" s="192" t="s">
        <v>5</v>
      </c>
      <c r="T73" s="71"/>
      <c r="U73" s="71"/>
      <c r="V73" s="71"/>
      <c r="W73" s="71"/>
      <c r="X73" s="71"/>
      <c r="Y73" s="91"/>
      <c r="Z73" s="91"/>
      <c r="AA73" s="91"/>
      <c r="AB73" s="91"/>
      <c r="AC73" s="67"/>
      <c r="AD73" s="67"/>
      <c r="AE73" s="109"/>
      <c r="AF73" s="109"/>
      <c r="AG73" s="67"/>
      <c r="AH73" s="67"/>
      <c r="AI73" s="472"/>
      <c r="AJ73" s="67"/>
      <c r="AK73" s="472"/>
      <c r="AL73" s="67"/>
      <c r="AM73" s="45"/>
      <c r="AN73" s="109"/>
      <c r="AO73" s="109"/>
      <c r="AP73" s="109"/>
      <c r="AQ73" s="109"/>
      <c r="AR73" s="109"/>
      <c r="AS73" s="109"/>
      <c r="AT73" s="109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  <c r="BM73" s="67"/>
      <c r="BN73" s="67"/>
      <c r="BO73" s="67"/>
      <c r="BP73" s="67"/>
      <c r="BQ73" s="67"/>
      <c r="BR73" s="67"/>
      <c r="BS73" s="67"/>
      <c r="BT73" s="67"/>
      <c r="BU73" s="67"/>
      <c r="BV73" s="91"/>
      <c r="BW73" s="110"/>
      <c r="BX73" s="110"/>
      <c r="BY73" s="91"/>
      <c r="BZ73" s="91"/>
      <c r="CA73" s="110"/>
      <c r="CB73" s="110"/>
      <c r="CC73" s="91"/>
      <c r="CD73" s="91"/>
      <c r="CE73" s="110"/>
      <c r="CF73" s="110"/>
      <c r="CG73" s="91"/>
      <c r="CH73" s="91"/>
      <c r="CI73" s="91"/>
      <c r="CJ73" s="110"/>
      <c r="CK73" s="110"/>
      <c r="CL73" s="100"/>
      <c r="CM73" s="91"/>
      <c r="CN73" s="223"/>
      <c r="CO73" s="223"/>
      <c r="CP73" s="223"/>
      <c r="CQ73" s="223"/>
      <c r="CR73" s="223"/>
      <c r="CS73" s="223"/>
      <c r="CT73" s="223"/>
      <c r="CU73" s="223"/>
      <c r="CV73" s="223"/>
      <c r="CW73" s="223"/>
      <c r="CX73" s="223"/>
      <c r="CY73" s="223"/>
      <c r="CZ73" s="223"/>
      <c r="DA73" s="223"/>
      <c r="DB73" s="223"/>
      <c r="DC73" s="223"/>
      <c r="DD73" s="223"/>
      <c r="DE73" s="223"/>
      <c r="DF73" s="223"/>
    </row>
    <row r="74" spans="1:110" s="116" customFormat="1" ht="18" hidden="1" outlineLevel="1" x14ac:dyDescent="0.3">
      <c r="A74" s="224"/>
      <c r="B74" s="205"/>
      <c r="C74" s="366" t="s">
        <v>228</v>
      </c>
      <c r="D74" s="398" t="s">
        <v>168</v>
      </c>
      <c r="E74" s="310" t="s">
        <v>213</v>
      </c>
      <c r="F74" s="351" t="s">
        <v>208</v>
      </c>
      <c r="G74" s="310" t="s">
        <v>208</v>
      </c>
      <c r="H74" s="310" t="s">
        <v>208</v>
      </c>
      <c r="I74" s="310" t="s">
        <v>208</v>
      </c>
      <c r="J74" s="310" t="s">
        <v>208</v>
      </c>
      <c r="K74" s="310" t="s">
        <v>208</v>
      </c>
      <c r="L74" s="203"/>
      <c r="M74" s="108" t="s">
        <v>6</v>
      </c>
      <c r="N74" s="112" t="s">
        <v>6</v>
      </c>
      <c r="O74" s="374" t="s">
        <v>6</v>
      </c>
      <c r="P74" s="113"/>
      <c r="Q74" s="211"/>
      <c r="R74" s="211"/>
      <c r="S74" s="194" t="s">
        <v>5</v>
      </c>
      <c r="T74" s="114"/>
      <c r="U74" s="71"/>
      <c r="V74" s="71"/>
      <c r="W74" s="71"/>
      <c r="X74" s="71"/>
      <c r="Y74" s="45"/>
      <c r="Z74" s="45"/>
      <c r="AA74" s="45"/>
      <c r="AB74" s="45"/>
      <c r="AC74" s="67"/>
      <c r="AD74" s="81"/>
      <c r="AE74" s="64"/>
      <c r="AF74" s="64"/>
      <c r="AG74" s="67"/>
      <c r="AH74" s="67"/>
      <c r="AI74" s="472"/>
      <c r="AJ74" s="67"/>
      <c r="AK74" s="472"/>
      <c r="AL74" s="67"/>
      <c r="AM74" s="45"/>
      <c r="AN74" s="64"/>
      <c r="AO74" s="64"/>
      <c r="AP74" s="64"/>
      <c r="AQ74" s="64"/>
      <c r="AR74" s="64"/>
      <c r="AS74" s="64"/>
      <c r="AT74" s="64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67"/>
      <c r="BO74" s="67"/>
      <c r="BP74" s="67"/>
      <c r="BQ74" s="67"/>
      <c r="BR74" s="67"/>
      <c r="BS74" s="67"/>
      <c r="BT74" s="67"/>
      <c r="BU74" s="67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  <c r="CH74" s="45"/>
      <c r="CI74" s="45"/>
      <c r="CJ74" s="45"/>
      <c r="CK74" s="45"/>
      <c r="CL74" s="115"/>
      <c r="CM74" s="45"/>
      <c r="CN74" s="224"/>
      <c r="CO74" s="224"/>
      <c r="CP74" s="224"/>
      <c r="CQ74" s="224"/>
      <c r="CR74" s="224"/>
      <c r="CS74" s="224"/>
      <c r="CT74" s="224"/>
      <c r="CU74" s="224"/>
      <c r="CV74" s="224"/>
      <c r="CW74" s="224"/>
      <c r="CX74" s="224"/>
      <c r="CY74" s="224"/>
      <c r="CZ74" s="224"/>
      <c r="DA74" s="224"/>
      <c r="DB74" s="224"/>
      <c r="DC74" s="224"/>
      <c r="DD74" s="224"/>
      <c r="DE74" s="224"/>
      <c r="DF74" s="224"/>
    </row>
    <row r="75" spans="1:110" s="116" customFormat="1" ht="18" collapsed="1" x14ac:dyDescent="0.3">
      <c r="A75" s="224"/>
      <c r="B75" s="205"/>
      <c r="C75" s="423" t="s">
        <v>336</v>
      </c>
      <c r="D75" s="111" t="s">
        <v>335</v>
      </c>
      <c r="E75" s="310" t="s">
        <v>213</v>
      </c>
      <c r="F75" s="351" t="s">
        <v>208</v>
      </c>
      <c r="G75" s="310" t="s">
        <v>208</v>
      </c>
      <c r="H75" s="310" t="s">
        <v>208</v>
      </c>
      <c r="I75" s="310" t="s">
        <v>208</v>
      </c>
      <c r="J75" s="310" t="s">
        <v>208</v>
      </c>
      <c r="K75" s="310" t="s">
        <v>208</v>
      </c>
      <c r="L75" s="203" t="s">
        <v>5</v>
      </c>
      <c r="M75" s="108" t="s">
        <v>6</v>
      </c>
      <c r="N75" s="112" t="s">
        <v>6</v>
      </c>
      <c r="O75" s="374" t="s">
        <v>6</v>
      </c>
      <c r="P75" s="113"/>
      <c r="Q75" s="211"/>
      <c r="R75" s="211"/>
      <c r="S75" s="194" t="s">
        <v>5</v>
      </c>
      <c r="T75" s="114"/>
      <c r="U75" s="71"/>
      <c r="V75" s="71"/>
      <c r="W75" s="71"/>
      <c r="X75" s="71"/>
      <c r="Y75" s="45"/>
      <c r="Z75" s="45"/>
      <c r="AA75" s="45"/>
      <c r="AB75" s="45"/>
      <c r="AC75" s="67"/>
      <c r="AD75" s="81"/>
      <c r="AE75" s="64"/>
      <c r="AF75" s="64"/>
      <c r="AG75" s="67"/>
      <c r="AH75" s="67"/>
      <c r="AI75" s="472"/>
      <c r="AJ75" s="67"/>
      <c r="AK75" s="472"/>
      <c r="AL75" s="67"/>
      <c r="AM75" s="45"/>
      <c r="AN75" s="64"/>
      <c r="AO75" s="64"/>
      <c r="AP75" s="64"/>
      <c r="AQ75" s="64"/>
      <c r="AR75" s="64"/>
      <c r="AS75" s="64"/>
      <c r="AT75" s="64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  <c r="BM75" s="67"/>
      <c r="BN75" s="67"/>
      <c r="BO75" s="67"/>
      <c r="BP75" s="67"/>
      <c r="BQ75" s="67"/>
      <c r="BR75" s="67"/>
      <c r="BS75" s="67"/>
      <c r="BT75" s="67"/>
      <c r="BU75" s="67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115"/>
      <c r="CM75" s="45"/>
      <c r="CN75" s="224"/>
      <c r="CO75" s="224"/>
      <c r="CP75" s="224"/>
      <c r="CQ75" s="224"/>
      <c r="CR75" s="224"/>
      <c r="CS75" s="224"/>
      <c r="CT75" s="224"/>
      <c r="CU75" s="224"/>
      <c r="CV75" s="224"/>
      <c r="CW75" s="224"/>
      <c r="CX75" s="224"/>
      <c r="CY75" s="224"/>
      <c r="CZ75" s="224"/>
      <c r="DA75" s="224"/>
      <c r="DB75" s="224"/>
      <c r="DC75" s="224"/>
      <c r="DD75" s="224"/>
      <c r="DE75" s="224"/>
      <c r="DF75" s="224"/>
    </row>
    <row r="76" spans="1:110" s="116" customFormat="1" ht="18" collapsed="1" x14ac:dyDescent="0.3">
      <c r="A76" s="224"/>
      <c r="B76" s="205"/>
      <c r="C76" s="423" t="s">
        <v>341</v>
      </c>
      <c r="D76" s="111" t="s">
        <v>335</v>
      </c>
      <c r="E76" s="310" t="s">
        <v>213</v>
      </c>
      <c r="F76" s="351" t="s">
        <v>208</v>
      </c>
      <c r="G76" s="310" t="s">
        <v>208</v>
      </c>
      <c r="H76" s="310" t="s">
        <v>208</v>
      </c>
      <c r="I76" s="310" t="s">
        <v>208</v>
      </c>
      <c r="J76" s="310" t="s">
        <v>208</v>
      </c>
      <c r="K76" s="310" t="s">
        <v>208</v>
      </c>
      <c r="L76" s="203" t="s">
        <v>5</v>
      </c>
      <c r="M76" s="108" t="s">
        <v>6</v>
      </c>
      <c r="N76" s="112" t="s">
        <v>6</v>
      </c>
      <c r="O76" s="374" t="s">
        <v>6</v>
      </c>
      <c r="P76" s="113"/>
      <c r="Q76" s="211"/>
      <c r="R76" s="211"/>
      <c r="S76" s="194" t="s">
        <v>5</v>
      </c>
      <c r="T76" s="114"/>
      <c r="U76" s="71"/>
      <c r="V76" s="71"/>
      <c r="W76" s="71"/>
      <c r="X76" s="71"/>
      <c r="Y76" s="45"/>
      <c r="Z76" s="45"/>
      <c r="AA76" s="45"/>
      <c r="AB76" s="45"/>
      <c r="AC76" s="67"/>
      <c r="AD76" s="81"/>
      <c r="AE76" s="64"/>
      <c r="AF76" s="64"/>
      <c r="AG76" s="67"/>
      <c r="AH76" s="67"/>
      <c r="AI76" s="472"/>
      <c r="AJ76" s="67"/>
      <c r="AK76" s="472"/>
      <c r="AL76" s="67"/>
      <c r="AM76" s="45"/>
      <c r="AN76" s="64"/>
      <c r="AO76" s="64"/>
      <c r="AP76" s="64"/>
      <c r="AQ76" s="64"/>
      <c r="AR76" s="64"/>
      <c r="AS76" s="64"/>
      <c r="AT76" s="64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  <c r="BM76" s="67"/>
      <c r="BN76" s="67"/>
      <c r="BO76" s="67"/>
      <c r="BP76" s="67"/>
      <c r="BQ76" s="67"/>
      <c r="BR76" s="67"/>
      <c r="BS76" s="67"/>
      <c r="BT76" s="67"/>
      <c r="BU76" s="67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  <c r="CH76" s="45"/>
      <c r="CI76" s="45"/>
      <c r="CJ76" s="45"/>
      <c r="CK76" s="45"/>
      <c r="CL76" s="115"/>
      <c r="CM76" s="45"/>
      <c r="CN76" s="224"/>
      <c r="CO76" s="224"/>
      <c r="CP76" s="224"/>
      <c r="CQ76" s="224"/>
      <c r="CR76" s="224"/>
      <c r="CS76" s="224"/>
      <c r="CT76" s="224"/>
      <c r="CU76" s="224"/>
      <c r="CV76" s="224"/>
      <c r="CW76" s="224"/>
      <c r="CX76" s="224"/>
      <c r="CY76" s="224"/>
      <c r="CZ76" s="224"/>
      <c r="DA76" s="224"/>
      <c r="DB76" s="224"/>
      <c r="DC76" s="224"/>
      <c r="DD76" s="224"/>
      <c r="DE76" s="224"/>
      <c r="DF76" s="224"/>
    </row>
    <row r="77" spans="1:110" s="116" customFormat="1" ht="18" hidden="1" outlineLevel="1" collapsed="1" x14ac:dyDescent="0.3">
      <c r="A77" s="224"/>
      <c r="B77" s="205"/>
      <c r="C77" s="366" t="s">
        <v>225</v>
      </c>
      <c r="D77" s="398" t="s">
        <v>335</v>
      </c>
      <c r="E77" s="435" t="s">
        <v>345</v>
      </c>
      <c r="F77" s="435" t="s">
        <v>345</v>
      </c>
      <c r="G77" s="435" t="s">
        <v>345</v>
      </c>
      <c r="H77" s="435" t="s">
        <v>345</v>
      </c>
      <c r="I77" s="435" t="s">
        <v>345</v>
      </c>
      <c r="J77" s="435" t="s">
        <v>345</v>
      </c>
      <c r="K77" s="435" t="s">
        <v>345</v>
      </c>
      <c r="L77" s="435" t="s">
        <v>345</v>
      </c>
      <c r="M77" s="108" t="s">
        <v>6</v>
      </c>
      <c r="N77" s="112" t="s">
        <v>6</v>
      </c>
      <c r="O77" s="374" t="s">
        <v>6</v>
      </c>
      <c r="P77" s="113"/>
      <c r="Q77" s="211"/>
      <c r="R77" s="211"/>
      <c r="S77" s="194" t="s">
        <v>5</v>
      </c>
      <c r="T77" s="114"/>
      <c r="U77" s="71"/>
      <c r="V77" s="71"/>
      <c r="W77" s="71"/>
      <c r="X77" s="71"/>
      <c r="Y77" s="45"/>
      <c r="Z77" s="45"/>
      <c r="AA77" s="45"/>
      <c r="AB77" s="45"/>
      <c r="AC77" s="67"/>
      <c r="AD77" s="81"/>
      <c r="AE77" s="64"/>
      <c r="AF77" s="64"/>
      <c r="AG77" s="67"/>
      <c r="AH77" s="67"/>
      <c r="AI77" s="472"/>
      <c r="AJ77" s="67"/>
      <c r="AK77" s="472"/>
      <c r="AL77" s="67"/>
      <c r="AM77" s="45"/>
      <c r="AN77" s="64"/>
      <c r="AO77" s="64"/>
      <c r="AP77" s="64"/>
      <c r="AQ77" s="64"/>
      <c r="AR77" s="64"/>
      <c r="AS77" s="64"/>
      <c r="AT77" s="64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  <c r="BS77" s="67"/>
      <c r="BT77" s="67"/>
      <c r="BU77" s="67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115"/>
      <c r="CM77" s="45"/>
      <c r="CN77" s="224"/>
      <c r="CO77" s="224"/>
      <c r="CP77" s="224"/>
      <c r="CQ77" s="224"/>
      <c r="CR77" s="224"/>
      <c r="CS77" s="224"/>
      <c r="CT77" s="224"/>
      <c r="CU77" s="224"/>
      <c r="CV77" s="224"/>
      <c r="CW77" s="224"/>
      <c r="CX77" s="224"/>
      <c r="CY77" s="224"/>
      <c r="CZ77" s="224"/>
      <c r="DA77" s="224"/>
      <c r="DB77" s="224"/>
      <c r="DC77" s="224"/>
      <c r="DD77" s="224"/>
      <c r="DE77" s="224"/>
      <c r="DF77" s="224"/>
    </row>
    <row r="78" spans="1:110" s="116" customFormat="1" ht="18" hidden="1" outlineLevel="1" collapsed="1" x14ac:dyDescent="0.3">
      <c r="A78" s="224"/>
      <c r="B78" s="205"/>
      <c r="C78" s="366" t="s">
        <v>229</v>
      </c>
      <c r="D78" s="398" t="s">
        <v>335</v>
      </c>
      <c r="E78" s="435" t="s">
        <v>345</v>
      </c>
      <c r="F78" s="435" t="s">
        <v>345</v>
      </c>
      <c r="G78" s="435" t="s">
        <v>345</v>
      </c>
      <c r="H78" s="435" t="s">
        <v>345</v>
      </c>
      <c r="I78" s="435" t="s">
        <v>345</v>
      </c>
      <c r="J78" s="435" t="s">
        <v>345</v>
      </c>
      <c r="K78" s="435" t="s">
        <v>345</v>
      </c>
      <c r="L78" s="435" t="s">
        <v>345</v>
      </c>
      <c r="M78" s="108" t="s">
        <v>6</v>
      </c>
      <c r="N78" s="112" t="s">
        <v>6</v>
      </c>
      <c r="O78" s="374" t="s">
        <v>6</v>
      </c>
      <c r="P78" s="113"/>
      <c r="Q78" s="211"/>
      <c r="R78" s="211"/>
      <c r="S78" s="194" t="s">
        <v>5</v>
      </c>
      <c r="T78" s="114"/>
      <c r="U78" s="71"/>
      <c r="V78" s="71"/>
      <c r="W78" s="71"/>
      <c r="X78" s="71"/>
      <c r="Y78" s="45"/>
      <c r="Z78" s="45"/>
      <c r="AA78" s="45"/>
      <c r="AB78" s="45"/>
      <c r="AC78" s="67"/>
      <c r="AD78" s="81"/>
      <c r="AE78" s="64"/>
      <c r="AF78" s="64"/>
      <c r="AG78" s="67"/>
      <c r="AH78" s="67"/>
      <c r="AI78" s="472"/>
      <c r="AJ78" s="67"/>
      <c r="AK78" s="472"/>
      <c r="AL78" s="67"/>
      <c r="AM78" s="45"/>
      <c r="AN78" s="64"/>
      <c r="AO78" s="64"/>
      <c r="AP78" s="64"/>
      <c r="AQ78" s="64"/>
      <c r="AR78" s="64"/>
      <c r="AS78" s="64"/>
      <c r="AT78" s="64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  <c r="BM78" s="67"/>
      <c r="BN78" s="67"/>
      <c r="BO78" s="67"/>
      <c r="BP78" s="67"/>
      <c r="BQ78" s="67"/>
      <c r="BR78" s="67"/>
      <c r="BS78" s="67"/>
      <c r="BT78" s="67"/>
      <c r="BU78" s="67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115"/>
      <c r="CM78" s="45"/>
      <c r="CN78" s="224"/>
      <c r="CO78" s="224"/>
      <c r="CP78" s="224"/>
      <c r="CQ78" s="224"/>
      <c r="CR78" s="224"/>
      <c r="CS78" s="224"/>
      <c r="CT78" s="224"/>
      <c r="CU78" s="224"/>
      <c r="CV78" s="224"/>
      <c r="CW78" s="224"/>
      <c r="CX78" s="224"/>
      <c r="CY78" s="224"/>
      <c r="CZ78" s="224"/>
      <c r="DA78" s="224"/>
      <c r="DB78" s="224"/>
      <c r="DC78" s="224"/>
      <c r="DD78" s="224"/>
      <c r="DE78" s="224"/>
      <c r="DF78" s="224"/>
    </row>
    <row r="79" spans="1:110" s="116" customFormat="1" ht="18" collapsed="1" x14ac:dyDescent="0.3">
      <c r="A79" s="224"/>
      <c r="B79" s="205"/>
      <c r="C79" s="423" t="s">
        <v>334</v>
      </c>
      <c r="D79" s="111" t="s">
        <v>335</v>
      </c>
      <c r="E79" s="310" t="s">
        <v>213</v>
      </c>
      <c r="F79" s="351" t="s">
        <v>208</v>
      </c>
      <c r="G79" s="310" t="s">
        <v>208</v>
      </c>
      <c r="H79" s="310" t="s">
        <v>208</v>
      </c>
      <c r="I79" s="310" t="s">
        <v>208</v>
      </c>
      <c r="J79" s="310" t="s">
        <v>208</v>
      </c>
      <c r="K79" s="310" t="s">
        <v>208</v>
      </c>
      <c r="L79" s="203" t="s">
        <v>5</v>
      </c>
      <c r="M79" s="108" t="s">
        <v>6</v>
      </c>
      <c r="N79" s="112" t="s">
        <v>6</v>
      </c>
      <c r="O79" s="374" t="s">
        <v>6</v>
      </c>
      <c r="P79" s="113"/>
      <c r="Q79" s="211"/>
      <c r="R79" s="211"/>
      <c r="S79" s="194" t="s">
        <v>5</v>
      </c>
      <c r="T79" s="114"/>
      <c r="U79" s="71"/>
      <c r="V79" s="71"/>
      <c r="W79" s="71"/>
      <c r="X79" s="71"/>
      <c r="Y79" s="45"/>
      <c r="Z79" s="45"/>
      <c r="AA79" s="45"/>
      <c r="AB79" s="45"/>
      <c r="AC79" s="67"/>
      <c r="AD79" s="81"/>
      <c r="AE79" s="64"/>
      <c r="AF79" s="64"/>
      <c r="AG79" s="67"/>
      <c r="AH79" s="67"/>
      <c r="AI79" s="472"/>
      <c r="AJ79" s="67"/>
      <c r="AK79" s="472"/>
      <c r="AL79" s="67"/>
      <c r="AM79" s="45"/>
      <c r="AN79" s="64"/>
      <c r="AO79" s="64"/>
      <c r="AP79" s="64"/>
      <c r="AQ79" s="64"/>
      <c r="AR79" s="64"/>
      <c r="AS79" s="64"/>
      <c r="AT79" s="64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  <c r="BM79" s="67"/>
      <c r="BN79" s="67"/>
      <c r="BO79" s="67"/>
      <c r="BP79" s="67"/>
      <c r="BQ79" s="67"/>
      <c r="BR79" s="67"/>
      <c r="BS79" s="67"/>
      <c r="BT79" s="67"/>
      <c r="BU79" s="67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115"/>
      <c r="CM79" s="45"/>
      <c r="CN79" s="224"/>
      <c r="CO79" s="224"/>
      <c r="CP79" s="224"/>
      <c r="CQ79" s="224"/>
      <c r="CR79" s="224"/>
      <c r="CS79" s="224"/>
      <c r="CT79" s="224"/>
      <c r="CU79" s="224"/>
      <c r="CV79" s="224"/>
      <c r="CW79" s="224"/>
      <c r="CX79" s="224"/>
      <c r="CY79" s="224"/>
      <c r="CZ79" s="224"/>
      <c r="DA79" s="224"/>
      <c r="DB79" s="224"/>
      <c r="DC79" s="224"/>
      <c r="DD79" s="224"/>
      <c r="DE79" s="224"/>
      <c r="DF79" s="224"/>
    </row>
    <row r="80" spans="1:110" s="116" customFormat="1" ht="18" x14ac:dyDescent="0.3">
      <c r="A80" s="224"/>
      <c r="B80" s="205"/>
      <c r="C80" s="431" t="s">
        <v>338</v>
      </c>
      <c r="D80" s="111" t="s">
        <v>335</v>
      </c>
      <c r="E80" s="310" t="s">
        <v>213</v>
      </c>
      <c r="F80" s="351" t="s">
        <v>208</v>
      </c>
      <c r="G80" s="310" t="s">
        <v>208</v>
      </c>
      <c r="H80" s="310" t="s">
        <v>208</v>
      </c>
      <c r="I80" s="310" t="s">
        <v>208</v>
      </c>
      <c r="J80" s="310" t="s">
        <v>208</v>
      </c>
      <c r="K80" s="310" t="s">
        <v>208</v>
      </c>
      <c r="L80" s="203" t="s">
        <v>5</v>
      </c>
      <c r="M80" s="108" t="s">
        <v>6</v>
      </c>
      <c r="N80" s="112" t="s">
        <v>6</v>
      </c>
      <c r="O80" s="374" t="s">
        <v>6</v>
      </c>
      <c r="P80" s="113"/>
      <c r="Q80" s="211"/>
      <c r="R80" s="211"/>
      <c r="S80" s="194" t="s">
        <v>5</v>
      </c>
      <c r="T80" s="114"/>
      <c r="U80" s="71"/>
      <c r="V80" s="71"/>
      <c r="W80" s="71"/>
      <c r="X80" s="71"/>
      <c r="Y80" s="45"/>
      <c r="Z80" s="45"/>
      <c r="AA80" s="45"/>
      <c r="AB80" s="45"/>
      <c r="AC80" s="67"/>
      <c r="AD80" s="81"/>
      <c r="AE80" s="64"/>
      <c r="AF80" s="64"/>
      <c r="AG80" s="67"/>
      <c r="AH80" s="67"/>
      <c r="AI80" s="472"/>
      <c r="AJ80" s="67"/>
      <c r="AK80" s="472"/>
      <c r="AL80" s="67"/>
      <c r="AM80" s="45"/>
      <c r="AN80" s="64"/>
      <c r="AO80" s="64"/>
      <c r="AP80" s="64"/>
      <c r="AQ80" s="64"/>
      <c r="AR80" s="64"/>
      <c r="AS80" s="64"/>
      <c r="AT80" s="64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  <c r="BS80" s="67"/>
      <c r="BT80" s="67"/>
      <c r="BU80" s="67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115"/>
      <c r="CM80" s="45"/>
      <c r="CN80" s="224"/>
      <c r="CO80" s="224"/>
      <c r="CP80" s="224"/>
      <c r="CQ80" s="224"/>
      <c r="CR80" s="224"/>
      <c r="CS80" s="224"/>
      <c r="CT80" s="224"/>
      <c r="CU80" s="224"/>
      <c r="CV80" s="224"/>
      <c r="CW80" s="224"/>
      <c r="CX80" s="224"/>
      <c r="CY80" s="224"/>
      <c r="CZ80" s="224"/>
      <c r="DA80" s="224"/>
      <c r="DB80" s="224"/>
      <c r="DC80" s="224"/>
      <c r="DD80" s="224"/>
      <c r="DE80" s="224"/>
      <c r="DF80" s="224"/>
    </row>
    <row r="81" spans="1:110" s="116" customFormat="1" ht="18" x14ac:dyDescent="0.3">
      <c r="A81" s="224"/>
      <c r="B81" s="205"/>
      <c r="C81" s="431" t="s">
        <v>365</v>
      </c>
      <c r="D81" s="111" t="s">
        <v>335</v>
      </c>
      <c r="E81" s="310" t="s">
        <v>213</v>
      </c>
      <c r="F81" s="351" t="s">
        <v>208</v>
      </c>
      <c r="G81" s="310" t="s">
        <v>208</v>
      </c>
      <c r="H81" s="310" t="s">
        <v>208</v>
      </c>
      <c r="I81" s="310" t="s">
        <v>208</v>
      </c>
      <c r="J81" s="310" t="s">
        <v>208</v>
      </c>
      <c r="K81" s="310" t="s">
        <v>208</v>
      </c>
      <c r="L81" s="203" t="s">
        <v>5</v>
      </c>
      <c r="M81" s="108" t="s">
        <v>6</v>
      </c>
      <c r="N81" s="112" t="s">
        <v>6</v>
      </c>
      <c r="O81" s="374" t="s">
        <v>6</v>
      </c>
      <c r="P81" s="113"/>
      <c r="Q81" s="211"/>
      <c r="R81" s="211"/>
      <c r="S81" s="194" t="s">
        <v>5</v>
      </c>
      <c r="T81" s="114"/>
      <c r="U81" s="71"/>
      <c r="V81" s="71"/>
      <c r="W81" s="71"/>
      <c r="X81" s="71"/>
      <c r="Y81" s="45"/>
      <c r="Z81" s="45"/>
      <c r="AA81" s="45"/>
      <c r="AB81" s="45"/>
      <c r="AC81" s="67"/>
      <c r="AD81" s="81"/>
      <c r="AE81" s="64"/>
      <c r="AF81" s="64"/>
      <c r="AG81" s="67"/>
      <c r="AH81" s="67"/>
      <c r="AI81" s="472"/>
      <c r="AJ81" s="67"/>
      <c r="AK81" s="472"/>
      <c r="AL81" s="67"/>
      <c r="AM81" s="45"/>
      <c r="AN81" s="64"/>
      <c r="AO81" s="64"/>
      <c r="AP81" s="64"/>
      <c r="AQ81" s="64"/>
      <c r="AR81" s="64"/>
      <c r="AS81" s="64"/>
      <c r="AT81" s="64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115"/>
      <c r="CM81" s="45"/>
      <c r="CN81" s="224"/>
      <c r="CO81" s="224"/>
      <c r="CP81" s="224"/>
      <c r="CQ81" s="224"/>
      <c r="CR81" s="224"/>
      <c r="CS81" s="224"/>
      <c r="CT81" s="224"/>
      <c r="CU81" s="224"/>
      <c r="CV81" s="224"/>
      <c r="CW81" s="224"/>
      <c r="CX81" s="224"/>
      <c r="CY81" s="224"/>
      <c r="CZ81" s="224"/>
      <c r="DA81" s="224"/>
      <c r="DB81" s="224"/>
      <c r="DC81" s="224"/>
      <c r="DD81" s="224"/>
      <c r="DE81" s="224"/>
      <c r="DF81" s="224"/>
    </row>
    <row r="82" spans="1:110" s="116" customFormat="1" ht="18" x14ac:dyDescent="0.3">
      <c r="A82" s="224"/>
      <c r="B82" s="205"/>
      <c r="C82" s="431" t="s">
        <v>339</v>
      </c>
      <c r="D82" s="111" t="s">
        <v>335</v>
      </c>
      <c r="E82" s="310" t="s">
        <v>213</v>
      </c>
      <c r="F82" s="351" t="s">
        <v>208</v>
      </c>
      <c r="G82" s="310" t="s">
        <v>208</v>
      </c>
      <c r="H82" s="310" t="s">
        <v>208</v>
      </c>
      <c r="I82" s="310" t="s">
        <v>208</v>
      </c>
      <c r="J82" s="310" t="s">
        <v>208</v>
      </c>
      <c r="K82" s="310" t="s">
        <v>208</v>
      </c>
      <c r="L82" s="203" t="s">
        <v>5</v>
      </c>
      <c r="M82" s="108" t="s">
        <v>6</v>
      </c>
      <c r="N82" s="112" t="s">
        <v>6</v>
      </c>
      <c r="O82" s="374" t="s">
        <v>6</v>
      </c>
      <c r="P82" s="113"/>
      <c r="Q82" s="211"/>
      <c r="R82" s="211"/>
      <c r="S82" s="194" t="s">
        <v>5</v>
      </c>
      <c r="T82" s="114"/>
      <c r="U82" s="71"/>
      <c r="V82" s="71"/>
      <c r="W82" s="71"/>
      <c r="X82" s="71"/>
      <c r="Y82" s="45"/>
      <c r="Z82" s="45"/>
      <c r="AA82" s="45"/>
      <c r="AB82" s="45"/>
      <c r="AC82" s="67"/>
      <c r="AD82" s="81"/>
      <c r="AE82" s="64"/>
      <c r="AF82" s="64"/>
      <c r="AG82" s="67"/>
      <c r="AH82" s="67"/>
      <c r="AI82" s="472"/>
      <c r="AJ82" s="67"/>
      <c r="AK82" s="472"/>
      <c r="AL82" s="67"/>
      <c r="AM82" s="45"/>
      <c r="AN82" s="64"/>
      <c r="AO82" s="64"/>
      <c r="AP82" s="64"/>
      <c r="AQ82" s="64"/>
      <c r="AR82" s="64"/>
      <c r="AS82" s="64"/>
      <c r="AT82" s="64"/>
      <c r="AU82" s="67"/>
      <c r="AV82" s="67"/>
      <c r="AW82" s="67"/>
      <c r="AX82" s="67"/>
      <c r="AY82" s="67"/>
      <c r="AZ82" s="67"/>
      <c r="BA82" s="67"/>
      <c r="BB82" s="67"/>
      <c r="BC82" s="67"/>
      <c r="BD82" s="67"/>
      <c r="BE82" s="67"/>
      <c r="BF82" s="67"/>
      <c r="BG82" s="67"/>
      <c r="BH82" s="6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115"/>
      <c r="CM82" s="45"/>
      <c r="CN82" s="224"/>
      <c r="CO82" s="224"/>
      <c r="CP82" s="224"/>
      <c r="CQ82" s="224"/>
      <c r="CR82" s="224"/>
      <c r="CS82" s="224"/>
      <c r="CT82" s="224"/>
      <c r="CU82" s="224"/>
      <c r="CV82" s="224"/>
      <c r="CW82" s="224"/>
      <c r="CX82" s="224"/>
      <c r="CY82" s="224"/>
      <c r="CZ82" s="224"/>
      <c r="DA82" s="224"/>
      <c r="DB82" s="224"/>
      <c r="DC82" s="224"/>
      <c r="DD82" s="224"/>
      <c r="DE82" s="224"/>
      <c r="DF82" s="224"/>
    </row>
    <row r="83" spans="1:110" s="116" customFormat="1" ht="18" x14ac:dyDescent="0.3">
      <c r="A83" s="224"/>
      <c r="B83" s="205"/>
      <c r="C83" s="431" t="s">
        <v>340</v>
      </c>
      <c r="D83" s="111" t="s">
        <v>335</v>
      </c>
      <c r="E83" s="310" t="s">
        <v>213</v>
      </c>
      <c r="F83" s="351" t="s">
        <v>208</v>
      </c>
      <c r="G83" s="310" t="s">
        <v>208</v>
      </c>
      <c r="H83" s="310" t="s">
        <v>208</v>
      </c>
      <c r="I83" s="310" t="s">
        <v>208</v>
      </c>
      <c r="J83" s="310" t="s">
        <v>208</v>
      </c>
      <c r="K83" s="310" t="s">
        <v>208</v>
      </c>
      <c r="L83" s="203" t="s">
        <v>5</v>
      </c>
      <c r="M83" s="108" t="s">
        <v>6</v>
      </c>
      <c r="N83" s="112" t="s">
        <v>6</v>
      </c>
      <c r="O83" s="374" t="s">
        <v>6</v>
      </c>
      <c r="P83" s="113"/>
      <c r="Q83" s="211"/>
      <c r="R83" s="211"/>
      <c r="S83" s="194" t="s">
        <v>5</v>
      </c>
      <c r="T83" s="114"/>
      <c r="U83" s="71"/>
      <c r="V83" s="71"/>
      <c r="W83" s="71"/>
      <c r="X83" s="71"/>
      <c r="Y83" s="45"/>
      <c r="Z83" s="45"/>
      <c r="AA83" s="45"/>
      <c r="AB83" s="45"/>
      <c r="AC83" s="67"/>
      <c r="AD83" s="81"/>
      <c r="AE83" s="64"/>
      <c r="AF83" s="64"/>
      <c r="AG83" s="67"/>
      <c r="AH83" s="67"/>
      <c r="AI83" s="472"/>
      <c r="AJ83" s="67"/>
      <c r="AK83" s="472"/>
      <c r="AL83" s="67"/>
      <c r="AM83" s="45"/>
      <c r="AN83" s="64"/>
      <c r="AO83" s="64"/>
      <c r="AP83" s="64"/>
      <c r="AQ83" s="64"/>
      <c r="AR83" s="64"/>
      <c r="AS83" s="64"/>
      <c r="AT83" s="64"/>
      <c r="AU83" s="67"/>
      <c r="AV83" s="67"/>
      <c r="AW83" s="67"/>
      <c r="AX83" s="67"/>
      <c r="AY83" s="67"/>
      <c r="AZ83" s="67"/>
      <c r="BA83" s="67"/>
      <c r="BB83" s="67"/>
      <c r="BC83" s="67"/>
      <c r="BD83" s="67"/>
      <c r="BE83" s="67"/>
      <c r="BF83" s="67"/>
      <c r="BG83" s="67"/>
      <c r="BH83" s="67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  <c r="CH83" s="45"/>
      <c r="CI83" s="45"/>
      <c r="CJ83" s="45"/>
      <c r="CK83" s="45"/>
      <c r="CL83" s="115"/>
      <c r="CM83" s="45"/>
      <c r="CN83" s="224"/>
      <c r="CO83" s="224"/>
      <c r="CP83" s="224"/>
      <c r="CQ83" s="224"/>
      <c r="CR83" s="224"/>
      <c r="CS83" s="224"/>
      <c r="CT83" s="224"/>
      <c r="CU83" s="224"/>
      <c r="CV83" s="224"/>
      <c r="CW83" s="224"/>
      <c r="CX83" s="224"/>
      <c r="CY83" s="224"/>
      <c r="CZ83" s="224"/>
      <c r="DA83" s="224"/>
      <c r="DB83" s="224"/>
      <c r="DC83" s="224"/>
      <c r="DD83" s="224"/>
      <c r="DE83" s="224"/>
      <c r="DF83" s="224"/>
    </row>
    <row r="84" spans="1:110" s="116" customFormat="1" ht="18" x14ac:dyDescent="0.3">
      <c r="A84" s="224"/>
      <c r="B84" s="205"/>
      <c r="C84" s="431" t="s">
        <v>342</v>
      </c>
      <c r="D84" s="111" t="s">
        <v>335</v>
      </c>
      <c r="E84" s="310" t="s">
        <v>213</v>
      </c>
      <c r="F84" s="351" t="s">
        <v>208</v>
      </c>
      <c r="G84" s="310" t="s">
        <v>208</v>
      </c>
      <c r="H84" s="310" t="s">
        <v>208</v>
      </c>
      <c r="I84" s="310" t="s">
        <v>208</v>
      </c>
      <c r="J84" s="310" t="s">
        <v>208</v>
      </c>
      <c r="K84" s="310" t="s">
        <v>208</v>
      </c>
      <c r="L84" s="203" t="s">
        <v>5</v>
      </c>
      <c r="M84" s="108" t="s">
        <v>6</v>
      </c>
      <c r="N84" s="112" t="s">
        <v>6</v>
      </c>
      <c r="O84" s="374" t="s">
        <v>6</v>
      </c>
      <c r="P84" s="113"/>
      <c r="Q84" s="211"/>
      <c r="R84" s="211"/>
      <c r="S84" s="194" t="s">
        <v>5</v>
      </c>
      <c r="T84" s="114"/>
      <c r="U84" s="71"/>
      <c r="V84" s="71"/>
      <c r="W84" s="71"/>
      <c r="X84" s="71"/>
      <c r="Y84" s="45"/>
      <c r="Z84" s="45"/>
      <c r="AA84" s="45"/>
      <c r="AB84" s="45"/>
      <c r="AC84" s="67"/>
      <c r="AD84" s="81"/>
      <c r="AE84" s="64"/>
      <c r="AF84" s="64"/>
      <c r="AG84" s="67"/>
      <c r="AH84" s="67"/>
      <c r="AI84" s="472"/>
      <c r="AJ84" s="67"/>
      <c r="AK84" s="472"/>
      <c r="AL84" s="67"/>
      <c r="AM84" s="45"/>
      <c r="AN84" s="64"/>
      <c r="AO84" s="64"/>
      <c r="AP84" s="64"/>
      <c r="AQ84" s="64"/>
      <c r="AR84" s="64"/>
      <c r="AS84" s="64"/>
      <c r="AT84" s="64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  <c r="BM84" s="67"/>
      <c r="BN84" s="67"/>
      <c r="BO84" s="67"/>
      <c r="BP84" s="67"/>
      <c r="BQ84" s="67"/>
      <c r="BR84" s="67"/>
      <c r="BS84" s="67"/>
      <c r="BT84" s="67"/>
      <c r="BU84" s="67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115"/>
      <c r="CM84" s="45"/>
      <c r="CN84" s="224"/>
      <c r="CO84" s="224"/>
      <c r="CP84" s="224"/>
      <c r="CQ84" s="224"/>
      <c r="CR84" s="224"/>
      <c r="CS84" s="224"/>
      <c r="CT84" s="224"/>
      <c r="CU84" s="224"/>
      <c r="CV84" s="224"/>
      <c r="CW84" s="224"/>
      <c r="CX84" s="224"/>
      <c r="CY84" s="224"/>
      <c r="CZ84" s="224"/>
      <c r="DA84" s="224"/>
      <c r="DB84" s="224"/>
      <c r="DC84" s="224"/>
      <c r="DD84" s="224"/>
      <c r="DE84" s="224"/>
      <c r="DF84" s="224"/>
    </row>
    <row r="85" spans="1:110" s="116" customFormat="1" ht="18" hidden="1" outlineLevel="1" x14ac:dyDescent="0.3">
      <c r="A85" s="224"/>
      <c r="B85" s="205"/>
      <c r="C85" s="367" t="s">
        <v>227</v>
      </c>
      <c r="D85" s="398" t="s">
        <v>335</v>
      </c>
      <c r="E85" s="310" t="s">
        <v>213</v>
      </c>
      <c r="F85" s="351" t="s">
        <v>208</v>
      </c>
      <c r="G85" s="310" t="s">
        <v>208</v>
      </c>
      <c r="H85" s="310" t="s">
        <v>208</v>
      </c>
      <c r="I85" s="310" t="s">
        <v>208</v>
      </c>
      <c r="J85" s="310" t="s">
        <v>208</v>
      </c>
      <c r="K85" s="310" t="s">
        <v>208</v>
      </c>
      <c r="L85" s="203"/>
      <c r="M85" s="108" t="s">
        <v>6</v>
      </c>
      <c r="N85" s="112" t="s">
        <v>6</v>
      </c>
      <c r="O85" s="374" t="s">
        <v>6</v>
      </c>
      <c r="P85" s="113"/>
      <c r="Q85" s="211"/>
      <c r="R85" s="211"/>
      <c r="S85" s="194" t="s">
        <v>5</v>
      </c>
      <c r="T85" s="114"/>
      <c r="U85" s="71"/>
      <c r="V85" s="71"/>
      <c r="W85" s="71"/>
      <c r="X85" s="71"/>
      <c r="Y85" s="45"/>
      <c r="Z85" s="45"/>
      <c r="AA85" s="45"/>
      <c r="AB85" s="45"/>
      <c r="AC85" s="67"/>
      <c r="AD85" s="81"/>
      <c r="AE85" s="64"/>
      <c r="AF85" s="64"/>
      <c r="AG85" s="67"/>
      <c r="AH85" s="67"/>
      <c r="AI85" s="472"/>
      <c r="AJ85" s="67"/>
      <c r="AK85" s="472"/>
      <c r="AL85" s="67"/>
      <c r="AM85" s="45"/>
      <c r="AN85" s="64"/>
      <c r="AO85" s="64"/>
      <c r="AP85" s="64"/>
      <c r="AQ85" s="64"/>
      <c r="AR85" s="64"/>
      <c r="AS85" s="64"/>
      <c r="AT85" s="64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7"/>
      <c r="BN85" s="67"/>
      <c r="BO85" s="67"/>
      <c r="BP85" s="67"/>
      <c r="BQ85" s="67"/>
      <c r="BR85" s="67"/>
      <c r="BS85" s="67"/>
      <c r="BT85" s="67"/>
      <c r="BU85" s="67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  <c r="CH85" s="45"/>
      <c r="CI85" s="45"/>
      <c r="CJ85" s="45"/>
      <c r="CK85" s="45"/>
      <c r="CL85" s="115"/>
      <c r="CM85" s="45"/>
      <c r="CN85" s="224"/>
      <c r="CO85" s="224"/>
      <c r="CP85" s="224"/>
      <c r="CQ85" s="224"/>
      <c r="CR85" s="224"/>
      <c r="CS85" s="224"/>
      <c r="CT85" s="224"/>
      <c r="CU85" s="224"/>
      <c r="CV85" s="224"/>
      <c r="CW85" s="224"/>
      <c r="CX85" s="224"/>
      <c r="CY85" s="224"/>
      <c r="CZ85" s="224"/>
      <c r="DA85" s="224"/>
      <c r="DB85" s="224"/>
      <c r="DC85" s="224"/>
      <c r="DD85" s="224"/>
      <c r="DE85" s="224"/>
      <c r="DF85" s="224"/>
    </row>
    <row r="86" spans="1:110" s="116" customFormat="1" ht="18" hidden="1" outlineLevel="1" x14ac:dyDescent="0.3">
      <c r="A86" s="224"/>
      <c r="B86" s="205"/>
      <c r="C86" s="367" t="s">
        <v>194</v>
      </c>
      <c r="D86" s="398" t="s">
        <v>168</v>
      </c>
      <c r="E86" s="310" t="s">
        <v>213</v>
      </c>
      <c r="F86" s="351" t="s">
        <v>208</v>
      </c>
      <c r="G86" s="310" t="s">
        <v>208</v>
      </c>
      <c r="H86" s="310" t="s">
        <v>208</v>
      </c>
      <c r="I86" s="310" t="s">
        <v>208</v>
      </c>
      <c r="J86" s="310" t="s">
        <v>208</v>
      </c>
      <c r="K86" s="310" t="s">
        <v>208</v>
      </c>
      <c r="L86" s="203"/>
      <c r="M86" s="108" t="s">
        <v>6</v>
      </c>
      <c r="N86" s="112" t="s">
        <v>6</v>
      </c>
      <c r="O86" s="374" t="s">
        <v>6</v>
      </c>
      <c r="P86" s="113"/>
      <c r="Q86" s="211"/>
      <c r="R86" s="211"/>
      <c r="S86" s="194" t="s">
        <v>5</v>
      </c>
      <c r="T86" s="114">
        <f t="shared" ref="T86" si="7">AD86</f>
        <v>0</v>
      </c>
      <c r="U86" s="71"/>
      <c r="V86" s="71"/>
      <c r="W86" s="71"/>
      <c r="X86" s="71"/>
      <c r="Y86" s="45"/>
      <c r="Z86" s="45"/>
      <c r="AA86" s="45"/>
      <c r="AB86" s="45"/>
      <c r="AC86" s="67"/>
      <c r="AD86" s="81"/>
      <c r="AE86" s="64"/>
      <c r="AF86" s="64"/>
      <c r="AG86" s="67"/>
      <c r="AH86" s="67"/>
      <c r="AI86" s="472"/>
      <c r="AJ86" s="67"/>
      <c r="AK86" s="472"/>
      <c r="AL86" s="67"/>
      <c r="AM86" s="45"/>
      <c r="AN86" s="64"/>
      <c r="AO86" s="64"/>
      <c r="AP86" s="64"/>
      <c r="AQ86" s="64"/>
      <c r="AR86" s="64"/>
      <c r="AS86" s="64"/>
      <c r="AT86" s="64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  <c r="BM86" s="67"/>
      <c r="BN86" s="67"/>
      <c r="BO86" s="67"/>
      <c r="BP86" s="67"/>
      <c r="BQ86" s="67"/>
      <c r="BR86" s="67"/>
      <c r="BS86" s="67"/>
      <c r="BT86" s="67"/>
      <c r="BU86" s="67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  <c r="CH86" s="45"/>
      <c r="CI86" s="45"/>
      <c r="CJ86" s="45"/>
      <c r="CK86" s="45"/>
      <c r="CL86" s="115"/>
      <c r="CM86" s="45"/>
      <c r="CN86" s="224"/>
      <c r="CO86" s="224"/>
      <c r="CP86" s="224"/>
      <c r="CQ86" s="224"/>
      <c r="CR86" s="224"/>
      <c r="CS86" s="224"/>
      <c r="CT86" s="224"/>
      <c r="CU86" s="224"/>
      <c r="CV86" s="224"/>
      <c r="CW86" s="224"/>
      <c r="CX86" s="224"/>
      <c r="CY86" s="224"/>
      <c r="CZ86" s="224"/>
      <c r="DA86" s="224"/>
      <c r="DB86" s="224"/>
      <c r="DC86" s="224"/>
      <c r="DD86" s="224"/>
      <c r="DE86" s="224"/>
      <c r="DF86" s="224"/>
    </row>
    <row r="87" spans="1:110" s="88" customFormat="1" ht="18" collapsed="1" x14ac:dyDescent="0.25">
      <c r="A87" s="218"/>
      <c r="B87" s="408"/>
      <c r="C87" s="409" t="s">
        <v>268</v>
      </c>
      <c r="D87" s="410" t="s">
        <v>269</v>
      </c>
      <c r="E87" s="411" t="s">
        <v>213</v>
      </c>
      <c r="F87" s="411" t="s">
        <v>208</v>
      </c>
      <c r="G87" s="411" t="s">
        <v>213</v>
      </c>
      <c r="H87" s="495" t="s">
        <v>5</v>
      </c>
      <c r="I87" s="411" t="s">
        <v>213</v>
      </c>
      <c r="J87" s="411" t="s">
        <v>213</v>
      </c>
      <c r="K87" s="411" t="s">
        <v>213</v>
      </c>
      <c r="L87" s="411" t="s">
        <v>213</v>
      </c>
      <c r="M87" s="412">
        <v>40</v>
      </c>
      <c r="N87" s="413">
        <f>39.95+4.99</f>
        <v>44.940000000000005</v>
      </c>
      <c r="O87" s="414">
        <v>2</v>
      </c>
      <c r="P87" s="415" t="s">
        <v>275</v>
      </c>
      <c r="Q87" s="211"/>
      <c r="R87" s="211"/>
      <c r="S87" s="192" t="s">
        <v>5</v>
      </c>
      <c r="T87" s="71"/>
      <c r="U87" s="71"/>
      <c r="V87" s="71"/>
      <c r="W87" s="71"/>
      <c r="X87" s="71"/>
      <c r="Y87" s="94"/>
      <c r="Z87" s="71"/>
      <c r="AA87" s="71"/>
      <c r="AB87" s="106"/>
      <c r="AC87" s="107"/>
      <c r="AD87" s="81"/>
      <c r="AE87" s="67"/>
      <c r="AF87" s="67"/>
      <c r="AG87" s="67"/>
      <c r="AH87" s="67"/>
      <c r="AI87" s="472"/>
      <c r="AJ87" s="67"/>
      <c r="AK87" s="472"/>
      <c r="AL87" s="67"/>
      <c r="AM87" s="67"/>
      <c r="AN87" s="67"/>
      <c r="AO87" s="67"/>
      <c r="AP87" s="67"/>
      <c r="AQ87" s="67"/>
      <c r="AR87" s="71"/>
      <c r="AS87" s="71"/>
      <c r="AT87" s="71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  <c r="BM87" s="67"/>
      <c r="BN87" s="67"/>
      <c r="BO87" s="67"/>
      <c r="BP87" s="67"/>
      <c r="BQ87" s="67"/>
      <c r="BR87" s="67"/>
      <c r="BS87" s="67"/>
      <c r="BT87" s="67"/>
      <c r="BU87" s="67"/>
      <c r="BV87" s="71"/>
      <c r="BW87" s="71"/>
      <c r="BX87" s="71"/>
      <c r="BY87" s="71"/>
      <c r="BZ87" s="71"/>
      <c r="CA87" s="71"/>
      <c r="CB87" s="71"/>
      <c r="CC87" s="71"/>
      <c r="CD87" s="71"/>
      <c r="CE87" s="71"/>
      <c r="CF87" s="71"/>
      <c r="CG87" s="71"/>
      <c r="CH87" s="71"/>
      <c r="CI87" s="71"/>
      <c r="CJ87" s="71"/>
      <c r="CK87" s="71"/>
      <c r="CL87" s="81"/>
      <c r="CM87" s="71"/>
      <c r="CN87" s="218"/>
      <c r="CO87" s="218"/>
      <c r="CP87" s="218"/>
      <c r="CQ87" s="218"/>
      <c r="CR87" s="218"/>
      <c r="CS87" s="218"/>
      <c r="CT87" s="218"/>
      <c r="CU87" s="218"/>
      <c r="CV87" s="218"/>
      <c r="CW87" s="218"/>
      <c r="CX87" s="218"/>
      <c r="CY87" s="218"/>
      <c r="CZ87" s="218"/>
      <c r="DA87" s="218"/>
      <c r="DB87" s="218"/>
      <c r="DC87" s="218"/>
      <c r="DD87" s="218"/>
      <c r="DE87" s="218"/>
      <c r="DF87" s="218"/>
    </row>
    <row r="88" spans="1:110" s="88" customFormat="1" ht="18" x14ac:dyDescent="0.25">
      <c r="A88" s="218"/>
      <c r="B88" s="408"/>
      <c r="C88" s="409" t="s">
        <v>272</v>
      </c>
      <c r="D88" s="410" t="s">
        <v>168</v>
      </c>
      <c r="E88" s="411" t="s">
        <v>213</v>
      </c>
      <c r="F88" s="411" t="s">
        <v>208</v>
      </c>
      <c r="G88" s="411" t="s">
        <v>208</v>
      </c>
      <c r="H88" s="411" t="s">
        <v>208</v>
      </c>
      <c r="I88" s="411" t="s">
        <v>208</v>
      </c>
      <c r="J88" s="411" t="s">
        <v>208</v>
      </c>
      <c r="K88" s="411" t="s">
        <v>208</v>
      </c>
      <c r="L88" s="411" t="s">
        <v>208</v>
      </c>
      <c r="M88" s="412">
        <v>11.95</v>
      </c>
      <c r="N88" s="413">
        <v>11.95</v>
      </c>
      <c r="O88" s="414">
        <v>2</v>
      </c>
      <c r="P88" s="415" t="s">
        <v>275</v>
      </c>
      <c r="Q88" s="211"/>
      <c r="R88" s="211"/>
      <c r="S88" s="192" t="s">
        <v>5</v>
      </c>
      <c r="T88" s="71"/>
      <c r="U88" s="71"/>
      <c r="V88" s="71"/>
      <c r="W88" s="71"/>
      <c r="X88" s="71"/>
      <c r="Y88" s="94"/>
      <c r="Z88" s="71"/>
      <c r="AA88" s="71"/>
      <c r="AB88" s="106"/>
      <c r="AC88" s="107"/>
      <c r="AD88" s="81"/>
      <c r="AE88" s="67"/>
      <c r="AF88" s="67"/>
      <c r="AG88" s="67"/>
      <c r="AH88" s="67"/>
      <c r="AI88" s="472"/>
      <c r="AJ88" s="67"/>
      <c r="AK88" s="472"/>
      <c r="AL88" s="67"/>
      <c r="AM88" s="67"/>
      <c r="AN88" s="67"/>
      <c r="AO88" s="67"/>
      <c r="AP88" s="67"/>
      <c r="AQ88" s="67"/>
      <c r="AR88" s="71"/>
      <c r="AS88" s="71"/>
      <c r="AT88" s="71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7"/>
      <c r="BN88" s="67"/>
      <c r="BO88" s="67"/>
      <c r="BP88" s="67"/>
      <c r="BQ88" s="67"/>
      <c r="BR88" s="67"/>
      <c r="BS88" s="67"/>
      <c r="BT88" s="67"/>
      <c r="BU88" s="67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81"/>
      <c r="CM88" s="71"/>
      <c r="CN88" s="218"/>
      <c r="CO88" s="218"/>
      <c r="CP88" s="218"/>
      <c r="CQ88" s="218"/>
      <c r="CR88" s="218"/>
      <c r="CS88" s="218"/>
      <c r="CT88" s="218"/>
      <c r="CU88" s="218"/>
      <c r="CV88" s="218"/>
      <c r="CW88" s="218"/>
      <c r="CX88" s="218"/>
      <c r="CY88" s="218"/>
      <c r="CZ88" s="218"/>
      <c r="DA88" s="218"/>
      <c r="DB88" s="218"/>
      <c r="DC88" s="218"/>
      <c r="DD88" s="218"/>
      <c r="DE88" s="218"/>
      <c r="DF88" s="218"/>
    </row>
    <row r="89" spans="1:110" s="88" customFormat="1" ht="18" x14ac:dyDescent="0.25">
      <c r="A89" s="218"/>
      <c r="B89" s="408"/>
      <c r="C89" s="409" t="s">
        <v>273</v>
      </c>
      <c r="D89" s="410" t="s">
        <v>168</v>
      </c>
      <c r="E89" s="411" t="s">
        <v>213</v>
      </c>
      <c r="F89" s="411" t="s">
        <v>208</v>
      </c>
      <c r="G89" s="411" t="s">
        <v>208</v>
      </c>
      <c r="H89" s="411" t="s">
        <v>208</v>
      </c>
      <c r="I89" s="411" t="s">
        <v>208</v>
      </c>
      <c r="J89" s="411" t="s">
        <v>208</v>
      </c>
      <c r="K89" s="411" t="s">
        <v>208</v>
      </c>
      <c r="L89" s="411" t="s">
        <v>208</v>
      </c>
      <c r="M89" s="412">
        <v>14.95</v>
      </c>
      <c r="N89" s="413">
        <v>14.95</v>
      </c>
      <c r="O89" s="414">
        <v>2</v>
      </c>
      <c r="P89" s="415" t="s">
        <v>275</v>
      </c>
      <c r="Q89" s="211"/>
      <c r="R89" s="211"/>
      <c r="S89" s="192" t="s">
        <v>5</v>
      </c>
      <c r="T89" s="71"/>
      <c r="U89" s="71"/>
      <c r="V89" s="71"/>
      <c r="W89" s="71"/>
      <c r="X89" s="71"/>
      <c r="Y89" s="94"/>
      <c r="Z89" s="71"/>
      <c r="AA89" s="71"/>
      <c r="AB89" s="106"/>
      <c r="AC89" s="107"/>
      <c r="AD89" s="81"/>
      <c r="AE89" s="67"/>
      <c r="AF89" s="67"/>
      <c r="AG89" s="67"/>
      <c r="AH89" s="67"/>
      <c r="AI89" s="472"/>
      <c r="AJ89" s="67"/>
      <c r="AK89" s="472"/>
      <c r="AL89" s="67"/>
      <c r="AM89" s="67"/>
      <c r="AN89" s="67"/>
      <c r="AO89" s="67"/>
      <c r="AP89" s="67"/>
      <c r="AQ89" s="67"/>
      <c r="AR89" s="71"/>
      <c r="AS89" s="71"/>
      <c r="AT89" s="71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  <c r="BM89" s="67"/>
      <c r="BN89" s="67"/>
      <c r="BO89" s="67"/>
      <c r="BP89" s="67"/>
      <c r="BQ89" s="67"/>
      <c r="BR89" s="67"/>
      <c r="BS89" s="67"/>
      <c r="BT89" s="67"/>
      <c r="BU89" s="67"/>
      <c r="BV89" s="71"/>
      <c r="BW89" s="71"/>
      <c r="BX89" s="71"/>
      <c r="BY89" s="71"/>
      <c r="BZ89" s="71"/>
      <c r="CA89" s="71"/>
      <c r="CB89" s="71"/>
      <c r="CC89" s="71"/>
      <c r="CD89" s="71"/>
      <c r="CE89" s="71"/>
      <c r="CF89" s="71"/>
      <c r="CG89" s="71"/>
      <c r="CH89" s="71"/>
      <c r="CI89" s="71"/>
      <c r="CJ89" s="71"/>
      <c r="CK89" s="71"/>
      <c r="CL89" s="81"/>
      <c r="CM89" s="71"/>
      <c r="CN89" s="218"/>
      <c r="CO89" s="218"/>
      <c r="CP89" s="218"/>
      <c r="CQ89" s="218"/>
      <c r="CR89" s="218"/>
      <c r="CS89" s="218"/>
      <c r="CT89" s="218"/>
      <c r="CU89" s="218"/>
      <c r="CV89" s="218"/>
      <c r="CW89" s="218"/>
      <c r="CX89" s="218"/>
      <c r="CY89" s="218"/>
      <c r="CZ89" s="218"/>
      <c r="DA89" s="218"/>
      <c r="DB89" s="218"/>
      <c r="DC89" s="218"/>
      <c r="DD89" s="218"/>
      <c r="DE89" s="218"/>
      <c r="DF89" s="218"/>
    </row>
    <row r="90" spans="1:110" s="88" customFormat="1" ht="18" x14ac:dyDescent="0.25">
      <c r="A90" s="218"/>
      <c r="B90" s="408"/>
      <c r="C90" s="409" t="s">
        <v>274</v>
      </c>
      <c r="D90" s="410" t="s">
        <v>168</v>
      </c>
      <c r="E90" s="411" t="s">
        <v>213</v>
      </c>
      <c r="F90" s="411" t="s">
        <v>208</v>
      </c>
      <c r="G90" s="411" t="s">
        <v>208</v>
      </c>
      <c r="H90" s="411" t="s">
        <v>208</v>
      </c>
      <c r="I90" s="411" t="s">
        <v>208</v>
      </c>
      <c r="J90" s="411" t="s">
        <v>208</v>
      </c>
      <c r="K90" s="411" t="s">
        <v>208</v>
      </c>
      <c r="L90" s="411" t="s">
        <v>208</v>
      </c>
      <c r="M90" s="412">
        <v>14.95</v>
      </c>
      <c r="N90" s="413">
        <v>14.95</v>
      </c>
      <c r="O90" s="414">
        <v>2</v>
      </c>
      <c r="P90" s="415" t="s">
        <v>275</v>
      </c>
      <c r="Q90" s="211"/>
      <c r="R90" s="211"/>
      <c r="S90" s="192" t="s">
        <v>5</v>
      </c>
      <c r="T90" s="71"/>
      <c r="U90" s="71"/>
      <c r="V90" s="71"/>
      <c r="W90" s="71"/>
      <c r="X90" s="71"/>
      <c r="Y90" s="94"/>
      <c r="Z90" s="71"/>
      <c r="AA90" s="71"/>
      <c r="AB90" s="106"/>
      <c r="AC90" s="107"/>
      <c r="AD90" s="81"/>
      <c r="AE90" s="67"/>
      <c r="AF90" s="67"/>
      <c r="AG90" s="67"/>
      <c r="AH90" s="67"/>
      <c r="AI90" s="472"/>
      <c r="AJ90" s="67"/>
      <c r="AK90" s="472"/>
      <c r="AL90" s="67"/>
      <c r="AM90" s="67"/>
      <c r="AN90" s="67"/>
      <c r="AO90" s="67"/>
      <c r="AP90" s="67"/>
      <c r="AQ90" s="67"/>
      <c r="AR90" s="71"/>
      <c r="AS90" s="71"/>
      <c r="AT90" s="71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  <c r="BM90" s="67"/>
      <c r="BN90" s="67"/>
      <c r="BO90" s="67"/>
      <c r="BP90" s="67"/>
      <c r="BQ90" s="67"/>
      <c r="BR90" s="67"/>
      <c r="BS90" s="67"/>
      <c r="BT90" s="67"/>
      <c r="BU90" s="67"/>
      <c r="BV90" s="71"/>
      <c r="BW90" s="71"/>
      <c r="BX90" s="71"/>
      <c r="BY90" s="71"/>
      <c r="BZ90" s="71"/>
      <c r="CA90" s="71"/>
      <c r="CB90" s="71"/>
      <c r="CC90" s="71"/>
      <c r="CD90" s="71"/>
      <c r="CE90" s="71"/>
      <c r="CF90" s="71"/>
      <c r="CG90" s="71"/>
      <c r="CH90" s="71"/>
      <c r="CI90" s="71"/>
      <c r="CJ90" s="71"/>
      <c r="CK90" s="71"/>
      <c r="CL90" s="81"/>
      <c r="CM90" s="71"/>
      <c r="CN90" s="218"/>
      <c r="CO90" s="218"/>
      <c r="CP90" s="218"/>
      <c r="CQ90" s="218"/>
      <c r="CR90" s="218"/>
      <c r="CS90" s="218"/>
      <c r="CT90" s="218"/>
      <c r="CU90" s="218"/>
      <c r="CV90" s="218"/>
      <c r="CW90" s="218"/>
      <c r="CX90" s="218"/>
      <c r="CY90" s="218"/>
      <c r="CZ90" s="218"/>
      <c r="DA90" s="218"/>
      <c r="DB90" s="218"/>
      <c r="DC90" s="218"/>
      <c r="DD90" s="218"/>
      <c r="DE90" s="218"/>
      <c r="DF90" s="218"/>
    </row>
    <row r="91" spans="1:110" s="88" customFormat="1" ht="18" x14ac:dyDescent="0.25">
      <c r="A91" s="218"/>
      <c r="B91" s="408"/>
      <c r="C91" s="409" t="s">
        <v>276</v>
      </c>
      <c r="D91" s="410" t="s">
        <v>168</v>
      </c>
      <c r="E91" s="411" t="s">
        <v>213</v>
      </c>
      <c r="F91" s="411" t="s">
        <v>208</v>
      </c>
      <c r="G91" s="411" t="s">
        <v>208</v>
      </c>
      <c r="H91" s="411" t="s">
        <v>208</v>
      </c>
      <c r="I91" s="411" t="s">
        <v>208</v>
      </c>
      <c r="J91" s="411" t="s">
        <v>208</v>
      </c>
      <c r="K91" s="411" t="s">
        <v>208</v>
      </c>
      <c r="L91" s="411" t="s">
        <v>208</v>
      </c>
      <c r="M91" s="412">
        <v>14.95</v>
      </c>
      <c r="N91" s="413">
        <v>14.95</v>
      </c>
      <c r="O91" s="414">
        <v>2</v>
      </c>
      <c r="P91" s="415" t="s">
        <v>275</v>
      </c>
      <c r="Q91" s="211"/>
      <c r="R91" s="211"/>
      <c r="S91" s="192" t="s">
        <v>5</v>
      </c>
      <c r="T91" s="71"/>
      <c r="U91" s="71"/>
      <c r="V91" s="71"/>
      <c r="W91" s="71"/>
      <c r="X91" s="71"/>
      <c r="Y91" s="94"/>
      <c r="Z91" s="71"/>
      <c r="AA91" s="71"/>
      <c r="AB91" s="106"/>
      <c r="AC91" s="107"/>
      <c r="AD91" s="81"/>
      <c r="AE91" s="67"/>
      <c r="AF91" s="67"/>
      <c r="AG91" s="67"/>
      <c r="AH91" s="67"/>
      <c r="AI91" s="472"/>
      <c r="AJ91" s="67"/>
      <c r="AK91" s="472"/>
      <c r="AL91" s="67"/>
      <c r="AM91" s="67"/>
      <c r="AN91" s="67"/>
      <c r="AO91" s="67"/>
      <c r="AP91" s="67"/>
      <c r="AQ91" s="67"/>
      <c r="AR91" s="71"/>
      <c r="AS91" s="71"/>
      <c r="AT91" s="71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7"/>
      <c r="BN91" s="67"/>
      <c r="BO91" s="67"/>
      <c r="BP91" s="67"/>
      <c r="BQ91" s="67"/>
      <c r="BR91" s="67"/>
      <c r="BS91" s="67"/>
      <c r="BT91" s="67"/>
      <c r="BU91" s="67"/>
      <c r="BV91" s="71"/>
      <c r="BW91" s="71"/>
      <c r="BX91" s="71"/>
      <c r="BY91" s="71"/>
      <c r="BZ91" s="71"/>
      <c r="CA91" s="71"/>
      <c r="CB91" s="71"/>
      <c r="CC91" s="71"/>
      <c r="CD91" s="71"/>
      <c r="CE91" s="71"/>
      <c r="CF91" s="71"/>
      <c r="CG91" s="71"/>
      <c r="CH91" s="71"/>
      <c r="CI91" s="71"/>
      <c r="CJ91" s="71"/>
      <c r="CK91" s="71"/>
      <c r="CL91" s="81"/>
      <c r="CM91" s="71"/>
      <c r="CN91" s="218"/>
      <c r="CO91" s="218"/>
      <c r="CP91" s="218"/>
      <c r="CQ91" s="218"/>
      <c r="CR91" s="218"/>
      <c r="CS91" s="218"/>
      <c r="CT91" s="218"/>
      <c r="CU91" s="218"/>
      <c r="CV91" s="218"/>
      <c r="CW91" s="218"/>
      <c r="CX91" s="218"/>
      <c r="CY91" s="218"/>
      <c r="CZ91" s="218"/>
      <c r="DA91" s="218"/>
      <c r="DB91" s="218"/>
      <c r="DC91" s="218"/>
      <c r="DD91" s="218"/>
      <c r="DE91" s="218"/>
      <c r="DF91" s="218"/>
    </row>
    <row r="92" spans="1:110" s="88" customFormat="1" ht="18" x14ac:dyDescent="0.25">
      <c r="A92" s="218"/>
      <c r="B92" s="408"/>
      <c r="C92" s="409" t="s">
        <v>277</v>
      </c>
      <c r="D92" s="410" t="s">
        <v>278</v>
      </c>
      <c r="E92" s="411" t="s">
        <v>213</v>
      </c>
      <c r="F92" s="411" t="s">
        <v>208</v>
      </c>
      <c r="G92" s="411" t="s">
        <v>208</v>
      </c>
      <c r="H92" s="411" t="s">
        <v>208</v>
      </c>
      <c r="I92" s="411" t="s">
        <v>208</v>
      </c>
      <c r="J92" s="411" t="s">
        <v>208</v>
      </c>
      <c r="K92" s="411" t="s">
        <v>208</v>
      </c>
      <c r="L92" s="411" t="s">
        <v>208</v>
      </c>
      <c r="M92" s="412">
        <v>14.95</v>
      </c>
      <c r="N92" s="413">
        <v>14.95</v>
      </c>
      <c r="O92" s="414">
        <v>2</v>
      </c>
      <c r="P92" s="415" t="s">
        <v>275</v>
      </c>
      <c r="Q92" s="211"/>
      <c r="R92" s="211"/>
      <c r="S92" s="192" t="s">
        <v>5</v>
      </c>
      <c r="T92" s="71"/>
      <c r="U92" s="71"/>
      <c r="V92" s="71"/>
      <c r="W92" s="71"/>
      <c r="X92" s="71"/>
      <c r="Y92" s="94"/>
      <c r="Z92" s="71"/>
      <c r="AA92" s="71"/>
      <c r="AB92" s="106"/>
      <c r="AC92" s="107"/>
      <c r="AD92" s="81"/>
      <c r="AE92" s="67"/>
      <c r="AF92" s="67"/>
      <c r="AG92" s="67"/>
      <c r="AH92" s="67"/>
      <c r="AI92" s="472"/>
      <c r="AJ92" s="67"/>
      <c r="AK92" s="472"/>
      <c r="AL92" s="67"/>
      <c r="AM92" s="67"/>
      <c r="AN92" s="67"/>
      <c r="AO92" s="67"/>
      <c r="AP92" s="67"/>
      <c r="AQ92" s="67"/>
      <c r="AR92" s="71"/>
      <c r="AS92" s="71"/>
      <c r="AT92" s="71"/>
      <c r="AU92" s="67"/>
      <c r="AV92" s="67"/>
      <c r="AW92" s="67"/>
      <c r="AX92" s="67"/>
      <c r="AY92" s="67"/>
      <c r="AZ92" s="67"/>
      <c r="BA92" s="67"/>
      <c r="BB92" s="67"/>
      <c r="BC92" s="67"/>
      <c r="BD92" s="67"/>
      <c r="BE92" s="67"/>
      <c r="BF92" s="67"/>
      <c r="BG92" s="67"/>
      <c r="BH92" s="67"/>
      <c r="BI92" s="67"/>
      <c r="BJ92" s="67"/>
      <c r="BK92" s="67"/>
      <c r="BL92" s="67"/>
      <c r="BM92" s="67"/>
      <c r="BN92" s="67"/>
      <c r="BO92" s="67"/>
      <c r="BP92" s="67"/>
      <c r="BQ92" s="67"/>
      <c r="BR92" s="67"/>
      <c r="BS92" s="67"/>
      <c r="BT92" s="67"/>
      <c r="BU92" s="67"/>
      <c r="BV92" s="71"/>
      <c r="BW92" s="71"/>
      <c r="BX92" s="71"/>
      <c r="BY92" s="71"/>
      <c r="BZ92" s="71"/>
      <c r="CA92" s="71"/>
      <c r="CB92" s="71"/>
      <c r="CC92" s="71"/>
      <c r="CD92" s="71"/>
      <c r="CE92" s="71"/>
      <c r="CF92" s="71"/>
      <c r="CG92" s="71"/>
      <c r="CH92" s="71"/>
      <c r="CI92" s="71"/>
      <c r="CJ92" s="71"/>
      <c r="CK92" s="71"/>
      <c r="CL92" s="81"/>
      <c r="CM92" s="71"/>
      <c r="CN92" s="218"/>
      <c r="CO92" s="218"/>
      <c r="CP92" s="218"/>
      <c r="CQ92" s="218"/>
      <c r="CR92" s="218"/>
      <c r="CS92" s="218"/>
      <c r="CT92" s="218"/>
      <c r="CU92" s="218"/>
      <c r="CV92" s="218"/>
      <c r="CW92" s="218"/>
      <c r="CX92" s="218"/>
      <c r="CY92" s="218"/>
      <c r="CZ92" s="218"/>
      <c r="DA92" s="218"/>
      <c r="DB92" s="218"/>
      <c r="DC92" s="218"/>
      <c r="DD92" s="218"/>
      <c r="DE92" s="218"/>
      <c r="DF92" s="218"/>
    </row>
    <row r="93" spans="1:110" s="88" customFormat="1" ht="18" x14ac:dyDescent="0.25">
      <c r="A93" s="218"/>
      <c r="B93" s="408"/>
      <c r="C93" s="409" t="s">
        <v>279</v>
      </c>
      <c r="D93" s="410" t="s">
        <v>278</v>
      </c>
      <c r="E93" s="411" t="s">
        <v>213</v>
      </c>
      <c r="F93" s="411" t="s">
        <v>208</v>
      </c>
      <c r="G93" s="411" t="s">
        <v>208</v>
      </c>
      <c r="H93" s="411" t="s">
        <v>208</v>
      </c>
      <c r="I93" s="411" t="s">
        <v>208</v>
      </c>
      <c r="J93" s="411" t="s">
        <v>208</v>
      </c>
      <c r="K93" s="411" t="s">
        <v>208</v>
      </c>
      <c r="L93" s="411" t="s">
        <v>208</v>
      </c>
      <c r="M93" s="412">
        <v>17.95</v>
      </c>
      <c r="N93" s="413">
        <v>17.95</v>
      </c>
      <c r="O93" s="414">
        <v>2</v>
      </c>
      <c r="P93" s="415" t="s">
        <v>275</v>
      </c>
      <c r="Q93" s="211"/>
      <c r="R93" s="211"/>
      <c r="S93" s="192" t="s">
        <v>5</v>
      </c>
      <c r="T93" s="71"/>
      <c r="U93" s="71"/>
      <c r="V93" s="71"/>
      <c r="W93" s="71"/>
      <c r="X93" s="71"/>
      <c r="Y93" s="94"/>
      <c r="Z93" s="71"/>
      <c r="AA93" s="71"/>
      <c r="AB93" s="106"/>
      <c r="AC93" s="107"/>
      <c r="AD93" s="81"/>
      <c r="AE93" s="67"/>
      <c r="AF93" s="67"/>
      <c r="AG93" s="67"/>
      <c r="AH93" s="67"/>
      <c r="AI93" s="472"/>
      <c r="AJ93" s="67"/>
      <c r="AK93" s="472"/>
      <c r="AL93" s="67"/>
      <c r="AM93" s="67"/>
      <c r="AN93" s="67"/>
      <c r="AO93" s="67"/>
      <c r="AP93" s="67"/>
      <c r="AQ93" s="67"/>
      <c r="AR93" s="71"/>
      <c r="AS93" s="71"/>
      <c r="AT93" s="71"/>
      <c r="AU93" s="67"/>
      <c r="AV93" s="67"/>
      <c r="AW93" s="67"/>
      <c r="AX93" s="67"/>
      <c r="AY93" s="67"/>
      <c r="AZ93" s="67"/>
      <c r="BA93" s="67"/>
      <c r="BB93" s="67"/>
      <c r="BC93" s="67"/>
      <c r="BD93" s="67"/>
      <c r="BE93" s="67"/>
      <c r="BF93" s="67"/>
      <c r="BG93" s="67"/>
      <c r="BH93" s="67"/>
      <c r="BI93" s="67"/>
      <c r="BJ93" s="67"/>
      <c r="BK93" s="67"/>
      <c r="BL93" s="67"/>
      <c r="BM93" s="67"/>
      <c r="BN93" s="67"/>
      <c r="BO93" s="67"/>
      <c r="BP93" s="67"/>
      <c r="BQ93" s="67"/>
      <c r="BR93" s="67"/>
      <c r="BS93" s="67"/>
      <c r="BT93" s="67"/>
      <c r="BU93" s="67"/>
      <c r="BV93" s="71"/>
      <c r="BW93" s="71"/>
      <c r="BX93" s="71"/>
      <c r="BY93" s="71"/>
      <c r="BZ93" s="71"/>
      <c r="CA93" s="71"/>
      <c r="CB93" s="71"/>
      <c r="CC93" s="71"/>
      <c r="CD93" s="71"/>
      <c r="CE93" s="71"/>
      <c r="CF93" s="71"/>
      <c r="CG93" s="71"/>
      <c r="CH93" s="71"/>
      <c r="CI93" s="71"/>
      <c r="CJ93" s="71"/>
      <c r="CK93" s="71"/>
      <c r="CL93" s="81"/>
      <c r="CM93" s="71"/>
      <c r="CN93" s="218"/>
      <c r="CO93" s="218"/>
      <c r="CP93" s="218"/>
      <c r="CQ93" s="218"/>
      <c r="CR93" s="218"/>
      <c r="CS93" s="218"/>
      <c r="CT93" s="218"/>
      <c r="CU93" s="218"/>
      <c r="CV93" s="218"/>
      <c r="CW93" s="218"/>
      <c r="CX93" s="218"/>
      <c r="CY93" s="218"/>
      <c r="CZ93" s="218"/>
      <c r="DA93" s="218"/>
      <c r="DB93" s="218"/>
      <c r="DC93" s="218"/>
      <c r="DD93" s="218"/>
      <c r="DE93" s="218"/>
      <c r="DF93" s="218"/>
    </row>
    <row r="94" spans="1:110" s="88" customFormat="1" ht="18" x14ac:dyDescent="0.25">
      <c r="A94" s="218"/>
      <c r="B94" s="408"/>
      <c r="C94" s="409" t="s">
        <v>280</v>
      </c>
      <c r="D94" s="410" t="s">
        <v>281</v>
      </c>
      <c r="E94" s="411" t="s">
        <v>213</v>
      </c>
      <c r="F94" s="411" t="s">
        <v>208</v>
      </c>
      <c r="G94" s="411" t="s">
        <v>208</v>
      </c>
      <c r="H94" s="411" t="s">
        <v>208</v>
      </c>
      <c r="I94" s="411" t="s">
        <v>208</v>
      </c>
      <c r="J94" s="411" t="s">
        <v>208</v>
      </c>
      <c r="K94" s="411" t="s">
        <v>208</v>
      </c>
      <c r="L94" s="411" t="s">
        <v>208</v>
      </c>
      <c r="M94" s="412">
        <v>34.950000000000003</v>
      </c>
      <c r="N94" s="413">
        <v>34.950000000000003</v>
      </c>
      <c r="O94" s="414">
        <v>2</v>
      </c>
      <c r="P94" s="415" t="s">
        <v>275</v>
      </c>
      <c r="Q94" s="211"/>
      <c r="R94" s="211"/>
      <c r="S94" s="192" t="s">
        <v>5</v>
      </c>
      <c r="T94" s="71"/>
      <c r="U94" s="71"/>
      <c r="V94" s="71"/>
      <c r="W94" s="71"/>
      <c r="X94" s="71"/>
      <c r="Y94" s="94"/>
      <c r="Z94" s="71"/>
      <c r="AA94" s="71"/>
      <c r="AB94" s="106"/>
      <c r="AC94" s="107"/>
      <c r="AD94" s="81"/>
      <c r="AE94" s="67"/>
      <c r="AF94" s="67"/>
      <c r="AG94" s="67"/>
      <c r="AH94" s="67"/>
      <c r="AI94" s="472"/>
      <c r="AJ94" s="67"/>
      <c r="AK94" s="472"/>
      <c r="AL94" s="67"/>
      <c r="AM94" s="67"/>
      <c r="AN94" s="67"/>
      <c r="AO94" s="67"/>
      <c r="AP94" s="67"/>
      <c r="AQ94" s="67"/>
      <c r="AR94" s="71"/>
      <c r="AS94" s="71"/>
      <c r="AT94" s="71"/>
      <c r="AU94" s="67"/>
      <c r="AV94" s="67"/>
      <c r="AW94" s="67"/>
      <c r="AX94" s="67"/>
      <c r="AY94" s="67"/>
      <c r="AZ94" s="67"/>
      <c r="BA94" s="67"/>
      <c r="BB94" s="67"/>
      <c r="BC94" s="67"/>
      <c r="BD94" s="67"/>
      <c r="BE94" s="67"/>
      <c r="BF94" s="67"/>
      <c r="BG94" s="67"/>
      <c r="BH94" s="67"/>
      <c r="BI94" s="67"/>
      <c r="BJ94" s="67"/>
      <c r="BK94" s="67"/>
      <c r="BL94" s="67"/>
      <c r="BM94" s="67"/>
      <c r="BN94" s="67"/>
      <c r="BO94" s="67"/>
      <c r="BP94" s="67"/>
      <c r="BQ94" s="67"/>
      <c r="BR94" s="67"/>
      <c r="BS94" s="67"/>
      <c r="BT94" s="67"/>
      <c r="BU94" s="67"/>
      <c r="BV94" s="71"/>
      <c r="BW94" s="71"/>
      <c r="BX94" s="71"/>
      <c r="BY94" s="71"/>
      <c r="BZ94" s="71"/>
      <c r="CA94" s="71"/>
      <c r="CB94" s="71"/>
      <c r="CC94" s="71"/>
      <c r="CD94" s="71"/>
      <c r="CE94" s="71"/>
      <c r="CF94" s="71"/>
      <c r="CG94" s="71"/>
      <c r="CH94" s="71"/>
      <c r="CI94" s="71"/>
      <c r="CJ94" s="71"/>
      <c r="CK94" s="71"/>
      <c r="CL94" s="81"/>
      <c r="CM94" s="71"/>
      <c r="CN94" s="218"/>
      <c r="CO94" s="218"/>
      <c r="CP94" s="218"/>
      <c r="CQ94" s="218"/>
      <c r="CR94" s="218"/>
      <c r="CS94" s="218"/>
      <c r="CT94" s="218"/>
      <c r="CU94" s="218"/>
      <c r="CV94" s="218"/>
      <c r="CW94" s="218"/>
      <c r="CX94" s="218"/>
      <c r="CY94" s="218"/>
      <c r="CZ94" s="218"/>
      <c r="DA94" s="218"/>
      <c r="DB94" s="218"/>
      <c r="DC94" s="218"/>
      <c r="DD94" s="218"/>
      <c r="DE94" s="218"/>
      <c r="DF94" s="218"/>
    </row>
    <row r="95" spans="1:110" s="88" customFormat="1" ht="18" x14ac:dyDescent="0.25">
      <c r="A95" s="218"/>
      <c r="B95" s="408"/>
      <c r="C95" s="409" t="s">
        <v>286</v>
      </c>
      <c r="D95" s="410" t="s">
        <v>278</v>
      </c>
      <c r="E95" s="411" t="s">
        <v>213</v>
      </c>
      <c r="F95" s="411" t="s">
        <v>208</v>
      </c>
      <c r="G95" s="411" t="s">
        <v>208</v>
      </c>
      <c r="H95" s="411" t="s">
        <v>208</v>
      </c>
      <c r="I95" s="411" t="s">
        <v>208</v>
      </c>
      <c r="J95" s="411" t="s">
        <v>208</v>
      </c>
      <c r="K95" s="411" t="s">
        <v>208</v>
      </c>
      <c r="L95" s="411" t="s">
        <v>208</v>
      </c>
      <c r="M95" s="412">
        <v>39.950000000000003</v>
      </c>
      <c r="N95" s="413">
        <v>39.950000000000003</v>
      </c>
      <c r="O95" s="414">
        <v>2</v>
      </c>
      <c r="P95" s="415" t="s">
        <v>287</v>
      </c>
      <c r="Q95" s="211"/>
      <c r="R95" s="211"/>
      <c r="S95" s="192" t="s">
        <v>5</v>
      </c>
      <c r="T95" s="71"/>
      <c r="U95" s="71"/>
      <c r="V95" s="71"/>
      <c r="W95" s="71"/>
      <c r="X95" s="71"/>
      <c r="Y95" s="94"/>
      <c r="Z95" s="71"/>
      <c r="AA95" s="71"/>
      <c r="AB95" s="106"/>
      <c r="AC95" s="107"/>
      <c r="AD95" s="81"/>
      <c r="AE95" s="67"/>
      <c r="AF95" s="67"/>
      <c r="AG95" s="67"/>
      <c r="AH95" s="67"/>
      <c r="AI95" s="472"/>
      <c r="AJ95" s="67"/>
      <c r="AK95" s="472"/>
      <c r="AL95" s="67"/>
      <c r="AM95" s="67"/>
      <c r="AN95" s="67"/>
      <c r="AO95" s="67"/>
      <c r="AP95" s="67"/>
      <c r="AQ95" s="67"/>
      <c r="AR95" s="71"/>
      <c r="AS95" s="71"/>
      <c r="AT95" s="71"/>
      <c r="AU95" s="67"/>
      <c r="AV95" s="67"/>
      <c r="AW95" s="67"/>
      <c r="AX95" s="67"/>
      <c r="AY95" s="67"/>
      <c r="AZ95" s="67"/>
      <c r="BA95" s="67"/>
      <c r="BB95" s="67"/>
      <c r="BC95" s="67"/>
      <c r="BD95" s="67"/>
      <c r="BE95" s="67"/>
      <c r="BF95" s="67"/>
      <c r="BG95" s="67"/>
      <c r="BH95" s="67"/>
      <c r="BI95" s="67"/>
      <c r="BJ95" s="67"/>
      <c r="BK95" s="67"/>
      <c r="BL95" s="67"/>
      <c r="BM95" s="67"/>
      <c r="BN95" s="67"/>
      <c r="BO95" s="67"/>
      <c r="BP95" s="67"/>
      <c r="BQ95" s="67"/>
      <c r="BR95" s="67"/>
      <c r="BS95" s="67"/>
      <c r="BT95" s="67"/>
      <c r="BU95" s="67"/>
      <c r="BV95" s="71"/>
      <c r="BW95" s="71"/>
      <c r="BX95" s="71"/>
      <c r="BY95" s="71"/>
      <c r="BZ95" s="71"/>
      <c r="CA95" s="71"/>
      <c r="CB95" s="71"/>
      <c r="CC95" s="71"/>
      <c r="CD95" s="71"/>
      <c r="CE95" s="71"/>
      <c r="CF95" s="71"/>
      <c r="CG95" s="71"/>
      <c r="CH95" s="71"/>
      <c r="CI95" s="71"/>
      <c r="CJ95" s="71"/>
      <c r="CK95" s="71"/>
      <c r="CL95" s="81"/>
      <c r="CM95" s="71"/>
      <c r="CN95" s="218"/>
      <c r="CO95" s="218"/>
      <c r="CP95" s="218"/>
      <c r="CQ95" s="218"/>
      <c r="CR95" s="218"/>
      <c r="CS95" s="218"/>
      <c r="CT95" s="218"/>
      <c r="CU95" s="218"/>
      <c r="CV95" s="218"/>
      <c r="CW95" s="218"/>
      <c r="CX95" s="218"/>
      <c r="CY95" s="218"/>
      <c r="CZ95" s="218"/>
      <c r="DA95" s="218"/>
      <c r="DB95" s="218"/>
      <c r="DC95" s="218"/>
      <c r="DD95" s="218"/>
      <c r="DE95" s="218"/>
      <c r="DF95" s="218"/>
    </row>
    <row r="96" spans="1:110" s="88" customFormat="1" ht="18" x14ac:dyDescent="0.25">
      <c r="A96" s="218"/>
      <c r="B96" s="408"/>
      <c r="C96" s="409" t="s">
        <v>282</v>
      </c>
      <c r="D96" s="410" t="s">
        <v>278</v>
      </c>
      <c r="E96" s="411" t="s">
        <v>213</v>
      </c>
      <c r="F96" s="411" t="s">
        <v>208</v>
      </c>
      <c r="G96" s="411" t="s">
        <v>208</v>
      </c>
      <c r="H96" s="411" t="s">
        <v>208</v>
      </c>
      <c r="I96" s="411" t="s">
        <v>208</v>
      </c>
      <c r="J96" s="411" t="s">
        <v>208</v>
      </c>
      <c r="K96" s="411" t="s">
        <v>208</v>
      </c>
      <c r="L96" s="411" t="s">
        <v>208</v>
      </c>
      <c r="M96" s="412">
        <v>39.950000000000003</v>
      </c>
      <c r="N96" s="413">
        <v>39.950000000000003</v>
      </c>
      <c r="O96" s="414">
        <v>2</v>
      </c>
      <c r="P96" s="415" t="s">
        <v>275</v>
      </c>
      <c r="Q96" s="211"/>
      <c r="R96" s="211"/>
      <c r="S96" s="192" t="s">
        <v>5</v>
      </c>
      <c r="T96" s="71"/>
      <c r="U96" s="71"/>
      <c r="V96" s="71"/>
      <c r="W96" s="71"/>
      <c r="X96" s="71"/>
      <c r="Y96" s="94"/>
      <c r="Z96" s="71"/>
      <c r="AA96" s="71"/>
      <c r="AB96" s="106"/>
      <c r="AC96" s="107"/>
      <c r="AD96" s="81"/>
      <c r="AE96" s="67"/>
      <c r="AF96" s="67"/>
      <c r="AG96" s="67"/>
      <c r="AH96" s="67"/>
      <c r="AI96" s="472"/>
      <c r="AJ96" s="67"/>
      <c r="AK96" s="472"/>
      <c r="AL96" s="67"/>
      <c r="AM96" s="67"/>
      <c r="AN96" s="67"/>
      <c r="AO96" s="67"/>
      <c r="AP96" s="67"/>
      <c r="AQ96" s="67"/>
      <c r="AR96" s="71"/>
      <c r="AS96" s="71"/>
      <c r="AT96" s="71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7"/>
      <c r="BN96" s="67"/>
      <c r="BO96" s="67"/>
      <c r="BP96" s="67"/>
      <c r="BQ96" s="67"/>
      <c r="BR96" s="67"/>
      <c r="BS96" s="67"/>
      <c r="BT96" s="67"/>
      <c r="BU96" s="67"/>
      <c r="BV96" s="71"/>
      <c r="BW96" s="71"/>
      <c r="BX96" s="71"/>
      <c r="BY96" s="71"/>
      <c r="BZ96" s="71"/>
      <c r="CA96" s="71"/>
      <c r="CB96" s="71"/>
      <c r="CC96" s="71"/>
      <c r="CD96" s="71"/>
      <c r="CE96" s="71"/>
      <c r="CF96" s="71"/>
      <c r="CG96" s="71"/>
      <c r="CH96" s="71"/>
      <c r="CI96" s="71"/>
      <c r="CJ96" s="71"/>
      <c r="CK96" s="71"/>
      <c r="CL96" s="81"/>
      <c r="CM96" s="71"/>
      <c r="CN96" s="218"/>
      <c r="CO96" s="218"/>
      <c r="CP96" s="218"/>
      <c r="CQ96" s="218"/>
      <c r="CR96" s="218"/>
      <c r="CS96" s="218"/>
      <c r="CT96" s="218"/>
      <c r="CU96" s="218"/>
      <c r="CV96" s="218"/>
      <c r="CW96" s="218"/>
      <c r="CX96" s="218"/>
      <c r="CY96" s="218"/>
      <c r="CZ96" s="218"/>
      <c r="DA96" s="218"/>
      <c r="DB96" s="218"/>
      <c r="DC96" s="218"/>
      <c r="DD96" s="218"/>
      <c r="DE96" s="218"/>
      <c r="DF96" s="218"/>
    </row>
    <row r="97" spans="1:110" s="88" customFormat="1" ht="18" x14ac:dyDescent="0.25">
      <c r="A97" s="218"/>
      <c r="B97" s="408"/>
      <c r="C97" s="409" t="s">
        <v>283</v>
      </c>
      <c r="D97" s="410" t="s">
        <v>278</v>
      </c>
      <c r="E97" s="411" t="s">
        <v>213</v>
      </c>
      <c r="F97" s="411" t="s">
        <v>208</v>
      </c>
      <c r="G97" s="411" t="s">
        <v>208</v>
      </c>
      <c r="H97" s="411" t="s">
        <v>208</v>
      </c>
      <c r="I97" s="411" t="s">
        <v>208</v>
      </c>
      <c r="J97" s="411" t="s">
        <v>208</v>
      </c>
      <c r="K97" s="411" t="s">
        <v>208</v>
      </c>
      <c r="L97" s="411" t="s">
        <v>208</v>
      </c>
      <c r="M97" s="412">
        <v>39.950000000000003</v>
      </c>
      <c r="N97" s="413">
        <v>39.950000000000003</v>
      </c>
      <c r="O97" s="414">
        <v>2</v>
      </c>
      <c r="P97" s="415" t="s">
        <v>275</v>
      </c>
      <c r="Q97" s="211"/>
      <c r="R97" s="211"/>
      <c r="S97" s="192" t="s">
        <v>5</v>
      </c>
      <c r="T97" s="71"/>
      <c r="U97" s="71"/>
      <c r="V97" s="71"/>
      <c r="W97" s="71"/>
      <c r="X97" s="71"/>
      <c r="Y97" s="94"/>
      <c r="Z97" s="71"/>
      <c r="AA97" s="71"/>
      <c r="AB97" s="106"/>
      <c r="AC97" s="107"/>
      <c r="AD97" s="81"/>
      <c r="AE97" s="67"/>
      <c r="AF97" s="67"/>
      <c r="AG97" s="67"/>
      <c r="AH97" s="67"/>
      <c r="AI97" s="472"/>
      <c r="AJ97" s="67"/>
      <c r="AK97" s="472"/>
      <c r="AL97" s="67"/>
      <c r="AM97" s="67"/>
      <c r="AN97" s="67"/>
      <c r="AO97" s="67"/>
      <c r="AP97" s="67"/>
      <c r="AQ97" s="67"/>
      <c r="AR97" s="71"/>
      <c r="AS97" s="71"/>
      <c r="AT97" s="71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  <c r="BM97" s="67"/>
      <c r="BN97" s="67"/>
      <c r="BO97" s="67"/>
      <c r="BP97" s="67"/>
      <c r="BQ97" s="67"/>
      <c r="BR97" s="67"/>
      <c r="BS97" s="67"/>
      <c r="BT97" s="67"/>
      <c r="BU97" s="67"/>
      <c r="BV97" s="71"/>
      <c r="BW97" s="71"/>
      <c r="BX97" s="71"/>
      <c r="BY97" s="71"/>
      <c r="BZ97" s="71"/>
      <c r="CA97" s="71"/>
      <c r="CB97" s="71"/>
      <c r="CC97" s="71"/>
      <c r="CD97" s="71"/>
      <c r="CE97" s="71"/>
      <c r="CF97" s="71"/>
      <c r="CG97" s="71"/>
      <c r="CH97" s="71"/>
      <c r="CI97" s="71"/>
      <c r="CJ97" s="71"/>
      <c r="CK97" s="71"/>
      <c r="CL97" s="81"/>
      <c r="CM97" s="71"/>
      <c r="CN97" s="218"/>
      <c r="CO97" s="218"/>
      <c r="CP97" s="218"/>
      <c r="CQ97" s="218"/>
      <c r="CR97" s="218"/>
      <c r="CS97" s="218"/>
      <c r="CT97" s="218"/>
      <c r="CU97" s="218"/>
      <c r="CV97" s="218"/>
      <c r="CW97" s="218"/>
      <c r="CX97" s="218"/>
      <c r="CY97" s="218"/>
      <c r="CZ97" s="218"/>
      <c r="DA97" s="218"/>
      <c r="DB97" s="218"/>
      <c r="DC97" s="218"/>
      <c r="DD97" s="218"/>
      <c r="DE97" s="218"/>
      <c r="DF97" s="218"/>
    </row>
    <row r="98" spans="1:110" s="88" customFormat="1" ht="18" x14ac:dyDescent="0.25">
      <c r="A98" s="218"/>
      <c r="B98" s="408"/>
      <c r="C98" s="409" t="s">
        <v>284</v>
      </c>
      <c r="D98" s="410" t="s">
        <v>172</v>
      </c>
      <c r="E98" s="411" t="s">
        <v>213</v>
      </c>
      <c r="F98" s="411" t="s">
        <v>208</v>
      </c>
      <c r="G98" s="411" t="s">
        <v>208</v>
      </c>
      <c r="H98" s="411" t="s">
        <v>208</v>
      </c>
      <c r="I98" s="411" t="s">
        <v>208</v>
      </c>
      <c r="J98" s="411" t="s">
        <v>208</v>
      </c>
      <c r="K98" s="411" t="s">
        <v>208</v>
      </c>
      <c r="L98" s="411" t="s">
        <v>208</v>
      </c>
      <c r="M98" s="412">
        <v>5</v>
      </c>
      <c r="N98" s="413">
        <v>9.9499999999999993</v>
      </c>
      <c r="O98" s="414">
        <v>2</v>
      </c>
      <c r="P98" s="415" t="s">
        <v>285</v>
      </c>
      <c r="Q98" s="211"/>
      <c r="R98" s="211"/>
      <c r="S98" s="192" t="s">
        <v>5</v>
      </c>
      <c r="T98" s="71"/>
      <c r="U98" s="71"/>
      <c r="V98" s="71"/>
      <c r="W98" s="71"/>
      <c r="X98" s="71"/>
      <c r="Y98" s="94"/>
      <c r="Z98" s="71"/>
      <c r="AA98" s="71"/>
      <c r="AB98" s="106"/>
      <c r="AC98" s="107"/>
      <c r="AD98" s="81"/>
      <c r="AE98" s="67"/>
      <c r="AF98" s="67"/>
      <c r="AG98" s="67"/>
      <c r="AH98" s="67"/>
      <c r="AI98" s="472"/>
      <c r="AJ98" s="67"/>
      <c r="AK98" s="472"/>
      <c r="AL98" s="67"/>
      <c r="AM98" s="67"/>
      <c r="AN98" s="67"/>
      <c r="AO98" s="67"/>
      <c r="AP98" s="67"/>
      <c r="AQ98" s="67"/>
      <c r="AR98" s="71"/>
      <c r="AS98" s="71"/>
      <c r="AT98" s="71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  <c r="BM98" s="67"/>
      <c r="BN98" s="67"/>
      <c r="BO98" s="67"/>
      <c r="BP98" s="67"/>
      <c r="BQ98" s="67"/>
      <c r="BR98" s="67"/>
      <c r="BS98" s="67"/>
      <c r="BT98" s="67"/>
      <c r="BU98" s="67"/>
      <c r="BV98" s="71"/>
      <c r="BW98" s="71"/>
      <c r="BX98" s="71"/>
      <c r="BY98" s="71"/>
      <c r="BZ98" s="71"/>
      <c r="CA98" s="71"/>
      <c r="CB98" s="71"/>
      <c r="CC98" s="71"/>
      <c r="CD98" s="71"/>
      <c r="CE98" s="71"/>
      <c r="CF98" s="71"/>
      <c r="CG98" s="71"/>
      <c r="CH98" s="71"/>
      <c r="CI98" s="71"/>
      <c r="CJ98" s="71"/>
      <c r="CK98" s="71"/>
      <c r="CL98" s="81"/>
      <c r="CM98" s="71"/>
      <c r="CN98" s="218"/>
      <c r="CO98" s="218"/>
      <c r="CP98" s="218"/>
      <c r="CQ98" s="218"/>
      <c r="CR98" s="218"/>
      <c r="CS98" s="218"/>
      <c r="CT98" s="218"/>
      <c r="CU98" s="218"/>
      <c r="CV98" s="218"/>
      <c r="CW98" s="218"/>
      <c r="CX98" s="218"/>
      <c r="CY98" s="218"/>
      <c r="CZ98" s="218"/>
      <c r="DA98" s="218"/>
      <c r="DB98" s="218"/>
      <c r="DC98" s="218"/>
      <c r="DD98" s="218"/>
      <c r="DE98" s="218"/>
      <c r="DF98" s="218"/>
    </row>
    <row r="99" spans="1:110" s="88" customFormat="1" ht="18" x14ac:dyDescent="0.25">
      <c r="A99" s="218"/>
      <c r="B99" s="408"/>
      <c r="C99" s="409" t="s">
        <v>289</v>
      </c>
      <c r="D99" s="410" t="s">
        <v>288</v>
      </c>
      <c r="E99" s="411" t="s">
        <v>213</v>
      </c>
      <c r="F99" s="411" t="s">
        <v>208</v>
      </c>
      <c r="G99" s="411" t="s">
        <v>208</v>
      </c>
      <c r="H99" s="411" t="s">
        <v>208</v>
      </c>
      <c r="I99" s="411" t="s">
        <v>208</v>
      </c>
      <c r="J99" s="411" t="s">
        <v>208</v>
      </c>
      <c r="K99" s="411" t="s">
        <v>208</v>
      </c>
      <c r="L99" s="411" t="s">
        <v>208</v>
      </c>
      <c r="M99" s="412">
        <v>5</v>
      </c>
      <c r="N99" s="413">
        <v>9.9499999999999993</v>
      </c>
      <c r="O99" s="414">
        <v>2</v>
      </c>
      <c r="P99" s="415" t="s">
        <v>285</v>
      </c>
      <c r="Q99" s="211"/>
      <c r="R99" s="211"/>
      <c r="S99" s="192" t="s">
        <v>5</v>
      </c>
      <c r="T99" s="71"/>
      <c r="U99" s="71"/>
      <c r="V99" s="71"/>
      <c r="W99" s="71"/>
      <c r="X99" s="71"/>
      <c r="Y99" s="94"/>
      <c r="Z99" s="71"/>
      <c r="AA99" s="71"/>
      <c r="AB99" s="106"/>
      <c r="AC99" s="107"/>
      <c r="AD99" s="81"/>
      <c r="AE99" s="67"/>
      <c r="AF99" s="67"/>
      <c r="AG99" s="67"/>
      <c r="AH99" s="67"/>
      <c r="AI99" s="472"/>
      <c r="AJ99" s="67"/>
      <c r="AK99" s="472"/>
      <c r="AL99" s="67"/>
      <c r="AM99" s="67"/>
      <c r="AN99" s="67"/>
      <c r="AO99" s="67"/>
      <c r="AP99" s="67"/>
      <c r="AQ99" s="67"/>
      <c r="AR99" s="71"/>
      <c r="AS99" s="71"/>
      <c r="AT99" s="71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  <c r="BM99" s="67"/>
      <c r="BN99" s="67"/>
      <c r="BO99" s="67"/>
      <c r="BP99" s="67"/>
      <c r="BQ99" s="67"/>
      <c r="BR99" s="67"/>
      <c r="BS99" s="67"/>
      <c r="BT99" s="67"/>
      <c r="BU99" s="67"/>
      <c r="BV99" s="71"/>
      <c r="BW99" s="71"/>
      <c r="BX99" s="71"/>
      <c r="BY99" s="71"/>
      <c r="BZ99" s="71"/>
      <c r="CA99" s="71"/>
      <c r="CB99" s="71"/>
      <c r="CC99" s="71"/>
      <c r="CD99" s="71"/>
      <c r="CE99" s="71"/>
      <c r="CF99" s="71"/>
      <c r="CG99" s="71"/>
      <c r="CH99" s="71"/>
      <c r="CI99" s="71"/>
      <c r="CJ99" s="71"/>
      <c r="CK99" s="71"/>
      <c r="CL99" s="81"/>
      <c r="CM99" s="71"/>
      <c r="CN99" s="218"/>
      <c r="CO99" s="218"/>
      <c r="CP99" s="218"/>
      <c r="CQ99" s="218"/>
      <c r="CR99" s="218"/>
      <c r="CS99" s="218"/>
      <c r="CT99" s="218"/>
      <c r="CU99" s="218"/>
      <c r="CV99" s="218"/>
      <c r="CW99" s="218"/>
      <c r="CX99" s="218"/>
      <c r="CY99" s="218"/>
      <c r="CZ99" s="218"/>
      <c r="DA99" s="218"/>
      <c r="DB99" s="218"/>
      <c r="DC99" s="218"/>
      <c r="DD99" s="218"/>
      <c r="DE99" s="218"/>
      <c r="DF99" s="218"/>
    </row>
    <row r="100" spans="1:110" s="88" customFormat="1" ht="18" x14ac:dyDescent="0.25">
      <c r="A100" s="218"/>
      <c r="B100" s="408"/>
      <c r="C100" s="409" t="s">
        <v>290</v>
      </c>
      <c r="D100" s="410" t="s">
        <v>288</v>
      </c>
      <c r="E100" s="411" t="s">
        <v>213</v>
      </c>
      <c r="F100" s="411" t="s">
        <v>208</v>
      </c>
      <c r="G100" s="411" t="s">
        <v>208</v>
      </c>
      <c r="H100" s="411" t="s">
        <v>208</v>
      </c>
      <c r="I100" s="411" t="s">
        <v>208</v>
      </c>
      <c r="J100" s="411" t="s">
        <v>208</v>
      </c>
      <c r="K100" s="411" t="s">
        <v>208</v>
      </c>
      <c r="L100" s="411" t="s">
        <v>208</v>
      </c>
      <c r="M100" s="412">
        <v>5</v>
      </c>
      <c r="N100" s="413">
        <v>9.9499999999999993</v>
      </c>
      <c r="O100" s="414">
        <v>2</v>
      </c>
      <c r="P100" s="415" t="s">
        <v>285</v>
      </c>
      <c r="Q100" s="211"/>
      <c r="R100" s="211"/>
      <c r="S100" s="192" t="s">
        <v>5</v>
      </c>
      <c r="T100" s="71"/>
      <c r="U100" s="71"/>
      <c r="V100" s="71"/>
      <c r="W100" s="71"/>
      <c r="X100" s="71"/>
      <c r="Y100" s="94"/>
      <c r="Z100" s="71"/>
      <c r="AA100" s="71"/>
      <c r="AB100" s="106"/>
      <c r="AC100" s="107"/>
      <c r="AD100" s="81"/>
      <c r="AE100" s="67"/>
      <c r="AF100" s="67"/>
      <c r="AG100" s="67"/>
      <c r="AH100" s="67"/>
      <c r="AI100" s="472"/>
      <c r="AJ100" s="67"/>
      <c r="AK100" s="472"/>
      <c r="AL100" s="67"/>
      <c r="AM100" s="67"/>
      <c r="AN100" s="67"/>
      <c r="AO100" s="67"/>
      <c r="AP100" s="67"/>
      <c r="AQ100" s="67"/>
      <c r="AR100" s="71"/>
      <c r="AS100" s="71"/>
      <c r="AT100" s="71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  <c r="BE100" s="67"/>
      <c r="BF100" s="67"/>
      <c r="BG100" s="67"/>
      <c r="BH100" s="67"/>
      <c r="BI100" s="67"/>
      <c r="BJ100" s="67"/>
      <c r="BK100" s="67"/>
      <c r="BL100" s="67"/>
      <c r="BM100" s="67"/>
      <c r="BN100" s="67"/>
      <c r="BO100" s="67"/>
      <c r="BP100" s="67"/>
      <c r="BQ100" s="67"/>
      <c r="BR100" s="67"/>
      <c r="BS100" s="67"/>
      <c r="BT100" s="67"/>
      <c r="BU100" s="67"/>
      <c r="BV100" s="71"/>
      <c r="BW100" s="71"/>
      <c r="BX100" s="71"/>
      <c r="BY100" s="71"/>
      <c r="BZ100" s="71"/>
      <c r="CA100" s="71"/>
      <c r="CB100" s="71"/>
      <c r="CC100" s="71"/>
      <c r="CD100" s="71"/>
      <c r="CE100" s="71"/>
      <c r="CF100" s="71"/>
      <c r="CG100" s="71"/>
      <c r="CH100" s="71"/>
      <c r="CI100" s="71"/>
      <c r="CJ100" s="71"/>
      <c r="CK100" s="71"/>
      <c r="CL100" s="81"/>
      <c r="CM100" s="71"/>
      <c r="CN100" s="218"/>
      <c r="CO100" s="218"/>
      <c r="CP100" s="218"/>
      <c r="CQ100" s="218"/>
      <c r="CR100" s="218"/>
      <c r="CS100" s="218"/>
      <c r="CT100" s="218"/>
      <c r="CU100" s="218"/>
      <c r="CV100" s="218"/>
      <c r="CW100" s="218"/>
      <c r="CX100" s="218"/>
      <c r="CY100" s="218"/>
      <c r="CZ100" s="218"/>
      <c r="DA100" s="218"/>
      <c r="DB100" s="218"/>
      <c r="DC100" s="218"/>
      <c r="DD100" s="218"/>
      <c r="DE100" s="218"/>
      <c r="DF100" s="218"/>
    </row>
    <row r="101" spans="1:110" s="88" customFormat="1" ht="18" x14ac:dyDescent="0.25">
      <c r="A101" s="218"/>
      <c r="B101" s="408"/>
      <c r="C101" s="409" t="s">
        <v>291</v>
      </c>
      <c r="D101" s="410" t="s">
        <v>288</v>
      </c>
      <c r="E101" s="411" t="s">
        <v>213</v>
      </c>
      <c r="F101" s="411" t="s">
        <v>208</v>
      </c>
      <c r="G101" s="411" t="s">
        <v>208</v>
      </c>
      <c r="H101" s="411" t="s">
        <v>208</v>
      </c>
      <c r="I101" s="411" t="s">
        <v>208</v>
      </c>
      <c r="J101" s="411" t="s">
        <v>208</v>
      </c>
      <c r="K101" s="411" t="s">
        <v>208</v>
      </c>
      <c r="L101" s="411" t="s">
        <v>208</v>
      </c>
      <c r="M101" s="412">
        <v>5</v>
      </c>
      <c r="N101" s="413">
        <v>9.9499999999999993</v>
      </c>
      <c r="O101" s="414">
        <v>2</v>
      </c>
      <c r="P101" s="415" t="s">
        <v>285</v>
      </c>
      <c r="Q101" s="211"/>
      <c r="R101" s="211"/>
      <c r="S101" s="192" t="s">
        <v>5</v>
      </c>
      <c r="T101" s="71"/>
      <c r="U101" s="71"/>
      <c r="V101" s="71"/>
      <c r="W101" s="71"/>
      <c r="X101" s="71"/>
      <c r="Y101" s="94"/>
      <c r="Z101" s="71"/>
      <c r="AA101" s="71"/>
      <c r="AB101" s="106"/>
      <c r="AC101" s="107"/>
      <c r="AD101" s="81"/>
      <c r="AE101" s="67"/>
      <c r="AF101" s="67"/>
      <c r="AG101" s="67"/>
      <c r="AH101" s="67"/>
      <c r="AI101" s="472"/>
      <c r="AJ101" s="67"/>
      <c r="AK101" s="472"/>
      <c r="AL101" s="67"/>
      <c r="AM101" s="67"/>
      <c r="AN101" s="67"/>
      <c r="AO101" s="67"/>
      <c r="AP101" s="67"/>
      <c r="AQ101" s="67"/>
      <c r="AR101" s="71"/>
      <c r="AS101" s="71"/>
      <c r="AT101" s="71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  <c r="BE101" s="67"/>
      <c r="BF101" s="67"/>
      <c r="BG101" s="67"/>
      <c r="BH101" s="67"/>
      <c r="BI101" s="67"/>
      <c r="BJ101" s="67"/>
      <c r="BK101" s="67"/>
      <c r="BL101" s="67"/>
      <c r="BM101" s="67"/>
      <c r="BN101" s="67"/>
      <c r="BO101" s="67"/>
      <c r="BP101" s="67"/>
      <c r="BQ101" s="67"/>
      <c r="BR101" s="67"/>
      <c r="BS101" s="67"/>
      <c r="BT101" s="67"/>
      <c r="BU101" s="67"/>
      <c r="BV101" s="71"/>
      <c r="BW101" s="71"/>
      <c r="BX101" s="71"/>
      <c r="BY101" s="71"/>
      <c r="BZ101" s="71"/>
      <c r="CA101" s="71"/>
      <c r="CB101" s="71"/>
      <c r="CC101" s="71"/>
      <c r="CD101" s="71"/>
      <c r="CE101" s="71"/>
      <c r="CF101" s="71"/>
      <c r="CG101" s="71"/>
      <c r="CH101" s="71"/>
      <c r="CI101" s="71"/>
      <c r="CJ101" s="71"/>
      <c r="CK101" s="71"/>
      <c r="CL101" s="81"/>
      <c r="CM101" s="71"/>
      <c r="CN101" s="218"/>
      <c r="CO101" s="218"/>
      <c r="CP101" s="218"/>
      <c r="CQ101" s="218"/>
      <c r="CR101" s="218"/>
      <c r="CS101" s="218"/>
      <c r="CT101" s="218"/>
      <c r="CU101" s="218"/>
      <c r="CV101" s="218"/>
      <c r="CW101" s="218"/>
      <c r="CX101" s="218"/>
      <c r="CY101" s="218"/>
      <c r="CZ101" s="218"/>
      <c r="DA101" s="218"/>
      <c r="DB101" s="218"/>
      <c r="DC101" s="218"/>
      <c r="DD101" s="218"/>
      <c r="DE101" s="218"/>
      <c r="DF101" s="218"/>
    </row>
    <row r="102" spans="1:110" s="88" customFormat="1" ht="18" x14ac:dyDescent="0.25">
      <c r="A102" s="218"/>
      <c r="B102" s="408"/>
      <c r="C102" s="409" t="s">
        <v>292</v>
      </c>
      <c r="D102" s="410" t="s">
        <v>288</v>
      </c>
      <c r="E102" s="411" t="s">
        <v>213</v>
      </c>
      <c r="F102" s="411" t="s">
        <v>208</v>
      </c>
      <c r="G102" s="411" t="s">
        <v>208</v>
      </c>
      <c r="H102" s="411" t="s">
        <v>208</v>
      </c>
      <c r="I102" s="411" t="s">
        <v>208</v>
      </c>
      <c r="J102" s="411" t="s">
        <v>208</v>
      </c>
      <c r="K102" s="411" t="s">
        <v>208</v>
      </c>
      <c r="L102" s="411" t="s">
        <v>208</v>
      </c>
      <c r="M102" s="412">
        <v>5</v>
      </c>
      <c r="N102" s="413">
        <v>9.9499999999999993</v>
      </c>
      <c r="O102" s="414">
        <v>2</v>
      </c>
      <c r="P102" s="415" t="s">
        <v>285</v>
      </c>
      <c r="Q102" s="211"/>
      <c r="R102" s="211"/>
      <c r="S102" s="192" t="s">
        <v>5</v>
      </c>
      <c r="T102" s="71"/>
      <c r="U102" s="71"/>
      <c r="V102" s="71"/>
      <c r="W102" s="71"/>
      <c r="X102" s="71"/>
      <c r="Y102" s="94"/>
      <c r="Z102" s="71"/>
      <c r="AA102" s="71"/>
      <c r="AB102" s="106"/>
      <c r="AC102" s="107"/>
      <c r="AD102" s="81"/>
      <c r="AE102" s="67"/>
      <c r="AF102" s="67"/>
      <c r="AG102" s="67"/>
      <c r="AH102" s="67"/>
      <c r="AI102" s="472"/>
      <c r="AJ102" s="67"/>
      <c r="AK102" s="472"/>
      <c r="AL102" s="67"/>
      <c r="AM102" s="67"/>
      <c r="AN102" s="67"/>
      <c r="AO102" s="67"/>
      <c r="AP102" s="67"/>
      <c r="AQ102" s="67"/>
      <c r="AR102" s="71"/>
      <c r="AS102" s="71"/>
      <c r="AT102" s="71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  <c r="BE102" s="67"/>
      <c r="BF102" s="67"/>
      <c r="BG102" s="67"/>
      <c r="BH102" s="67"/>
      <c r="BI102" s="67"/>
      <c r="BJ102" s="67"/>
      <c r="BK102" s="67"/>
      <c r="BL102" s="67"/>
      <c r="BM102" s="67"/>
      <c r="BN102" s="67"/>
      <c r="BO102" s="67"/>
      <c r="BP102" s="67"/>
      <c r="BQ102" s="67"/>
      <c r="BR102" s="67"/>
      <c r="BS102" s="67"/>
      <c r="BT102" s="67"/>
      <c r="BU102" s="67"/>
      <c r="BV102" s="71"/>
      <c r="BW102" s="71"/>
      <c r="BX102" s="71"/>
      <c r="BY102" s="71"/>
      <c r="BZ102" s="71"/>
      <c r="CA102" s="71"/>
      <c r="CB102" s="71"/>
      <c r="CC102" s="71"/>
      <c r="CD102" s="71"/>
      <c r="CE102" s="71"/>
      <c r="CF102" s="71"/>
      <c r="CG102" s="71"/>
      <c r="CH102" s="71"/>
      <c r="CI102" s="71"/>
      <c r="CJ102" s="71"/>
      <c r="CK102" s="71"/>
      <c r="CL102" s="81"/>
      <c r="CM102" s="71"/>
      <c r="CN102" s="218"/>
      <c r="CO102" s="218"/>
      <c r="CP102" s="218"/>
      <c r="CQ102" s="218"/>
      <c r="CR102" s="218"/>
      <c r="CS102" s="218"/>
      <c r="CT102" s="218"/>
      <c r="CU102" s="218"/>
      <c r="CV102" s="218"/>
      <c r="CW102" s="218"/>
      <c r="CX102" s="218"/>
      <c r="CY102" s="218"/>
      <c r="CZ102" s="218"/>
      <c r="DA102" s="218"/>
      <c r="DB102" s="218"/>
      <c r="DC102" s="218"/>
      <c r="DD102" s="218"/>
      <c r="DE102" s="218"/>
      <c r="DF102" s="218"/>
    </row>
    <row r="103" spans="1:110" s="88" customFormat="1" ht="18" x14ac:dyDescent="0.25">
      <c r="A103" s="218"/>
      <c r="B103" s="408"/>
      <c r="C103" s="409" t="s">
        <v>293</v>
      </c>
      <c r="D103" s="410" t="s">
        <v>288</v>
      </c>
      <c r="E103" s="411" t="s">
        <v>213</v>
      </c>
      <c r="F103" s="411" t="s">
        <v>208</v>
      </c>
      <c r="G103" s="411" t="s">
        <v>208</v>
      </c>
      <c r="H103" s="411" t="s">
        <v>208</v>
      </c>
      <c r="I103" s="411" t="s">
        <v>208</v>
      </c>
      <c r="J103" s="411" t="s">
        <v>208</v>
      </c>
      <c r="K103" s="411" t="s">
        <v>208</v>
      </c>
      <c r="L103" s="411" t="s">
        <v>208</v>
      </c>
      <c r="M103" s="412">
        <v>5</v>
      </c>
      <c r="N103" s="413">
        <v>9.9499999999999993</v>
      </c>
      <c r="O103" s="414">
        <v>2</v>
      </c>
      <c r="P103" s="415" t="s">
        <v>285</v>
      </c>
      <c r="Q103" s="211"/>
      <c r="R103" s="211"/>
      <c r="S103" s="192" t="s">
        <v>5</v>
      </c>
      <c r="T103" s="71"/>
      <c r="U103" s="71"/>
      <c r="V103" s="71"/>
      <c r="W103" s="71"/>
      <c r="X103" s="71"/>
      <c r="Y103" s="94"/>
      <c r="Z103" s="71"/>
      <c r="AA103" s="71"/>
      <c r="AB103" s="106"/>
      <c r="AC103" s="107"/>
      <c r="AD103" s="81"/>
      <c r="AE103" s="67"/>
      <c r="AF103" s="67"/>
      <c r="AG103" s="67"/>
      <c r="AH103" s="67"/>
      <c r="AI103" s="472"/>
      <c r="AJ103" s="67"/>
      <c r="AK103" s="472"/>
      <c r="AL103" s="67"/>
      <c r="AM103" s="67"/>
      <c r="AN103" s="67"/>
      <c r="AO103" s="67"/>
      <c r="AP103" s="67"/>
      <c r="AQ103" s="67"/>
      <c r="AR103" s="71"/>
      <c r="AS103" s="71"/>
      <c r="AT103" s="71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  <c r="BE103" s="67"/>
      <c r="BF103" s="67"/>
      <c r="BG103" s="67"/>
      <c r="BH103" s="67"/>
      <c r="BI103" s="67"/>
      <c r="BJ103" s="67"/>
      <c r="BK103" s="67"/>
      <c r="BL103" s="67"/>
      <c r="BM103" s="67"/>
      <c r="BN103" s="67"/>
      <c r="BO103" s="67"/>
      <c r="BP103" s="67"/>
      <c r="BQ103" s="67"/>
      <c r="BR103" s="67"/>
      <c r="BS103" s="67"/>
      <c r="BT103" s="67"/>
      <c r="BU103" s="67"/>
      <c r="BV103" s="71"/>
      <c r="BW103" s="71"/>
      <c r="BX103" s="71"/>
      <c r="BY103" s="71"/>
      <c r="BZ103" s="71"/>
      <c r="CA103" s="71"/>
      <c r="CB103" s="71"/>
      <c r="CC103" s="71"/>
      <c r="CD103" s="71"/>
      <c r="CE103" s="71"/>
      <c r="CF103" s="71"/>
      <c r="CG103" s="71"/>
      <c r="CH103" s="71"/>
      <c r="CI103" s="71"/>
      <c r="CJ103" s="71"/>
      <c r="CK103" s="71"/>
      <c r="CL103" s="81"/>
      <c r="CM103" s="71"/>
      <c r="CN103" s="218"/>
      <c r="CO103" s="218"/>
      <c r="CP103" s="218"/>
      <c r="CQ103" s="218"/>
      <c r="CR103" s="218"/>
      <c r="CS103" s="218"/>
      <c r="CT103" s="218"/>
      <c r="CU103" s="218"/>
      <c r="CV103" s="218"/>
      <c r="CW103" s="218"/>
      <c r="CX103" s="218"/>
      <c r="CY103" s="218"/>
      <c r="CZ103" s="218"/>
      <c r="DA103" s="218"/>
      <c r="DB103" s="218"/>
      <c r="DC103" s="218"/>
      <c r="DD103" s="218"/>
      <c r="DE103" s="218"/>
      <c r="DF103" s="218"/>
    </row>
    <row r="104" spans="1:110" s="88" customFormat="1" ht="18" x14ac:dyDescent="0.25">
      <c r="A104" s="218"/>
      <c r="B104" s="408"/>
      <c r="C104" s="409" t="s">
        <v>294</v>
      </c>
      <c r="D104" s="410" t="s">
        <v>288</v>
      </c>
      <c r="E104" s="411" t="s">
        <v>213</v>
      </c>
      <c r="F104" s="411" t="s">
        <v>208</v>
      </c>
      <c r="G104" s="411" t="s">
        <v>208</v>
      </c>
      <c r="H104" s="411" t="s">
        <v>208</v>
      </c>
      <c r="I104" s="411" t="s">
        <v>208</v>
      </c>
      <c r="J104" s="411" t="s">
        <v>208</v>
      </c>
      <c r="K104" s="411" t="s">
        <v>208</v>
      </c>
      <c r="L104" s="411" t="s">
        <v>208</v>
      </c>
      <c r="M104" s="412">
        <v>5</v>
      </c>
      <c r="N104" s="413">
        <v>9.9499999999999993</v>
      </c>
      <c r="O104" s="414">
        <v>2</v>
      </c>
      <c r="P104" s="415" t="s">
        <v>285</v>
      </c>
      <c r="Q104" s="211"/>
      <c r="R104" s="211"/>
      <c r="S104" s="192" t="s">
        <v>5</v>
      </c>
      <c r="T104" s="71"/>
      <c r="U104" s="71"/>
      <c r="V104" s="71"/>
      <c r="W104" s="71"/>
      <c r="X104" s="71"/>
      <c r="Y104" s="94"/>
      <c r="Z104" s="71"/>
      <c r="AA104" s="71"/>
      <c r="AB104" s="106"/>
      <c r="AC104" s="107"/>
      <c r="AD104" s="81"/>
      <c r="AE104" s="67"/>
      <c r="AF104" s="67"/>
      <c r="AG104" s="67"/>
      <c r="AH104" s="67"/>
      <c r="AI104" s="472"/>
      <c r="AJ104" s="67"/>
      <c r="AK104" s="472"/>
      <c r="AL104" s="67"/>
      <c r="AM104" s="67"/>
      <c r="AN104" s="67"/>
      <c r="AO104" s="67"/>
      <c r="AP104" s="67"/>
      <c r="AQ104" s="67"/>
      <c r="AR104" s="71"/>
      <c r="AS104" s="71"/>
      <c r="AT104" s="71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  <c r="BE104" s="67"/>
      <c r="BF104" s="67"/>
      <c r="BG104" s="67"/>
      <c r="BH104" s="67"/>
      <c r="BI104" s="67"/>
      <c r="BJ104" s="67"/>
      <c r="BK104" s="67"/>
      <c r="BL104" s="67"/>
      <c r="BM104" s="67"/>
      <c r="BN104" s="67"/>
      <c r="BO104" s="67"/>
      <c r="BP104" s="67"/>
      <c r="BQ104" s="67"/>
      <c r="BR104" s="67"/>
      <c r="BS104" s="67"/>
      <c r="BT104" s="67"/>
      <c r="BU104" s="67"/>
      <c r="BV104" s="71"/>
      <c r="BW104" s="71"/>
      <c r="BX104" s="71"/>
      <c r="BY104" s="71"/>
      <c r="BZ104" s="71"/>
      <c r="CA104" s="71"/>
      <c r="CB104" s="71"/>
      <c r="CC104" s="71"/>
      <c r="CD104" s="71"/>
      <c r="CE104" s="71"/>
      <c r="CF104" s="71"/>
      <c r="CG104" s="71"/>
      <c r="CH104" s="71"/>
      <c r="CI104" s="71"/>
      <c r="CJ104" s="71"/>
      <c r="CK104" s="71"/>
      <c r="CL104" s="81"/>
      <c r="CM104" s="71"/>
      <c r="CN104" s="218"/>
      <c r="CO104" s="218"/>
      <c r="CP104" s="218"/>
      <c r="CQ104" s="218"/>
      <c r="CR104" s="218"/>
      <c r="CS104" s="218"/>
      <c r="CT104" s="218"/>
      <c r="CU104" s="218"/>
      <c r="CV104" s="218"/>
      <c r="CW104" s="218"/>
      <c r="CX104" s="218"/>
      <c r="CY104" s="218"/>
      <c r="CZ104" s="218"/>
      <c r="DA104" s="218"/>
      <c r="DB104" s="218"/>
      <c r="DC104" s="218"/>
      <c r="DD104" s="218"/>
      <c r="DE104" s="218"/>
      <c r="DF104" s="218"/>
    </row>
    <row r="105" spans="1:110" s="88" customFormat="1" ht="18" x14ac:dyDescent="0.25">
      <c r="A105" s="218"/>
      <c r="B105" s="408"/>
      <c r="C105" s="409" t="s">
        <v>295</v>
      </c>
      <c r="D105" s="410" t="s">
        <v>288</v>
      </c>
      <c r="E105" s="411" t="s">
        <v>213</v>
      </c>
      <c r="F105" s="411" t="s">
        <v>208</v>
      </c>
      <c r="G105" s="411" t="s">
        <v>208</v>
      </c>
      <c r="H105" s="411" t="s">
        <v>208</v>
      </c>
      <c r="I105" s="411" t="s">
        <v>208</v>
      </c>
      <c r="J105" s="411" t="s">
        <v>208</v>
      </c>
      <c r="K105" s="411" t="s">
        <v>208</v>
      </c>
      <c r="L105" s="411" t="s">
        <v>208</v>
      </c>
      <c r="M105" s="412">
        <v>5</v>
      </c>
      <c r="N105" s="413">
        <v>9.9499999999999993</v>
      </c>
      <c r="O105" s="414">
        <v>2</v>
      </c>
      <c r="P105" s="415" t="s">
        <v>285</v>
      </c>
      <c r="Q105" s="211"/>
      <c r="R105" s="211"/>
      <c r="S105" s="192" t="s">
        <v>5</v>
      </c>
      <c r="T105" s="71"/>
      <c r="U105" s="71"/>
      <c r="V105" s="71"/>
      <c r="W105" s="71"/>
      <c r="X105" s="71"/>
      <c r="Y105" s="94"/>
      <c r="Z105" s="71"/>
      <c r="AA105" s="71"/>
      <c r="AB105" s="106"/>
      <c r="AC105" s="107"/>
      <c r="AD105" s="81"/>
      <c r="AE105" s="67"/>
      <c r="AF105" s="67"/>
      <c r="AG105" s="67"/>
      <c r="AH105" s="67"/>
      <c r="AI105" s="472"/>
      <c r="AJ105" s="67"/>
      <c r="AK105" s="472"/>
      <c r="AL105" s="67"/>
      <c r="AM105" s="67"/>
      <c r="AN105" s="67"/>
      <c r="AO105" s="67"/>
      <c r="AP105" s="67"/>
      <c r="AQ105" s="67"/>
      <c r="AR105" s="71"/>
      <c r="AS105" s="71"/>
      <c r="AT105" s="71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  <c r="BE105" s="67"/>
      <c r="BF105" s="67"/>
      <c r="BG105" s="67"/>
      <c r="BH105" s="67"/>
      <c r="BI105" s="67"/>
      <c r="BJ105" s="67"/>
      <c r="BK105" s="67"/>
      <c r="BL105" s="67"/>
      <c r="BM105" s="67"/>
      <c r="BN105" s="67"/>
      <c r="BO105" s="67"/>
      <c r="BP105" s="67"/>
      <c r="BQ105" s="67"/>
      <c r="BR105" s="67"/>
      <c r="BS105" s="67"/>
      <c r="BT105" s="67"/>
      <c r="BU105" s="67"/>
      <c r="BV105" s="71"/>
      <c r="BW105" s="71"/>
      <c r="BX105" s="71"/>
      <c r="BY105" s="71"/>
      <c r="BZ105" s="71"/>
      <c r="CA105" s="71"/>
      <c r="CB105" s="71"/>
      <c r="CC105" s="71"/>
      <c r="CD105" s="71"/>
      <c r="CE105" s="71"/>
      <c r="CF105" s="71"/>
      <c r="CG105" s="71"/>
      <c r="CH105" s="71"/>
      <c r="CI105" s="71"/>
      <c r="CJ105" s="71"/>
      <c r="CK105" s="71"/>
      <c r="CL105" s="81"/>
      <c r="CM105" s="71"/>
      <c r="CN105" s="218"/>
      <c r="CO105" s="218"/>
      <c r="CP105" s="218"/>
      <c r="CQ105" s="218"/>
      <c r="CR105" s="218"/>
      <c r="CS105" s="218"/>
      <c r="CT105" s="218"/>
      <c r="CU105" s="218"/>
      <c r="CV105" s="218"/>
      <c r="CW105" s="218"/>
      <c r="CX105" s="218"/>
      <c r="CY105" s="218"/>
      <c r="CZ105" s="218"/>
      <c r="DA105" s="218"/>
      <c r="DB105" s="218"/>
      <c r="DC105" s="218"/>
      <c r="DD105" s="218"/>
      <c r="DE105" s="218"/>
      <c r="DF105" s="218"/>
    </row>
    <row r="106" spans="1:110" s="88" customFormat="1" ht="18" x14ac:dyDescent="0.25">
      <c r="A106" s="218"/>
      <c r="B106" s="408"/>
      <c r="C106" s="409" t="s">
        <v>296</v>
      </c>
      <c r="D106" s="410" t="s">
        <v>288</v>
      </c>
      <c r="E106" s="411" t="s">
        <v>213</v>
      </c>
      <c r="F106" s="411" t="s">
        <v>208</v>
      </c>
      <c r="G106" s="411" t="s">
        <v>208</v>
      </c>
      <c r="H106" s="411" t="s">
        <v>208</v>
      </c>
      <c r="I106" s="411" t="s">
        <v>208</v>
      </c>
      <c r="J106" s="411" t="s">
        <v>208</v>
      </c>
      <c r="K106" s="411" t="s">
        <v>208</v>
      </c>
      <c r="L106" s="411" t="s">
        <v>208</v>
      </c>
      <c r="M106" s="412">
        <v>5</v>
      </c>
      <c r="N106" s="413">
        <v>9.9499999999999993</v>
      </c>
      <c r="O106" s="414">
        <v>2</v>
      </c>
      <c r="P106" s="415" t="s">
        <v>285</v>
      </c>
      <c r="Q106" s="211"/>
      <c r="R106" s="211"/>
      <c r="S106" s="192" t="s">
        <v>5</v>
      </c>
      <c r="T106" s="71"/>
      <c r="U106" s="71"/>
      <c r="V106" s="71"/>
      <c r="W106" s="71"/>
      <c r="X106" s="71"/>
      <c r="Y106" s="94"/>
      <c r="Z106" s="71"/>
      <c r="AA106" s="71"/>
      <c r="AB106" s="106"/>
      <c r="AC106" s="107"/>
      <c r="AD106" s="81"/>
      <c r="AE106" s="67"/>
      <c r="AF106" s="67"/>
      <c r="AG106" s="67"/>
      <c r="AH106" s="67"/>
      <c r="AI106" s="472"/>
      <c r="AJ106" s="67"/>
      <c r="AK106" s="472"/>
      <c r="AL106" s="67"/>
      <c r="AM106" s="67"/>
      <c r="AN106" s="67"/>
      <c r="AO106" s="67"/>
      <c r="AP106" s="67"/>
      <c r="AQ106" s="67"/>
      <c r="AR106" s="71"/>
      <c r="AS106" s="71"/>
      <c r="AT106" s="71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  <c r="BE106" s="67"/>
      <c r="BF106" s="67"/>
      <c r="BG106" s="67"/>
      <c r="BH106" s="67"/>
      <c r="BI106" s="67"/>
      <c r="BJ106" s="67"/>
      <c r="BK106" s="67"/>
      <c r="BL106" s="67"/>
      <c r="BM106" s="67"/>
      <c r="BN106" s="67"/>
      <c r="BO106" s="67"/>
      <c r="BP106" s="67"/>
      <c r="BQ106" s="67"/>
      <c r="BR106" s="67"/>
      <c r="BS106" s="67"/>
      <c r="BT106" s="67"/>
      <c r="BU106" s="67"/>
      <c r="BV106" s="71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1"/>
      <c r="CL106" s="81"/>
      <c r="CM106" s="71"/>
      <c r="CN106" s="218"/>
      <c r="CO106" s="218"/>
      <c r="CP106" s="218"/>
      <c r="CQ106" s="218"/>
      <c r="CR106" s="218"/>
      <c r="CS106" s="218"/>
      <c r="CT106" s="218"/>
      <c r="CU106" s="218"/>
      <c r="CV106" s="218"/>
      <c r="CW106" s="218"/>
      <c r="CX106" s="218"/>
      <c r="CY106" s="218"/>
      <c r="CZ106" s="218"/>
      <c r="DA106" s="218"/>
      <c r="DB106" s="218"/>
      <c r="DC106" s="218"/>
      <c r="DD106" s="218"/>
      <c r="DE106" s="218"/>
      <c r="DF106" s="218"/>
    </row>
    <row r="107" spans="1:110" s="88" customFormat="1" ht="18" x14ac:dyDescent="0.25">
      <c r="A107" s="218"/>
      <c r="B107" s="408"/>
      <c r="C107" s="409" t="s">
        <v>297</v>
      </c>
      <c r="D107" s="410" t="s">
        <v>288</v>
      </c>
      <c r="E107" s="411" t="s">
        <v>213</v>
      </c>
      <c r="F107" s="411" t="s">
        <v>208</v>
      </c>
      <c r="G107" s="411" t="s">
        <v>208</v>
      </c>
      <c r="H107" s="411" t="s">
        <v>208</v>
      </c>
      <c r="I107" s="411" t="s">
        <v>208</v>
      </c>
      <c r="J107" s="411" t="s">
        <v>208</v>
      </c>
      <c r="K107" s="411" t="s">
        <v>208</v>
      </c>
      <c r="L107" s="411" t="s">
        <v>208</v>
      </c>
      <c r="M107" s="412">
        <v>5</v>
      </c>
      <c r="N107" s="413">
        <v>9.9499999999999993</v>
      </c>
      <c r="O107" s="414">
        <v>2</v>
      </c>
      <c r="P107" s="415" t="s">
        <v>285</v>
      </c>
      <c r="Q107" s="211"/>
      <c r="R107" s="211"/>
      <c r="S107" s="192" t="s">
        <v>5</v>
      </c>
      <c r="T107" s="71"/>
      <c r="U107" s="71"/>
      <c r="V107" s="71"/>
      <c r="W107" s="71"/>
      <c r="X107" s="71"/>
      <c r="Y107" s="94"/>
      <c r="Z107" s="71"/>
      <c r="AA107" s="71"/>
      <c r="AB107" s="106"/>
      <c r="AC107" s="107"/>
      <c r="AD107" s="81"/>
      <c r="AE107" s="67"/>
      <c r="AF107" s="67"/>
      <c r="AG107" s="67"/>
      <c r="AH107" s="67"/>
      <c r="AI107" s="472"/>
      <c r="AJ107" s="67"/>
      <c r="AK107" s="472"/>
      <c r="AL107" s="67"/>
      <c r="AM107" s="67"/>
      <c r="AN107" s="67"/>
      <c r="AO107" s="67"/>
      <c r="AP107" s="67"/>
      <c r="AQ107" s="67"/>
      <c r="AR107" s="71"/>
      <c r="AS107" s="71"/>
      <c r="AT107" s="71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  <c r="BE107" s="67"/>
      <c r="BF107" s="67"/>
      <c r="BG107" s="67"/>
      <c r="BH107" s="67"/>
      <c r="BI107" s="67"/>
      <c r="BJ107" s="67"/>
      <c r="BK107" s="67"/>
      <c r="BL107" s="67"/>
      <c r="BM107" s="67"/>
      <c r="BN107" s="67"/>
      <c r="BO107" s="67"/>
      <c r="BP107" s="67"/>
      <c r="BQ107" s="67"/>
      <c r="BR107" s="67"/>
      <c r="BS107" s="67"/>
      <c r="BT107" s="67"/>
      <c r="BU107" s="67"/>
      <c r="BV107" s="71"/>
      <c r="BW107" s="71"/>
      <c r="BX107" s="71"/>
      <c r="BY107" s="71"/>
      <c r="BZ107" s="71"/>
      <c r="CA107" s="71"/>
      <c r="CB107" s="71"/>
      <c r="CC107" s="71"/>
      <c r="CD107" s="71"/>
      <c r="CE107" s="71"/>
      <c r="CF107" s="71"/>
      <c r="CG107" s="71"/>
      <c r="CH107" s="71"/>
      <c r="CI107" s="71"/>
      <c r="CJ107" s="71"/>
      <c r="CK107" s="71"/>
      <c r="CL107" s="81"/>
      <c r="CM107" s="71"/>
      <c r="CN107" s="218"/>
      <c r="CO107" s="218"/>
      <c r="CP107" s="218"/>
      <c r="CQ107" s="218"/>
      <c r="CR107" s="218"/>
      <c r="CS107" s="218"/>
      <c r="CT107" s="218"/>
      <c r="CU107" s="218"/>
      <c r="CV107" s="218"/>
      <c r="CW107" s="218"/>
      <c r="CX107" s="218"/>
      <c r="CY107" s="218"/>
      <c r="CZ107" s="218"/>
      <c r="DA107" s="218"/>
      <c r="DB107" s="218"/>
      <c r="DC107" s="218"/>
      <c r="DD107" s="218"/>
      <c r="DE107" s="218"/>
      <c r="DF107" s="218"/>
    </row>
    <row r="108" spans="1:110" s="88" customFormat="1" ht="18" x14ac:dyDescent="0.25">
      <c r="A108" s="218"/>
      <c r="B108" s="408"/>
      <c r="C108" s="409" t="s">
        <v>298</v>
      </c>
      <c r="D108" s="410" t="s">
        <v>288</v>
      </c>
      <c r="E108" s="411" t="s">
        <v>213</v>
      </c>
      <c r="F108" s="411" t="s">
        <v>208</v>
      </c>
      <c r="G108" s="411" t="s">
        <v>208</v>
      </c>
      <c r="H108" s="411" t="s">
        <v>208</v>
      </c>
      <c r="I108" s="411" t="s">
        <v>208</v>
      </c>
      <c r="J108" s="411" t="s">
        <v>208</v>
      </c>
      <c r="K108" s="411" t="s">
        <v>208</v>
      </c>
      <c r="L108" s="411" t="s">
        <v>208</v>
      </c>
      <c r="M108" s="412">
        <v>5</v>
      </c>
      <c r="N108" s="413">
        <v>9.9499999999999993</v>
      </c>
      <c r="O108" s="414">
        <v>2</v>
      </c>
      <c r="P108" s="415" t="s">
        <v>285</v>
      </c>
      <c r="Q108" s="211"/>
      <c r="R108" s="211"/>
      <c r="S108" s="192" t="s">
        <v>5</v>
      </c>
      <c r="T108" s="71"/>
      <c r="U108" s="71"/>
      <c r="V108" s="71"/>
      <c r="W108" s="71"/>
      <c r="X108" s="71"/>
      <c r="Y108" s="94"/>
      <c r="Z108" s="71"/>
      <c r="AA108" s="71"/>
      <c r="AB108" s="106"/>
      <c r="AC108" s="107"/>
      <c r="AD108" s="81"/>
      <c r="AE108" s="67"/>
      <c r="AF108" s="67"/>
      <c r="AG108" s="67"/>
      <c r="AH108" s="67"/>
      <c r="AI108" s="472"/>
      <c r="AJ108" s="67"/>
      <c r="AK108" s="472"/>
      <c r="AL108" s="67"/>
      <c r="AM108" s="67"/>
      <c r="AN108" s="67"/>
      <c r="AO108" s="67"/>
      <c r="AP108" s="67"/>
      <c r="AQ108" s="67"/>
      <c r="AR108" s="71"/>
      <c r="AS108" s="71"/>
      <c r="AT108" s="71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  <c r="BE108" s="67"/>
      <c r="BF108" s="67"/>
      <c r="BG108" s="67"/>
      <c r="BH108" s="67"/>
      <c r="BI108" s="67"/>
      <c r="BJ108" s="67"/>
      <c r="BK108" s="67"/>
      <c r="BL108" s="67"/>
      <c r="BM108" s="67"/>
      <c r="BN108" s="67"/>
      <c r="BO108" s="67"/>
      <c r="BP108" s="67"/>
      <c r="BQ108" s="67"/>
      <c r="BR108" s="67"/>
      <c r="BS108" s="67"/>
      <c r="BT108" s="67"/>
      <c r="BU108" s="67"/>
      <c r="BV108" s="71"/>
      <c r="BW108" s="71"/>
      <c r="BX108" s="71"/>
      <c r="BY108" s="71"/>
      <c r="BZ108" s="71"/>
      <c r="CA108" s="71"/>
      <c r="CB108" s="71"/>
      <c r="CC108" s="71"/>
      <c r="CD108" s="71"/>
      <c r="CE108" s="71"/>
      <c r="CF108" s="71"/>
      <c r="CG108" s="71"/>
      <c r="CH108" s="71"/>
      <c r="CI108" s="71"/>
      <c r="CJ108" s="71"/>
      <c r="CK108" s="71"/>
      <c r="CL108" s="81"/>
      <c r="CM108" s="71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18"/>
      <c r="DD108" s="218"/>
      <c r="DE108" s="218"/>
      <c r="DF108" s="218"/>
    </row>
    <row r="109" spans="1:110" s="88" customFormat="1" ht="18" x14ac:dyDescent="0.25">
      <c r="A109" s="218"/>
      <c r="B109" s="408"/>
      <c r="C109" s="409" t="s">
        <v>299</v>
      </c>
      <c r="D109" s="410" t="s">
        <v>288</v>
      </c>
      <c r="E109" s="411" t="s">
        <v>213</v>
      </c>
      <c r="F109" s="411" t="s">
        <v>208</v>
      </c>
      <c r="G109" s="411" t="s">
        <v>208</v>
      </c>
      <c r="H109" s="411" t="s">
        <v>208</v>
      </c>
      <c r="I109" s="411" t="s">
        <v>208</v>
      </c>
      <c r="J109" s="411" t="s">
        <v>208</v>
      </c>
      <c r="K109" s="411" t="s">
        <v>208</v>
      </c>
      <c r="L109" s="411" t="s">
        <v>208</v>
      </c>
      <c r="M109" s="412">
        <v>5</v>
      </c>
      <c r="N109" s="413">
        <v>9.9499999999999993</v>
      </c>
      <c r="O109" s="414">
        <v>2</v>
      </c>
      <c r="P109" s="415" t="s">
        <v>285</v>
      </c>
      <c r="Q109" s="211"/>
      <c r="R109" s="211"/>
      <c r="S109" s="192" t="s">
        <v>5</v>
      </c>
      <c r="T109" s="71"/>
      <c r="U109" s="71"/>
      <c r="V109" s="71"/>
      <c r="W109" s="71"/>
      <c r="X109" s="71"/>
      <c r="Y109" s="94"/>
      <c r="Z109" s="71"/>
      <c r="AA109" s="71"/>
      <c r="AB109" s="106"/>
      <c r="AC109" s="107"/>
      <c r="AD109" s="81"/>
      <c r="AE109" s="67"/>
      <c r="AF109" s="67"/>
      <c r="AG109" s="67"/>
      <c r="AH109" s="67"/>
      <c r="AI109" s="472"/>
      <c r="AJ109" s="67"/>
      <c r="AK109" s="472"/>
      <c r="AL109" s="67"/>
      <c r="AM109" s="67"/>
      <c r="AN109" s="67"/>
      <c r="AO109" s="67"/>
      <c r="AP109" s="67"/>
      <c r="AQ109" s="67"/>
      <c r="AR109" s="71"/>
      <c r="AS109" s="71"/>
      <c r="AT109" s="71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  <c r="BE109" s="67"/>
      <c r="BF109" s="67"/>
      <c r="BG109" s="67"/>
      <c r="BH109" s="67"/>
      <c r="BI109" s="67"/>
      <c r="BJ109" s="67"/>
      <c r="BK109" s="67"/>
      <c r="BL109" s="67"/>
      <c r="BM109" s="67"/>
      <c r="BN109" s="67"/>
      <c r="BO109" s="67"/>
      <c r="BP109" s="67"/>
      <c r="BQ109" s="67"/>
      <c r="BR109" s="67"/>
      <c r="BS109" s="67"/>
      <c r="BT109" s="67"/>
      <c r="BU109" s="67"/>
      <c r="BV109" s="71"/>
      <c r="BW109" s="71"/>
      <c r="BX109" s="71"/>
      <c r="BY109" s="71"/>
      <c r="BZ109" s="71"/>
      <c r="CA109" s="71"/>
      <c r="CB109" s="71"/>
      <c r="CC109" s="71"/>
      <c r="CD109" s="71"/>
      <c r="CE109" s="71"/>
      <c r="CF109" s="71"/>
      <c r="CG109" s="71"/>
      <c r="CH109" s="71"/>
      <c r="CI109" s="71"/>
      <c r="CJ109" s="71"/>
      <c r="CK109" s="71"/>
      <c r="CL109" s="81"/>
      <c r="CM109" s="71"/>
      <c r="CN109" s="218"/>
      <c r="CO109" s="218"/>
      <c r="CP109" s="218"/>
      <c r="CQ109" s="218"/>
      <c r="CR109" s="218"/>
      <c r="CS109" s="218"/>
      <c r="CT109" s="218"/>
      <c r="CU109" s="218"/>
      <c r="CV109" s="218"/>
      <c r="CW109" s="218"/>
      <c r="CX109" s="218"/>
      <c r="CY109" s="218"/>
      <c r="CZ109" s="218"/>
      <c r="DA109" s="218"/>
      <c r="DB109" s="218"/>
      <c r="DC109" s="218"/>
      <c r="DD109" s="218"/>
      <c r="DE109" s="218"/>
      <c r="DF109" s="218"/>
    </row>
    <row r="110" spans="1:110" s="88" customFormat="1" ht="18" x14ac:dyDescent="0.25">
      <c r="A110" s="218"/>
      <c r="B110" s="408"/>
      <c r="C110" s="409" t="s">
        <v>300</v>
      </c>
      <c r="D110" s="410" t="s">
        <v>310</v>
      </c>
      <c r="E110" s="411" t="s">
        <v>213</v>
      </c>
      <c r="F110" s="411" t="s">
        <v>208</v>
      </c>
      <c r="G110" s="411" t="s">
        <v>208</v>
      </c>
      <c r="H110" s="411" t="s">
        <v>208</v>
      </c>
      <c r="I110" s="411" t="s">
        <v>208</v>
      </c>
      <c r="J110" s="411" t="s">
        <v>208</v>
      </c>
      <c r="K110" s="411" t="s">
        <v>208</v>
      </c>
      <c r="L110" s="411" t="s">
        <v>208</v>
      </c>
      <c r="M110" s="412">
        <v>6.5</v>
      </c>
      <c r="N110" s="413">
        <v>12.95</v>
      </c>
      <c r="O110" s="414">
        <v>2</v>
      </c>
      <c r="P110" s="415" t="s">
        <v>285</v>
      </c>
      <c r="Q110" s="211"/>
      <c r="R110" s="211"/>
      <c r="S110" s="192" t="s">
        <v>5</v>
      </c>
      <c r="T110" s="71"/>
      <c r="U110" s="71"/>
      <c r="V110" s="71"/>
      <c r="W110" s="71"/>
      <c r="X110" s="71"/>
      <c r="Y110" s="94"/>
      <c r="Z110" s="71"/>
      <c r="AA110" s="71"/>
      <c r="AB110" s="106"/>
      <c r="AC110" s="107"/>
      <c r="AD110" s="81"/>
      <c r="AE110" s="67"/>
      <c r="AF110" s="67"/>
      <c r="AG110" s="67"/>
      <c r="AH110" s="67"/>
      <c r="AI110" s="472"/>
      <c r="AJ110" s="67"/>
      <c r="AK110" s="472"/>
      <c r="AL110" s="67"/>
      <c r="AM110" s="67"/>
      <c r="AN110" s="67"/>
      <c r="AO110" s="67"/>
      <c r="AP110" s="67"/>
      <c r="AQ110" s="67"/>
      <c r="AR110" s="71"/>
      <c r="AS110" s="71"/>
      <c r="AT110" s="71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  <c r="BE110" s="67"/>
      <c r="BF110" s="67"/>
      <c r="BG110" s="67"/>
      <c r="BH110" s="67"/>
      <c r="BI110" s="67"/>
      <c r="BJ110" s="67"/>
      <c r="BK110" s="67"/>
      <c r="BL110" s="67"/>
      <c r="BM110" s="67"/>
      <c r="BN110" s="67"/>
      <c r="BO110" s="67"/>
      <c r="BP110" s="67"/>
      <c r="BQ110" s="67"/>
      <c r="BR110" s="67"/>
      <c r="BS110" s="67"/>
      <c r="BT110" s="67"/>
      <c r="BU110" s="67"/>
      <c r="BV110" s="71"/>
      <c r="BW110" s="71"/>
      <c r="BX110" s="71"/>
      <c r="BY110" s="71"/>
      <c r="BZ110" s="71"/>
      <c r="CA110" s="71"/>
      <c r="CB110" s="71"/>
      <c r="CC110" s="71"/>
      <c r="CD110" s="71"/>
      <c r="CE110" s="71"/>
      <c r="CF110" s="71"/>
      <c r="CG110" s="71"/>
      <c r="CH110" s="71"/>
      <c r="CI110" s="71"/>
      <c r="CJ110" s="71"/>
      <c r="CK110" s="71"/>
      <c r="CL110" s="81"/>
      <c r="CM110" s="71"/>
      <c r="CN110" s="218"/>
      <c r="CO110" s="218"/>
      <c r="CP110" s="218"/>
      <c r="CQ110" s="218"/>
      <c r="CR110" s="218"/>
      <c r="CS110" s="218"/>
      <c r="CT110" s="218"/>
      <c r="CU110" s="218"/>
      <c r="CV110" s="218"/>
      <c r="CW110" s="218"/>
      <c r="CX110" s="218"/>
      <c r="CY110" s="218"/>
      <c r="CZ110" s="218"/>
      <c r="DA110" s="218"/>
      <c r="DB110" s="218"/>
      <c r="DC110" s="218"/>
      <c r="DD110" s="218"/>
      <c r="DE110" s="218"/>
      <c r="DF110" s="218"/>
    </row>
    <row r="111" spans="1:110" s="88" customFormat="1" ht="18" x14ac:dyDescent="0.25">
      <c r="A111" s="218"/>
      <c r="B111" s="408"/>
      <c r="C111" s="409" t="s">
        <v>301</v>
      </c>
      <c r="D111" s="410" t="s">
        <v>310</v>
      </c>
      <c r="E111" s="411" t="s">
        <v>213</v>
      </c>
      <c r="F111" s="411" t="s">
        <v>208</v>
      </c>
      <c r="G111" s="411" t="s">
        <v>208</v>
      </c>
      <c r="H111" s="411" t="s">
        <v>208</v>
      </c>
      <c r="I111" s="411" t="s">
        <v>208</v>
      </c>
      <c r="J111" s="411" t="s">
        <v>208</v>
      </c>
      <c r="K111" s="411" t="s">
        <v>208</v>
      </c>
      <c r="L111" s="411" t="s">
        <v>208</v>
      </c>
      <c r="M111" s="412">
        <v>6.5</v>
      </c>
      <c r="N111" s="413">
        <v>12.95</v>
      </c>
      <c r="O111" s="414">
        <v>2</v>
      </c>
      <c r="P111" s="415" t="s">
        <v>285</v>
      </c>
      <c r="Q111" s="211"/>
      <c r="R111" s="211"/>
      <c r="S111" s="192" t="s">
        <v>5</v>
      </c>
      <c r="T111" s="71"/>
      <c r="U111" s="71"/>
      <c r="V111" s="71"/>
      <c r="W111" s="71"/>
      <c r="X111" s="71"/>
      <c r="Y111" s="94"/>
      <c r="Z111" s="71"/>
      <c r="AA111" s="71"/>
      <c r="AB111" s="106"/>
      <c r="AC111" s="107"/>
      <c r="AD111" s="81"/>
      <c r="AE111" s="67"/>
      <c r="AF111" s="67"/>
      <c r="AG111" s="67"/>
      <c r="AH111" s="67"/>
      <c r="AI111" s="472"/>
      <c r="AJ111" s="67"/>
      <c r="AK111" s="472"/>
      <c r="AL111" s="67"/>
      <c r="AM111" s="67"/>
      <c r="AN111" s="67"/>
      <c r="AO111" s="67"/>
      <c r="AP111" s="67"/>
      <c r="AQ111" s="67"/>
      <c r="AR111" s="71"/>
      <c r="AS111" s="71"/>
      <c r="AT111" s="71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  <c r="BE111" s="67"/>
      <c r="BF111" s="67"/>
      <c r="BG111" s="67"/>
      <c r="BH111" s="67"/>
      <c r="BI111" s="67"/>
      <c r="BJ111" s="67"/>
      <c r="BK111" s="67"/>
      <c r="BL111" s="67"/>
      <c r="BM111" s="67"/>
      <c r="BN111" s="67"/>
      <c r="BO111" s="67"/>
      <c r="BP111" s="67"/>
      <c r="BQ111" s="67"/>
      <c r="BR111" s="67"/>
      <c r="BS111" s="67"/>
      <c r="BT111" s="67"/>
      <c r="BU111" s="67"/>
      <c r="BV111" s="71"/>
      <c r="BW111" s="71"/>
      <c r="BX111" s="71"/>
      <c r="BY111" s="71"/>
      <c r="BZ111" s="71"/>
      <c r="CA111" s="71"/>
      <c r="CB111" s="71"/>
      <c r="CC111" s="71"/>
      <c r="CD111" s="71"/>
      <c r="CE111" s="71"/>
      <c r="CF111" s="71"/>
      <c r="CG111" s="71"/>
      <c r="CH111" s="71"/>
      <c r="CI111" s="71"/>
      <c r="CJ111" s="71"/>
      <c r="CK111" s="71"/>
      <c r="CL111" s="81"/>
      <c r="CM111" s="71"/>
      <c r="CN111" s="218"/>
      <c r="CO111" s="218"/>
      <c r="CP111" s="218"/>
      <c r="CQ111" s="218"/>
      <c r="CR111" s="218"/>
      <c r="CS111" s="218"/>
      <c r="CT111" s="218"/>
      <c r="CU111" s="218"/>
      <c r="CV111" s="218"/>
      <c r="CW111" s="218"/>
      <c r="CX111" s="218"/>
      <c r="CY111" s="218"/>
      <c r="CZ111" s="218"/>
      <c r="DA111" s="218"/>
      <c r="DB111" s="218"/>
      <c r="DC111" s="218"/>
      <c r="DD111" s="218"/>
      <c r="DE111" s="218"/>
      <c r="DF111" s="218"/>
    </row>
    <row r="112" spans="1:110" s="88" customFormat="1" ht="18" x14ac:dyDescent="0.25">
      <c r="A112" s="218"/>
      <c r="B112" s="408"/>
      <c r="C112" s="409" t="s">
        <v>302</v>
      </c>
      <c r="D112" s="410" t="s">
        <v>310</v>
      </c>
      <c r="E112" s="411" t="s">
        <v>213</v>
      </c>
      <c r="F112" s="411" t="s">
        <v>208</v>
      </c>
      <c r="G112" s="411" t="s">
        <v>208</v>
      </c>
      <c r="H112" s="411" t="s">
        <v>208</v>
      </c>
      <c r="I112" s="411" t="s">
        <v>208</v>
      </c>
      <c r="J112" s="411" t="s">
        <v>208</v>
      </c>
      <c r="K112" s="411" t="s">
        <v>208</v>
      </c>
      <c r="L112" s="411" t="s">
        <v>208</v>
      </c>
      <c r="M112" s="412">
        <v>6.5</v>
      </c>
      <c r="N112" s="413">
        <v>12.95</v>
      </c>
      <c r="O112" s="414">
        <v>2</v>
      </c>
      <c r="P112" s="415" t="s">
        <v>285</v>
      </c>
      <c r="Q112" s="211"/>
      <c r="R112" s="211"/>
      <c r="S112" s="192" t="s">
        <v>5</v>
      </c>
      <c r="T112" s="71"/>
      <c r="U112" s="71"/>
      <c r="V112" s="71"/>
      <c r="W112" s="71"/>
      <c r="X112" s="71"/>
      <c r="Y112" s="94"/>
      <c r="Z112" s="71"/>
      <c r="AA112" s="71"/>
      <c r="AB112" s="106"/>
      <c r="AC112" s="107"/>
      <c r="AD112" s="81"/>
      <c r="AE112" s="67"/>
      <c r="AF112" s="67"/>
      <c r="AG112" s="67"/>
      <c r="AH112" s="67"/>
      <c r="AI112" s="472"/>
      <c r="AJ112" s="67"/>
      <c r="AK112" s="472"/>
      <c r="AL112" s="67"/>
      <c r="AM112" s="67"/>
      <c r="AN112" s="67"/>
      <c r="AO112" s="67"/>
      <c r="AP112" s="67"/>
      <c r="AQ112" s="67"/>
      <c r="AR112" s="71"/>
      <c r="AS112" s="71"/>
      <c r="AT112" s="71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  <c r="BE112" s="67"/>
      <c r="BF112" s="67"/>
      <c r="BG112" s="67"/>
      <c r="BH112" s="67"/>
      <c r="BI112" s="67"/>
      <c r="BJ112" s="67"/>
      <c r="BK112" s="67"/>
      <c r="BL112" s="67"/>
      <c r="BM112" s="67"/>
      <c r="BN112" s="67"/>
      <c r="BO112" s="67"/>
      <c r="BP112" s="67"/>
      <c r="BQ112" s="67"/>
      <c r="BR112" s="67"/>
      <c r="BS112" s="67"/>
      <c r="BT112" s="67"/>
      <c r="BU112" s="67"/>
      <c r="BV112" s="71"/>
      <c r="BW112" s="71"/>
      <c r="BX112" s="71"/>
      <c r="BY112" s="71"/>
      <c r="BZ112" s="71"/>
      <c r="CA112" s="71"/>
      <c r="CB112" s="71"/>
      <c r="CC112" s="71"/>
      <c r="CD112" s="71"/>
      <c r="CE112" s="71"/>
      <c r="CF112" s="71"/>
      <c r="CG112" s="71"/>
      <c r="CH112" s="71"/>
      <c r="CI112" s="71"/>
      <c r="CJ112" s="71"/>
      <c r="CK112" s="71"/>
      <c r="CL112" s="81"/>
      <c r="CM112" s="71"/>
      <c r="CN112" s="218"/>
      <c r="CO112" s="218"/>
      <c r="CP112" s="218"/>
      <c r="CQ112" s="218"/>
      <c r="CR112" s="218"/>
      <c r="CS112" s="218"/>
      <c r="CT112" s="218"/>
      <c r="CU112" s="218"/>
      <c r="CV112" s="218"/>
      <c r="CW112" s="218"/>
      <c r="CX112" s="218"/>
      <c r="CY112" s="218"/>
      <c r="CZ112" s="218"/>
      <c r="DA112" s="218"/>
      <c r="DB112" s="218"/>
      <c r="DC112" s="218"/>
      <c r="DD112" s="218"/>
      <c r="DE112" s="218"/>
      <c r="DF112" s="218"/>
    </row>
    <row r="113" spans="1:110" s="88" customFormat="1" ht="18" x14ac:dyDescent="0.25">
      <c r="A113" s="218"/>
      <c r="B113" s="408"/>
      <c r="C113" s="409" t="s">
        <v>303</v>
      </c>
      <c r="D113" s="410" t="s">
        <v>310</v>
      </c>
      <c r="E113" s="411" t="s">
        <v>213</v>
      </c>
      <c r="F113" s="411" t="s">
        <v>208</v>
      </c>
      <c r="G113" s="411" t="s">
        <v>208</v>
      </c>
      <c r="H113" s="411" t="s">
        <v>208</v>
      </c>
      <c r="I113" s="411" t="s">
        <v>208</v>
      </c>
      <c r="J113" s="411" t="s">
        <v>208</v>
      </c>
      <c r="K113" s="411" t="s">
        <v>208</v>
      </c>
      <c r="L113" s="411" t="s">
        <v>208</v>
      </c>
      <c r="M113" s="412">
        <v>6.5</v>
      </c>
      <c r="N113" s="413">
        <v>12.95</v>
      </c>
      <c r="O113" s="414">
        <v>2</v>
      </c>
      <c r="P113" s="415" t="s">
        <v>285</v>
      </c>
      <c r="Q113" s="211"/>
      <c r="R113" s="211"/>
      <c r="S113" s="192" t="s">
        <v>5</v>
      </c>
      <c r="T113" s="71"/>
      <c r="U113" s="71"/>
      <c r="V113" s="71"/>
      <c r="W113" s="71"/>
      <c r="X113" s="71"/>
      <c r="Y113" s="94"/>
      <c r="Z113" s="71"/>
      <c r="AA113" s="71"/>
      <c r="AB113" s="106"/>
      <c r="AC113" s="107"/>
      <c r="AD113" s="81"/>
      <c r="AE113" s="67"/>
      <c r="AF113" s="67"/>
      <c r="AG113" s="67"/>
      <c r="AH113" s="67"/>
      <c r="AI113" s="472"/>
      <c r="AJ113" s="67"/>
      <c r="AK113" s="472"/>
      <c r="AL113" s="67"/>
      <c r="AM113" s="67"/>
      <c r="AN113" s="67"/>
      <c r="AO113" s="67"/>
      <c r="AP113" s="67"/>
      <c r="AQ113" s="67"/>
      <c r="AR113" s="71"/>
      <c r="AS113" s="71"/>
      <c r="AT113" s="71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  <c r="BE113" s="67"/>
      <c r="BF113" s="67"/>
      <c r="BG113" s="67"/>
      <c r="BH113" s="67"/>
      <c r="BI113" s="67"/>
      <c r="BJ113" s="67"/>
      <c r="BK113" s="67"/>
      <c r="BL113" s="67"/>
      <c r="BM113" s="67"/>
      <c r="BN113" s="67"/>
      <c r="BO113" s="67"/>
      <c r="BP113" s="67"/>
      <c r="BQ113" s="67"/>
      <c r="BR113" s="67"/>
      <c r="BS113" s="67"/>
      <c r="BT113" s="67"/>
      <c r="BU113" s="67"/>
      <c r="BV113" s="71"/>
      <c r="BW113" s="71"/>
      <c r="BX113" s="71"/>
      <c r="BY113" s="71"/>
      <c r="BZ113" s="71"/>
      <c r="CA113" s="71"/>
      <c r="CB113" s="71"/>
      <c r="CC113" s="71"/>
      <c r="CD113" s="71"/>
      <c r="CE113" s="71"/>
      <c r="CF113" s="71"/>
      <c r="CG113" s="71"/>
      <c r="CH113" s="71"/>
      <c r="CI113" s="71"/>
      <c r="CJ113" s="71"/>
      <c r="CK113" s="71"/>
      <c r="CL113" s="81"/>
      <c r="CM113" s="71"/>
      <c r="CN113" s="218"/>
      <c r="CO113" s="218"/>
      <c r="CP113" s="218"/>
      <c r="CQ113" s="218"/>
      <c r="CR113" s="218"/>
      <c r="CS113" s="218"/>
      <c r="CT113" s="218"/>
      <c r="CU113" s="218"/>
      <c r="CV113" s="218"/>
      <c r="CW113" s="218"/>
      <c r="CX113" s="218"/>
      <c r="CY113" s="218"/>
      <c r="CZ113" s="218"/>
      <c r="DA113" s="218"/>
      <c r="DB113" s="218"/>
      <c r="DC113" s="218"/>
      <c r="DD113" s="218"/>
      <c r="DE113" s="218"/>
      <c r="DF113" s="218"/>
    </row>
    <row r="114" spans="1:110" s="88" customFormat="1" ht="18" x14ac:dyDescent="0.25">
      <c r="A114" s="218"/>
      <c r="B114" s="408"/>
      <c r="C114" s="409" t="s">
        <v>304</v>
      </c>
      <c r="D114" s="410" t="s">
        <v>311</v>
      </c>
      <c r="E114" s="411" t="s">
        <v>213</v>
      </c>
      <c r="F114" s="411" t="s">
        <v>208</v>
      </c>
      <c r="G114" s="411" t="s">
        <v>208</v>
      </c>
      <c r="H114" s="411" t="s">
        <v>208</v>
      </c>
      <c r="I114" s="411" t="s">
        <v>208</v>
      </c>
      <c r="J114" s="411" t="s">
        <v>208</v>
      </c>
      <c r="K114" s="411" t="s">
        <v>208</v>
      </c>
      <c r="L114" s="411" t="s">
        <v>208</v>
      </c>
      <c r="M114" s="412">
        <v>6.5</v>
      </c>
      <c r="N114" s="413">
        <v>12.95</v>
      </c>
      <c r="O114" s="414">
        <v>2</v>
      </c>
      <c r="P114" s="415" t="s">
        <v>285</v>
      </c>
      <c r="Q114" s="211"/>
      <c r="R114" s="211"/>
      <c r="S114" s="192" t="s">
        <v>5</v>
      </c>
      <c r="T114" s="71"/>
      <c r="U114" s="71"/>
      <c r="V114" s="71"/>
      <c r="W114" s="71"/>
      <c r="X114" s="71"/>
      <c r="Y114" s="94"/>
      <c r="Z114" s="71"/>
      <c r="AA114" s="71"/>
      <c r="AB114" s="106"/>
      <c r="AC114" s="107"/>
      <c r="AD114" s="81"/>
      <c r="AE114" s="67"/>
      <c r="AF114" s="67"/>
      <c r="AG114" s="67"/>
      <c r="AH114" s="67"/>
      <c r="AI114" s="472"/>
      <c r="AJ114" s="67"/>
      <c r="AK114" s="472"/>
      <c r="AL114" s="67"/>
      <c r="AM114" s="67"/>
      <c r="AN114" s="67"/>
      <c r="AO114" s="67"/>
      <c r="AP114" s="67"/>
      <c r="AQ114" s="67"/>
      <c r="AR114" s="71"/>
      <c r="AS114" s="71"/>
      <c r="AT114" s="71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  <c r="BE114" s="67"/>
      <c r="BF114" s="67"/>
      <c r="BG114" s="67"/>
      <c r="BH114" s="67"/>
      <c r="BI114" s="67"/>
      <c r="BJ114" s="67"/>
      <c r="BK114" s="67"/>
      <c r="BL114" s="67"/>
      <c r="BM114" s="67"/>
      <c r="BN114" s="67"/>
      <c r="BO114" s="67"/>
      <c r="BP114" s="67"/>
      <c r="BQ114" s="67"/>
      <c r="BR114" s="67"/>
      <c r="BS114" s="67"/>
      <c r="BT114" s="67"/>
      <c r="BU114" s="67"/>
      <c r="BV114" s="71"/>
      <c r="BW114" s="71"/>
      <c r="BX114" s="71"/>
      <c r="BY114" s="71"/>
      <c r="BZ114" s="71"/>
      <c r="CA114" s="71"/>
      <c r="CB114" s="71"/>
      <c r="CC114" s="71"/>
      <c r="CD114" s="71"/>
      <c r="CE114" s="71"/>
      <c r="CF114" s="71"/>
      <c r="CG114" s="71"/>
      <c r="CH114" s="71"/>
      <c r="CI114" s="71"/>
      <c r="CJ114" s="71"/>
      <c r="CK114" s="71"/>
      <c r="CL114" s="81"/>
      <c r="CM114" s="71"/>
      <c r="CN114" s="218"/>
      <c r="CO114" s="218"/>
      <c r="CP114" s="218"/>
      <c r="CQ114" s="218"/>
      <c r="CR114" s="218"/>
      <c r="CS114" s="218"/>
      <c r="CT114" s="218"/>
      <c r="CU114" s="218"/>
      <c r="CV114" s="218"/>
      <c r="CW114" s="218"/>
      <c r="CX114" s="218"/>
      <c r="CY114" s="218"/>
      <c r="CZ114" s="218"/>
      <c r="DA114" s="218"/>
      <c r="DB114" s="218"/>
      <c r="DC114" s="218"/>
      <c r="DD114" s="218"/>
      <c r="DE114" s="218"/>
      <c r="DF114" s="218"/>
    </row>
    <row r="115" spans="1:110" s="88" customFormat="1" ht="18" x14ac:dyDescent="0.25">
      <c r="A115" s="218"/>
      <c r="B115" s="408"/>
      <c r="C115" s="409" t="s">
        <v>305</v>
      </c>
      <c r="D115" s="410" t="s">
        <v>288</v>
      </c>
      <c r="E115" s="411" t="s">
        <v>213</v>
      </c>
      <c r="F115" s="411" t="s">
        <v>208</v>
      </c>
      <c r="G115" s="411" t="s">
        <v>208</v>
      </c>
      <c r="H115" s="411" t="s">
        <v>208</v>
      </c>
      <c r="I115" s="411" t="s">
        <v>208</v>
      </c>
      <c r="J115" s="411" t="s">
        <v>208</v>
      </c>
      <c r="K115" s="411" t="s">
        <v>208</v>
      </c>
      <c r="L115" s="411" t="s">
        <v>208</v>
      </c>
      <c r="M115" s="412">
        <v>6.5</v>
      </c>
      <c r="N115" s="413">
        <v>12.95</v>
      </c>
      <c r="O115" s="414">
        <v>2</v>
      </c>
      <c r="P115" s="415" t="s">
        <v>285</v>
      </c>
      <c r="Q115" s="211"/>
      <c r="R115" s="211"/>
      <c r="S115" s="192" t="s">
        <v>5</v>
      </c>
      <c r="T115" s="71"/>
      <c r="U115" s="71"/>
      <c r="V115" s="71"/>
      <c r="W115" s="71"/>
      <c r="X115" s="71"/>
      <c r="Y115" s="94"/>
      <c r="Z115" s="71"/>
      <c r="AA115" s="71"/>
      <c r="AB115" s="106"/>
      <c r="AC115" s="107"/>
      <c r="AD115" s="81"/>
      <c r="AE115" s="67"/>
      <c r="AF115" s="67"/>
      <c r="AG115" s="67"/>
      <c r="AH115" s="67"/>
      <c r="AI115" s="472"/>
      <c r="AJ115" s="67"/>
      <c r="AK115" s="472"/>
      <c r="AL115" s="67"/>
      <c r="AM115" s="67"/>
      <c r="AN115" s="67"/>
      <c r="AO115" s="67"/>
      <c r="AP115" s="67"/>
      <c r="AQ115" s="67"/>
      <c r="AR115" s="71"/>
      <c r="AS115" s="71"/>
      <c r="AT115" s="71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  <c r="BM115" s="67"/>
      <c r="BN115" s="67"/>
      <c r="BO115" s="67"/>
      <c r="BP115" s="67"/>
      <c r="BQ115" s="67"/>
      <c r="BR115" s="67"/>
      <c r="BS115" s="67"/>
      <c r="BT115" s="67"/>
      <c r="BU115" s="67"/>
      <c r="BV115" s="71"/>
      <c r="BW115" s="71"/>
      <c r="BX115" s="71"/>
      <c r="BY115" s="71"/>
      <c r="BZ115" s="71"/>
      <c r="CA115" s="71"/>
      <c r="CB115" s="71"/>
      <c r="CC115" s="71"/>
      <c r="CD115" s="71"/>
      <c r="CE115" s="71"/>
      <c r="CF115" s="71"/>
      <c r="CG115" s="71"/>
      <c r="CH115" s="71"/>
      <c r="CI115" s="71"/>
      <c r="CJ115" s="71"/>
      <c r="CK115" s="71"/>
      <c r="CL115" s="81"/>
      <c r="CM115" s="71"/>
      <c r="CN115" s="218"/>
      <c r="CO115" s="218"/>
      <c r="CP115" s="218"/>
      <c r="CQ115" s="218"/>
      <c r="CR115" s="218"/>
      <c r="CS115" s="218"/>
      <c r="CT115" s="218"/>
      <c r="CU115" s="218"/>
      <c r="CV115" s="218"/>
      <c r="CW115" s="218"/>
      <c r="CX115" s="218"/>
      <c r="CY115" s="218"/>
      <c r="CZ115" s="218"/>
      <c r="DA115" s="218"/>
      <c r="DB115" s="218"/>
      <c r="DC115" s="218"/>
      <c r="DD115" s="218"/>
      <c r="DE115" s="218"/>
      <c r="DF115" s="218"/>
    </row>
    <row r="116" spans="1:110" s="88" customFormat="1" ht="18" x14ac:dyDescent="0.25">
      <c r="A116" s="218"/>
      <c r="B116" s="408"/>
      <c r="C116" s="409" t="s">
        <v>306</v>
      </c>
      <c r="D116" s="410" t="s">
        <v>288</v>
      </c>
      <c r="E116" s="411" t="s">
        <v>213</v>
      </c>
      <c r="F116" s="411" t="s">
        <v>208</v>
      </c>
      <c r="G116" s="411" t="s">
        <v>208</v>
      </c>
      <c r="H116" s="411" t="s">
        <v>208</v>
      </c>
      <c r="I116" s="411" t="s">
        <v>208</v>
      </c>
      <c r="J116" s="411" t="s">
        <v>208</v>
      </c>
      <c r="K116" s="411" t="s">
        <v>208</v>
      </c>
      <c r="L116" s="411" t="s">
        <v>208</v>
      </c>
      <c r="M116" s="412">
        <v>6.5</v>
      </c>
      <c r="N116" s="413">
        <v>12.95</v>
      </c>
      <c r="O116" s="414">
        <v>2</v>
      </c>
      <c r="P116" s="415" t="s">
        <v>285</v>
      </c>
      <c r="Q116" s="211"/>
      <c r="R116" s="211"/>
      <c r="S116" s="192" t="s">
        <v>5</v>
      </c>
      <c r="T116" s="71"/>
      <c r="U116" s="71"/>
      <c r="V116" s="71"/>
      <c r="W116" s="71"/>
      <c r="X116" s="71"/>
      <c r="Y116" s="94"/>
      <c r="Z116" s="71"/>
      <c r="AA116" s="71"/>
      <c r="AB116" s="106"/>
      <c r="AC116" s="107"/>
      <c r="AD116" s="81"/>
      <c r="AE116" s="67"/>
      <c r="AF116" s="67"/>
      <c r="AG116" s="67"/>
      <c r="AH116" s="67"/>
      <c r="AI116" s="472"/>
      <c r="AJ116" s="67"/>
      <c r="AK116" s="472"/>
      <c r="AL116" s="67"/>
      <c r="AM116" s="67"/>
      <c r="AN116" s="67"/>
      <c r="AO116" s="67"/>
      <c r="AP116" s="67"/>
      <c r="AQ116" s="67"/>
      <c r="AR116" s="71"/>
      <c r="AS116" s="71"/>
      <c r="AT116" s="71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  <c r="BM116" s="67"/>
      <c r="BN116" s="67"/>
      <c r="BO116" s="67"/>
      <c r="BP116" s="67"/>
      <c r="BQ116" s="67"/>
      <c r="BR116" s="67"/>
      <c r="BS116" s="67"/>
      <c r="BT116" s="67"/>
      <c r="BU116" s="67"/>
      <c r="BV116" s="71"/>
      <c r="BW116" s="71"/>
      <c r="BX116" s="71"/>
      <c r="BY116" s="71"/>
      <c r="BZ116" s="71"/>
      <c r="CA116" s="71"/>
      <c r="CB116" s="71"/>
      <c r="CC116" s="71"/>
      <c r="CD116" s="71"/>
      <c r="CE116" s="71"/>
      <c r="CF116" s="71"/>
      <c r="CG116" s="71"/>
      <c r="CH116" s="71"/>
      <c r="CI116" s="71"/>
      <c r="CJ116" s="71"/>
      <c r="CK116" s="71"/>
      <c r="CL116" s="81"/>
      <c r="CM116" s="71"/>
      <c r="CN116" s="218"/>
      <c r="CO116" s="218"/>
      <c r="CP116" s="218"/>
      <c r="CQ116" s="218"/>
      <c r="CR116" s="218"/>
      <c r="CS116" s="218"/>
      <c r="CT116" s="218"/>
      <c r="CU116" s="218"/>
      <c r="CV116" s="218"/>
      <c r="CW116" s="218"/>
      <c r="CX116" s="218"/>
      <c r="CY116" s="218"/>
      <c r="CZ116" s="218"/>
      <c r="DA116" s="218"/>
      <c r="DB116" s="218"/>
      <c r="DC116" s="218"/>
      <c r="DD116" s="218"/>
      <c r="DE116" s="218"/>
      <c r="DF116" s="218"/>
    </row>
    <row r="117" spans="1:110" s="88" customFormat="1" ht="18" x14ac:dyDescent="0.25">
      <c r="A117" s="218"/>
      <c r="B117" s="408"/>
      <c r="C117" s="409" t="s">
        <v>307</v>
      </c>
      <c r="D117" s="410" t="s">
        <v>288</v>
      </c>
      <c r="E117" s="411" t="s">
        <v>213</v>
      </c>
      <c r="F117" s="411" t="s">
        <v>208</v>
      </c>
      <c r="G117" s="411" t="s">
        <v>208</v>
      </c>
      <c r="H117" s="411" t="s">
        <v>208</v>
      </c>
      <c r="I117" s="411" t="s">
        <v>208</v>
      </c>
      <c r="J117" s="411" t="s">
        <v>208</v>
      </c>
      <c r="K117" s="411" t="s">
        <v>208</v>
      </c>
      <c r="L117" s="411" t="s">
        <v>208</v>
      </c>
      <c r="M117" s="412">
        <v>6.5</v>
      </c>
      <c r="N117" s="413">
        <v>12.95</v>
      </c>
      <c r="O117" s="414">
        <v>2</v>
      </c>
      <c r="P117" s="415" t="s">
        <v>285</v>
      </c>
      <c r="Q117" s="211"/>
      <c r="R117" s="211"/>
      <c r="S117" s="192" t="s">
        <v>5</v>
      </c>
      <c r="T117" s="71"/>
      <c r="U117" s="71"/>
      <c r="V117" s="71"/>
      <c r="W117" s="71"/>
      <c r="X117" s="71"/>
      <c r="Y117" s="94"/>
      <c r="Z117" s="71"/>
      <c r="AA117" s="71"/>
      <c r="AB117" s="106"/>
      <c r="AC117" s="107"/>
      <c r="AD117" s="81"/>
      <c r="AE117" s="67"/>
      <c r="AF117" s="67"/>
      <c r="AG117" s="67"/>
      <c r="AH117" s="67"/>
      <c r="AI117" s="472"/>
      <c r="AJ117" s="67"/>
      <c r="AK117" s="472"/>
      <c r="AL117" s="67"/>
      <c r="AM117" s="67"/>
      <c r="AN117" s="67"/>
      <c r="AO117" s="67"/>
      <c r="AP117" s="67"/>
      <c r="AQ117" s="67"/>
      <c r="AR117" s="71"/>
      <c r="AS117" s="71"/>
      <c r="AT117" s="71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  <c r="BM117" s="67"/>
      <c r="BN117" s="67"/>
      <c r="BO117" s="67"/>
      <c r="BP117" s="67"/>
      <c r="BQ117" s="67"/>
      <c r="BR117" s="67"/>
      <c r="BS117" s="67"/>
      <c r="BT117" s="67"/>
      <c r="BU117" s="67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  <c r="CJ117" s="71"/>
      <c r="CK117" s="71"/>
      <c r="CL117" s="81"/>
      <c r="CM117" s="71"/>
      <c r="CN117" s="218"/>
      <c r="CO117" s="218"/>
      <c r="CP117" s="218"/>
      <c r="CQ117" s="218"/>
      <c r="CR117" s="218"/>
      <c r="CS117" s="218"/>
      <c r="CT117" s="218"/>
      <c r="CU117" s="218"/>
      <c r="CV117" s="218"/>
      <c r="CW117" s="218"/>
      <c r="CX117" s="218"/>
      <c r="CY117" s="218"/>
      <c r="CZ117" s="218"/>
      <c r="DA117" s="218"/>
      <c r="DB117" s="218"/>
      <c r="DC117" s="218"/>
      <c r="DD117" s="218"/>
      <c r="DE117" s="218"/>
      <c r="DF117" s="218"/>
    </row>
    <row r="118" spans="1:110" s="88" customFormat="1" ht="18" x14ac:dyDescent="0.25">
      <c r="A118" s="218"/>
      <c r="B118" s="408"/>
      <c r="C118" s="409" t="s">
        <v>308</v>
      </c>
      <c r="D118" s="410" t="s">
        <v>173</v>
      </c>
      <c r="E118" s="411" t="s">
        <v>213</v>
      </c>
      <c r="F118" s="411" t="s">
        <v>208</v>
      </c>
      <c r="G118" s="411" t="s">
        <v>208</v>
      </c>
      <c r="H118" s="411" t="s">
        <v>208</v>
      </c>
      <c r="I118" s="411" t="s">
        <v>208</v>
      </c>
      <c r="J118" s="411" t="s">
        <v>208</v>
      </c>
      <c r="K118" s="411" t="s">
        <v>208</v>
      </c>
      <c r="L118" s="411" t="s">
        <v>208</v>
      </c>
      <c r="M118" s="412">
        <v>7.5</v>
      </c>
      <c r="N118" s="413">
        <v>14.95</v>
      </c>
      <c r="O118" s="414">
        <v>2</v>
      </c>
      <c r="P118" s="415" t="s">
        <v>285</v>
      </c>
      <c r="Q118" s="211"/>
      <c r="R118" s="211"/>
      <c r="S118" s="192" t="s">
        <v>5</v>
      </c>
      <c r="T118" s="71"/>
      <c r="U118" s="71"/>
      <c r="V118" s="71"/>
      <c r="W118" s="71"/>
      <c r="X118" s="71"/>
      <c r="Y118" s="94"/>
      <c r="Z118" s="71"/>
      <c r="AA118" s="71"/>
      <c r="AB118" s="106"/>
      <c r="AC118" s="107"/>
      <c r="AD118" s="81"/>
      <c r="AE118" s="67"/>
      <c r="AF118" s="67"/>
      <c r="AG118" s="67"/>
      <c r="AH118" s="67"/>
      <c r="AI118" s="472"/>
      <c r="AJ118" s="67"/>
      <c r="AK118" s="472"/>
      <c r="AL118" s="67"/>
      <c r="AM118" s="67"/>
      <c r="AN118" s="67"/>
      <c r="AO118" s="67"/>
      <c r="AP118" s="67"/>
      <c r="AQ118" s="67"/>
      <c r="AR118" s="71"/>
      <c r="AS118" s="71"/>
      <c r="AT118" s="71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  <c r="BM118" s="67"/>
      <c r="BN118" s="67"/>
      <c r="BO118" s="67"/>
      <c r="BP118" s="67"/>
      <c r="BQ118" s="67"/>
      <c r="BR118" s="67"/>
      <c r="BS118" s="67"/>
      <c r="BT118" s="67"/>
      <c r="BU118" s="67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81"/>
      <c r="CM118" s="71"/>
      <c r="CN118" s="218"/>
      <c r="CO118" s="218"/>
      <c r="CP118" s="218"/>
      <c r="CQ118" s="218"/>
      <c r="CR118" s="218"/>
      <c r="CS118" s="218"/>
      <c r="CT118" s="218"/>
      <c r="CU118" s="218"/>
      <c r="CV118" s="218"/>
      <c r="CW118" s="218"/>
      <c r="CX118" s="218"/>
      <c r="CY118" s="218"/>
      <c r="CZ118" s="218"/>
      <c r="DA118" s="218"/>
      <c r="DB118" s="218"/>
      <c r="DC118" s="218"/>
      <c r="DD118" s="218"/>
      <c r="DE118" s="218"/>
      <c r="DF118" s="218"/>
    </row>
    <row r="119" spans="1:110" s="88" customFormat="1" ht="18" x14ac:dyDescent="0.25">
      <c r="A119" s="218"/>
      <c r="B119" s="408"/>
      <c r="C119" s="409" t="s">
        <v>309</v>
      </c>
      <c r="D119" s="410" t="s">
        <v>172</v>
      </c>
      <c r="E119" s="411" t="s">
        <v>213</v>
      </c>
      <c r="F119" s="411" t="s">
        <v>208</v>
      </c>
      <c r="G119" s="411" t="s">
        <v>208</v>
      </c>
      <c r="H119" s="411" t="s">
        <v>208</v>
      </c>
      <c r="I119" s="411" t="s">
        <v>208</v>
      </c>
      <c r="J119" s="411" t="s">
        <v>208</v>
      </c>
      <c r="K119" s="411" t="s">
        <v>208</v>
      </c>
      <c r="L119" s="411" t="s">
        <v>208</v>
      </c>
      <c r="M119" s="412">
        <v>7.5</v>
      </c>
      <c r="N119" s="413">
        <v>14.95</v>
      </c>
      <c r="O119" s="414">
        <v>2</v>
      </c>
      <c r="P119" s="415" t="s">
        <v>287</v>
      </c>
      <c r="Q119" s="211"/>
      <c r="R119" s="211"/>
      <c r="S119" s="192" t="s">
        <v>5</v>
      </c>
      <c r="T119" s="71"/>
      <c r="U119" s="71"/>
      <c r="V119" s="71"/>
      <c r="W119" s="71"/>
      <c r="X119" s="71"/>
      <c r="Y119" s="94"/>
      <c r="Z119" s="71"/>
      <c r="AA119" s="71"/>
      <c r="AB119" s="106"/>
      <c r="AC119" s="107"/>
      <c r="AD119" s="81"/>
      <c r="AE119" s="67"/>
      <c r="AF119" s="67"/>
      <c r="AG119" s="67"/>
      <c r="AH119" s="67"/>
      <c r="AI119" s="472"/>
      <c r="AJ119" s="67"/>
      <c r="AK119" s="472"/>
      <c r="AL119" s="67"/>
      <c r="AM119" s="67"/>
      <c r="AN119" s="67"/>
      <c r="AO119" s="67"/>
      <c r="AP119" s="67"/>
      <c r="AQ119" s="67"/>
      <c r="AR119" s="71"/>
      <c r="AS119" s="71"/>
      <c r="AT119" s="71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  <c r="BM119" s="67"/>
      <c r="BN119" s="67"/>
      <c r="BO119" s="67"/>
      <c r="BP119" s="67"/>
      <c r="BQ119" s="67"/>
      <c r="BR119" s="67"/>
      <c r="BS119" s="67"/>
      <c r="BT119" s="67"/>
      <c r="BU119" s="67"/>
      <c r="BV119" s="71"/>
      <c r="BW119" s="71"/>
      <c r="BX119" s="71"/>
      <c r="BY119" s="71"/>
      <c r="BZ119" s="71"/>
      <c r="CA119" s="71"/>
      <c r="CB119" s="71"/>
      <c r="CC119" s="71"/>
      <c r="CD119" s="71"/>
      <c r="CE119" s="71"/>
      <c r="CF119" s="71"/>
      <c r="CG119" s="71"/>
      <c r="CH119" s="71"/>
      <c r="CI119" s="71"/>
      <c r="CJ119" s="71"/>
      <c r="CK119" s="71"/>
      <c r="CL119" s="81"/>
      <c r="CM119" s="71"/>
      <c r="CN119" s="218"/>
      <c r="CO119" s="218"/>
      <c r="CP119" s="218"/>
      <c r="CQ119" s="218"/>
      <c r="CR119" s="218"/>
      <c r="CS119" s="218"/>
      <c r="CT119" s="218"/>
      <c r="CU119" s="218"/>
      <c r="CV119" s="218"/>
      <c r="CW119" s="218"/>
      <c r="CX119" s="218"/>
      <c r="CY119" s="218"/>
      <c r="CZ119" s="218"/>
      <c r="DA119" s="218"/>
      <c r="DB119" s="218"/>
      <c r="DC119" s="218"/>
      <c r="DD119" s="218"/>
      <c r="DE119" s="218"/>
      <c r="DF119" s="218"/>
    </row>
    <row r="120" spans="1:110" s="88" customFormat="1" ht="18" x14ac:dyDescent="0.25">
      <c r="A120" s="218"/>
      <c r="B120" s="408"/>
      <c r="C120" s="409" t="s">
        <v>312</v>
      </c>
      <c r="D120" s="410" t="s">
        <v>311</v>
      </c>
      <c r="E120" s="411" t="s">
        <v>213</v>
      </c>
      <c r="F120" s="411" t="s">
        <v>208</v>
      </c>
      <c r="G120" s="411" t="s">
        <v>208</v>
      </c>
      <c r="H120" s="411" t="s">
        <v>208</v>
      </c>
      <c r="I120" s="411" t="s">
        <v>208</v>
      </c>
      <c r="J120" s="411" t="s">
        <v>208</v>
      </c>
      <c r="K120" s="411" t="s">
        <v>208</v>
      </c>
      <c r="L120" s="411" t="s">
        <v>208</v>
      </c>
      <c r="M120" s="412">
        <v>7.5</v>
      </c>
      <c r="N120" s="413">
        <v>14.95</v>
      </c>
      <c r="O120" s="414">
        <v>2</v>
      </c>
      <c r="P120" s="415" t="s">
        <v>285</v>
      </c>
      <c r="Q120" s="211"/>
      <c r="R120" s="211"/>
      <c r="S120" s="192" t="s">
        <v>5</v>
      </c>
      <c r="T120" s="71"/>
      <c r="U120" s="71"/>
      <c r="V120" s="71"/>
      <c r="W120" s="71"/>
      <c r="X120" s="71"/>
      <c r="Y120" s="94"/>
      <c r="Z120" s="71"/>
      <c r="AA120" s="71"/>
      <c r="AB120" s="106"/>
      <c r="AC120" s="107"/>
      <c r="AD120" s="81"/>
      <c r="AE120" s="67"/>
      <c r="AF120" s="67"/>
      <c r="AG120" s="67"/>
      <c r="AH120" s="67"/>
      <c r="AI120" s="472"/>
      <c r="AJ120" s="67"/>
      <c r="AK120" s="472"/>
      <c r="AL120" s="67"/>
      <c r="AM120" s="67"/>
      <c r="AN120" s="67"/>
      <c r="AO120" s="67"/>
      <c r="AP120" s="67"/>
      <c r="AQ120" s="67"/>
      <c r="AR120" s="71"/>
      <c r="AS120" s="71"/>
      <c r="AT120" s="71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  <c r="BM120" s="67"/>
      <c r="BN120" s="67"/>
      <c r="BO120" s="67"/>
      <c r="BP120" s="67"/>
      <c r="BQ120" s="67"/>
      <c r="BR120" s="67"/>
      <c r="BS120" s="67"/>
      <c r="BT120" s="67"/>
      <c r="BU120" s="67"/>
      <c r="BV120" s="71"/>
      <c r="BW120" s="71"/>
      <c r="BX120" s="71"/>
      <c r="BY120" s="71"/>
      <c r="BZ120" s="71"/>
      <c r="CA120" s="71"/>
      <c r="CB120" s="71"/>
      <c r="CC120" s="71"/>
      <c r="CD120" s="71"/>
      <c r="CE120" s="71"/>
      <c r="CF120" s="71"/>
      <c r="CG120" s="71"/>
      <c r="CH120" s="71"/>
      <c r="CI120" s="71"/>
      <c r="CJ120" s="71"/>
      <c r="CK120" s="71"/>
      <c r="CL120" s="81"/>
      <c r="CM120" s="71"/>
      <c r="CN120" s="218"/>
      <c r="CO120" s="218"/>
      <c r="CP120" s="218"/>
      <c r="CQ120" s="218"/>
      <c r="CR120" s="218"/>
      <c r="CS120" s="218"/>
      <c r="CT120" s="218"/>
      <c r="CU120" s="218"/>
      <c r="CV120" s="218"/>
      <c r="CW120" s="218"/>
      <c r="CX120" s="218"/>
      <c r="CY120" s="218"/>
      <c r="CZ120" s="218"/>
      <c r="DA120" s="218"/>
      <c r="DB120" s="218"/>
      <c r="DC120" s="218"/>
      <c r="DD120" s="218"/>
      <c r="DE120" s="218"/>
      <c r="DF120" s="218"/>
    </row>
    <row r="121" spans="1:110" s="88" customFormat="1" ht="18" x14ac:dyDescent="0.25">
      <c r="A121" s="218"/>
      <c r="B121" s="408"/>
      <c r="C121" s="409" t="s">
        <v>313</v>
      </c>
      <c r="D121" s="410" t="s">
        <v>311</v>
      </c>
      <c r="E121" s="411" t="s">
        <v>213</v>
      </c>
      <c r="F121" s="411" t="s">
        <v>208</v>
      </c>
      <c r="G121" s="411" t="s">
        <v>208</v>
      </c>
      <c r="H121" s="411" t="s">
        <v>208</v>
      </c>
      <c r="I121" s="411" t="s">
        <v>208</v>
      </c>
      <c r="J121" s="411" t="s">
        <v>208</v>
      </c>
      <c r="K121" s="411" t="s">
        <v>208</v>
      </c>
      <c r="L121" s="411" t="s">
        <v>208</v>
      </c>
      <c r="M121" s="412">
        <v>7.5</v>
      </c>
      <c r="N121" s="413">
        <v>14.95</v>
      </c>
      <c r="O121" s="414">
        <v>2</v>
      </c>
      <c r="P121" s="415" t="s">
        <v>285</v>
      </c>
      <c r="Q121" s="211"/>
      <c r="R121" s="211"/>
      <c r="S121" s="192" t="s">
        <v>5</v>
      </c>
      <c r="T121" s="71"/>
      <c r="U121" s="71"/>
      <c r="V121" s="71"/>
      <c r="W121" s="71"/>
      <c r="X121" s="71"/>
      <c r="Y121" s="94"/>
      <c r="Z121" s="71"/>
      <c r="AA121" s="71"/>
      <c r="AB121" s="106"/>
      <c r="AC121" s="107"/>
      <c r="AD121" s="81"/>
      <c r="AE121" s="67"/>
      <c r="AF121" s="67"/>
      <c r="AG121" s="67"/>
      <c r="AH121" s="67"/>
      <c r="AI121" s="472"/>
      <c r="AJ121" s="67"/>
      <c r="AK121" s="472"/>
      <c r="AL121" s="67"/>
      <c r="AM121" s="67"/>
      <c r="AN121" s="67"/>
      <c r="AO121" s="67"/>
      <c r="AP121" s="67"/>
      <c r="AQ121" s="67"/>
      <c r="AR121" s="71"/>
      <c r="AS121" s="71"/>
      <c r="AT121" s="71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  <c r="BM121" s="67"/>
      <c r="BN121" s="67"/>
      <c r="BO121" s="67"/>
      <c r="BP121" s="67"/>
      <c r="BQ121" s="67"/>
      <c r="BR121" s="67"/>
      <c r="BS121" s="67"/>
      <c r="BT121" s="67"/>
      <c r="BU121" s="67"/>
      <c r="BV121" s="71"/>
      <c r="BW121" s="71"/>
      <c r="BX121" s="71"/>
      <c r="BY121" s="71"/>
      <c r="BZ121" s="71"/>
      <c r="CA121" s="71"/>
      <c r="CB121" s="71"/>
      <c r="CC121" s="71"/>
      <c r="CD121" s="71"/>
      <c r="CE121" s="71"/>
      <c r="CF121" s="71"/>
      <c r="CG121" s="71"/>
      <c r="CH121" s="71"/>
      <c r="CI121" s="71"/>
      <c r="CJ121" s="71"/>
      <c r="CK121" s="71"/>
      <c r="CL121" s="81"/>
      <c r="CM121" s="71"/>
      <c r="CN121" s="218"/>
      <c r="CO121" s="218"/>
      <c r="CP121" s="218"/>
      <c r="CQ121" s="218"/>
      <c r="CR121" s="218"/>
      <c r="CS121" s="218"/>
      <c r="CT121" s="218"/>
      <c r="CU121" s="218"/>
      <c r="CV121" s="218"/>
      <c r="CW121" s="218"/>
      <c r="CX121" s="218"/>
      <c r="CY121" s="218"/>
      <c r="CZ121" s="218"/>
      <c r="DA121" s="218"/>
      <c r="DB121" s="218"/>
      <c r="DC121" s="218"/>
      <c r="DD121" s="218"/>
      <c r="DE121" s="218"/>
      <c r="DF121" s="218"/>
    </row>
    <row r="122" spans="1:110" s="88" customFormat="1" ht="18" x14ac:dyDescent="0.25">
      <c r="A122" s="218"/>
      <c r="B122" s="408"/>
      <c r="C122" s="409" t="s">
        <v>314</v>
      </c>
      <c r="D122" s="410" t="s">
        <v>211</v>
      </c>
      <c r="E122" s="411" t="s">
        <v>213</v>
      </c>
      <c r="F122" s="411" t="s">
        <v>208</v>
      </c>
      <c r="G122" s="411" t="s">
        <v>208</v>
      </c>
      <c r="H122" s="411" t="s">
        <v>208</v>
      </c>
      <c r="I122" s="411" t="s">
        <v>208</v>
      </c>
      <c r="J122" s="411" t="s">
        <v>208</v>
      </c>
      <c r="K122" s="411" t="s">
        <v>208</v>
      </c>
      <c r="L122" s="411" t="s">
        <v>208</v>
      </c>
      <c r="M122" s="412">
        <v>7.5</v>
      </c>
      <c r="N122" s="413">
        <v>14.95</v>
      </c>
      <c r="O122" s="414">
        <v>2</v>
      </c>
      <c r="P122" s="415" t="s">
        <v>285</v>
      </c>
      <c r="Q122" s="211"/>
      <c r="R122" s="211"/>
      <c r="S122" s="192" t="s">
        <v>5</v>
      </c>
      <c r="T122" s="71"/>
      <c r="U122" s="71"/>
      <c r="V122" s="71"/>
      <c r="W122" s="71"/>
      <c r="X122" s="71"/>
      <c r="Y122" s="94"/>
      <c r="Z122" s="71"/>
      <c r="AA122" s="71"/>
      <c r="AB122" s="106"/>
      <c r="AC122" s="107"/>
      <c r="AD122" s="81"/>
      <c r="AE122" s="67"/>
      <c r="AF122" s="67"/>
      <c r="AG122" s="67"/>
      <c r="AH122" s="67"/>
      <c r="AI122" s="472"/>
      <c r="AJ122" s="67"/>
      <c r="AK122" s="472"/>
      <c r="AL122" s="67"/>
      <c r="AM122" s="67"/>
      <c r="AN122" s="67"/>
      <c r="AO122" s="67"/>
      <c r="AP122" s="67"/>
      <c r="AQ122" s="67"/>
      <c r="AR122" s="71"/>
      <c r="AS122" s="71"/>
      <c r="AT122" s="71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  <c r="BE122" s="67"/>
      <c r="BF122" s="67"/>
      <c r="BG122" s="67"/>
      <c r="BH122" s="67"/>
      <c r="BI122" s="67"/>
      <c r="BJ122" s="67"/>
      <c r="BK122" s="67"/>
      <c r="BL122" s="67"/>
      <c r="BM122" s="67"/>
      <c r="BN122" s="67"/>
      <c r="BO122" s="67"/>
      <c r="BP122" s="67"/>
      <c r="BQ122" s="67"/>
      <c r="BR122" s="67"/>
      <c r="BS122" s="67"/>
      <c r="BT122" s="67"/>
      <c r="BU122" s="67"/>
      <c r="BV122" s="71"/>
      <c r="BW122" s="71"/>
      <c r="BX122" s="71"/>
      <c r="BY122" s="71"/>
      <c r="BZ122" s="71"/>
      <c r="CA122" s="71"/>
      <c r="CB122" s="71"/>
      <c r="CC122" s="71"/>
      <c r="CD122" s="71"/>
      <c r="CE122" s="71"/>
      <c r="CF122" s="71"/>
      <c r="CG122" s="71"/>
      <c r="CH122" s="71"/>
      <c r="CI122" s="71"/>
      <c r="CJ122" s="71"/>
      <c r="CK122" s="71"/>
      <c r="CL122" s="81"/>
      <c r="CM122" s="71"/>
      <c r="CN122" s="218"/>
      <c r="CO122" s="218"/>
      <c r="CP122" s="218"/>
      <c r="CQ122" s="218"/>
      <c r="CR122" s="218"/>
      <c r="CS122" s="218"/>
      <c r="CT122" s="218"/>
      <c r="CU122" s="218"/>
      <c r="CV122" s="218"/>
      <c r="CW122" s="218"/>
      <c r="CX122" s="218"/>
      <c r="CY122" s="218"/>
      <c r="CZ122" s="218"/>
      <c r="DA122" s="218"/>
      <c r="DB122" s="218"/>
      <c r="DC122" s="218"/>
      <c r="DD122" s="218"/>
      <c r="DE122" s="218"/>
      <c r="DF122" s="218"/>
    </row>
    <row r="123" spans="1:110" s="88" customFormat="1" ht="18" x14ac:dyDescent="0.25">
      <c r="A123" s="218"/>
      <c r="B123" s="408"/>
      <c r="C123" s="409" t="s">
        <v>315</v>
      </c>
      <c r="D123" s="410" t="s">
        <v>211</v>
      </c>
      <c r="E123" s="411" t="s">
        <v>213</v>
      </c>
      <c r="F123" s="411" t="s">
        <v>208</v>
      </c>
      <c r="G123" s="411" t="s">
        <v>208</v>
      </c>
      <c r="H123" s="411" t="s">
        <v>208</v>
      </c>
      <c r="I123" s="411" t="s">
        <v>208</v>
      </c>
      <c r="J123" s="411" t="s">
        <v>208</v>
      </c>
      <c r="K123" s="411" t="s">
        <v>208</v>
      </c>
      <c r="L123" s="411" t="s">
        <v>208</v>
      </c>
      <c r="M123" s="412">
        <v>7.5</v>
      </c>
      <c r="N123" s="413">
        <v>14.95</v>
      </c>
      <c r="O123" s="414">
        <v>2</v>
      </c>
      <c r="P123" s="415" t="s">
        <v>285</v>
      </c>
      <c r="Q123" s="211"/>
      <c r="R123" s="211"/>
      <c r="S123" s="192" t="s">
        <v>5</v>
      </c>
      <c r="T123" s="71"/>
      <c r="U123" s="71"/>
      <c r="V123" s="71"/>
      <c r="W123" s="71"/>
      <c r="X123" s="71"/>
      <c r="Y123" s="94"/>
      <c r="Z123" s="71"/>
      <c r="AA123" s="71"/>
      <c r="AB123" s="106"/>
      <c r="AC123" s="107"/>
      <c r="AD123" s="81"/>
      <c r="AE123" s="67"/>
      <c r="AF123" s="67"/>
      <c r="AG123" s="67"/>
      <c r="AH123" s="67"/>
      <c r="AI123" s="472"/>
      <c r="AJ123" s="67"/>
      <c r="AK123" s="472"/>
      <c r="AL123" s="67"/>
      <c r="AM123" s="67"/>
      <c r="AN123" s="67"/>
      <c r="AO123" s="67"/>
      <c r="AP123" s="67"/>
      <c r="AQ123" s="67"/>
      <c r="AR123" s="71"/>
      <c r="AS123" s="71"/>
      <c r="AT123" s="71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  <c r="BE123" s="67"/>
      <c r="BF123" s="67"/>
      <c r="BG123" s="67"/>
      <c r="BH123" s="67"/>
      <c r="BI123" s="67"/>
      <c r="BJ123" s="67"/>
      <c r="BK123" s="67"/>
      <c r="BL123" s="67"/>
      <c r="BM123" s="67"/>
      <c r="BN123" s="67"/>
      <c r="BO123" s="67"/>
      <c r="BP123" s="67"/>
      <c r="BQ123" s="67"/>
      <c r="BR123" s="67"/>
      <c r="BS123" s="67"/>
      <c r="BT123" s="67"/>
      <c r="BU123" s="67"/>
      <c r="BV123" s="71"/>
      <c r="BW123" s="71"/>
      <c r="BX123" s="71"/>
      <c r="BY123" s="71"/>
      <c r="BZ123" s="71"/>
      <c r="CA123" s="71"/>
      <c r="CB123" s="71"/>
      <c r="CC123" s="71"/>
      <c r="CD123" s="71"/>
      <c r="CE123" s="71"/>
      <c r="CF123" s="71"/>
      <c r="CG123" s="71"/>
      <c r="CH123" s="71"/>
      <c r="CI123" s="71"/>
      <c r="CJ123" s="71"/>
      <c r="CK123" s="71"/>
      <c r="CL123" s="81"/>
      <c r="CM123" s="71"/>
      <c r="CN123" s="218"/>
      <c r="CO123" s="218"/>
      <c r="CP123" s="218"/>
      <c r="CQ123" s="218"/>
      <c r="CR123" s="218"/>
      <c r="CS123" s="218"/>
      <c r="CT123" s="218"/>
      <c r="CU123" s="218"/>
      <c r="CV123" s="218"/>
      <c r="CW123" s="218"/>
      <c r="CX123" s="218"/>
      <c r="CY123" s="218"/>
      <c r="CZ123" s="218"/>
      <c r="DA123" s="218"/>
      <c r="DB123" s="218"/>
      <c r="DC123" s="218"/>
      <c r="DD123" s="218"/>
      <c r="DE123" s="218"/>
      <c r="DF123" s="218"/>
    </row>
    <row r="124" spans="1:110" s="88" customFormat="1" ht="18" x14ac:dyDescent="0.25">
      <c r="A124" s="218"/>
      <c r="B124" s="408"/>
      <c r="C124" s="409" t="s">
        <v>316</v>
      </c>
      <c r="D124" s="410" t="s">
        <v>211</v>
      </c>
      <c r="E124" s="411" t="s">
        <v>213</v>
      </c>
      <c r="F124" s="411" t="s">
        <v>208</v>
      </c>
      <c r="G124" s="411" t="s">
        <v>208</v>
      </c>
      <c r="H124" s="411" t="s">
        <v>208</v>
      </c>
      <c r="I124" s="411" t="s">
        <v>208</v>
      </c>
      <c r="J124" s="411" t="s">
        <v>208</v>
      </c>
      <c r="K124" s="411" t="s">
        <v>208</v>
      </c>
      <c r="L124" s="411" t="s">
        <v>208</v>
      </c>
      <c r="M124" s="412">
        <v>10</v>
      </c>
      <c r="N124" s="413">
        <v>19.95</v>
      </c>
      <c r="O124" s="414">
        <v>2</v>
      </c>
      <c r="P124" s="415" t="s">
        <v>285</v>
      </c>
      <c r="Q124" s="211"/>
      <c r="R124" s="211"/>
      <c r="S124" s="192" t="s">
        <v>5</v>
      </c>
      <c r="T124" s="71"/>
      <c r="U124" s="71"/>
      <c r="V124" s="71"/>
      <c r="W124" s="71"/>
      <c r="X124" s="71"/>
      <c r="Y124" s="94"/>
      <c r="Z124" s="71"/>
      <c r="AA124" s="71"/>
      <c r="AB124" s="106"/>
      <c r="AC124" s="107"/>
      <c r="AD124" s="81"/>
      <c r="AE124" s="67"/>
      <c r="AF124" s="67"/>
      <c r="AG124" s="67"/>
      <c r="AH124" s="67"/>
      <c r="AI124" s="472"/>
      <c r="AJ124" s="67"/>
      <c r="AK124" s="472"/>
      <c r="AL124" s="67"/>
      <c r="AM124" s="67"/>
      <c r="AN124" s="67"/>
      <c r="AO124" s="67"/>
      <c r="AP124" s="67"/>
      <c r="AQ124" s="67"/>
      <c r="AR124" s="71"/>
      <c r="AS124" s="71"/>
      <c r="AT124" s="71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  <c r="BE124" s="67"/>
      <c r="BF124" s="67"/>
      <c r="BG124" s="67"/>
      <c r="BH124" s="67"/>
      <c r="BI124" s="67"/>
      <c r="BJ124" s="67"/>
      <c r="BK124" s="67"/>
      <c r="BL124" s="67"/>
      <c r="BM124" s="67"/>
      <c r="BN124" s="67"/>
      <c r="BO124" s="67"/>
      <c r="BP124" s="67"/>
      <c r="BQ124" s="67"/>
      <c r="BR124" s="67"/>
      <c r="BS124" s="67"/>
      <c r="BT124" s="67"/>
      <c r="BU124" s="67"/>
      <c r="BV124" s="71"/>
      <c r="BW124" s="71"/>
      <c r="BX124" s="71"/>
      <c r="BY124" s="71"/>
      <c r="BZ124" s="71"/>
      <c r="CA124" s="71"/>
      <c r="CB124" s="71"/>
      <c r="CC124" s="71"/>
      <c r="CD124" s="71"/>
      <c r="CE124" s="71"/>
      <c r="CF124" s="71"/>
      <c r="CG124" s="71"/>
      <c r="CH124" s="71"/>
      <c r="CI124" s="71"/>
      <c r="CJ124" s="71"/>
      <c r="CK124" s="71"/>
      <c r="CL124" s="81"/>
      <c r="CM124" s="71"/>
      <c r="CN124" s="218"/>
      <c r="CO124" s="218"/>
      <c r="CP124" s="218"/>
      <c r="CQ124" s="218"/>
      <c r="CR124" s="218"/>
      <c r="CS124" s="218"/>
      <c r="CT124" s="218"/>
      <c r="CU124" s="218"/>
      <c r="CV124" s="218"/>
      <c r="CW124" s="218"/>
      <c r="CX124" s="218"/>
      <c r="CY124" s="218"/>
      <c r="CZ124" s="218"/>
      <c r="DA124" s="218"/>
      <c r="DB124" s="218"/>
      <c r="DC124" s="218"/>
      <c r="DD124" s="218"/>
      <c r="DE124" s="218"/>
      <c r="DF124" s="218"/>
    </row>
    <row r="125" spans="1:110" s="88" customFormat="1" ht="18" x14ac:dyDescent="0.25">
      <c r="A125" s="218"/>
      <c r="B125" s="408"/>
      <c r="C125" s="409" t="s">
        <v>317</v>
      </c>
      <c r="D125" s="410" t="s">
        <v>211</v>
      </c>
      <c r="E125" s="411" t="s">
        <v>213</v>
      </c>
      <c r="F125" s="411" t="s">
        <v>208</v>
      </c>
      <c r="G125" s="411" t="s">
        <v>208</v>
      </c>
      <c r="H125" s="411" t="s">
        <v>208</v>
      </c>
      <c r="I125" s="411" t="s">
        <v>208</v>
      </c>
      <c r="J125" s="411" t="s">
        <v>208</v>
      </c>
      <c r="K125" s="411" t="s">
        <v>208</v>
      </c>
      <c r="L125" s="411" t="s">
        <v>208</v>
      </c>
      <c r="M125" s="412">
        <v>10</v>
      </c>
      <c r="N125" s="413">
        <v>19.95</v>
      </c>
      <c r="O125" s="414">
        <v>2</v>
      </c>
      <c r="P125" s="415" t="s">
        <v>285</v>
      </c>
      <c r="Q125" s="211"/>
      <c r="R125" s="211"/>
      <c r="S125" s="192" t="s">
        <v>5</v>
      </c>
      <c r="T125" s="71"/>
      <c r="U125" s="71"/>
      <c r="V125" s="71"/>
      <c r="W125" s="71"/>
      <c r="X125" s="71"/>
      <c r="Y125" s="94"/>
      <c r="Z125" s="71"/>
      <c r="AA125" s="71"/>
      <c r="AB125" s="106"/>
      <c r="AC125" s="107"/>
      <c r="AD125" s="81"/>
      <c r="AE125" s="67"/>
      <c r="AF125" s="67"/>
      <c r="AG125" s="67"/>
      <c r="AH125" s="67"/>
      <c r="AI125" s="472"/>
      <c r="AJ125" s="67"/>
      <c r="AK125" s="472"/>
      <c r="AL125" s="67"/>
      <c r="AM125" s="67"/>
      <c r="AN125" s="67"/>
      <c r="AO125" s="67"/>
      <c r="AP125" s="67"/>
      <c r="AQ125" s="67"/>
      <c r="AR125" s="71"/>
      <c r="AS125" s="71"/>
      <c r="AT125" s="71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  <c r="BE125" s="67"/>
      <c r="BF125" s="67"/>
      <c r="BG125" s="67"/>
      <c r="BH125" s="67"/>
      <c r="BI125" s="67"/>
      <c r="BJ125" s="67"/>
      <c r="BK125" s="67"/>
      <c r="BL125" s="67"/>
      <c r="BM125" s="67"/>
      <c r="BN125" s="67"/>
      <c r="BO125" s="67"/>
      <c r="BP125" s="67"/>
      <c r="BQ125" s="67"/>
      <c r="BR125" s="67"/>
      <c r="BS125" s="67"/>
      <c r="BT125" s="67"/>
      <c r="BU125" s="67"/>
      <c r="BV125" s="71"/>
      <c r="BW125" s="71"/>
      <c r="BX125" s="71"/>
      <c r="BY125" s="71"/>
      <c r="BZ125" s="71"/>
      <c r="CA125" s="71"/>
      <c r="CB125" s="71"/>
      <c r="CC125" s="71"/>
      <c r="CD125" s="71"/>
      <c r="CE125" s="71"/>
      <c r="CF125" s="71"/>
      <c r="CG125" s="71"/>
      <c r="CH125" s="71"/>
      <c r="CI125" s="71"/>
      <c r="CJ125" s="71"/>
      <c r="CK125" s="71"/>
      <c r="CL125" s="81"/>
      <c r="CM125" s="71"/>
      <c r="CN125" s="218"/>
      <c r="CO125" s="218"/>
      <c r="CP125" s="218"/>
      <c r="CQ125" s="218"/>
      <c r="CR125" s="218"/>
      <c r="CS125" s="218"/>
      <c r="CT125" s="218"/>
      <c r="CU125" s="218"/>
      <c r="CV125" s="218"/>
      <c r="CW125" s="218"/>
      <c r="CX125" s="218"/>
      <c r="CY125" s="218"/>
      <c r="CZ125" s="218"/>
      <c r="DA125" s="218"/>
      <c r="DB125" s="218"/>
      <c r="DC125" s="218"/>
      <c r="DD125" s="218"/>
      <c r="DE125" s="218"/>
      <c r="DF125" s="218"/>
    </row>
    <row r="126" spans="1:110" s="88" customFormat="1" ht="18" x14ac:dyDescent="0.25">
      <c r="A126" s="218"/>
      <c r="B126" s="408"/>
      <c r="C126" s="409" t="s">
        <v>318</v>
      </c>
      <c r="D126" s="410" t="s">
        <v>211</v>
      </c>
      <c r="E126" s="411" t="s">
        <v>213</v>
      </c>
      <c r="F126" s="411" t="s">
        <v>208</v>
      </c>
      <c r="G126" s="411" t="s">
        <v>208</v>
      </c>
      <c r="H126" s="411" t="s">
        <v>208</v>
      </c>
      <c r="I126" s="411" t="s">
        <v>208</v>
      </c>
      <c r="J126" s="411" t="s">
        <v>208</v>
      </c>
      <c r="K126" s="411" t="s">
        <v>208</v>
      </c>
      <c r="L126" s="411" t="s">
        <v>208</v>
      </c>
      <c r="M126" s="412">
        <v>10</v>
      </c>
      <c r="N126" s="413">
        <v>19.95</v>
      </c>
      <c r="O126" s="414">
        <v>2</v>
      </c>
      <c r="P126" s="415" t="s">
        <v>285</v>
      </c>
      <c r="Q126" s="211"/>
      <c r="R126" s="211"/>
      <c r="S126" s="192" t="s">
        <v>5</v>
      </c>
      <c r="T126" s="71"/>
      <c r="U126" s="71"/>
      <c r="V126" s="71"/>
      <c r="W126" s="71"/>
      <c r="X126" s="71"/>
      <c r="Y126" s="94"/>
      <c r="Z126" s="71"/>
      <c r="AA126" s="71"/>
      <c r="AB126" s="106"/>
      <c r="AC126" s="107"/>
      <c r="AD126" s="81"/>
      <c r="AE126" s="67"/>
      <c r="AF126" s="67"/>
      <c r="AG126" s="67"/>
      <c r="AH126" s="67"/>
      <c r="AI126" s="472"/>
      <c r="AJ126" s="67"/>
      <c r="AK126" s="472"/>
      <c r="AL126" s="67"/>
      <c r="AM126" s="67"/>
      <c r="AN126" s="67"/>
      <c r="AO126" s="67"/>
      <c r="AP126" s="67"/>
      <c r="AQ126" s="67"/>
      <c r="AR126" s="71"/>
      <c r="AS126" s="71"/>
      <c r="AT126" s="71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  <c r="BE126" s="67"/>
      <c r="BF126" s="67"/>
      <c r="BG126" s="67"/>
      <c r="BH126" s="67"/>
      <c r="BI126" s="67"/>
      <c r="BJ126" s="67"/>
      <c r="BK126" s="67"/>
      <c r="BL126" s="67"/>
      <c r="BM126" s="67"/>
      <c r="BN126" s="67"/>
      <c r="BO126" s="67"/>
      <c r="BP126" s="67"/>
      <c r="BQ126" s="67"/>
      <c r="BR126" s="67"/>
      <c r="BS126" s="67"/>
      <c r="BT126" s="67"/>
      <c r="BU126" s="67"/>
      <c r="BV126" s="71"/>
      <c r="BW126" s="71"/>
      <c r="BX126" s="71"/>
      <c r="BY126" s="71"/>
      <c r="BZ126" s="71"/>
      <c r="CA126" s="71"/>
      <c r="CB126" s="71"/>
      <c r="CC126" s="71"/>
      <c r="CD126" s="71"/>
      <c r="CE126" s="71"/>
      <c r="CF126" s="71"/>
      <c r="CG126" s="71"/>
      <c r="CH126" s="71"/>
      <c r="CI126" s="71"/>
      <c r="CJ126" s="71"/>
      <c r="CK126" s="71"/>
      <c r="CL126" s="81"/>
      <c r="CM126" s="71"/>
      <c r="CN126" s="218"/>
      <c r="CO126" s="218"/>
      <c r="CP126" s="218"/>
      <c r="CQ126" s="218"/>
      <c r="CR126" s="218"/>
      <c r="CS126" s="218"/>
      <c r="CT126" s="218"/>
      <c r="CU126" s="218"/>
      <c r="CV126" s="218"/>
      <c r="CW126" s="218"/>
      <c r="CX126" s="218"/>
      <c r="CY126" s="218"/>
      <c r="CZ126" s="218"/>
      <c r="DA126" s="218"/>
      <c r="DB126" s="218"/>
      <c r="DC126" s="218"/>
      <c r="DD126" s="218"/>
      <c r="DE126" s="218"/>
      <c r="DF126" s="218"/>
    </row>
    <row r="127" spans="1:110" s="88" customFormat="1" ht="18" x14ac:dyDescent="0.25">
      <c r="A127" s="218"/>
      <c r="B127" s="408"/>
      <c r="C127" s="409" t="s">
        <v>319</v>
      </c>
      <c r="D127" s="410" t="s">
        <v>211</v>
      </c>
      <c r="E127" s="411" t="s">
        <v>213</v>
      </c>
      <c r="F127" s="411" t="s">
        <v>208</v>
      </c>
      <c r="G127" s="411" t="s">
        <v>208</v>
      </c>
      <c r="H127" s="411" t="s">
        <v>208</v>
      </c>
      <c r="I127" s="411" t="s">
        <v>208</v>
      </c>
      <c r="J127" s="411" t="s">
        <v>208</v>
      </c>
      <c r="K127" s="411" t="s">
        <v>208</v>
      </c>
      <c r="L127" s="411" t="s">
        <v>208</v>
      </c>
      <c r="M127" s="412">
        <v>10</v>
      </c>
      <c r="N127" s="413">
        <v>19.95</v>
      </c>
      <c r="O127" s="414">
        <v>2</v>
      </c>
      <c r="P127" s="415" t="s">
        <v>285</v>
      </c>
      <c r="Q127" s="211"/>
      <c r="R127" s="211"/>
      <c r="S127" s="192" t="s">
        <v>5</v>
      </c>
      <c r="T127" s="71"/>
      <c r="U127" s="71"/>
      <c r="V127" s="71"/>
      <c r="W127" s="71"/>
      <c r="X127" s="71"/>
      <c r="Y127" s="94"/>
      <c r="Z127" s="71"/>
      <c r="AA127" s="71"/>
      <c r="AB127" s="106"/>
      <c r="AC127" s="107"/>
      <c r="AD127" s="81"/>
      <c r="AE127" s="67"/>
      <c r="AF127" s="67"/>
      <c r="AG127" s="67"/>
      <c r="AH127" s="67"/>
      <c r="AI127" s="472"/>
      <c r="AJ127" s="67"/>
      <c r="AK127" s="472"/>
      <c r="AL127" s="67"/>
      <c r="AM127" s="67"/>
      <c r="AN127" s="67"/>
      <c r="AO127" s="67"/>
      <c r="AP127" s="67"/>
      <c r="AQ127" s="67"/>
      <c r="AR127" s="71"/>
      <c r="AS127" s="71"/>
      <c r="AT127" s="71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  <c r="BE127" s="67"/>
      <c r="BF127" s="67"/>
      <c r="BG127" s="67"/>
      <c r="BH127" s="67"/>
      <c r="BI127" s="67"/>
      <c r="BJ127" s="67"/>
      <c r="BK127" s="67"/>
      <c r="BL127" s="67"/>
      <c r="BM127" s="67"/>
      <c r="BN127" s="67"/>
      <c r="BO127" s="67"/>
      <c r="BP127" s="67"/>
      <c r="BQ127" s="67"/>
      <c r="BR127" s="67"/>
      <c r="BS127" s="67"/>
      <c r="BT127" s="67"/>
      <c r="BU127" s="67"/>
      <c r="BV127" s="71"/>
      <c r="BW127" s="71"/>
      <c r="BX127" s="71"/>
      <c r="BY127" s="71"/>
      <c r="BZ127" s="71"/>
      <c r="CA127" s="71"/>
      <c r="CB127" s="71"/>
      <c r="CC127" s="71"/>
      <c r="CD127" s="71"/>
      <c r="CE127" s="71"/>
      <c r="CF127" s="71"/>
      <c r="CG127" s="71"/>
      <c r="CH127" s="71"/>
      <c r="CI127" s="71"/>
      <c r="CJ127" s="71"/>
      <c r="CK127" s="71"/>
      <c r="CL127" s="81"/>
      <c r="CM127" s="71"/>
      <c r="CN127" s="218"/>
      <c r="CO127" s="218"/>
      <c r="CP127" s="218"/>
      <c r="CQ127" s="218"/>
      <c r="CR127" s="218"/>
      <c r="CS127" s="218"/>
      <c r="CT127" s="218"/>
      <c r="CU127" s="218"/>
      <c r="CV127" s="218"/>
      <c r="CW127" s="218"/>
      <c r="CX127" s="218"/>
      <c r="CY127" s="218"/>
      <c r="CZ127" s="218"/>
      <c r="DA127" s="218"/>
      <c r="DB127" s="218"/>
      <c r="DC127" s="218"/>
      <c r="DD127" s="218"/>
      <c r="DE127" s="218"/>
      <c r="DF127" s="218"/>
    </row>
    <row r="128" spans="1:110" s="88" customFormat="1" ht="18" x14ac:dyDescent="0.25">
      <c r="A128" s="218"/>
      <c r="B128" s="408"/>
      <c r="C128" s="409" t="s">
        <v>320</v>
      </c>
      <c r="D128" s="410" t="s">
        <v>211</v>
      </c>
      <c r="E128" s="411" t="s">
        <v>213</v>
      </c>
      <c r="F128" s="411" t="s">
        <v>208</v>
      </c>
      <c r="G128" s="411" t="s">
        <v>208</v>
      </c>
      <c r="H128" s="411" t="s">
        <v>208</v>
      </c>
      <c r="I128" s="411" t="s">
        <v>208</v>
      </c>
      <c r="J128" s="411" t="s">
        <v>208</v>
      </c>
      <c r="K128" s="411" t="s">
        <v>208</v>
      </c>
      <c r="L128" s="411" t="s">
        <v>208</v>
      </c>
      <c r="M128" s="412">
        <v>10</v>
      </c>
      <c r="N128" s="413">
        <v>19.95</v>
      </c>
      <c r="O128" s="414">
        <v>2</v>
      </c>
      <c r="P128" s="415" t="s">
        <v>285</v>
      </c>
      <c r="Q128" s="211"/>
      <c r="R128" s="211"/>
      <c r="S128" s="192" t="s">
        <v>5</v>
      </c>
      <c r="T128" s="71"/>
      <c r="U128" s="71"/>
      <c r="V128" s="71"/>
      <c r="W128" s="71"/>
      <c r="X128" s="71"/>
      <c r="Y128" s="94"/>
      <c r="Z128" s="71"/>
      <c r="AA128" s="71"/>
      <c r="AB128" s="106"/>
      <c r="AC128" s="107"/>
      <c r="AD128" s="81"/>
      <c r="AE128" s="67"/>
      <c r="AF128" s="67"/>
      <c r="AG128" s="67"/>
      <c r="AH128" s="67"/>
      <c r="AI128" s="472"/>
      <c r="AJ128" s="67"/>
      <c r="AK128" s="472"/>
      <c r="AL128" s="67"/>
      <c r="AM128" s="67"/>
      <c r="AN128" s="67"/>
      <c r="AO128" s="67"/>
      <c r="AP128" s="67"/>
      <c r="AQ128" s="67"/>
      <c r="AR128" s="71"/>
      <c r="AS128" s="71"/>
      <c r="AT128" s="71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  <c r="BE128" s="67"/>
      <c r="BF128" s="67"/>
      <c r="BG128" s="67"/>
      <c r="BH128" s="67"/>
      <c r="BI128" s="67"/>
      <c r="BJ128" s="67"/>
      <c r="BK128" s="67"/>
      <c r="BL128" s="67"/>
      <c r="BM128" s="67"/>
      <c r="BN128" s="67"/>
      <c r="BO128" s="67"/>
      <c r="BP128" s="67"/>
      <c r="BQ128" s="67"/>
      <c r="BR128" s="67"/>
      <c r="BS128" s="67"/>
      <c r="BT128" s="67"/>
      <c r="BU128" s="67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1"/>
      <c r="CH128" s="71"/>
      <c r="CI128" s="71"/>
      <c r="CJ128" s="71"/>
      <c r="CK128" s="71"/>
      <c r="CL128" s="81"/>
      <c r="CM128" s="71"/>
      <c r="CN128" s="218"/>
      <c r="CO128" s="218"/>
      <c r="CP128" s="218"/>
      <c r="CQ128" s="218"/>
      <c r="CR128" s="218"/>
      <c r="CS128" s="218"/>
      <c r="CT128" s="218"/>
      <c r="CU128" s="218"/>
      <c r="CV128" s="218"/>
      <c r="CW128" s="218"/>
      <c r="CX128" s="218"/>
      <c r="CY128" s="218"/>
      <c r="CZ128" s="218"/>
      <c r="DA128" s="218"/>
      <c r="DB128" s="218"/>
      <c r="DC128" s="218"/>
      <c r="DD128" s="218"/>
      <c r="DE128" s="218"/>
      <c r="DF128" s="218"/>
    </row>
    <row r="129" spans="1:110" s="88" customFormat="1" ht="18" x14ac:dyDescent="0.25">
      <c r="A129" s="218"/>
      <c r="B129" s="408"/>
      <c r="C129" s="409" t="s">
        <v>321</v>
      </c>
      <c r="D129" s="410" t="s">
        <v>211</v>
      </c>
      <c r="E129" s="411" t="s">
        <v>213</v>
      </c>
      <c r="F129" s="411" t="s">
        <v>208</v>
      </c>
      <c r="G129" s="411" t="s">
        <v>208</v>
      </c>
      <c r="H129" s="411" t="s">
        <v>208</v>
      </c>
      <c r="I129" s="411" t="s">
        <v>208</v>
      </c>
      <c r="J129" s="411" t="s">
        <v>208</v>
      </c>
      <c r="K129" s="411" t="s">
        <v>208</v>
      </c>
      <c r="L129" s="411" t="s">
        <v>208</v>
      </c>
      <c r="M129" s="412">
        <v>10</v>
      </c>
      <c r="N129" s="413">
        <v>19.95</v>
      </c>
      <c r="O129" s="414">
        <v>2</v>
      </c>
      <c r="P129" s="415" t="s">
        <v>285</v>
      </c>
      <c r="Q129" s="211"/>
      <c r="R129" s="211"/>
      <c r="S129" s="192" t="s">
        <v>5</v>
      </c>
      <c r="T129" s="71"/>
      <c r="U129" s="71"/>
      <c r="V129" s="71"/>
      <c r="W129" s="71"/>
      <c r="X129" s="71"/>
      <c r="Y129" s="94"/>
      <c r="Z129" s="71"/>
      <c r="AA129" s="71"/>
      <c r="AB129" s="106"/>
      <c r="AC129" s="107"/>
      <c r="AD129" s="81"/>
      <c r="AE129" s="67"/>
      <c r="AF129" s="67"/>
      <c r="AG129" s="67"/>
      <c r="AH129" s="67"/>
      <c r="AI129" s="472"/>
      <c r="AJ129" s="67"/>
      <c r="AK129" s="472"/>
      <c r="AL129" s="67"/>
      <c r="AM129" s="67"/>
      <c r="AN129" s="67"/>
      <c r="AO129" s="67"/>
      <c r="AP129" s="67"/>
      <c r="AQ129" s="67"/>
      <c r="AR129" s="71"/>
      <c r="AS129" s="71"/>
      <c r="AT129" s="71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  <c r="BE129" s="67"/>
      <c r="BF129" s="67"/>
      <c r="BG129" s="67"/>
      <c r="BH129" s="67"/>
      <c r="BI129" s="67"/>
      <c r="BJ129" s="67"/>
      <c r="BK129" s="67"/>
      <c r="BL129" s="67"/>
      <c r="BM129" s="67"/>
      <c r="BN129" s="67"/>
      <c r="BO129" s="67"/>
      <c r="BP129" s="67"/>
      <c r="BQ129" s="67"/>
      <c r="BR129" s="67"/>
      <c r="BS129" s="67"/>
      <c r="BT129" s="67"/>
      <c r="BU129" s="67"/>
      <c r="BV129" s="71"/>
      <c r="BW129" s="71"/>
      <c r="BX129" s="71"/>
      <c r="BY129" s="71"/>
      <c r="BZ129" s="71"/>
      <c r="CA129" s="71"/>
      <c r="CB129" s="71"/>
      <c r="CC129" s="71"/>
      <c r="CD129" s="71"/>
      <c r="CE129" s="71"/>
      <c r="CF129" s="71"/>
      <c r="CG129" s="71"/>
      <c r="CH129" s="71"/>
      <c r="CI129" s="71"/>
      <c r="CJ129" s="71"/>
      <c r="CK129" s="71"/>
      <c r="CL129" s="81"/>
      <c r="CM129" s="71"/>
      <c r="CN129" s="218"/>
      <c r="CO129" s="218"/>
      <c r="CP129" s="218"/>
      <c r="CQ129" s="218"/>
      <c r="CR129" s="218"/>
      <c r="CS129" s="218"/>
      <c r="CT129" s="218"/>
      <c r="CU129" s="218"/>
      <c r="CV129" s="218"/>
      <c r="CW129" s="218"/>
      <c r="CX129" s="218"/>
      <c r="CY129" s="218"/>
      <c r="CZ129" s="218"/>
      <c r="DA129" s="218"/>
      <c r="DB129" s="218"/>
      <c r="DC129" s="218"/>
      <c r="DD129" s="218"/>
      <c r="DE129" s="218"/>
      <c r="DF129" s="218"/>
    </row>
    <row r="130" spans="1:110" s="88" customFormat="1" ht="18" x14ac:dyDescent="0.25">
      <c r="A130" s="218"/>
      <c r="B130" s="408"/>
      <c r="C130" s="409" t="s">
        <v>322</v>
      </c>
      <c r="D130" s="410" t="s">
        <v>211</v>
      </c>
      <c r="E130" s="411" t="s">
        <v>213</v>
      </c>
      <c r="F130" s="411" t="s">
        <v>208</v>
      </c>
      <c r="G130" s="411" t="s">
        <v>208</v>
      </c>
      <c r="H130" s="411" t="s">
        <v>208</v>
      </c>
      <c r="I130" s="411" t="s">
        <v>208</v>
      </c>
      <c r="J130" s="411" t="s">
        <v>208</v>
      </c>
      <c r="K130" s="411" t="s">
        <v>208</v>
      </c>
      <c r="L130" s="411" t="s">
        <v>208</v>
      </c>
      <c r="M130" s="412">
        <v>10</v>
      </c>
      <c r="N130" s="413">
        <v>19.95</v>
      </c>
      <c r="O130" s="414">
        <v>2</v>
      </c>
      <c r="P130" s="415" t="s">
        <v>285</v>
      </c>
      <c r="Q130" s="211"/>
      <c r="R130" s="211"/>
      <c r="S130" s="192" t="s">
        <v>5</v>
      </c>
      <c r="T130" s="71"/>
      <c r="U130" s="71"/>
      <c r="V130" s="71"/>
      <c r="W130" s="71"/>
      <c r="X130" s="71"/>
      <c r="Y130" s="94"/>
      <c r="Z130" s="71"/>
      <c r="AA130" s="71"/>
      <c r="AB130" s="106"/>
      <c r="AC130" s="107"/>
      <c r="AD130" s="81"/>
      <c r="AE130" s="67"/>
      <c r="AF130" s="67"/>
      <c r="AG130" s="67"/>
      <c r="AH130" s="67"/>
      <c r="AI130" s="472"/>
      <c r="AJ130" s="67"/>
      <c r="AK130" s="472"/>
      <c r="AL130" s="67"/>
      <c r="AM130" s="67"/>
      <c r="AN130" s="67"/>
      <c r="AO130" s="67"/>
      <c r="AP130" s="67"/>
      <c r="AQ130" s="67"/>
      <c r="AR130" s="71"/>
      <c r="AS130" s="71"/>
      <c r="AT130" s="71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  <c r="BE130" s="67"/>
      <c r="BF130" s="67"/>
      <c r="BG130" s="67"/>
      <c r="BH130" s="67"/>
      <c r="BI130" s="67"/>
      <c r="BJ130" s="67"/>
      <c r="BK130" s="67"/>
      <c r="BL130" s="67"/>
      <c r="BM130" s="67"/>
      <c r="BN130" s="67"/>
      <c r="BO130" s="67"/>
      <c r="BP130" s="67"/>
      <c r="BQ130" s="67"/>
      <c r="BR130" s="67"/>
      <c r="BS130" s="67"/>
      <c r="BT130" s="67"/>
      <c r="BU130" s="67"/>
      <c r="BV130" s="71"/>
      <c r="BW130" s="71"/>
      <c r="BX130" s="71"/>
      <c r="BY130" s="71"/>
      <c r="BZ130" s="71"/>
      <c r="CA130" s="71"/>
      <c r="CB130" s="71"/>
      <c r="CC130" s="71"/>
      <c r="CD130" s="71"/>
      <c r="CE130" s="71"/>
      <c r="CF130" s="71"/>
      <c r="CG130" s="71"/>
      <c r="CH130" s="71"/>
      <c r="CI130" s="71"/>
      <c r="CJ130" s="71"/>
      <c r="CK130" s="71"/>
      <c r="CL130" s="81"/>
      <c r="CM130" s="71"/>
      <c r="CN130" s="218"/>
      <c r="CO130" s="218"/>
      <c r="CP130" s="218"/>
      <c r="CQ130" s="218"/>
      <c r="CR130" s="218"/>
      <c r="CS130" s="218"/>
      <c r="CT130" s="218"/>
      <c r="CU130" s="218"/>
      <c r="CV130" s="218"/>
      <c r="CW130" s="218"/>
      <c r="CX130" s="218"/>
      <c r="CY130" s="218"/>
      <c r="CZ130" s="218"/>
      <c r="DA130" s="218"/>
      <c r="DB130" s="218"/>
      <c r="DC130" s="218"/>
      <c r="DD130" s="218"/>
      <c r="DE130" s="218"/>
      <c r="DF130" s="218"/>
    </row>
    <row r="131" spans="1:110" s="88" customFormat="1" ht="18" x14ac:dyDescent="0.25">
      <c r="A131" s="218"/>
      <c r="B131" s="408"/>
      <c r="C131" s="409" t="s">
        <v>323</v>
      </c>
      <c r="D131" s="410" t="s">
        <v>211</v>
      </c>
      <c r="E131" s="411" t="s">
        <v>213</v>
      </c>
      <c r="F131" s="411" t="s">
        <v>208</v>
      </c>
      <c r="G131" s="411" t="s">
        <v>208</v>
      </c>
      <c r="H131" s="411" t="s">
        <v>208</v>
      </c>
      <c r="I131" s="411" t="s">
        <v>208</v>
      </c>
      <c r="J131" s="411" t="s">
        <v>208</v>
      </c>
      <c r="K131" s="411" t="s">
        <v>208</v>
      </c>
      <c r="L131" s="411" t="s">
        <v>208</v>
      </c>
      <c r="M131" s="412">
        <v>5</v>
      </c>
      <c r="N131" s="413">
        <v>9.9499999999999993</v>
      </c>
      <c r="O131" s="414">
        <v>2</v>
      </c>
      <c r="P131" s="415" t="s">
        <v>285</v>
      </c>
      <c r="Q131" s="211"/>
      <c r="R131" s="211"/>
      <c r="S131" s="192" t="s">
        <v>5</v>
      </c>
      <c r="T131" s="71"/>
      <c r="U131" s="71"/>
      <c r="V131" s="71"/>
      <c r="W131" s="71"/>
      <c r="X131" s="71"/>
      <c r="Y131" s="94"/>
      <c r="Z131" s="71"/>
      <c r="AA131" s="71"/>
      <c r="AB131" s="106"/>
      <c r="AC131" s="107"/>
      <c r="AD131" s="81"/>
      <c r="AE131" s="67"/>
      <c r="AF131" s="67"/>
      <c r="AG131" s="67"/>
      <c r="AH131" s="67"/>
      <c r="AI131" s="472"/>
      <c r="AJ131" s="67"/>
      <c r="AK131" s="472"/>
      <c r="AL131" s="67"/>
      <c r="AM131" s="67"/>
      <c r="AN131" s="67"/>
      <c r="AO131" s="67"/>
      <c r="AP131" s="67"/>
      <c r="AQ131" s="67"/>
      <c r="AR131" s="71"/>
      <c r="AS131" s="71"/>
      <c r="AT131" s="71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  <c r="BE131" s="67"/>
      <c r="BF131" s="67"/>
      <c r="BG131" s="67"/>
      <c r="BH131" s="67"/>
      <c r="BI131" s="67"/>
      <c r="BJ131" s="67"/>
      <c r="BK131" s="67"/>
      <c r="BL131" s="67"/>
      <c r="BM131" s="67"/>
      <c r="BN131" s="67"/>
      <c r="BO131" s="67"/>
      <c r="BP131" s="67"/>
      <c r="BQ131" s="67"/>
      <c r="BR131" s="67"/>
      <c r="BS131" s="67"/>
      <c r="BT131" s="67"/>
      <c r="BU131" s="67"/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1"/>
      <c r="CG131" s="71"/>
      <c r="CH131" s="71"/>
      <c r="CI131" s="71"/>
      <c r="CJ131" s="71"/>
      <c r="CK131" s="71"/>
      <c r="CL131" s="81"/>
      <c r="CM131" s="71"/>
      <c r="CN131" s="218"/>
      <c r="CO131" s="218"/>
      <c r="CP131" s="218"/>
      <c r="CQ131" s="218"/>
      <c r="CR131" s="218"/>
      <c r="CS131" s="218"/>
      <c r="CT131" s="218"/>
      <c r="CU131" s="218"/>
      <c r="CV131" s="218"/>
      <c r="CW131" s="218"/>
      <c r="CX131" s="218"/>
      <c r="CY131" s="218"/>
      <c r="CZ131" s="218"/>
      <c r="DA131" s="218"/>
      <c r="DB131" s="218"/>
      <c r="DC131" s="218"/>
      <c r="DD131" s="218"/>
      <c r="DE131" s="218"/>
      <c r="DF131" s="218"/>
    </row>
    <row r="132" spans="1:110" s="88" customFormat="1" ht="18" x14ac:dyDescent="0.25">
      <c r="A132" s="218"/>
      <c r="B132" s="408"/>
      <c r="C132" s="409" t="s">
        <v>324</v>
      </c>
      <c r="D132" s="410" t="s">
        <v>211</v>
      </c>
      <c r="E132" s="411" t="s">
        <v>213</v>
      </c>
      <c r="F132" s="411" t="s">
        <v>208</v>
      </c>
      <c r="G132" s="411" t="s">
        <v>208</v>
      </c>
      <c r="H132" s="411" t="s">
        <v>208</v>
      </c>
      <c r="I132" s="411" t="s">
        <v>208</v>
      </c>
      <c r="J132" s="411" t="s">
        <v>208</v>
      </c>
      <c r="K132" s="411" t="s">
        <v>208</v>
      </c>
      <c r="L132" s="411" t="s">
        <v>208</v>
      </c>
      <c r="M132" s="412">
        <v>10</v>
      </c>
      <c r="N132" s="413">
        <v>19.95</v>
      </c>
      <c r="O132" s="414">
        <v>2</v>
      </c>
      <c r="P132" s="415" t="s">
        <v>285</v>
      </c>
      <c r="Q132" s="211"/>
      <c r="R132" s="211"/>
      <c r="S132" s="192" t="s">
        <v>5</v>
      </c>
      <c r="T132" s="71"/>
      <c r="U132" s="71"/>
      <c r="V132" s="71"/>
      <c r="W132" s="71"/>
      <c r="X132" s="71"/>
      <c r="Y132" s="94"/>
      <c r="Z132" s="71"/>
      <c r="AA132" s="71"/>
      <c r="AB132" s="106"/>
      <c r="AC132" s="107"/>
      <c r="AD132" s="81"/>
      <c r="AE132" s="67"/>
      <c r="AF132" s="67"/>
      <c r="AG132" s="67"/>
      <c r="AH132" s="67"/>
      <c r="AI132" s="472"/>
      <c r="AJ132" s="67"/>
      <c r="AK132" s="472"/>
      <c r="AL132" s="67"/>
      <c r="AM132" s="67"/>
      <c r="AN132" s="67"/>
      <c r="AO132" s="67"/>
      <c r="AP132" s="67"/>
      <c r="AQ132" s="67"/>
      <c r="AR132" s="71"/>
      <c r="AS132" s="71"/>
      <c r="AT132" s="71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  <c r="BE132" s="67"/>
      <c r="BF132" s="67"/>
      <c r="BG132" s="67"/>
      <c r="BH132" s="67"/>
      <c r="BI132" s="67"/>
      <c r="BJ132" s="67"/>
      <c r="BK132" s="67"/>
      <c r="BL132" s="67"/>
      <c r="BM132" s="67"/>
      <c r="BN132" s="67"/>
      <c r="BO132" s="67"/>
      <c r="BP132" s="67"/>
      <c r="BQ132" s="67"/>
      <c r="BR132" s="67"/>
      <c r="BS132" s="67"/>
      <c r="BT132" s="67"/>
      <c r="BU132" s="67"/>
      <c r="BV132" s="71"/>
      <c r="BW132" s="71"/>
      <c r="BX132" s="71"/>
      <c r="BY132" s="71"/>
      <c r="BZ132" s="71"/>
      <c r="CA132" s="71"/>
      <c r="CB132" s="71"/>
      <c r="CC132" s="71"/>
      <c r="CD132" s="71"/>
      <c r="CE132" s="71"/>
      <c r="CF132" s="71"/>
      <c r="CG132" s="71"/>
      <c r="CH132" s="71"/>
      <c r="CI132" s="71"/>
      <c r="CJ132" s="71"/>
      <c r="CK132" s="71"/>
      <c r="CL132" s="81"/>
      <c r="CM132" s="71"/>
      <c r="CN132" s="218"/>
      <c r="CO132" s="218"/>
      <c r="CP132" s="218"/>
      <c r="CQ132" s="218"/>
      <c r="CR132" s="218"/>
      <c r="CS132" s="218"/>
      <c r="CT132" s="218"/>
      <c r="CU132" s="218"/>
      <c r="CV132" s="218"/>
      <c r="CW132" s="218"/>
      <c r="CX132" s="218"/>
      <c r="CY132" s="218"/>
      <c r="CZ132" s="218"/>
      <c r="DA132" s="218"/>
      <c r="DB132" s="218"/>
      <c r="DC132" s="218"/>
      <c r="DD132" s="218"/>
      <c r="DE132" s="218"/>
      <c r="DF132" s="218"/>
    </row>
    <row r="133" spans="1:110" s="88" customFormat="1" ht="18" x14ac:dyDescent="0.25">
      <c r="A133" s="218"/>
      <c r="B133" s="408"/>
      <c r="C133" s="409" t="s">
        <v>325</v>
      </c>
      <c r="D133" s="410" t="s">
        <v>211</v>
      </c>
      <c r="E133" s="411" t="s">
        <v>213</v>
      </c>
      <c r="F133" s="411" t="s">
        <v>208</v>
      </c>
      <c r="G133" s="411" t="s">
        <v>208</v>
      </c>
      <c r="H133" s="411" t="s">
        <v>208</v>
      </c>
      <c r="I133" s="411" t="s">
        <v>208</v>
      </c>
      <c r="J133" s="411" t="s">
        <v>208</v>
      </c>
      <c r="K133" s="411" t="s">
        <v>208</v>
      </c>
      <c r="L133" s="411" t="s">
        <v>208</v>
      </c>
      <c r="M133" s="412">
        <v>10</v>
      </c>
      <c r="N133" s="413">
        <v>19.95</v>
      </c>
      <c r="O133" s="414">
        <v>2</v>
      </c>
      <c r="P133" s="415" t="s">
        <v>285</v>
      </c>
      <c r="Q133" s="211"/>
      <c r="R133" s="211"/>
      <c r="S133" s="192" t="s">
        <v>5</v>
      </c>
      <c r="T133" s="71"/>
      <c r="U133" s="71"/>
      <c r="V133" s="71"/>
      <c r="W133" s="71"/>
      <c r="X133" s="71"/>
      <c r="Y133" s="94"/>
      <c r="Z133" s="71"/>
      <c r="AA133" s="71"/>
      <c r="AB133" s="106"/>
      <c r="AC133" s="107"/>
      <c r="AD133" s="81"/>
      <c r="AE133" s="67"/>
      <c r="AF133" s="67"/>
      <c r="AG133" s="67"/>
      <c r="AH133" s="67"/>
      <c r="AI133" s="472"/>
      <c r="AJ133" s="67"/>
      <c r="AK133" s="472"/>
      <c r="AL133" s="67"/>
      <c r="AM133" s="67"/>
      <c r="AN133" s="67"/>
      <c r="AO133" s="67"/>
      <c r="AP133" s="67"/>
      <c r="AQ133" s="67"/>
      <c r="AR133" s="71"/>
      <c r="AS133" s="71"/>
      <c r="AT133" s="71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  <c r="BE133" s="67"/>
      <c r="BF133" s="67"/>
      <c r="BG133" s="67"/>
      <c r="BH133" s="67"/>
      <c r="BI133" s="67"/>
      <c r="BJ133" s="67"/>
      <c r="BK133" s="67"/>
      <c r="BL133" s="67"/>
      <c r="BM133" s="67"/>
      <c r="BN133" s="67"/>
      <c r="BO133" s="67"/>
      <c r="BP133" s="67"/>
      <c r="BQ133" s="67"/>
      <c r="BR133" s="67"/>
      <c r="BS133" s="67"/>
      <c r="BT133" s="67"/>
      <c r="BU133" s="67"/>
      <c r="BV133" s="71"/>
      <c r="BW133" s="71"/>
      <c r="BX133" s="71"/>
      <c r="BY133" s="71"/>
      <c r="BZ133" s="71"/>
      <c r="CA133" s="71"/>
      <c r="CB133" s="71"/>
      <c r="CC133" s="71"/>
      <c r="CD133" s="71"/>
      <c r="CE133" s="71"/>
      <c r="CF133" s="71"/>
      <c r="CG133" s="71"/>
      <c r="CH133" s="71"/>
      <c r="CI133" s="71"/>
      <c r="CJ133" s="71"/>
      <c r="CK133" s="71"/>
      <c r="CL133" s="81"/>
      <c r="CM133" s="71"/>
      <c r="CN133" s="218"/>
      <c r="CO133" s="218"/>
      <c r="CP133" s="218"/>
      <c r="CQ133" s="218"/>
      <c r="CR133" s="218"/>
      <c r="CS133" s="218"/>
      <c r="CT133" s="218"/>
      <c r="CU133" s="218"/>
      <c r="CV133" s="218"/>
      <c r="CW133" s="218"/>
      <c r="CX133" s="218"/>
      <c r="CY133" s="218"/>
      <c r="CZ133" s="218"/>
      <c r="DA133" s="218"/>
      <c r="DB133" s="218"/>
      <c r="DC133" s="218"/>
      <c r="DD133" s="218"/>
      <c r="DE133" s="218"/>
      <c r="DF133" s="218"/>
    </row>
    <row r="134" spans="1:110" s="88" customFormat="1" ht="18" x14ac:dyDescent="0.25">
      <c r="A134" s="218"/>
      <c r="B134" s="408"/>
      <c r="C134" s="409" t="s">
        <v>326</v>
      </c>
      <c r="D134" s="410" t="s">
        <v>211</v>
      </c>
      <c r="E134" s="411" t="s">
        <v>213</v>
      </c>
      <c r="F134" s="411" t="s">
        <v>208</v>
      </c>
      <c r="G134" s="411" t="s">
        <v>208</v>
      </c>
      <c r="H134" s="411" t="s">
        <v>208</v>
      </c>
      <c r="I134" s="411" t="s">
        <v>208</v>
      </c>
      <c r="J134" s="411" t="s">
        <v>208</v>
      </c>
      <c r="K134" s="411" t="s">
        <v>208</v>
      </c>
      <c r="L134" s="411" t="s">
        <v>208</v>
      </c>
      <c r="M134" s="412">
        <v>10</v>
      </c>
      <c r="N134" s="413">
        <v>19.95</v>
      </c>
      <c r="O134" s="414">
        <v>2</v>
      </c>
      <c r="P134" s="415" t="s">
        <v>285</v>
      </c>
      <c r="Q134" s="211"/>
      <c r="R134" s="211"/>
      <c r="S134" s="192" t="s">
        <v>5</v>
      </c>
      <c r="T134" s="71"/>
      <c r="U134" s="71"/>
      <c r="V134" s="71"/>
      <c r="W134" s="71"/>
      <c r="X134" s="71"/>
      <c r="Y134" s="94"/>
      <c r="Z134" s="71"/>
      <c r="AA134" s="71"/>
      <c r="AB134" s="106"/>
      <c r="AC134" s="107"/>
      <c r="AD134" s="81"/>
      <c r="AE134" s="67"/>
      <c r="AF134" s="67"/>
      <c r="AG134" s="67"/>
      <c r="AH134" s="67"/>
      <c r="AI134" s="472"/>
      <c r="AJ134" s="67"/>
      <c r="AK134" s="472"/>
      <c r="AL134" s="67"/>
      <c r="AM134" s="67"/>
      <c r="AN134" s="67"/>
      <c r="AO134" s="67"/>
      <c r="AP134" s="67"/>
      <c r="AQ134" s="67"/>
      <c r="AR134" s="71"/>
      <c r="AS134" s="71"/>
      <c r="AT134" s="71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  <c r="BE134" s="67"/>
      <c r="BF134" s="67"/>
      <c r="BG134" s="67"/>
      <c r="BH134" s="67"/>
      <c r="BI134" s="67"/>
      <c r="BJ134" s="67"/>
      <c r="BK134" s="67"/>
      <c r="BL134" s="67"/>
      <c r="BM134" s="67"/>
      <c r="BN134" s="67"/>
      <c r="BO134" s="67"/>
      <c r="BP134" s="67"/>
      <c r="BQ134" s="67"/>
      <c r="BR134" s="67"/>
      <c r="BS134" s="67"/>
      <c r="BT134" s="67"/>
      <c r="BU134" s="67"/>
      <c r="BV134" s="71"/>
      <c r="BW134" s="71"/>
      <c r="BX134" s="71"/>
      <c r="BY134" s="71"/>
      <c r="BZ134" s="71"/>
      <c r="CA134" s="71"/>
      <c r="CB134" s="71"/>
      <c r="CC134" s="71"/>
      <c r="CD134" s="71"/>
      <c r="CE134" s="71"/>
      <c r="CF134" s="71"/>
      <c r="CG134" s="71"/>
      <c r="CH134" s="71"/>
      <c r="CI134" s="71"/>
      <c r="CJ134" s="71"/>
      <c r="CK134" s="71"/>
      <c r="CL134" s="81"/>
      <c r="CM134" s="71"/>
      <c r="CN134" s="218"/>
      <c r="CO134" s="218"/>
      <c r="CP134" s="218"/>
      <c r="CQ134" s="218"/>
      <c r="CR134" s="218"/>
      <c r="CS134" s="218"/>
      <c r="CT134" s="218"/>
      <c r="CU134" s="218"/>
      <c r="CV134" s="218"/>
      <c r="CW134" s="218"/>
      <c r="CX134" s="218"/>
      <c r="CY134" s="218"/>
      <c r="CZ134" s="218"/>
      <c r="DA134" s="218"/>
      <c r="DB134" s="218"/>
      <c r="DC134" s="218"/>
      <c r="DD134" s="218"/>
      <c r="DE134" s="218"/>
      <c r="DF134" s="218"/>
    </row>
    <row r="135" spans="1:110" s="88" customFormat="1" ht="18" x14ac:dyDescent="0.25">
      <c r="A135" s="218"/>
      <c r="B135" s="408"/>
      <c r="C135" s="409" t="s">
        <v>327</v>
      </c>
      <c r="D135" s="410" t="s">
        <v>211</v>
      </c>
      <c r="E135" s="411" t="s">
        <v>213</v>
      </c>
      <c r="F135" s="411" t="s">
        <v>208</v>
      </c>
      <c r="G135" s="411" t="s">
        <v>208</v>
      </c>
      <c r="H135" s="411" t="s">
        <v>208</v>
      </c>
      <c r="I135" s="411" t="s">
        <v>208</v>
      </c>
      <c r="J135" s="411" t="s">
        <v>208</v>
      </c>
      <c r="K135" s="411" t="s">
        <v>208</v>
      </c>
      <c r="L135" s="411" t="s">
        <v>208</v>
      </c>
      <c r="M135" s="412">
        <v>12.5</v>
      </c>
      <c r="N135" s="413">
        <v>24.95</v>
      </c>
      <c r="O135" s="414">
        <v>2</v>
      </c>
      <c r="P135" s="415" t="s">
        <v>285</v>
      </c>
      <c r="Q135" s="211"/>
      <c r="R135" s="211"/>
      <c r="S135" s="192" t="s">
        <v>5</v>
      </c>
      <c r="T135" s="71"/>
      <c r="U135" s="71"/>
      <c r="V135" s="71"/>
      <c r="W135" s="71"/>
      <c r="X135" s="71"/>
      <c r="Y135" s="94"/>
      <c r="Z135" s="71"/>
      <c r="AA135" s="71"/>
      <c r="AB135" s="106"/>
      <c r="AC135" s="107"/>
      <c r="AD135" s="81"/>
      <c r="AE135" s="67"/>
      <c r="AF135" s="67"/>
      <c r="AG135" s="67"/>
      <c r="AH135" s="67"/>
      <c r="AI135" s="472"/>
      <c r="AJ135" s="67"/>
      <c r="AK135" s="472"/>
      <c r="AL135" s="67"/>
      <c r="AM135" s="67"/>
      <c r="AN135" s="67"/>
      <c r="AO135" s="67"/>
      <c r="AP135" s="67"/>
      <c r="AQ135" s="67"/>
      <c r="AR135" s="71"/>
      <c r="AS135" s="71"/>
      <c r="AT135" s="71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  <c r="BE135" s="67"/>
      <c r="BF135" s="67"/>
      <c r="BG135" s="67"/>
      <c r="BH135" s="67"/>
      <c r="BI135" s="67"/>
      <c r="BJ135" s="67"/>
      <c r="BK135" s="67"/>
      <c r="BL135" s="67"/>
      <c r="BM135" s="67"/>
      <c r="BN135" s="67"/>
      <c r="BO135" s="67"/>
      <c r="BP135" s="67"/>
      <c r="BQ135" s="67"/>
      <c r="BR135" s="67"/>
      <c r="BS135" s="67"/>
      <c r="BT135" s="67"/>
      <c r="BU135" s="67"/>
      <c r="BV135" s="71"/>
      <c r="BW135" s="71"/>
      <c r="BX135" s="71"/>
      <c r="BY135" s="71"/>
      <c r="BZ135" s="71"/>
      <c r="CA135" s="71"/>
      <c r="CB135" s="71"/>
      <c r="CC135" s="71"/>
      <c r="CD135" s="71"/>
      <c r="CE135" s="71"/>
      <c r="CF135" s="71"/>
      <c r="CG135" s="71"/>
      <c r="CH135" s="71"/>
      <c r="CI135" s="71"/>
      <c r="CJ135" s="71"/>
      <c r="CK135" s="71"/>
      <c r="CL135" s="81"/>
      <c r="CM135" s="71"/>
      <c r="CN135" s="218"/>
      <c r="CO135" s="218"/>
      <c r="CP135" s="218"/>
      <c r="CQ135" s="218"/>
      <c r="CR135" s="218"/>
      <c r="CS135" s="218"/>
      <c r="CT135" s="218"/>
      <c r="CU135" s="218"/>
      <c r="CV135" s="218"/>
      <c r="CW135" s="218"/>
      <c r="CX135" s="218"/>
      <c r="CY135" s="218"/>
      <c r="CZ135" s="218"/>
      <c r="DA135" s="218"/>
      <c r="DB135" s="218"/>
      <c r="DC135" s="218"/>
      <c r="DD135" s="218"/>
      <c r="DE135" s="218"/>
      <c r="DF135" s="218"/>
    </row>
    <row r="136" spans="1:110" s="88" customFormat="1" ht="18" x14ac:dyDescent="0.25">
      <c r="A136" s="218"/>
      <c r="B136" s="408"/>
      <c r="C136" s="416" t="s">
        <v>328</v>
      </c>
      <c r="D136" s="417" t="s">
        <v>211</v>
      </c>
      <c r="E136" s="418" t="s">
        <v>213</v>
      </c>
      <c r="F136" s="418" t="s">
        <v>208</v>
      </c>
      <c r="G136" s="418" t="s">
        <v>208</v>
      </c>
      <c r="H136" s="418" t="s">
        <v>208</v>
      </c>
      <c r="I136" s="418" t="s">
        <v>208</v>
      </c>
      <c r="J136" s="418" t="s">
        <v>208</v>
      </c>
      <c r="K136" s="418" t="s">
        <v>208</v>
      </c>
      <c r="L136" s="418" t="s">
        <v>208</v>
      </c>
      <c r="M136" s="419">
        <v>15</v>
      </c>
      <c r="N136" s="420">
        <v>29.95</v>
      </c>
      <c r="O136" s="421">
        <v>2</v>
      </c>
      <c r="P136" s="422" t="s">
        <v>332</v>
      </c>
      <c r="Q136" s="211"/>
      <c r="R136" s="211"/>
      <c r="S136" s="192" t="s">
        <v>5</v>
      </c>
      <c r="T136" s="71"/>
      <c r="U136" s="71"/>
      <c r="V136" s="71"/>
      <c r="W136" s="71"/>
      <c r="X136" s="71"/>
      <c r="Y136" s="94"/>
      <c r="Z136" s="71"/>
      <c r="AA136" s="71"/>
      <c r="AB136" s="106"/>
      <c r="AC136" s="107"/>
      <c r="AD136" s="81"/>
      <c r="AE136" s="67"/>
      <c r="AF136" s="67"/>
      <c r="AG136" s="67"/>
      <c r="AH136" s="67"/>
      <c r="AI136" s="472"/>
      <c r="AJ136" s="67"/>
      <c r="AK136" s="472"/>
      <c r="AL136" s="67"/>
      <c r="AM136" s="67"/>
      <c r="AN136" s="67"/>
      <c r="AO136" s="67"/>
      <c r="AP136" s="67"/>
      <c r="AQ136" s="67"/>
      <c r="AR136" s="71"/>
      <c r="AS136" s="71"/>
      <c r="AT136" s="71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  <c r="BE136" s="67"/>
      <c r="BF136" s="67"/>
      <c r="BG136" s="67"/>
      <c r="BH136" s="67"/>
      <c r="BI136" s="67"/>
      <c r="BJ136" s="67"/>
      <c r="BK136" s="67"/>
      <c r="BL136" s="67"/>
      <c r="BM136" s="67"/>
      <c r="BN136" s="67"/>
      <c r="BO136" s="67"/>
      <c r="BP136" s="67"/>
      <c r="BQ136" s="67"/>
      <c r="BR136" s="67"/>
      <c r="BS136" s="67"/>
      <c r="BT136" s="67"/>
      <c r="BU136" s="67"/>
      <c r="BV136" s="71"/>
      <c r="BW136" s="71"/>
      <c r="BX136" s="71"/>
      <c r="BY136" s="71"/>
      <c r="BZ136" s="71"/>
      <c r="CA136" s="71"/>
      <c r="CB136" s="71"/>
      <c r="CC136" s="71"/>
      <c r="CD136" s="71"/>
      <c r="CE136" s="71"/>
      <c r="CF136" s="71"/>
      <c r="CG136" s="71"/>
      <c r="CH136" s="71"/>
      <c r="CI136" s="71"/>
      <c r="CJ136" s="71"/>
      <c r="CK136" s="71"/>
      <c r="CL136" s="81"/>
      <c r="CM136" s="71"/>
      <c r="CN136" s="218"/>
      <c r="CO136" s="218"/>
      <c r="CP136" s="218"/>
      <c r="CQ136" s="218"/>
      <c r="CR136" s="218"/>
      <c r="CS136" s="218"/>
      <c r="CT136" s="218"/>
      <c r="CU136" s="218"/>
      <c r="CV136" s="218"/>
      <c r="CW136" s="218"/>
      <c r="CX136" s="218"/>
      <c r="CY136" s="218"/>
      <c r="CZ136" s="218"/>
      <c r="DA136" s="218"/>
      <c r="DB136" s="218"/>
      <c r="DC136" s="218"/>
      <c r="DD136" s="218"/>
      <c r="DE136" s="218"/>
      <c r="DF136" s="218"/>
    </row>
    <row r="137" spans="1:110" s="88" customFormat="1" ht="18" x14ac:dyDescent="0.25">
      <c r="A137" s="218"/>
      <c r="B137" s="408"/>
      <c r="C137" s="409" t="s">
        <v>329</v>
      </c>
      <c r="D137" s="410" t="s">
        <v>211</v>
      </c>
      <c r="E137" s="411" t="s">
        <v>213</v>
      </c>
      <c r="F137" s="411" t="s">
        <v>208</v>
      </c>
      <c r="G137" s="411" t="s">
        <v>208</v>
      </c>
      <c r="H137" s="411" t="s">
        <v>208</v>
      </c>
      <c r="I137" s="411" t="s">
        <v>208</v>
      </c>
      <c r="J137" s="411" t="s">
        <v>208</v>
      </c>
      <c r="K137" s="411" t="s">
        <v>208</v>
      </c>
      <c r="L137" s="411" t="s">
        <v>208</v>
      </c>
      <c r="M137" s="412">
        <v>20</v>
      </c>
      <c r="N137" s="413">
        <v>39.950000000000003</v>
      </c>
      <c r="O137" s="414">
        <v>2</v>
      </c>
      <c r="P137" s="415" t="s">
        <v>285</v>
      </c>
      <c r="Q137" s="211"/>
      <c r="R137" s="211"/>
      <c r="S137" s="192" t="s">
        <v>5</v>
      </c>
      <c r="T137" s="71"/>
      <c r="U137" s="71"/>
      <c r="V137" s="71"/>
      <c r="W137" s="71"/>
      <c r="X137" s="71"/>
      <c r="Y137" s="94"/>
      <c r="Z137" s="71"/>
      <c r="AA137" s="71"/>
      <c r="AB137" s="106"/>
      <c r="AC137" s="107"/>
      <c r="AD137" s="81"/>
      <c r="AE137" s="67"/>
      <c r="AF137" s="67"/>
      <c r="AG137" s="67"/>
      <c r="AH137" s="67"/>
      <c r="AI137" s="472"/>
      <c r="AJ137" s="67"/>
      <c r="AK137" s="472"/>
      <c r="AL137" s="67"/>
      <c r="AM137" s="67"/>
      <c r="AN137" s="67"/>
      <c r="AO137" s="67"/>
      <c r="AP137" s="67"/>
      <c r="AQ137" s="67"/>
      <c r="AR137" s="71"/>
      <c r="AS137" s="71"/>
      <c r="AT137" s="71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  <c r="BE137" s="67"/>
      <c r="BF137" s="67"/>
      <c r="BG137" s="67"/>
      <c r="BH137" s="67"/>
      <c r="BI137" s="67"/>
      <c r="BJ137" s="67"/>
      <c r="BK137" s="67"/>
      <c r="BL137" s="67"/>
      <c r="BM137" s="67"/>
      <c r="BN137" s="67"/>
      <c r="BO137" s="67"/>
      <c r="BP137" s="67"/>
      <c r="BQ137" s="67"/>
      <c r="BR137" s="67"/>
      <c r="BS137" s="67"/>
      <c r="BT137" s="67"/>
      <c r="BU137" s="67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81"/>
      <c r="CM137" s="71"/>
      <c r="CN137" s="218"/>
      <c r="CO137" s="218"/>
      <c r="CP137" s="218"/>
      <c r="CQ137" s="218"/>
      <c r="CR137" s="218"/>
      <c r="CS137" s="218"/>
      <c r="CT137" s="218"/>
      <c r="CU137" s="218"/>
      <c r="CV137" s="218"/>
      <c r="CW137" s="218"/>
      <c r="CX137" s="218"/>
      <c r="CY137" s="218"/>
      <c r="CZ137" s="218"/>
      <c r="DA137" s="218"/>
      <c r="DB137" s="218"/>
      <c r="DC137" s="218"/>
      <c r="DD137" s="218"/>
      <c r="DE137" s="218"/>
      <c r="DF137" s="218"/>
    </row>
    <row r="138" spans="1:110" s="88" customFormat="1" ht="18" x14ac:dyDescent="0.25">
      <c r="A138" s="218"/>
      <c r="B138" s="408"/>
      <c r="C138" s="409" t="s">
        <v>330</v>
      </c>
      <c r="D138" s="410" t="s">
        <v>211</v>
      </c>
      <c r="E138" s="411" t="s">
        <v>213</v>
      </c>
      <c r="F138" s="411" t="s">
        <v>208</v>
      </c>
      <c r="G138" s="411" t="s">
        <v>208</v>
      </c>
      <c r="H138" s="411" t="s">
        <v>208</v>
      </c>
      <c r="I138" s="411" t="s">
        <v>208</v>
      </c>
      <c r="J138" s="411" t="s">
        <v>208</v>
      </c>
      <c r="K138" s="411" t="s">
        <v>208</v>
      </c>
      <c r="L138" s="411" t="s">
        <v>208</v>
      </c>
      <c r="M138" s="412">
        <v>32.5</v>
      </c>
      <c r="N138" s="413">
        <v>64.95</v>
      </c>
      <c r="O138" s="414">
        <v>2</v>
      </c>
      <c r="P138" s="415" t="s">
        <v>285</v>
      </c>
      <c r="Q138" s="211"/>
      <c r="R138" s="211"/>
      <c r="S138" s="192" t="s">
        <v>5</v>
      </c>
      <c r="T138" s="71"/>
      <c r="U138" s="71"/>
      <c r="V138" s="71"/>
      <c r="W138" s="71"/>
      <c r="X138" s="71"/>
      <c r="Y138" s="94"/>
      <c r="Z138" s="71"/>
      <c r="AA138" s="71"/>
      <c r="AB138" s="106"/>
      <c r="AC138" s="107"/>
      <c r="AD138" s="81"/>
      <c r="AE138" s="67"/>
      <c r="AF138" s="67"/>
      <c r="AG138" s="67"/>
      <c r="AH138" s="67"/>
      <c r="AI138" s="472"/>
      <c r="AJ138" s="67"/>
      <c r="AK138" s="472"/>
      <c r="AL138" s="67"/>
      <c r="AM138" s="67"/>
      <c r="AN138" s="67"/>
      <c r="AO138" s="67"/>
      <c r="AP138" s="67"/>
      <c r="AQ138" s="67"/>
      <c r="AR138" s="71"/>
      <c r="AS138" s="71"/>
      <c r="AT138" s="71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  <c r="BE138" s="67"/>
      <c r="BF138" s="67"/>
      <c r="BG138" s="67"/>
      <c r="BH138" s="67"/>
      <c r="BI138" s="67"/>
      <c r="BJ138" s="67"/>
      <c r="BK138" s="67"/>
      <c r="BL138" s="67"/>
      <c r="BM138" s="67"/>
      <c r="BN138" s="67"/>
      <c r="BO138" s="67"/>
      <c r="BP138" s="67"/>
      <c r="BQ138" s="67"/>
      <c r="BR138" s="67"/>
      <c r="BS138" s="67"/>
      <c r="BT138" s="67"/>
      <c r="BU138" s="67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81"/>
      <c r="CM138" s="71"/>
      <c r="CN138" s="218"/>
      <c r="CO138" s="218"/>
      <c r="CP138" s="218"/>
      <c r="CQ138" s="218"/>
      <c r="CR138" s="218"/>
      <c r="CS138" s="218"/>
      <c r="CT138" s="218"/>
      <c r="CU138" s="218"/>
      <c r="CV138" s="218"/>
      <c r="CW138" s="218"/>
      <c r="CX138" s="218"/>
      <c r="CY138" s="218"/>
      <c r="CZ138" s="218"/>
      <c r="DA138" s="218"/>
      <c r="DB138" s="218"/>
      <c r="DC138" s="218"/>
      <c r="DD138" s="218"/>
      <c r="DE138" s="218"/>
      <c r="DF138" s="218"/>
    </row>
    <row r="139" spans="1:110" s="88" customFormat="1" thickBot="1" x14ac:dyDescent="0.3">
      <c r="A139" s="218"/>
      <c r="B139" s="408"/>
      <c r="C139" s="416" t="s">
        <v>331</v>
      </c>
      <c r="D139" s="417" t="s">
        <v>211</v>
      </c>
      <c r="E139" s="418" t="s">
        <v>213</v>
      </c>
      <c r="F139" s="418" t="s">
        <v>208</v>
      </c>
      <c r="G139" s="418" t="s">
        <v>208</v>
      </c>
      <c r="H139" s="418" t="s">
        <v>208</v>
      </c>
      <c r="I139" s="418" t="s">
        <v>208</v>
      </c>
      <c r="J139" s="418" t="s">
        <v>208</v>
      </c>
      <c r="K139" s="418" t="s">
        <v>208</v>
      </c>
      <c r="L139" s="418" t="s">
        <v>208</v>
      </c>
      <c r="M139" s="419">
        <v>15</v>
      </c>
      <c r="N139" s="420">
        <v>29.95</v>
      </c>
      <c r="O139" s="421">
        <v>2</v>
      </c>
      <c r="P139" s="422" t="s">
        <v>332</v>
      </c>
      <c r="Q139" s="211"/>
      <c r="R139" s="211"/>
      <c r="S139" s="192" t="s">
        <v>5</v>
      </c>
      <c r="T139" s="71"/>
      <c r="U139" s="71"/>
      <c r="V139" s="71"/>
      <c r="W139" s="71"/>
      <c r="X139" s="71"/>
      <c r="Y139" s="94"/>
      <c r="Z139" s="71"/>
      <c r="AA139" s="71"/>
      <c r="AB139" s="106"/>
      <c r="AC139" s="107"/>
      <c r="AD139" s="81"/>
      <c r="AE139" s="67"/>
      <c r="AF139" s="67"/>
      <c r="AG139" s="67"/>
      <c r="AH139" s="67"/>
      <c r="AI139" s="472"/>
      <c r="AJ139" s="67"/>
      <c r="AK139" s="472"/>
      <c r="AL139" s="67"/>
      <c r="AM139" s="67"/>
      <c r="AN139" s="67"/>
      <c r="AO139" s="67"/>
      <c r="AP139" s="67"/>
      <c r="AQ139" s="67"/>
      <c r="AR139" s="71"/>
      <c r="AS139" s="71"/>
      <c r="AT139" s="71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  <c r="BF139" s="67"/>
      <c r="BG139" s="67"/>
      <c r="BH139" s="67"/>
      <c r="BI139" s="67"/>
      <c r="BJ139" s="67"/>
      <c r="BK139" s="67"/>
      <c r="BL139" s="67"/>
      <c r="BM139" s="67"/>
      <c r="BN139" s="67"/>
      <c r="BO139" s="67"/>
      <c r="BP139" s="67"/>
      <c r="BQ139" s="67"/>
      <c r="BR139" s="67"/>
      <c r="BS139" s="67"/>
      <c r="BT139" s="67"/>
      <c r="BU139" s="67"/>
      <c r="BV139" s="71"/>
      <c r="BW139" s="71"/>
      <c r="BX139" s="71"/>
      <c r="BY139" s="71"/>
      <c r="BZ139" s="71"/>
      <c r="CA139" s="71"/>
      <c r="CB139" s="71"/>
      <c r="CC139" s="71"/>
      <c r="CD139" s="71"/>
      <c r="CE139" s="71"/>
      <c r="CF139" s="71"/>
      <c r="CG139" s="71"/>
      <c r="CH139" s="71"/>
      <c r="CI139" s="71"/>
      <c r="CJ139" s="71"/>
      <c r="CK139" s="71"/>
      <c r="CL139" s="81"/>
      <c r="CM139" s="71"/>
      <c r="CN139" s="218"/>
      <c r="CO139" s="218"/>
      <c r="CP139" s="218"/>
      <c r="CQ139" s="218"/>
      <c r="CR139" s="218"/>
      <c r="CS139" s="218"/>
      <c r="CT139" s="218"/>
      <c r="CU139" s="218"/>
      <c r="CV139" s="218"/>
      <c r="CW139" s="218"/>
      <c r="CX139" s="218"/>
      <c r="CY139" s="218"/>
      <c r="CZ139" s="218"/>
      <c r="DA139" s="218"/>
      <c r="DB139" s="218"/>
      <c r="DC139" s="218"/>
      <c r="DD139" s="218"/>
      <c r="DE139" s="218"/>
      <c r="DF139" s="218"/>
    </row>
    <row r="140" spans="1:110" s="1" customFormat="1" thickBot="1" x14ac:dyDescent="0.35">
      <c r="A140" s="225"/>
      <c r="B140" s="326" t="s">
        <v>222</v>
      </c>
      <c r="C140" s="327" t="s">
        <v>219</v>
      </c>
      <c r="D140" s="327"/>
      <c r="E140" s="328">
        <f t="shared" ref="E140:L140" si="8">SUMIF(E$42:E$139,"µ",$N$42:$N$139)</f>
        <v>0</v>
      </c>
      <c r="F140" s="353">
        <f t="shared" si="8"/>
        <v>9.9499999999999993</v>
      </c>
      <c r="G140" s="328">
        <f t="shared" si="8"/>
        <v>49.900000000000006</v>
      </c>
      <c r="H140" s="328">
        <f t="shared" si="8"/>
        <v>44.940000000000005</v>
      </c>
      <c r="I140" s="328">
        <f t="shared" si="8"/>
        <v>0</v>
      </c>
      <c r="J140" s="328">
        <f t="shared" si="8"/>
        <v>224.59999999999997</v>
      </c>
      <c r="K140" s="328">
        <f t="shared" si="8"/>
        <v>254.59999999999997</v>
      </c>
      <c r="L140" s="329">
        <f t="shared" si="8"/>
        <v>454.2999999999999</v>
      </c>
      <c r="M140" s="330">
        <f>SUM(M42:M139)</f>
        <v>1086.5000000000005</v>
      </c>
      <c r="N140" s="331">
        <f>SUM(N42:N139)</f>
        <v>1455.6400000000021</v>
      </c>
      <c r="O140" s="375">
        <f>SUM(O42:O139)</f>
        <v>154</v>
      </c>
      <c r="P140" s="225"/>
      <c r="Q140" s="211"/>
      <c r="R140" s="211"/>
      <c r="S140" s="195" t="s">
        <v>5</v>
      </c>
      <c r="T140" s="39"/>
      <c r="U140" s="71"/>
      <c r="V140" s="71"/>
      <c r="W140" s="71"/>
      <c r="X140" s="71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476"/>
      <c r="AJ140" s="39"/>
      <c r="AK140" s="476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40"/>
      <c r="CD140" s="40"/>
      <c r="CE140" s="38">
        <v>1.984126984126984E-2</v>
      </c>
      <c r="CF140" s="117">
        <f>CE140/$CE$196</f>
        <v>3.2051282051282055E-2</v>
      </c>
      <c r="CG140" s="39"/>
      <c r="CH140" s="40"/>
      <c r="CI140" s="40"/>
      <c r="CJ140" s="39"/>
      <c r="CK140" s="39"/>
      <c r="CL140" s="41"/>
      <c r="CM140" s="39"/>
      <c r="CN140" s="225"/>
      <c r="CO140" s="225"/>
      <c r="CP140" s="225"/>
      <c r="CQ140" s="225"/>
      <c r="CR140" s="225"/>
      <c r="CS140" s="225"/>
      <c r="CT140" s="225"/>
      <c r="CU140" s="225"/>
      <c r="CV140" s="225"/>
      <c r="CW140" s="225"/>
      <c r="CX140" s="225"/>
      <c r="CY140" s="225"/>
      <c r="CZ140" s="225"/>
      <c r="DA140" s="225"/>
      <c r="DB140" s="225"/>
      <c r="DC140" s="225"/>
      <c r="DD140" s="225"/>
      <c r="DE140" s="225"/>
      <c r="DF140" s="225"/>
    </row>
    <row r="141" spans="1:110" s="2" customFormat="1" thickBot="1" x14ac:dyDescent="0.35">
      <c r="A141" s="211"/>
      <c r="B141" s="231"/>
      <c r="C141" s="211"/>
      <c r="D141" s="211"/>
      <c r="E141" s="240"/>
      <c r="F141" s="354"/>
      <c r="G141" s="240"/>
      <c r="H141" s="240"/>
      <c r="I141" s="240"/>
      <c r="J141" s="240"/>
      <c r="K141" s="240"/>
      <c r="L141" s="240"/>
      <c r="M141" s="233"/>
      <c r="N141" s="234"/>
      <c r="O141" s="368"/>
      <c r="P141" s="242"/>
      <c r="Q141" s="211"/>
      <c r="R141" s="211"/>
      <c r="S141" s="192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475"/>
      <c r="AJ141" s="71"/>
      <c r="AK141" s="475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211"/>
      <c r="CO141" s="211"/>
      <c r="CP141" s="211"/>
      <c r="CQ141" s="211"/>
      <c r="CR141" s="211"/>
      <c r="CS141" s="211"/>
      <c r="CT141" s="211"/>
      <c r="CU141" s="211"/>
      <c r="CV141" s="211"/>
      <c r="CW141" s="211"/>
      <c r="CX141" s="211"/>
      <c r="CY141" s="211"/>
      <c r="CZ141" s="211"/>
      <c r="DA141" s="211"/>
      <c r="DB141" s="211"/>
      <c r="DC141" s="211"/>
      <c r="DD141" s="211"/>
      <c r="DE141" s="211"/>
      <c r="DF141" s="211"/>
    </row>
    <row r="142" spans="1:110" s="88" customFormat="1" ht="60" x14ac:dyDescent="0.25">
      <c r="A142" s="218"/>
      <c r="B142" s="267" t="s">
        <v>217</v>
      </c>
      <c r="C142" s="320" t="s">
        <v>216</v>
      </c>
      <c r="D142" s="321" t="s">
        <v>3</v>
      </c>
      <c r="E142" s="297" t="s">
        <v>16</v>
      </c>
      <c r="F142" s="355">
        <f t="shared" ref="F142:L142" si="9">F11</f>
        <v>0</v>
      </c>
      <c r="G142" s="297" t="str">
        <f t="shared" si="9"/>
        <v>Schüler</v>
      </c>
      <c r="H142" s="298" t="str">
        <f t="shared" si="9"/>
        <v>Neu in Aventurien</v>
      </c>
      <c r="I142" s="297" t="str">
        <f t="shared" si="9"/>
        <v>Lehrerin</v>
      </c>
      <c r="J142" s="299" t="str">
        <f t="shared" si="9"/>
        <v>Gastgeber der Leiden-schaft</v>
      </c>
      <c r="K142" s="299" t="str">
        <f t="shared" si="9"/>
        <v>Hüterin der Zehn Göttlichen Gaben</v>
      </c>
      <c r="L142" s="299" t="str">
        <f t="shared" si="9"/>
        <v>Geliebter der Göttin</v>
      </c>
      <c r="M142" s="268" t="s">
        <v>15</v>
      </c>
      <c r="N142" s="269" t="s">
        <v>189</v>
      </c>
      <c r="O142" s="370" t="s">
        <v>185</v>
      </c>
      <c r="P142" s="325" t="s">
        <v>101</v>
      </c>
      <c r="Q142" s="211"/>
      <c r="R142" s="211"/>
      <c r="S142" s="193" t="s">
        <v>14</v>
      </c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475"/>
      <c r="AJ142" s="71"/>
      <c r="AK142" s="475"/>
      <c r="AL142" s="71"/>
      <c r="AM142" s="71"/>
      <c r="AN142" s="106"/>
      <c r="AO142" s="106"/>
      <c r="AP142" s="106"/>
      <c r="AQ142" s="71"/>
      <c r="AR142" s="106"/>
      <c r="AS142" s="106"/>
      <c r="AT142" s="106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/>
      <c r="BX142" s="71"/>
      <c r="BY142" s="71"/>
      <c r="BZ142" s="71"/>
      <c r="CA142" s="71"/>
      <c r="CB142" s="71"/>
      <c r="CC142" s="71"/>
      <c r="CD142" s="71"/>
      <c r="CE142" s="71"/>
      <c r="CF142" s="71"/>
      <c r="CG142" s="71"/>
      <c r="CH142" s="71"/>
      <c r="CI142" s="71"/>
      <c r="CJ142" s="71"/>
      <c r="CK142" s="71"/>
      <c r="CL142" s="81"/>
      <c r="CM142" s="71"/>
      <c r="CN142" s="218"/>
      <c r="CO142" s="218"/>
      <c r="CP142" s="218"/>
      <c r="CQ142" s="218"/>
      <c r="CR142" s="218"/>
      <c r="CS142" s="218"/>
      <c r="CT142" s="218"/>
      <c r="CU142" s="218"/>
      <c r="CV142" s="218"/>
      <c r="CW142" s="218"/>
      <c r="CX142" s="218"/>
      <c r="CY142" s="218"/>
      <c r="CZ142" s="218"/>
      <c r="DA142" s="218"/>
      <c r="DB142" s="218"/>
      <c r="DC142" s="218"/>
      <c r="DD142" s="218"/>
      <c r="DE142" s="218"/>
      <c r="DF142" s="218"/>
    </row>
    <row r="143" spans="1:110" s="101" customFormat="1" ht="18" collapsed="1" x14ac:dyDescent="0.25">
      <c r="A143" s="223"/>
      <c r="B143" s="462"/>
      <c r="C143" s="270" t="s">
        <v>373</v>
      </c>
      <c r="D143" s="333" t="s">
        <v>6</v>
      </c>
      <c r="E143" s="467" t="s">
        <v>208</v>
      </c>
      <c r="F143" s="467" t="s">
        <v>208</v>
      </c>
      <c r="G143" s="467" t="s">
        <v>208</v>
      </c>
      <c r="H143" s="467" t="s">
        <v>208</v>
      </c>
      <c r="I143" s="467" t="s">
        <v>208</v>
      </c>
      <c r="J143" s="467" t="s">
        <v>208</v>
      </c>
      <c r="K143" s="467" t="s">
        <v>208</v>
      </c>
      <c r="L143" s="467" t="s">
        <v>208</v>
      </c>
      <c r="M143" s="463">
        <v>100</v>
      </c>
      <c r="N143" s="464">
        <v>100</v>
      </c>
      <c r="O143" s="465" t="s">
        <v>6</v>
      </c>
      <c r="P143" s="466" t="s">
        <v>372</v>
      </c>
      <c r="Q143" s="211"/>
      <c r="R143" s="211"/>
      <c r="S143" s="192" t="s">
        <v>5</v>
      </c>
      <c r="T143" s="104" t="e">
        <f>#REF!/2</f>
        <v>#REF!</v>
      </c>
      <c r="U143" s="104">
        <f>SUM(N143:N152)</f>
        <v>227.41000000000005</v>
      </c>
      <c r="V143" s="71"/>
      <c r="W143" s="71"/>
      <c r="X143" s="71"/>
      <c r="Y143" s="91"/>
      <c r="Z143" s="91"/>
      <c r="AA143" s="91"/>
      <c r="AB143" s="91"/>
      <c r="AC143" s="67"/>
      <c r="AD143" s="67"/>
      <c r="AE143" s="67"/>
      <c r="AF143" s="67"/>
      <c r="AG143" s="67"/>
      <c r="AH143" s="71"/>
      <c r="AI143" s="475"/>
      <c r="AJ143" s="71"/>
      <c r="AK143" s="475"/>
      <c r="AL143" s="71"/>
      <c r="AM143" s="71"/>
      <c r="AN143" s="106"/>
      <c r="AO143" s="106"/>
      <c r="AP143" s="106"/>
      <c r="AQ143" s="91"/>
      <c r="AR143" s="91"/>
      <c r="AS143" s="91"/>
      <c r="AT143" s="91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  <c r="BE143" s="67"/>
      <c r="BF143" s="67"/>
      <c r="BG143" s="67"/>
      <c r="BH143" s="67"/>
      <c r="BI143" s="67"/>
      <c r="BJ143" s="67"/>
      <c r="BK143" s="67"/>
      <c r="BL143" s="67"/>
      <c r="BM143" s="67"/>
      <c r="BN143" s="67"/>
      <c r="BO143" s="67"/>
      <c r="BP143" s="67"/>
      <c r="BQ143" s="67"/>
      <c r="BR143" s="67"/>
      <c r="BS143" s="67"/>
      <c r="BT143" s="67"/>
      <c r="BU143" s="67"/>
      <c r="BV143" s="91"/>
      <c r="BW143" s="91"/>
      <c r="BX143" s="91"/>
      <c r="BY143" s="91"/>
      <c r="BZ143" s="91"/>
      <c r="CA143" s="91"/>
      <c r="CB143" s="91"/>
      <c r="CC143" s="91"/>
      <c r="CD143" s="91"/>
      <c r="CE143" s="91"/>
      <c r="CF143" s="91"/>
      <c r="CG143" s="91"/>
      <c r="CH143" s="91"/>
      <c r="CI143" s="91"/>
      <c r="CJ143" s="91"/>
      <c r="CK143" s="91"/>
      <c r="CL143" s="100"/>
      <c r="CM143" s="91"/>
      <c r="CN143" s="223"/>
      <c r="CO143" s="223"/>
      <c r="CP143" s="223"/>
      <c r="CQ143" s="223"/>
      <c r="CR143" s="223"/>
      <c r="CS143" s="223"/>
      <c r="CT143" s="223"/>
      <c r="CU143" s="223"/>
      <c r="CV143" s="223"/>
      <c r="CW143" s="223"/>
      <c r="CX143" s="223"/>
      <c r="CY143" s="223"/>
      <c r="CZ143" s="223"/>
      <c r="DA143" s="223"/>
      <c r="DB143" s="223"/>
      <c r="DC143" s="223"/>
      <c r="DD143" s="223"/>
      <c r="DE143" s="223"/>
      <c r="DF143" s="223"/>
    </row>
    <row r="144" spans="1:110" s="101" customFormat="1" ht="18" x14ac:dyDescent="0.25">
      <c r="A144" s="223"/>
      <c r="B144" s="204"/>
      <c r="C144" s="95" t="s">
        <v>256</v>
      </c>
      <c r="D144" s="96" t="s">
        <v>151</v>
      </c>
      <c r="E144" s="310" t="s">
        <v>213</v>
      </c>
      <c r="F144" s="351" t="str">
        <f>IF(OR($B42="x",$B43="x"),"enthalten","Kauf nach CF")</f>
        <v>Kauf nach CF</v>
      </c>
      <c r="G144" s="203" t="s">
        <v>5</v>
      </c>
      <c r="H144" s="310" t="str">
        <f>IF(OR($B43="x",$B42="x"),"enthalten","Kauf nach CF")</f>
        <v>Kauf nach CF</v>
      </c>
      <c r="I144" s="203" t="s">
        <v>5</v>
      </c>
      <c r="J144" s="203" t="s">
        <v>5</v>
      </c>
      <c r="K144" s="203" t="s">
        <v>5</v>
      </c>
      <c r="L144" s="203" t="s">
        <v>5</v>
      </c>
      <c r="M144" s="108" t="s">
        <v>6</v>
      </c>
      <c r="N144" s="295">
        <v>19.989999999999998</v>
      </c>
      <c r="O144" s="374" t="s">
        <v>6</v>
      </c>
      <c r="P144" s="296" t="s">
        <v>7</v>
      </c>
      <c r="Q144" s="211"/>
      <c r="R144" s="211"/>
      <c r="S144" s="192" t="s">
        <v>5</v>
      </c>
      <c r="T144" s="104"/>
      <c r="U144" s="104"/>
      <c r="V144" s="71"/>
      <c r="W144" s="71"/>
      <c r="X144" s="71"/>
      <c r="Y144" s="91"/>
      <c r="Z144" s="91"/>
      <c r="AA144" s="91"/>
      <c r="AB144" s="91"/>
      <c r="AC144" s="67"/>
      <c r="AD144" s="67"/>
      <c r="AE144" s="67"/>
      <c r="AF144" s="67"/>
      <c r="AG144" s="67"/>
      <c r="AH144" s="71"/>
      <c r="AI144" s="475"/>
      <c r="AJ144" s="71"/>
      <c r="AK144" s="475"/>
      <c r="AL144" s="71"/>
      <c r="AM144" s="71"/>
      <c r="AN144" s="106"/>
      <c r="AO144" s="106"/>
      <c r="AP144" s="106"/>
      <c r="AQ144" s="91"/>
      <c r="AR144" s="91"/>
      <c r="AS144" s="91"/>
      <c r="AT144" s="91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  <c r="BE144" s="67"/>
      <c r="BF144" s="67"/>
      <c r="BG144" s="67"/>
      <c r="BH144" s="67"/>
      <c r="BI144" s="67"/>
      <c r="BJ144" s="67"/>
      <c r="BK144" s="67"/>
      <c r="BL144" s="67"/>
      <c r="BM144" s="67"/>
      <c r="BN144" s="67"/>
      <c r="BO144" s="67"/>
      <c r="BP144" s="67"/>
      <c r="BQ144" s="67"/>
      <c r="BR144" s="67"/>
      <c r="BS144" s="67"/>
      <c r="BT144" s="67"/>
      <c r="BU144" s="67"/>
      <c r="BV144" s="91"/>
      <c r="BW144" s="91"/>
      <c r="BX144" s="91"/>
      <c r="BY144" s="91"/>
      <c r="BZ144" s="91"/>
      <c r="CA144" s="91"/>
      <c r="CB144" s="91"/>
      <c r="CC144" s="91"/>
      <c r="CD144" s="91"/>
      <c r="CE144" s="91"/>
      <c r="CF144" s="91"/>
      <c r="CG144" s="91"/>
      <c r="CH144" s="91"/>
      <c r="CI144" s="91"/>
      <c r="CJ144" s="91"/>
      <c r="CK144" s="91"/>
      <c r="CL144" s="100"/>
      <c r="CM144" s="91"/>
      <c r="CN144" s="223"/>
      <c r="CO144" s="223"/>
      <c r="CP144" s="223"/>
      <c r="CQ144" s="223"/>
      <c r="CR144" s="223"/>
      <c r="CS144" s="223"/>
      <c r="CT144" s="223"/>
      <c r="CU144" s="223"/>
      <c r="CV144" s="223"/>
      <c r="CW144" s="223"/>
      <c r="CX144" s="223"/>
      <c r="CY144" s="223"/>
      <c r="CZ144" s="223"/>
      <c r="DA144" s="223"/>
      <c r="DB144" s="223"/>
      <c r="DC144" s="223"/>
      <c r="DD144" s="223"/>
      <c r="DE144" s="223"/>
      <c r="DF144" s="223"/>
    </row>
    <row r="145" spans="1:110" ht="18" x14ac:dyDescent="0.25">
      <c r="B145" s="204"/>
      <c r="C145" s="95" t="s">
        <v>258</v>
      </c>
      <c r="D145" s="96" t="s">
        <v>151</v>
      </c>
      <c r="E145" s="310" t="s">
        <v>213</v>
      </c>
      <c r="F145" s="351" t="str">
        <f t="shared" ref="F145:H152" si="10">IF($B44="x","enthalten","Kauf nach CF")</f>
        <v>Kauf nach CF</v>
      </c>
      <c r="G145" s="310" t="str">
        <f t="shared" si="10"/>
        <v>Kauf nach CF</v>
      </c>
      <c r="H145" s="310" t="str">
        <f t="shared" si="10"/>
        <v>Kauf nach CF</v>
      </c>
      <c r="I145" s="203" t="s">
        <v>5</v>
      </c>
      <c r="J145" s="203" t="s">
        <v>5</v>
      </c>
      <c r="K145" s="203" t="s">
        <v>5</v>
      </c>
      <c r="L145" s="203" t="s">
        <v>5</v>
      </c>
      <c r="M145" s="108" t="s">
        <v>6</v>
      </c>
      <c r="N145" s="112">
        <v>22.49</v>
      </c>
      <c r="O145" s="374" t="s">
        <v>6</v>
      </c>
      <c r="P145" s="296" t="s">
        <v>7</v>
      </c>
      <c r="Q145" s="211"/>
      <c r="R145" s="211"/>
      <c r="S145" s="192" t="s">
        <v>5</v>
      </c>
      <c r="T145" s="104"/>
      <c r="U145" s="71"/>
      <c r="V145" s="71"/>
      <c r="W145" s="71"/>
      <c r="X145" s="71"/>
      <c r="AC145" s="67"/>
      <c r="AD145" s="67"/>
      <c r="AE145" s="67"/>
      <c r="AF145" s="67"/>
      <c r="AH145" s="71"/>
      <c r="AI145" s="475"/>
      <c r="AJ145" s="71"/>
      <c r="AK145" s="475"/>
      <c r="AL145" s="71"/>
      <c r="AM145" s="71"/>
      <c r="AN145" s="106"/>
      <c r="AO145" s="106"/>
      <c r="AP145" s="106"/>
      <c r="AQ145" s="67"/>
      <c r="AR145" s="91"/>
      <c r="BW145" s="44"/>
      <c r="BX145" s="44"/>
      <c r="CA145" s="44"/>
      <c r="CB145" s="44"/>
      <c r="CE145" s="44"/>
      <c r="CF145" s="44"/>
      <c r="CJ145" s="44"/>
      <c r="CK145" s="44"/>
    </row>
    <row r="146" spans="1:110" ht="18" x14ac:dyDescent="0.25">
      <c r="B146" s="204"/>
      <c r="C146" s="95" t="s">
        <v>259</v>
      </c>
      <c r="D146" s="96" t="s">
        <v>151</v>
      </c>
      <c r="E146" s="310" t="s">
        <v>213</v>
      </c>
      <c r="F146" s="351" t="str">
        <f t="shared" si="10"/>
        <v>Kauf nach CF</v>
      </c>
      <c r="G146" s="310" t="str">
        <f t="shared" si="10"/>
        <v>Kauf nach CF</v>
      </c>
      <c r="H146" s="310" t="str">
        <f t="shared" si="10"/>
        <v>Kauf nach CF</v>
      </c>
      <c r="I146" s="203" t="s">
        <v>5</v>
      </c>
      <c r="J146" s="203" t="s">
        <v>5</v>
      </c>
      <c r="K146" s="203" t="s">
        <v>5</v>
      </c>
      <c r="L146" s="203" t="s">
        <v>5</v>
      </c>
      <c r="M146" s="108" t="s">
        <v>6</v>
      </c>
      <c r="N146" s="112">
        <v>9.99</v>
      </c>
      <c r="O146" s="374" t="s">
        <v>6</v>
      </c>
      <c r="P146" s="296" t="s">
        <v>7</v>
      </c>
      <c r="Q146" s="211"/>
      <c r="R146" s="211"/>
      <c r="S146" s="192" t="s">
        <v>5</v>
      </c>
      <c r="T146" s="104"/>
      <c r="U146" s="71"/>
      <c r="V146" s="71"/>
      <c r="W146" s="71"/>
      <c r="X146" s="71"/>
      <c r="AC146" s="67"/>
      <c r="AD146" s="67"/>
      <c r="AE146" s="67"/>
      <c r="AF146" s="67"/>
      <c r="AH146" s="71"/>
      <c r="AI146" s="475"/>
      <c r="AJ146" s="71"/>
      <c r="AK146" s="475"/>
      <c r="AL146" s="71"/>
      <c r="AM146" s="71"/>
      <c r="AN146" s="106"/>
      <c r="AO146" s="106"/>
      <c r="AP146" s="106"/>
      <c r="AQ146" s="67"/>
      <c r="AR146" s="91"/>
      <c r="BW146" s="44"/>
      <c r="BX146" s="44"/>
      <c r="CA146" s="44"/>
      <c r="CB146" s="44"/>
      <c r="CE146" s="44"/>
      <c r="CF146" s="44"/>
      <c r="CJ146" s="44"/>
      <c r="CK146" s="44"/>
    </row>
    <row r="147" spans="1:110" ht="18" x14ac:dyDescent="0.25">
      <c r="B147" s="204"/>
      <c r="C147" s="95" t="s">
        <v>260</v>
      </c>
      <c r="D147" s="96" t="s">
        <v>151</v>
      </c>
      <c r="E147" s="310" t="s">
        <v>213</v>
      </c>
      <c r="F147" s="351" t="str">
        <f t="shared" si="10"/>
        <v>Kauf nach CF</v>
      </c>
      <c r="G147" s="310" t="str">
        <f t="shared" si="10"/>
        <v>Kauf nach CF</v>
      </c>
      <c r="H147" s="310" t="str">
        <f t="shared" si="10"/>
        <v>Kauf nach CF</v>
      </c>
      <c r="I147" s="203" t="s">
        <v>5</v>
      </c>
      <c r="J147" s="203" t="s">
        <v>5</v>
      </c>
      <c r="K147" s="203" t="s">
        <v>5</v>
      </c>
      <c r="L147" s="203" t="s">
        <v>5</v>
      </c>
      <c r="M147" s="108" t="s">
        <v>6</v>
      </c>
      <c r="N147" s="112">
        <v>9.99</v>
      </c>
      <c r="O147" s="374" t="s">
        <v>6</v>
      </c>
      <c r="P147" s="296" t="s">
        <v>7</v>
      </c>
      <c r="Q147" s="211"/>
      <c r="R147" s="211"/>
      <c r="S147" s="192" t="s">
        <v>5</v>
      </c>
      <c r="T147" s="104"/>
      <c r="U147" s="71"/>
      <c r="V147" s="71"/>
      <c r="W147" s="71"/>
      <c r="X147" s="71"/>
      <c r="AC147" s="67"/>
      <c r="AD147" s="67"/>
      <c r="AE147" s="67"/>
      <c r="AF147" s="67"/>
      <c r="AH147" s="71"/>
      <c r="AI147" s="475"/>
      <c r="AJ147" s="71"/>
      <c r="AK147" s="475"/>
      <c r="AL147" s="71"/>
      <c r="AM147" s="71"/>
      <c r="AN147" s="106"/>
      <c r="AO147" s="106"/>
      <c r="AP147" s="106"/>
      <c r="AQ147" s="67"/>
      <c r="AR147" s="91"/>
      <c r="BW147" s="44"/>
      <c r="BX147" s="44"/>
      <c r="CA147" s="44"/>
      <c r="CB147" s="44"/>
      <c r="CE147" s="44"/>
      <c r="CF147" s="44"/>
      <c r="CJ147" s="44"/>
      <c r="CK147" s="44"/>
    </row>
    <row r="148" spans="1:110" ht="18" x14ac:dyDescent="0.25">
      <c r="B148" s="204"/>
      <c r="C148" s="95" t="s">
        <v>261</v>
      </c>
      <c r="D148" s="96" t="s">
        <v>151</v>
      </c>
      <c r="E148" s="310" t="s">
        <v>213</v>
      </c>
      <c r="F148" s="351" t="str">
        <f t="shared" si="10"/>
        <v>Kauf nach CF</v>
      </c>
      <c r="G148" s="310" t="str">
        <f t="shared" si="10"/>
        <v>Kauf nach CF</v>
      </c>
      <c r="H148" s="310" t="str">
        <f t="shared" si="10"/>
        <v>Kauf nach CF</v>
      </c>
      <c r="I148" s="203" t="s">
        <v>5</v>
      </c>
      <c r="J148" s="203" t="s">
        <v>5</v>
      </c>
      <c r="K148" s="203" t="s">
        <v>5</v>
      </c>
      <c r="L148" s="203" t="s">
        <v>5</v>
      </c>
      <c r="M148" s="108" t="s">
        <v>6</v>
      </c>
      <c r="N148" s="112">
        <f>17.49</f>
        <v>17.489999999999998</v>
      </c>
      <c r="O148" s="374" t="s">
        <v>6</v>
      </c>
      <c r="P148" s="296" t="s">
        <v>7</v>
      </c>
      <c r="Q148" s="211"/>
      <c r="R148" s="211"/>
      <c r="S148" s="192" t="s">
        <v>5</v>
      </c>
      <c r="T148" s="104"/>
      <c r="U148" s="71"/>
      <c r="V148" s="71"/>
      <c r="W148" s="71"/>
      <c r="X148" s="71"/>
      <c r="AC148" s="67"/>
      <c r="AD148" s="67"/>
      <c r="AE148" s="67"/>
      <c r="AF148" s="67"/>
      <c r="AH148" s="71"/>
      <c r="AI148" s="475"/>
      <c r="AJ148" s="71"/>
      <c r="AK148" s="475"/>
      <c r="AL148" s="71"/>
      <c r="AM148" s="71"/>
      <c r="AN148" s="106"/>
      <c r="AO148" s="106"/>
      <c r="AP148" s="106"/>
      <c r="AQ148" s="67"/>
      <c r="AR148" s="91"/>
      <c r="BW148" s="44"/>
      <c r="BX148" s="44"/>
      <c r="CA148" s="44"/>
      <c r="CB148" s="44"/>
      <c r="CE148" s="44"/>
      <c r="CF148" s="44"/>
      <c r="CJ148" s="44"/>
      <c r="CK148" s="44"/>
    </row>
    <row r="149" spans="1:110" s="101" customFormat="1" ht="18" x14ac:dyDescent="0.25">
      <c r="A149" s="223"/>
      <c r="B149" s="204"/>
      <c r="C149" s="95" t="s">
        <v>262</v>
      </c>
      <c r="D149" s="96" t="s">
        <v>151</v>
      </c>
      <c r="E149" s="310" t="s">
        <v>213</v>
      </c>
      <c r="F149" s="351" t="str">
        <f t="shared" si="10"/>
        <v>Kauf nach CF</v>
      </c>
      <c r="G149" s="310" t="str">
        <f t="shared" si="10"/>
        <v>Kauf nach CF</v>
      </c>
      <c r="H149" s="310" t="str">
        <f t="shared" si="10"/>
        <v>Kauf nach CF</v>
      </c>
      <c r="I149" s="203" t="s">
        <v>5</v>
      </c>
      <c r="J149" s="203" t="s">
        <v>5</v>
      </c>
      <c r="K149" s="203" t="s">
        <v>5</v>
      </c>
      <c r="L149" s="203" t="s">
        <v>5</v>
      </c>
      <c r="M149" s="108" t="s">
        <v>6</v>
      </c>
      <c r="N149" s="112">
        <f>17.49</f>
        <v>17.489999999999998</v>
      </c>
      <c r="O149" s="374" t="s">
        <v>6</v>
      </c>
      <c r="P149" s="296" t="s">
        <v>7</v>
      </c>
      <c r="Q149" s="211"/>
      <c r="R149" s="211"/>
      <c r="S149" s="192" t="s">
        <v>5</v>
      </c>
      <c r="T149" s="104"/>
      <c r="U149" s="71"/>
      <c r="V149" s="71"/>
      <c r="W149" s="71"/>
      <c r="X149" s="71"/>
      <c r="Y149" s="93"/>
      <c r="Z149" s="91"/>
      <c r="AA149" s="91"/>
      <c r="AB149" s="71"/>
      <c r="AC149" s="67"/>
      <c r="AD149" s="104"/>
      <c r="AE149" s="67"/>
      <c r="AF149" s="67"/>
      <c r="AG149" s="67"/>
      <c r="AH149" s="71"/>
      <c r="AI149" s="475"/>
      <c r="AJ149" s="71"/>
      <c r="AK149" s="475"/>
      <c r="AL149" s="71"/>
      <c r="AM149" s="71"/>
      <c r="AN149" s="106"/>
      <c r="AO149" s="106"/>
      <c r="AP149" s="106"/>
      <c r="AQ149" s="91"/>
      <c r="AR149" s="91"/>
      <c r="AS149" s="91"/>
      <c r="AT149" s="91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  <c r="BE149" s="67"/>
      <c r="BF149" s="67"/>
      <c r="BG149" s="67"/>
      <c r="BH149" s="67"/>
      <c r="BI149" s="67"/>
      <c r="BJ149" s="67"/>
      <c r="BK149" s="67"/>
      <c r="BL149" s="67"/>
      <c r="BM149" s="67"/>
      <c r="BN149" s="67"/>
      <c r="BO149" s="67"/>
      <c r="BP149" s="67"/>
      <c r="BQ149" s="67"/>
      <c r="BR149" s="67"/>
      <c r="BS149" s="67"/>
      <c r="BT149" s="67"/>
      <c r="BU149" s="67"/>
      <c r="BV149" s="91"/>
      <c r="BW149" s="91"/>
      <c r="BX149" s="91"/>
      <c r="BY149" s="91"/>
      <c r="BZ149" s="91"/>
      <c r="CA149" s="91"/>
      <c r="CB149" s="91"/>
      <c r="CC149" s="91"/>
      <c r="CD149" s="91"/>
      <c r="CE149" s="91"/>
      <c r="CF149" s="91"/>
      <c r="CG149" s="91"/>
      <c r="CH149" s="91"/>
      <c r="CI149" s="91"/>
      <c r="CJ149" s="91"/>
      <c r="CK149" s="91"/>
      <c r="CL149" s="100"/>
      <c r="CM149" s="91"/>
      <c r="CN149" s="223"/>
      <c r="CO149" s="223"/>
      <c r="CP149" s="223"/>
      <c r="CQ149" s="223"/>
      <c r="CR149" s="223"/>
      <c r="CS149" s="223"/>
      <c r="CT149" s="223"/>
      <c r="CU149" s="223"/>
      <c r="CV149" s="223"/>
      <c r="CW149" s="223"/>
      <c r="CX149" s="223"/>
      <c r="CY149" s="223"/>
      <c r="CZ149" s="223"/>
      <c r="DA149" s="223"/>
      <c r="DB149" s="223"/>
      <c r="DC149" s="223"/>
      <c r="DD149" s="223"/>
      <c r="DE149" s="223"/>
      <c r="DF149" s="223"/>
    </row>
    <row r="150" spans="1:110" ht="18" x14ac:dyDescent="0.25">
      <c r="B150" s="204"/>
      <c r="C150" s="95" t="s">
        <v>352</v>
      </c>
      <c r="D150" s="96" t="s">
        <v>115</v>
      </c>
      <c r="E150" s="310" t="s">
        <v>213</v>
      </c>
      <c r="F150" s="351" t="str">
        <f t="shared" si="10"/>
        <v>Kauf nach CF</v>
      </c>
      <c r="G150" s="310" t="str">
        <f t="shared" si="10"/>
        <v>Kauf nach CF</v>
      </c>
      <c r="H150" s="310" t="str">
        <f t="shared" si="10"/>
        <v>Kauf nach CF</v>
      </c>
      <c r="I150" s="203" t="s">
        <v>5</v>
      </c>
      <c r="J150" s="203" t="s">
        <v>5</v>
      </c>
      <c r="K150" s="203" t="s">
        <v>5</v>
      </c>
      <c r="L150" s="203" t="s">
        <v>5</v>
      </c>
      <c r="M150" s="108" t="s">
        <v>6</v>
      </c>
      <c r="N150" s="112">
        <v>9.99</v>
      </c>
      <c r="O150" s="374" t="s">
        <v>6</v>
      </c>
      <c r="P150" s="296" t="s">
        <v>7</v>
      </c>
      <c r="Q150" s="211"/>
      <c r="R150" s="211"/>
      <c r="S150" s="192" t="s">
        <v>5</v>
      </c>
      <c r="T150" s="104"/>
      <c r="U150" s="71"/>
      <c r="V150" s="71"/>
      <c r="W150" s="71"/>
      <c r="X150" s="71"/>
      <c r="AB150" s="106"/>
      <c r="AC150" s="107"/>
      <c r="AD150" s="81"/>
      <c r="AE150" s="60"/>
      <c r="AF150" s="60"/>
      <c r="AG150" s="67"/>
      <c r="AH150" s="67"/>
      <c r="AI150" s="472"/>
      <c r="AJ150" s="67"/>
      <c r="AK150" s="472"/>
      <c r="AL150" s="67"/>
      <c r="AQ150" s="60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  <c r="BE150" s="67"/>
      <c r="BF150" s="67"/>
      <c r="BG150" s="67"/>
      <c r="BH150" s="67"/>
      <c r="BI150" s="67"/>
      <c r="BJ150" s="67"/>
      <c r="BK150" s="67"/>
      <c r="BL150" s="67"/>
      <c r="BM150" s="67"/>
      <c r="BN150" s="67"/>
      <c r="BO150" s="67"/>
      <c r="BP150" s="67"/>
      <c r="BQ150" s="67"/>
      <c r="BR150" s="67"/>
      <c r="BS150" s="67"/>
      <c r="BT150" s="67"/>
      <c r="BU150" s="67"/>
      <c r="BW150" s="44"/>
      <c r="BX150" s="44"/>
      <c r="CA150" s="44"/>
      <c r="CB150" s="44"/>
      <c r="CE150" s="44"/>
      <c r="CF150" s="44"/>
      <c r="CJ150" s="44"/>
      <c r="CK150" s="44"/>
    </row>
    <row r="151" spans="1:110" s="101" customFormat="1" ht="18" x14ac:dyDescent="0.25">
      <c r="A151" s="223"/>
      <c r="B151" s="204"/>
      <c r="C151" s="95" t="s">
        <v>267</v>
      </c>
      <c r="D151" s="96" t="s">
        <v>151</v>
      </c>
      <c r="E151" s="310" t="s">
        <v>213</v>
      </c>
      <c r="F151" s="351" t="str">
        <f t="shared" si="10"/>
        <v>Kauf nach CF</v>
      </c>
      <c r="G151" s="310" t="str">
        <f t="shared" si="10"/>
        <v>Kauf nach CF</v>
      </c>
      <c r="H151" s="310" t="str">
        <f t="shared" si="10"/>
        <v>Kauf nach CF</v>
      </c>
      <c r="I151" s="203" t="s">
        <v>5</v>
      </c>
      <c r="J151" s="310" t="str">
        <f>IF($B50="x","enthalten","Kauf nach CF")</f>
        <v>Kauf nach CF</v>
      </c>
      <c r="K151" s="310" t="str">
        <f>IF($B50="x","enthalten","Kauf nach CF")</f>
        <v>Kauf nach CF</v>
      </c>
      <c r="L151" s="203" t="s">
        <v>5</v>
      </c>
      <c r="M151" s="108" t="s">
        <v>6</v>
      </c>
      <c r="N151" s="295">
        <v>9.99</v>
      </c>
      <c r="O151" s="374" t="s">
        <v>6</v>
      </c>
      <c r="P151" s="296" t="s">
        <v>7</v>
      </c>
      <c r="Q151" s="211"/>
      <c r="R151" s="211"/>
      <c r="S151" s="192" t="s">
        <v>5</v>
      </c>
      <c r="T151" s="104"/>
      <c r="U151" s="71"/>
      <c r="V151" s="71"/>
      <c r="W151" s="71"/>
      <c r="X151" s="71"/>
      <c r="Y151" s="93"/>
      <c r="Z151" s="91"/>
      <c r="AA151" s="91"/>
      <c r="AB151" s="71"/>
      <c r="AC151" s="67"/>
      <c r="AD151" s="104"/>
      <c r="AE151" s="67"/>
      <c r="AF151" s="67"/>
      <c r="AG151" s="67"/>
      <c r="AH151" s="71"/>
      <c r="AI151" s="475"/>
      <c r="AJ151" s="71"/>
      <c r="AK151" s="475"/>
      <c r="AL151" s="71"/>
      <c r="AM151" s="71"/>
      <c r="AN151" s="106"/>
      <c r="AO151" s="106"/>
      <c r="AP151" s="106"/>
      <c r="AQ151" s="91"/>
      <c r="AR151" s="91"/>
      <c r="AS151" s="91"/>
      <c r="AT151" s="91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  <c r="BE151" s="67"/>
      <c r="BF151" s="67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  <c r="BQ151" s="67"/>
      <c r="BR151" s="67"/>
      <c r="BS151" s="67"/>
      <c r="BT151" s="67"/>
      <c r="BU151" s="67"/>
      <c r="BV151" s="91"/>
      <c r="BW151" s="91"/>
      <c r="BX151" s="91"/>
      <c r="BY151" s="91"/>
      <c r="BZ151" s="91"/>
      <c r="CA151" s="91"/>
      <c r="CB151" s="91"/>
      <c r="CC151" s="91"/>
      <c r="CD151" s="91"/>
      <c r="CE151" s="91"/>
      <c r="CF151" s="91"/>
      <c r="CG151" s="91"/>
      <c r="CH151" s="91"/>
      <c r="CI151" s="91"/>
      <c r="CJ151" s="91"/>
      <c r="CK151" s="91"/>
      <c r="CL151" s="100"/>
      <c r="CM151" s="91"/>
      <c r="CN151" s="223"/>
      <c r="CO151" s="223"/>
      <c r="CP151" s="223"/>
      <c r="CQ151" s="223"/>
      <c r="CR151" s="223"/>
      <c r="CS151" s="223"/>
      <c r="CT151" s="223"/>
      <c r="CU151" s="223"/>
      <c r="CV151" s="223"/>
      <c r="CW151" s="223"/>
      <c r="CX151" s="223"/>
      <c r="CY151" s="223"/>
      <c r="CZ151" s="223"/>
      <c r="DA151" s="223"/>
      <c r="DB151" s="223"/>
      <c r="DC151" s="223"/>
      <c r="DD151" s="223"/>
      <c r="DE151" s="223"/>
      <c r="DF151" s="223"/>
    </row>
    <row r="152" spans="1:110" s="101" customFormat="1" ht="18" x14ac:dyDescent="0.25">
      <c r="A152" s="223"/>
      <c r="B152" s="204"/>
      <c r="C152" s="95" t="s">
        <v>263</v>
      </c>
      <c r="D152" s="96" t="s">
        <v>151</v>
      </c>
      <c r="E152" s="310" t="s">
        <v>213</v>
      </c>
      <c r="F152" s="351" t="str">
        <f t="shared" si="10"/>
        <v>Kauf nach CF</v>
      </c>
      <c r="G152" s="310" t="str">
        <f t="shared" si="10"/>
        <v>Kauf nach CF</v>
      </c>
      <c r="H152" s="310" t="str">
        <f t="shared" si="10"/>
        <v>Kauf nach CF</v>
      </c>
      <c r="I152" s="203" t="s">
        <v>5</v>
      </c>
      <c r="J152" s="310" t="str">
        <f>IF($B51="x","enthalten","Kauf nach CF")</f>
        <v>Kauf nach CF</v>
      </c>
      <c r="K152" s="310" t="str">
        <f>IF($B51="x","enthalten","Kauf nach CF")</f>
        <v>Kauf nach CF</v>
      </c>
      <c r="L152" s="203" t="s">
        <v>5</v>
      </c>
      <c r="M152" s="108" t="s">
        <v>6</v>
      </c>
      <c r="N152" s="295">
        <v>9.99</v>
      </c>
      <c r="O152" s="374" t="s">
        <v>6</v>
      </c>
      <c r="P152" s="296" t="s">
        <v>7</v>
      </c>
      <c r="Q152" s="211"/>
      <c r="R152" s="211"/>
      <c r="S152" s="192" t="s">
        <v>5</v>
      </c>
      <c r="T152" s="104"/>
      <c r="U152" s="71"/>
      <c r="V152" s="71"/>
      <c r="W152" s="71"/>
      <c r="X152" s="71"/>
      <c r="Y152" s="91"/>
      <c r="Z152" s="91"/>
      <c r="AA152" s="91"/>
      <c r="AB152" s="71"/>
      <c r="AC152" s="67"/>
      <c r="AD152" s="81"/>
      <c r="AE152" s="67"/>
      <c r="AF152" s="67"/>
      <c r="AG152" s="67"/>
      <c r="AH152" s="71"/>
      <c r="AI152" s="475"/>
      <c r="AJ152" s="71"/>
      <c r="AK152" s="475"/>
      <c r="AL152" s="71"/>
      <c r="AM152" s="71"/>
      <c r="AN152" s="106"/>
      <c r="AO152" s="106"/>
      <c r="AP152" s="106"/>
      <c r="AQ152" s="91"/>
      <c r="AR152" s="91"/>
      <c r="AS152" s="91"/>
      <c r="AT152" s="91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67"/>
      <c r="BT152" s="67"/>
      <c r="BU152" s="67"/>
      <c r="BV152" s="91"/>
      <c r="BW152" s="91"/>
      <c r="BX152" s="91"/>
      <c r="BY152" s="91"/>
      <c r="BZ152" s="91"/>
      <c r="CA152" s="91"/>
      <c r="CB152" s="91"/>
      <c r="CC152" s="91"/>
      <c r="CD152" s="91"/>
      <c r="CE152" s="91"/>
      <c r="CF152" s="91"/>
      <c r="CG152" s="91"/>
      <c r="CH152" s="91"/>
      <c r="CI152" s="91"/>
      <c r="CJ152" s="91"/>
      <c r="CK152" s="91"/>
      <c r="CL152" s="100"/>
      <c r="CM152" s="91"/>
      <c r="CN152" s="223"/>
      <c r="CO152" s="223"/>
      <c r="CP152" s="223"/>
      <c r="CQ152" s="223"/>
      <c r="CR152" s="223"/>
      <c r="CS152" s="223"/>
      <c r="CT152" s="223"/>
      <c r="CU152" s="223"/>
      <c r="CV152" s="223"/>
      <c r="CW152" s="223"/>
      <c r="CX152" s="223"/>
      <c r="CY152" s="223"/>
      <c r="CZ152" s="223"/>
      <c r="DA152" s="223"/>
      <c r="DB152" s="223"/>
      <c r="DC152" s="223"/>
      <c r="DD152" s="223"/>
      <c r="DE152" s="223"/>
      <c r="DF152" s="223"/>
    </row>
    <row r="153" spans="1:110" s="101" customFormat="1" ht="18" x14ac:dyDescent="0.3">
      <c r="A153" s="223"/>
      <c r="B153" s="204"/>
      <c r="C153" s="397" t="s">
        <v>186</v>
      </c>
      <c r="D153" s="96" t="s">
        <v>172</v>
      </c>
      <c r="E153" s="310" t="s">
        <v>213</v>
      </c>
      <c r="F153" s="352" t="s">
        <v>5</v>
      </c>
      <c r="G153" s="203" t="s">
        <v>5</v>
      </c>
      <c r="H153" s="310" t="str">
        <f>IF($B52="x","enthalten","Kauf nach CF")</f>
        <v>Kauf nach CF</v>
      </c>
      <c r="I153" s="203" t="s">
        <v>5</v>
      </c>
      <c r="J153" s="203" t="s">
        <v>5</v>
      </c>
      <c r="K153" s="203" t="s">
        <v>5</v>
      </c>
      <c r="L153" s="203" t="s">
        <v>5</v>
      </c>
      <c r="M153" s="108" t="s">
        <v>6</v>
      </c>
      <c r="N153" s="295">
        <v>9.99</v>
      </c>
      <c r="O153" s="374" t="s">
        <v>6</v>
      </c>
      <c r="P153" s="113" t="s">
        <v>7</v>
      </c>
      <c r="Q153" s="211"/>
      <c r="R153" s="211"/>
      <c r="S153" s="192" t="s">
        <v>5</v>
      </c>
      <c r="T153" s="71"/>
      <c r="U153" s="71"/>
      <c r="V153" s="71"/>
      <c r="W153" s="71"/>
      <c r="X153" s="71"/>
      <c r="Y153" s="91"/>
      <c r="Z153" s="91"/>
      <c r="AA153" s="91"/>
      <c r="AB153" s="91"/>
      <c r="AC153" s="67"/>
      <c r="AD153" s="67"/>
      <c r="AE153" s="109"/>
      <c r="AF153" s="109"/>
      <c r="AG153" s="67"/>
      <c r="AH153" s="67"/>
      <c r="AI153" s="472"/>
      <c r="AJ153" s="67"/>
      <c r="AK153" s="472"/>
      <c r="AL153" s="67"/>
      <c r="AM153" s="45"/>
      <c r="AN153" s="109"/>
      <c r="AO153" s="109"/>
      <c r="AP153" s="109"/>
      <c r="AQ153" s="109"/>
      <c r="AR153" s="109"/>
      <c r="AS153" s="109"/>
      <c r="AT153" s="109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  <c r="BM153" s="67"/>
      <c r="BN153" s="67"/>
      <c r="BO153" s="67"/>
      <c r="BP153" s="67"/>
      <c r="BQ153" s="67"/>
      <c r="BR153" s="67"/>
      <c r="BS153" s="67"/>
      <c r="BT153" s="67"/>
      <c r="BU153" s="67"/>
      <c r="BV153" s="91"/>
      <c r="BW153" s="110"/>
      <c r="BX153" s="110"/>
      <c r="BY153" s="91"/>
      <c r="BZ153" s="91"/>
      <c r="CA153" s="110"/>
      <c r="CB153" s="110"/>
      <c r="CC153" s="91"/>
      <c r="CD153" s="91"/>
      <c r="CE153" s="110"/>
      <c r="CF153" s="110"/>
      <c r="CG153" s="91"/>
      <c r="CH153" s="91"/>
      <c r="CI153" s="91"/>
      <c r="CJ153" s="110"/>
      <c r="CK153" s="110"/>
      <c r="CL153" s="100"/>
      <c r="CM153" s="91"/>
      <c r="CN153" s="223"/>
      <c r="CO153" s="223"/>
      <c r="CP153" s="223"/>
      <c r="CQ153" s="223"/>
      <c r="CR153" s="223"/>
      <c r="CS153" s="223"/>
      <c r="CT153" s="223"/>
      <c r="CU153" s="223"/>
      <c r="CV153" s="223"/>
      <c r="CW153" s="223"/>
      <c r="CX153" s="223"/>
      <c r="CY153" s="223"/>
      <c r="CZ153" s="223"/>
      <c r="DA153" s="223"/>
      <c r="DB153" s="223"/>
      <c r="DC153" s="223"/>
      <c r="DD153" s="223"/>
      <c r="DE153" s="223"/>
      <c r="DF153" s="223"/>
    </row>
    <row r="154" spans="1:110" s="116" customFormat="1" ht="18" x14ac:dyDescent="0.3">
      <c r="A154" s="224"/>
      <c r="B154" s="205"/>
      <c r="C154" s="431" t="s">
        <v>398</v>
      </c>
      <c r="D154" s="111" t="s">
        <v>151</v>
      </c>
      <c r="E154" s="310" t="s">
        <v>213</v>
      </c>
      <c r="F154" s="351" t="s">
        <v>212</v>
      </c>
      <c r="G154" s="203" t="s">
        <v>5</v>
      </c>
      <c r="H154" s="310" t="str">
        <f>H$164</f>
        <v>Kauf nach CF</v>
      </c>
      <c r="I154" s="203" t="s">
        <v>5</v>
      </c>
      <c r="J154" s="203" t="s">
        <v>5</v>
      </c>
      <c r="K154" s="203" t="s">
        <v>5</v>
      </c>
      <c r="L154" s="203" t="s">
        <v>5</v>
      </c>
      <c r="M154" s="108" t="s">
        <v>6</v>
      </c>
      <c r="N154" s="112" t="s">
        <v>6</v>
      </c>
      <c r="O154" s="374" t="s">
        <v>6</v>
      </c>
      <c r="P154" s="113"/>
      <c r="Q154" s="211"/>
      <c r="R154" s="211"/>
      <c r="S154" s="194" t="s">
        <v>5</v>
      </c>
      <c r="T154" s="114">
        <f>AD154</f>
        <v>0</v>
      </c>
      <c r="U154" s="71"/>
      <c r="V154" s="71"/>
      <c r="W154" s="71"/>
      <c r="X154" s="71"/>
      <c r="Y154" s="45"/>
      <c r="Z154" s="45"/>
      <c r="AA154" s="45"/>
      <c r="AB154" s="45"/>
      <c r="AC154" s="67"/>
      <c r="AD154" s="81"/>
      <c r="AE154" s="64"/>
      <c r="AF154" s="64"/>
      <c r="AG154" s="67"/>
      <c r="AH154" s="67"/>
      <c r="AI154" s="472"/>
      <c r="AJ154" s="67"/>
      <c r="AK154" s="472"/>
      <c r="AL154" s="67"/>
      <c r="AM154" s="45"/>
      <c r="AN154" s="64"/>
      <c r="AO154" s="64"/>
      <c r="AP154" s="64"/>
      <c r="AQ154" s="64"/>
      <c r="AR154" s="64"/>
      <c r="AS154" s="64"/>
      <c r="AT154" s="64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  <c r="BM154" s="67"/>
      <c r="BN154" s="67"/>
      <c r="BO154" s="67"/>
      <c r="BP154" s="67"/>
      <c r="BQ154" s="67"/>
      <c r="BR154" s="67"/>
      <c r="BS154" s="67"/>
      <c r="BT154" s="67"/>
      <c r="BU154" s="67"/>
      <c r="BV154" s="45"/>
      <c r="BW154" s="45"/>
      <c r="BX154" s="45"/>
      <c r="BY154" s="45"/>
      <c r="BZ154" s="45"/>
      <c r="CA154" s="45"/>
      <c r="CB154" s="45"/>
      <c r="CC154" s="45"/>
      <c r="CD154" s="45"/>
      <c r="CE154" s="45"/>
      <c r="CF154" s="45"/>
      <c r="CG154" s="45"/>
      <c r="CH154" s="45"/>
      <c r="CI154" s="45"/>
      <c r="CJ154" s="45"/>
      <c r="CK154" s="45"/>
      <c r="CL154" s="115"/>
      <c r="CM154" s="45"/>
      <c r="CN154" s="224"/>
      <c r="CO154" s="224"/>
      <c r="CP154" s="224"/>
      <c r="CQ154" s="224"/>
      <c r="CR154" s="224"/>
      <c r="CS154" s="224"/>
      <c r="CT154" s="224"/>
      <c r="CU154" s="224"/>
      <c r="CV154" s="224"/>
      <c r="CW154" s="224"/>
      <c r="CX154" s="224"/>
      <c r="CY154" s="224"/>
      <c r="CZ154" s="224"/>
      <c r="DA154" s="224"/>
      <c r="DB154" s="224"/>
      <c r="DC154" s="224"/>
      <c r="DD154" s="224"/>
      <c r="DE154" s="224"/>
      <c r="DF154" s="224"/>
    </row>
    <row r="155" spans="1:110" s="116" customFormat="1" ht="18" hidden="1" outlineLevel="1" x14ac:dyDescent="0.3">
      <c r="A155" s="224"/>
      <c r="B155" s="205"/>
      <c r="C155" s="367" t="s">
        <v>232</v>
      </c>
      <c r="D155" s="398" t="s">
        <v>151</v>
      </c>
      <c r="E155" s="310" t="s">
        <v>213</v>
      </c>
      <c r="F155" s="351" t="s">
        <v>212</v>
      </c>
      <c r="G155" s="310" t="str">
        <f>G$164</f>
        <v>Kauf nach CF</v>
      </c>
      <c r="H155" s="310" t="str">
        <f>H$164</f>
        <v>Kauf nach CF</v>
      </c>
      <c r="I155" s="203" t="s">
        <v>5</v>
      </c>
      <c r="J155" s="203" t="s">
        <v>5</v>
      </c>
      <c r="K155" s="203" t="s">
        <v>5</v>
      </c>
      <c r="L155" s="203" t="s">
        <v>5</v>
      </c>
      <c r="M155" s="108" t="s">
        <v>6</v>
      </c>
      <c r="N155" s="112" t="s">
        <v>6</v>
      </c>
      <c r="O155" s="374" t="s">
        <v>6</v>
      </c>
      <c r="P155" s="113"/>
      <c r="Q155" s="211"/>
      <c r="R155" s="211"/>
      <c r="S155" s="194" t="s">
        <v>5</v>
      </c>
      <c r="T155" s="114">
        <f t="shared" ref="T155" si="11">AD155</f>
        <v>0</v>
      </c>
      <c r="U155" s="71"/>
      <c r="V155" s="71"/>
      <c r="W155" s="71"/>
      <c r="X155" s="71"/>
      <c r="Y155" s="45"/>
      <c r="Z155" s="45"/>
      <c r="AA155" s="45"/>
      <c r="AB155" s="45"/>
      <c r="AC155" s="67"/>
      <c r="AD155" s="81"/>
      <c r="AE155" s="64"/>
      <c r="AF155" s="64"/>
      <c r="AG155" s="67"/>
      <c r="AH155" s="67"/>
      <c r="AI155" s="472"/>
      <c r="AJ155" s="67"/>
      <c r="AK155" s="472"/>
      <c r="AL155" s="67"/>
      <c r="AM155" s="45"/>
      <c r="AN155" s="64"/>
      <c r="AO155" s="64"/>
      <c r="AP155" s="64"/>
      <c r="AQ155" s="64"/>
      <c r="AR155" s="64"/>
      <c r="AS155" s="64"/>
      <c r="AT155" s="64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67"/>
      <c r="BP155" s="67"/>
      <c r="BQ155" s="67"/>
      <c r="BR155" s="67"/>
      <c r="BS155" s="67"/>
      <c r="BT155" s="67"/>
      <c r="BU155" s="67"/>
      <c r="BV155" s="45"/>
      <c r="BW155" s="45"/>
      <c r="BX155" s="45"/>
      <c r="BY155" s="45"/>
      <c r="BZ155" s="45"/>
      <c r="CA155" s="45"/>
      <c r="CB155" s="45"/>
      <c r="CC155" s="45"/>
      <c r="CD155" s="45"/>
      <c r="CE155" s="45"/>
      <c r="CF155" s="45"/>
      <c r="CG155" s="45"/>
      <c r="CH155" s="45"/>
      <c r="CI155" s="45"/>
      <c r="CJ155" s="45"/>
      <c r="CK155" s="45"/>
      <c r="CL155" s="115"/>
      <c r="CM155" s="45"/>
      <c r="CN155" s="224"/>
      <c r="CO155" s="224"/>
      <c r="CP155" s="224"/>
      <c r="CQ155" s="224"/>
      <c r="CR155" s="224"/>
      <c r="CS155" s="224"/>
      <c r="CT155" s="224"/>
      <c r="CU155" s="224"/>
      <c r="CV155" s="224"/>
      <c r="CW155" s="224"/>
      <c r="CX155" s="224"/>
      <c r="CY155" s="224"/>
      <c r="CZ155" s="224"/>
      <c r="DA155" s="224"/>
      <c r="DB155" s="224"/>
      <c r="DC155" s="224"/>
      <c r="DD155" s="224"/>
      <c r="DE155" s="224"/>
      <c r="DF155" s="224"/>
    </row>
    <row r="156" spans="1:110" s="116" customFormat="1" ht="18" collapsed="1" x14ac:dyDescent="0.3">
      <c r="B156" s="205"/>
      <c r="C156" s="423" t="s">
        <v>333</v>
      </c>
      <c r="D156" s="111" t="s">
        <v>151</v>
      </c>
      <c r="E156" s="310"/>
      <c r="F156" s="352" t="s">
        <v>5</v>
      </c>
      <c r="G156" s="203" t="s">
        <v>5</v>
      </c>
      <c r="H156" s="310"/>
      <c r="I156" s="203" t="s">
        <v>5</v>
      </c>
      <c r="J156" s="203" t="s">
        <v>5</v>
      </c>
      <c r="K156" s="203" t="s">
        <v>5</v>
      </c>
      <c r="L156" s="203" t="s">
        <v>5</v>
      </c>
      <c r="M156" s="108" t="s">
        <v>6</v>
      </c>
      <c r="N156" s="112" t="s">
        <v>6</v>
      </c>
      <c r="O156" s="424" t="s">
        <v>6</v>
      </c>
      <c r="P156" s="113"/>
      <c r="Q156" s="211"/>
      <c r="R156" s="211"/>
      <c r="S156" s="425" t="s">
        <v>5</v>
      </c>
      <c r="T156" s="426">
        <f>AD156</f>
        <v>0</v>
      </c>
      <c r="U156" s="88"/>
      <c r="V156" s="88"/>
      <c r="W156" s="88"/>
      <c r="X156" s="88"/>
      <c r="AC156" s="427"/>
      <c r="AD156" s="428"/>
      <c r="AE156" s="429"/>
      <c r="AF156" s="429"/>
      <c r="AG156" s="427"/>
      <c r="AH156" s="427"/>
      <c r="AI156" s="477"/>
      <c r="AJ156" s="427"/>
      <c r="AK156" s="477"/>
      <c r="AL156" s="427"/>
      <c r="AN156" s="429"/>
      <c r="AO156" s="429"/>
      <c r="AP156" s="429"/>
      <c r="AQ156" s="429"/>
      <c r="AR156" s="429"/>
      <c r="AS156" s="429"/>
      <c r="AT156" s="429"/>
      <c r="AU156" s="427"/>
      <c r="AV156" s="427"/>
      <c r="AW156" s="427"/>
      <c r="AX156" s="427"/>
      <c r="AY156" s="427"/>
      <c r="AZ156" s="427"/>
      <c r="BA156" s="427"/>
      <c r="BB156" s="427"/>
      <c r="BC156" s="427"/>
      <c r="BD156" s="427"/>
      <c r="BE156" s="427"/>
      <c r="BF156" s="427"/>
      <c r="BG156" s="427"/>
      <c r="BH156" s="427"/>
      <c r="BI156" s="427"/>
      <c r="BJ156" s="427"/>
      <c r="BK156" s="427"/>
      <c r="BL156" s="427"/>
      <c r="BM156" s="427"/>
      <c r="BN156" s="427"/>
      <c r="BO156" s="427"/>
      <c r="BP156" s="427"/>
      <c r="BQ156" s="427"/>
      <c r="BR156" s="427"/>
      <c r="BS156" s="427"/>
      <c r="BT156" s="427"/>
      <c r="BU156" s="427"/>
      <c r="CL156" s="430"/>
      <c r="CN156" s="223"/>
      <c r="CO156" s="223"/>
      <c r="CP156" s="223"/>
      <c r="CQ156" s="223"/>
    </row>
    <row r="157" spans="1:110" s="116" customFormat="1" ht="18" hidden="1" outlineLevel="1" x14ac:dyDescent="0.3">
      <c r="A157" s="224"/>
      <c r="B157" s="205"/>
      <c r="C157" s="366" t="s">
        <v>195</v>
      </c>
      <c r="D157" s="398" t="s">
        <v>151</v>
      </c>
      <c r="E157" s="310"/>
      <c r="F157" s="351" t="s">
        <v>212</v>
      </c>
      <c r="G157" s="310" t="str">
        <f>G$164</f>
        <v>Kauf nach CF</v>
      </c>
      <c r="H157" s="310"/>
      <c r="I157" s="203" t="s">
        <v>5</v>
      </c>
      <c r="J157" s="203" t="s">
        <v>5</v>
      </c>
      <c r="K157" s="203" t="s">
        <v>5</v>
      </c>
      <c r="L157" s="203" t="s">
        <v>5</v>
      </c>
      <c r="M157" s="108" t="s">
        <v>6</v>
      </c>
      <c r="N157" s="112" t="s">
        <v>6</v>
      </c>
      <c r="O157" s="374" t="s">
        <v>6</v>
      </c>
      <c r="P157" s="113"/>
      <c r="Q157" s="211"/>
      <c r="R157" s="211"/>
      <c r="S157" s="194" t="s">
        <v>5</v>
      </c>
      <c r="T157" s="114">
        <f>AD157</f>
        <v>0</v>
      </c>
      <c r="U157" s="71"/>
      <c r="V157" s="71"/>
      <c r="W157" s="71"/>
      <c r="X157" s="71"/>
      <c r="Y157" s="45"/>
      <c r="Z157" s="45"/>
      <c r="AA157" s="45"/>
      <c r="AB157" s="45"/>
      <c r="AC157" s="67"/>
      <c r="AD157" s="81"/>
      <c r="AE157" s="64"/>
      <c r="AF157" s="64"/>
      <c r="AG157" s="67"/>
      <c r="AH157" s="67"/>
      <c r="AI157" s="472"/>
      <c r="AJ157" s="67"/>
      <c r="AK157" s="472"/>
      <c r="AL157" s="67"/>
      <c r="AM157" s="45"/>
      <c r="AN157" s="64"/>
      <c r="AO157" s="64"/>
      <c r="AP157" s="64"/>
      <c r="AQ157" s="64"/>
      <c r="AR157" s="64"/>
      <c r="AS157" s="64"/>
      <c r="AT157" s="64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67"/>
      <c r="BP157" s="67"/>
      <c r="BQ157" s="67"/>
      <c r="BR157" s="67"/>
      <c r="BS157" s="67"/>
      <c r="BT157" s="67"/>
      <c r="BU157" s="67"/>
      <c r="BV157" s="45"/>
      <c r="BW157" s="45"/>
      <c r="BX157" s="45"/>
      <c r="BY157" s="45"/>
      <c r="BZ157" s="45"/>
      <c r="CA157" s="45"/>
      <c r="CB157" s="45"/>
      <c r="CC157" s="45"/>
      <c r="CD157" s="45"/>
      <c r="CE157" s="45"/>
      <c r="CF157" s="45"/>
      <c r="CG157" s="45"/>
      <c r="CH157" s="45"/>
      <c r="CI157" s="45"/>
      <c r="CJ157" s="45"/>
      <c r="CK157" s="45"/>
      <c r="CL157" s="115"/>
      <c r="CM157" s="45"/>
      <c r="CN157" s="223"/>
      <c r="CO157" s="223"/>
      <c r="CP157" s="223"/>
      <c r="CQ157" s="223"/>
      <c r="CR157" s="224"/>
      <c r="CS157" s="224"/>
      <c r="CT157" s="224"/>
      <c r="CU157" s="224"/>
      <c r="CV157" s="224"/>
      <c r="CW157" s="224"/>
      <c r="CX157" s="224"/>
      <c r="CY157" s="224"/>
      <c r="CZ157" s="224"/>
      <c r="DA157" s="224"/>
      <c r="DB157" s="224"/>
      <c r="DC157" s="224"/>
      <c r="DD157" s="224"/>
      <c r="DE157" s="224"/>
      <c r="DF157" s="224"/>
    </row>
    <row r="158" spans="1:110" s="116" customFormat="1" ht="18" collapsed="1" x14ac:dyDescent="0.3">
      <c r="A158" s="224"/>
      <c r="B158" s="205"/>
      <c r="C158" s="423" t="s">
        <v>403</v>
      </c>
      <c r="D158" s="111" t="s">
        <v>151</v>
      </c>
      <c r="E158" s="310"/>
      <c r="F158" s="351" t="s">
        <v>212</v>
      </c>
      <c r="G158" s="203" t="s">
        <v>5</v>
      </c>
      <c r="H158" s="310"/>
      <c r="I158" s="203" t="s">
        <v>5</v>
      </c>
      <c r="J158" s="203" t="s">
        <v>5</v>
      </c>
      <c r="K158" s="203" t="s">
        <v>5</v>
      </c>
      <c r="L158" s="203" t="s">
        <v>5</v>
      </c>
      <c r="M158" s="108" t="s">
        <v>6</v>
      </c>
      <c r="N158" s="112" t="s">
        <v>6</v>
      </c>
      <c r="O158" s="374" t="s">
        <v>6</v>
      </c>
      <c r="P158" s="113"/>
      <c r="Q158" s="211"/>
      <c r="R158" s="211"/>
      <c r="S158" s="194" t="s">
        <v>5</v>
      </c>
      <c r="T158" s="114">
        <f>AD158</f>
        <v>0</v>
      </c>
      <c r="U158" s="71"/>
      <c r="V158" s="71"/>
      <c r="W158" s="71"/>
      <c r="X158" s="71"/>
      <c r="Y158" s="45"/>
      <c r="Z158" s="45"/>
      <c r="AA158" s="45"/>
      <c r="AB158" s="45"/>
      <c r="AC158" s="67"/>
      <c r="AD158" s="81"/>
      <c r="AE158" s="64"/>
      <c r="AF158" s="64"/>
      <c r="AG158" s="67"/>
      <c r="AH158" s="67"/>
      <c r="AI158" s="472"/>
      <c r="AJ158" s="67"/>
      <c r="AK158" s="472"/>
      <c r="AL158" s="67"/>
      <c r="AM158" s="45"/>
      <c r="AN158" s="64"/>
      <c r="AO158" s="64"/>
      <c r="AP158" s="64"/>
      <c r="AQ158" s="64"/>
      <c r="AR158" s="64"/>
      <c r="AS158" s="64"/>
      <c r="AT158" s="64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  <c r="BM158" s="67"/>
      <c r="BN158" s="67"/>
      <c r="BO158" s="67"/>
      <c r="BP158" s="67"/>
      <c r="BQ158" s="67"/>
      <c r="BR158" s="67"/>
      <c r="BS158" s="67"/>
      <c r="BT158" s="67"/>
      <c r="BU158" s="67"/>
      <c r="BV158" s="45"/>
      <c r="BW158" s="45"/>
      <c r="BX158" s="45"/>
      <c r="BY158" s="45"/>
      <c r="BZ158" s="45"/>
      <c r="CA158" s="45"/>
      <c r="CB158" s="45"/>
      <c r="CC158" s="45"/>
      <c r="CD158" s="45"/>
      <c r="CE158" s="45"/>
      <c r="CF158" s="45"/>
      <c r="CG158" s="45"/>
      <c r="CH158" s="45"/>
      <c r="CI158" s="45"/>
      <c r="CJ158" s="45"/>
      <c r="CK158" s="45"/>
      <c r="CL158" s="115"/>
      <c r="CM158" s="45"/>
      <c r="CN158" s="223"/>
      <c r="CO158" s="223"/>
      <c r="CP158" s="223"/>
      <c r="CQ158" s="223"/>
      <c r="CR158" s="224"/>
      <c r="CS158" s="224"/>
      <c r="CT158" s="224"/>
      <c r="CU158" s="224"/>
      <c r="CV158" s="224"/>
      <c r="CW158" s="224"/>
      <c r="CX158" s="224"/>
      <c r="CY158" s="224"/>
      <c r="CZ158" s="224"/>
      <c r="DA158" s="224"/>
      <c r="DB158" s="224"/>
      <c r="DC158" s="224"/>
      <c r="DD158" s="224"/>
      <c r="DE158" s="224"/>
      <c r="DF158" s="224"/>
    </row>
    <row r="159" spans="1:110" s="116" customFormat="1" ht="18" x14ac:dyDescent="0.3">
      <c r="A159" s="224"/>
      <c r="B159" s="205"/>
      <c r="C159" s="431" t="s">
        <v>343</v>
      </c>
      <c r="D159" s="111" t="s">
        <v>151</v>
      </c>
      <c r="E159" s="310"/>
      <c r="F159" s="352" t="s">
        <v>5</v>
      </c>
      <c r="G159" s="203" t="s">
        <v>5</v>
      </c>
      <c r="H159" s="310"/>
      <c r="I159" s="203" t="s">
        <v>5</v>
      </c>
      <c r="J159" s="203" t="s">
        <v>5</v>
      </c>
      <c r="K159" s="203" t="s">
        <v>5</v>
      </c>
      <c r="L159" s="203" t="s">
        <v>5</v>
      </c>
      <c r="M159" s="108" t="s">
        <v>6</v>
      </c>
      <c r="N159" s="112" t="s">
        <v>6</v>
      </c>
      <c r="O159" s="374" t="s">
        <v>6</v>
      </c>
      <c r="P159" s="113"/>
      <c r="Q159" s="211"/>
      <c r="R159" s="211"/>
      <c r="S159" s="194" t="s">
        <v>5</v>
      </c>
      <c r="T159" s="114">
        <f>AD159</f>
        <v>0</v>
      </c>
      <c r="U159" s="71"/>
      <c r="V159" s="71"/>
      <c r="W159" s="71"/>
      <c r="X159" s="71"/>
      <c r="Y159" s="45"/>
      <c r="Z159" s="45"/>
      <c r="AA159" s="45"/>
      <c r="AB159" s="45"/>
      <c r="AC159" s="67"/>
      <c r="AD159" s="81"/>
      <c r="AE159" s="64"/>
      <c r="AF159" s="64"/>
      <c r="AG159" s="67"/>
      <c r="AH159" s="67"/>
      <c r="AI159" s="472"/>
      <c r="AJ159" s="67"/>
      <c r="AK159" s="472"/>
      <c r="AL159" s="67"/>
      <c r="AM159" s="45"/>
      <c r="AN159" s="64"/>
      <c r="AO159" s="64"/>
      <c r="AP159" s="64"/>
      <c r="AQ159" s="64"/>
      <c r="AR159" s="64"/>
      <c r="AS159" s="64"/>
      <c r="AT159" s="64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67"/>
      <c r="BQ159" s="67"/>
      <c r="BR159" s="67"/>
      <c r="BS159" s="67"/>
      <c r="BT159" s="67"/>
      <c r="BU159" s="67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/>
      <c r="CG159" s="45"/>
      <c r="CH159" s="45"/>
      <c r="CI159" s="45"/>
      <c r="CJ159" s="45"/>
      <c r="CK159" s="45"/>
      <c r="CL159" s="115"/>
      <c r="CM159" s="45"/>
      <c r="CN159" s="223"/>
      <c r="CO159" s="223"/>
      <c r="CP159" s="223"/>
      <c r="CQ159" s="223"/>
      <c r="CR159" s="224"/>
      <c r="CS159" s="224"/>
      <c r="CT159" s="224"/>
      <c r="CU159" s="224"/>
      <c r="CV159" s="224"/>
      <c r="CW159" s="224"/>
      <c r="CX159" s="224"/>
      <c r="CY159" s="224"/>
      <c r="CZ159" s="224"/>
      <c r="DA159" s="224"/>
      <c r="DB159" s="224"/>
      <c r="DC159" s="224"/>
      <c r="DD159" s="224"/>
      <c r="DE159" s="224"/>
      <c r="DF159" s="224"/>
    </row>
    <row r="160" spans="1:110" s="88" customFormat="1" ht="18" x14ac:dyDescent="0.25">
      <c r="A160" s="218"/>
      <c r="B160" s="205"/>
      <c r="C160" s="431" t="s">
        <v>377</v>
      </c>
      <c r="D160" s="111" t="s">
        <v>151</v>
      </c>
      <c r="E160" s="435"/>
      <c r="F160" s="451" t="s">
        <v>345</v>
      </c>
      <c r="G160" s="203" t="s">
        <v>5</v>
      </c>
      <c r="H160" s="435"/>
      <c r="I160" s="203" t="s">
        <v>5</v>
      </c>
      <c r="J160" s="203" t="s">
        <v>5</v>
      </c>
      <c r="K160" s="203" t="s">
        <v>5</v>
      </c>
      <c r="L160" s="203" t="s">
        <v>5</v>
      </c>
      <c r="M160" s="108" t="s">
        <v>6</v>
      </c>
      <c r="N160" s="112" t="s">
        <v>6</v>
      </c>
      <c r="O160" s="374" t="s">
        <v>6</v>
      </c>
      <c r="P160" s="113"/>
      <c r="Q160" s="211"/>
      <c r="R160" s="211"/>
      <c r="S160" s="192" t="s">
        <v>5</v>
      </c>
      <c r="T160" s="71"/>
      <c r="U160" s="71"/>
      <c r="V160" s="71"/>
      <c r="W160" s="71"/>
      <c r="X160" s="71"/>
      <c r="Y160" s="44"/>
      <c r="Z160" s="71"/>
      <c r="AA160" s="71"/>
      <c r="AB160" s="71"/>
      <c r="AC160" s="71"/>
      <c r="AD160" s="71"/>
      <c r="AE160" s="71"/>
      <c r="AF160" s="71"/>
      <c r="AG160" s="71"/>
      <c r="AH160" s="71"/>
      <c r="AI160" s="475"/>
      <c r="AJ160" s="71"/>
      <c r="AK160" s="475"/>
      <c r="AL160" s="71"/>
      <c r="AM160" s="71"/>
      <c r="AN160" s="106"/>
      <c r="AO160" s="106"/>
      <c r="AP160" s="106"/>
      <c r="AQ160" s="71"/>
      <c r="AR160" s="106"/>
      <c r="AS160" s="106"/>
      <c r="AT160" s="106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/>
      <c r="BX160" s="71"/>
      <c r="BY160" s="71"/>
      <c r="BZ160" s="71"/>
      <c r="CA160" s="71"/>
      <c r="CB160" s="71"/>
      <c r="CC160" s="71"/>
      <c r="CD160" s="71"/>
      <c r="CE160" s="71"/>
      <c r="CF160" s="71"/>
      <c r="CG160" s="71"/>
      <c r="CH160" s="71"/>
      <c r="CI160" s="71"/>
      <c r="CJ160" s="71"/>
      <c r="CK160" s="71"/>
      <c r="CL160" s="81"/>
      <c r="CM160" s="71"/>
      <c r="CN160" s="223"/>
      <c r="CO160" s="223"/>
      <c r="CP160" s="223"/>
      <c r="CQ160" s="223"/>
      <c r="CR160" s="218"/>
      <c r="CS160" s="218"/>
      <c r="CT160" s="218"/>
      <c r="CU160" s="218"/>
      <c r="CV160" s="218"/>
      <c r="CW160" s="218"/>
      <c r="CX160" s="218"/>
      <c r="CY160" s="218"/>
      <c r="CZ160" s="218"/>
      <c r="DA160" s="218"/>
      <c r="DB160" s="218"/>
      <c r="DC160" s="218"/>
      <c r="DD160" s="218"/>
      <c r="DE160" s="218"/>
      <c r="DF160" s="218"/>
    </row>
    <row r="161" spans="1:110" s="88" customFormat="1" ht="18" x14ac:dyDescent="0.25">
      <c r="A161" s="218"/>
      <c r="B161" s="205"/>
      <c r="C161" s="431" t="s">
        <v>396</v>
      </c>
      <c r="D161" s="111" t="s">
        <v>151</v>
      </c>
      <c r="E161" s="310" t="s">
        <v>213</v>
      </c>
      <c r="F161" s="351" t="s">
        <v>212</v>
      </c>
      <c r="G161" s="203" t="s">
        <v>5</v>
      </c>
      <c r="H161" s="310" t="str">
        <f t="shared" ref="H161:H163" si="12">H$164</f>
        <v>Kauf nach CF</v>
      </c>
      <c r="I161" s="203" t="s">
        <v>5</v>
      </c>
      <c r="J161" s="203" t="s">
        <v>5</v>
      </c>
      <c r="K161" s="203" t="s">
        <v>5</v>
      </c>
      <c r="L161" s="203" t="s">
        <v>5</v>
      </c>
      <c r="M161" s="108" t="s">
        <v>6</v>
      </c>
      <c r="N161" s="112" t="s">
        <v>6</v>
      </c>
      <c r="O161" s="374" t="s">
        <v>6</v>
      </c>
      <c r="P161" s="113"/>
      <c r="Q161" s="211"/>
      <c r="R161" s="211"/>
      <c r="S161" s="192" t="s">
        <v>5</v>
      </c>
      <c r="T161" s="71"/>
      <c r="U161" s="71"/>
      <c r="V161" s="71"/>
      <c r="W161" s="71"/>
      <c r="X161" s="71"/>
      <c r="Y161" s="44"/>
      <c r="Z161" s="71"/>
      <c r="AA161" s="71"/>
      <c r="AB161" s="71"/>
      <c r="AC161" s="71"/>
      <c r="AD161" s="71"/>
      <c r="AE161" s="71"/>
      <c r="AF161" s="71"/>
      <c r="AG161" s="71"/>
      <c r="AH161" s="71"/>
      <c r="AI161" s="475"/>
      <c r="AJ161" s="71"/>
      <c r="AK161" s="475"/>
      <c r="AL161" s="71"/>
      <c r="AM161" s="71"/>
      <c r="AN161" s="106"/>
      <c r="AO161" s="106"/>
      <c r="AP161" s="106"/>
      <c r="AQ161" s="71"/>
      <c r="AR161" s="106"/>
      <c r="AS161" s="106"/>
      <c r="AT161" s="106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1"/>
      <c r="CG161" s="71"/>
      <c r="CH161" s="71"/>
      <c r="CI161" s="71"/>
      <c r="CJ161" s="71"/>
      <c r="CK161" s="71"/>
      <c r="CL161" s="81"/>
      <c r="CM161" s="71"/>
      <c r="CN161" s="223"/>
      <c r="CO161" s="223"/>
      <c r="CP161" s="223"/>
      <c r="CQ161" s="223"/>
      <c r="CR161" s="218"/>
      <c r="CS161" s="218"/>
      <c r="CT161" s="218"/>
      <c r="CU161" s="218"/>
      <c r="CV161" s="218"/>
      <c r="CW161" s="218"/>
      <c r="CX161" s="218"/>
      <c r="CY161" s="218"/>
      <c r="CZ161" s="218"/>
      <c r="DA161" s="218"/>
      <c r="DB161" s="218"/>
      <c r="DC161" s="218"/>
      <c r="DD161" s="218"/>
      <c r="DE161" s="218"/>
      <c r="DF161" s="218"/>
    </row>
    <row r="162" spans="1:110" s="88" customFormat="1" ht="18" x14ac:dyDescent="0.25">
      <c r="A162" s="218"/>
      <c r="B162" s="205"/>
      <c r="C162" s="431" t="s">
        <v>381</v>
      </c>
      <c r="D162" s="111" t="s">
        <v>151</v>
      </c>
      <c r="E162" s="310" t="s">
        <v>213</v>
      </c>
      <c r="F162" s="351" t="s">
        <v>212</v>
      </c>
      <c r="G162" s="203" t="s">
        <v>5</v>
      </c>
      <c r="H162" s="310" t="str">
        <f t="shared" si="12"/>
        <v>Kauf nach CF</v>
      </c>
      <c r="I162" s="203" t="s">
        <v>5</v>
      </c>
      <c r="J162" s="203" t="s">
        <v>5</v>
      </c>
      <c r="K162" s="203" t="s">
        <v>5</v>
      </c>
      <c r="L162" s="203" t="s">
        <v>5</v>
      </c>
      <c r="M162" s="108" t="s">
        <v>6</v>
      </c>
      <c r="N162" s="112" t="s">
        <v>6</v>
      </c>
      <c r="O162" s="374" t="s">
        <v>6</v>
      </c>
      <c r="P162" s="113"/>
      <c r="Q162" s="211"/>
      <c r="R162" s="211"/>
      <c r="S162" s="192" t="s">
        <v>5</v>
      </c>
      <c r="T162" s="71"/>
      <c r="U162" s="71"/>
      <c r="V162" s="71"/>
      <c r="W162" s="71"/>
      <c r="X162" s="71"/>
      <c r="Y162" s="44"/>
      <c r="Z162" s="71"/>
      <c r="AA162" s="71"/>
      <c r="AB162" s="71"/>
      <c r="AC162" s="71"/>
      <c r="AD162" s="71"/>
      <c r="AE162" s="71"/>
      <c r="AF162" s="71"/>
      <c r="AG162" s="71"/>
      <c r="AH162" s="71"/>
      <c r="AI162" s="475"/>
      <c r="AJ162" s="71"/>
      <c r="AK162" s="475"/>
      <c r="AL162" s="71"/>
      <c r="AM162" s="71"/>
      <c r="AN162" s="106"/>
      <c r="AO162" s="106"/>
      <c r="AP162" s="106"/>
      <c r="AQ162" s="71"/>
      <c r="AR162" s="106"/>
      <c r="AS162" s="106"/>
      <c r="AT162" s="106"/>
      <c r="AU162" s="71"/>
      <c r="AV162" s="71"/>
      <c r="AW162" s="71"/>
      <c r="AX162" s="71"/>
      <c r="AY162" s="71"/>
      <c r="AZ162" s="71"/>
      <c r="BA162" s="71"/>
      <c r="BB162" s="71"/>
      <c r="BC162" s="71"/>
      <c r="BD162" s="71"/>
      <c r="BE162" s="71"/>
      <c r="BF162" s="71"/>
      <c r="BG162" s="71"/>
      <c r="BH162" s="71"/>
      <c r="BI162" s="71"/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/>
      <c r="BV162" s="71"/>
      <c r="BW162" s="71"/>
      <c r="BX162" s="71"/>
      <c r="BY162" s="71"/>
      <c r="BZ162" s="71"/>
      <c r="CA162" s="71"/>
      <c r="CB162" s="71"/>
      <c r="CC162" s="71"/>
      <c r="CD162" s="71"/>
      <c r="CE162" s="71"/>
      <c r="CF162" s="71"/>
      <c r="CG162" s="71"/>
      <c r="CH162" s="71"/>
      <c r="CI162" s="71"/>
      <c r="CJ162" s="71"/>
      <c r="CK162" s="71"/>
      <c r="CL162" s="81"/>
      <c r="CM162" s="71"/>
      <c r="CN162" s="223"/>
      <c r="CO162" s="223"/>
      <c r="CP162" s="223"/>
      <c r="CQ162" s="223"/>
      <c r="CR162" s="218"/>
      <c r="CS162" s="218"/>
      <c r="CT162" s="218"/>
      <c r="CU162" s="218"/>
      <c r="CV162" s="218"/>
      <c r="CW162" s="218"/>
      <c r="CX162" s="218"/>
      <c r="CY162" s="218"/>
      <c r="CZ162" s="218"/>
      <c r="DA162" s="218"/>
      <c r="DB162" s="218"/>
      <c r="DC162" s="218"/>
      <c r="DD162" s="218"/>
      <c r="DE162" s="218"/>
      <c r="DF162" s="218"/>
    </row>
    <row r="163" spans="1:110" s="88" customFormat="1" ht="18" hidden="1" outlineLevel="1" x14ac:dyDescent="0.25">
      <c r="A163" s="218"/>
      <c r="B163" s="205"/>
      <c r="C163" s="367" t="s">
        <v>192</v>
      </c>
      <c r="D163" s="398" t="s">
        <v>151</v>
      </c>
      <c r="E163" s="310" t="s">
        <v>213</v>
      </c>
      <c r="F163" s="351" t="s">
        <v>212</v>
      </c>
      <c r="G163" s="203" t="s">
        <v>5</v>
      </c>
      <c r="H163" s="310" t="str">
        <f t="shared" si="12"/>
        <v>Kauf nach CF</v>
      </c>
      <c r="I163" s="203" t="s">
        <v>5</v>
      </c>
      <c r="J163" s="203" t="s">
        <v>5</v>
      </c>
      <c r="K163" s="203" t="s">
        <v>5</v>
      </c>
      <c r="L163" s="203" t="s">
        <v>5</v>
      </c>
      <c r="M163" s="108" t="s">
        <v>6</v>
      </c>
      <c r="N163" s="112" t="s">
        <v>6</v>
      </c>
      <c r="O163" s="374" t="s">
        <v>6</v>
      </c>
      <c r="P163" s="103"/>
      <c r="Q163" s="211"/>
      <c r="R163" s="211"/>
      <c r="S163" s="192" t="s">
        <v>5</v>
      </c>
      <c r="T163" s="71"/>
      <c r="U163" s="71"/>
      <c r="V163" s="71"/>
      <c r="W163" s="71"/>
      <c r="X163" s="71"/>
      <c r="Y163" s="44"/>
      <c r="Z163" s="71"/>
      <c r="AA163" s="71"/>
      <c r="AB163" s="71"/>
      <c r="AC163" s="71"/>
      <c r="AD163" s="71"/>
      <c r="AE163" s="71"/>
      <c r="AF163" s="71"/>
      <c r="AG163" s="71"/>
      <c r="AH163" s="71"/>
      <c r="AI163" s="475"/>
      <c r="AJ163" s="71"/>
      <c r="AK163" s="475"/>
      <c r="AL163" s="71"/>
      <c r="AM163" s="71"/>
      <c r="AN163" s="106"/>
      <c r="AO163" s="106"/>
      <c r="AP163" s="106"/>
      <c r="AQ163" s="71"/>
      <c r="AR163" s="106"/>
      <c r="AS163" s="106"/>
      <c r="AT163" s="106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/>
      <c r="CA163" s="71"/>
      <c r="CB163" s="71"/>
      <c r="CC163" s="71"/>
      <c r="CD163" s="71"/>
      <c r="CE163" s="71"/>
      <c r="CF163" s="71"/>
      <c r="CG163" s="71"/>
      <c r="CH163" s="71"/>
      <c r="CI163" s="71"/>
      <c r="CJ163" s="71"/>
      <c r="CK163" s="71"/>
      <c r="CL163" s="81"/>
      <c r="CM163" s="71"/>
      <c r="CN163" s="223"/>
      <c r="CO163" s="223"/>
      <c r="CP163" s="223"/>
      <c r="CQ163" s="223"/>
      <c r="CR163" s="218"/>
      <c r="CS163" s="218"/>
      <c r="CT163" s="218"/>
      <c r="CU163" s="218"/>
      <c r="CV163" s="218"/>
      <c r="CW163" s="218"/>
      <c r="CX163" s="218"/>
      <c r="CY163" s="218"/>
      <c r="CZ163" s="218"/>
      <c r="DA163" s="218"/>
      <c r="DB163" s="218"/>
      <c r="DC163" s="218"/>
      <c r="DD163" s="218"/>
      <c r="DE163" s="218"/>
      <c r="DF163" s="218"/>
    </row>
    <row r="164" spans="1:110" s="116" customFormat="1" ht="18" collapsed="1" x14ac:dyDescent="0.3">
      <c r="A164" s="224"/>
      <c r="B164" s="204"/>
      <c r="C164" s="397" t="s">
        <v>391</v>
      </c>
      <c r="D164" s="111" t="s">
        <v>151</v>
      </c>
      <c r="E164" s="310" t="s">
        <v>213</v>
      </c>
      <c r="F164" s="351" t="str">
        <f>IF($B73="x","enthalten","Kauf nach CF")</f>
        <v>Kauf nach CF</v>
      </c>
      <c r="G164" s="310" t="str">
        <f>IF($B73="x","enthalten","Kauf nach CF")</f>
        <v>Kauf nach CF</v>
      </c>
      <c r="H164" s="310" t="str">
        <f>IF($B73="x","enthalten","Kauf nach CF")</f>
        <v>Kauf nach CF</v>
      </c>
      <c r="I164" s="203" t="s">
        <v>5</v>
      </c>
      <c r="J164" s="203" t="s">
        <v>5</v>
      </c>
      <c r="K164" s="203" t="s">
        <v>5</v>
      </c>
      <c r="L164" s="203" t="s">
        <v>5</v>
      </c>
      <c r="M164" s="97" t="s">
        <v>6</v>
      </c>
      <c r="N164" s="112">
        <f>17.49</f>
        <v>17.489999999999998</v>
      </c>
      <c r="O164" s="373" t="s">
        <v>6</v>
      </c>
      <c r="P164" s="113" t="s">
        <v>7</v>
      </c>
      <c r="Q164" s="211"/>
      <c r="R164" s="211"/>
      <c r="S164" s="194" t="s">
        <v>5</v>
      </c>
      <c r="T164" s="114"/>
      <c r="U164" s="71"/>
      <c r="V164" s="71"/>
      <c r="W164" s="71"/>
      <c r="X164" s="71"/>
      <c r="Y164" s="45"/>
      <c r="Z164" s="45"/>
      <c r="AA164" s="45"/>
      <c r="AB164" s="45"/>
      <c r="AC164" s="67"/>
      <c r="AD164" s="81"/>
      <c r="AE164" s="64"/>
      <c r="AF164" s="64"/>
      <c r="AG164" s="67"/>
      <c r="AH164" s="67"/>
      <c r="AI164" s="472"/>
      <c r="AJ164" s="67"/>
      <c r="AK164" s="472"/>
      <c r="AL164" s="67"/>
      <c r="AM164" s="45"/>
      <c r="AN164" s="64"/>
      <c r="AO164" s="64"/>
      <c r="AP164" s="64"/>
      <c r="AQ164" s="64"/>
      <c r="AR164" s="64"/>
      <c r="AS164" s="64"/>
      <c r="AT164" s="64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67"/>
      <c r="BP164" s="67"/>
      <c r="BQ164" s="67"/>
      <c r="BR164" s="67"/>
      <c r="BS164" s="67"/>
      <c r="BT164" s="67"/>
      <c r="BU164" s="67"/>
      <c r="BV164" s="45"/>
      <c r="BW164" s="45"/>
      <c r="BX164" s="45"/>
      <c r="BY164" s="45"/>
      <c r="BZ164" s="45"/>
      <c r="CA164" s="45"/>
      <c r="CB164" s="45"/>
      <c r="CC164" s="45"/>
      <c r="CD164" s="45"/>
      <c r="CE164" s="45"/>
      <c r="CF164" s="45"/>
      <c r="CG164" s="45"/>
      <c r="CH164" s="45"/>
      <c r="CI164" s="45"/>
      <c r="CJ164" s="45"/>
      <c r="CK164" s="45"/>
      <c r="CL164" s="115"/>
      <c r="CM164" s="45"/>
      <c r="CN164" s="223"/>
      <c r="CO164" s="223"/>
      <c r="CP164" s="223"/>
      <c r="CQ164" s="223"/>
      <c r="CR164" s="224"/>
      <c r="CS164" s="224"/>
      <c r="CT164" s="224"/>
      <c r="CU164" s="224"/>
      <c r="CV164" s="224"/>
      <c r="CW164" s="224"/>
      <c r="CX164" s="224"/>
      <c r="CY164" s="224"/>
      <c r="CZ164" s="224"/>
      <c r="DA164" s="224"/>
      <c r="DB164" s="224"/>
      <c r="DC164" s="224"/>
      <c r="DD164" s="224"/>
      <c r="DE164" s="224"/>
      <c r="DF164" s="224"/>
    </row>
    <row r="165" spans="1:110" s="116" customFormat="1" ht="18" hidden="1" outlineLevel="1" x14ac:dyDescent="0.3">
      <c r="A165" s="224"/>
      <c r="B165" s="205"/>
      <c r="C165" s="366" t="s">
        <v>228</v>
      </c>
      <c r="D165" s="398" t="s">
        <v>151</v>
      </c>
      <c r="E165" s="435" t="s">
        <v>345</v>
      </c>
      <c r="F165" s="435" t="s">
        <v>345</v>
      </c>
      <c r="G165" s="435" t="s">
        <v>345</v>
      </c>
      <c r="H165" s="435" t="s">
        <v>345</v>
      </c>
      <c r="I165" s="203" t="s">
        <v>5</v>
      </c>
      <c r="J165" s="203" t="s">
        <v>5</v>
      </c>
      <c r="K165" s="203" t="s">
        <v>5</v>
      </c>
      <c r="L165" s="203" t="s">
        <v>5</v>
      </c>
      <c r="M165" s="108" t="s">
        <v>6</v>
      </c>
      <c r="N165" s="399" t="s">
        <v>6</v>
      </c>
      <c r="O165" s="374" t="s">
        <v>6</v>
      </c>
      <c r="P165" s="113"/>
      <c r="Q165" s="211"/>
      <c r="R165" s="211"/>
      <c r="S165" s="194" t="s">
        <v>5</v>
      </c>
      <c r="T165" s="114">
        <f t="shared" ref="T165" si="13">AD165</f>
        <v>0</v>
      </c>
      <c r="U165" s="71"/>
      <c r="V165" s="71"/>
      <c r="W165" s="71"/>
      <c r="X165" s="71"/>
      <c r="Y165" s="45"/>
      <c r="Z165" s="45"/>
      <c r="AA165" s="45"/>
      <c r="AB165" s="45"/>
      <c r="AC165" s="67"/>
      <c r="AD165" s="81"/>
      <c r="AE165" s="64"/>
      <c r="AF165" s="64"/>
      <c r="AG165" s="67"/>
      <c r="AH165" s="67"/>
      <c r="AI165" s="472"/>
      <c r="AJ165" s="67"/>
      <c r="AK165" s="472"/>
      <c r="AL165" s="67"/>
      <c r="AM165" s="45"/>
      <c r="AN165" s="64"/>
      <c r="AO165" s="64"/>
      <c r="AP165" s="64"/>
      <c r="AQ165" s="64"/>
      <c r="AR165" s="64"/>
      <c r="AS165" s="64"/>
      <c r="AT165" s="64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67"/>
      <c r="BP165" s="67"/>
      <c r="BQ165" s="67"/>
      <c r="BR165" s="67"/>
      <c r="BS165" s="67"/>
      <c r="BT165" s="67"/>
      <c r="BU165" s="67"/>
      <c r="BV165" s="45"/>
      <c r="BW165" s="45"/>
      <c r="BX165" s="45"/>
      <c r="BY165" s="45"/>
      <c r="BZ165" s="45"/>
      <c r="CA165" s="45"/>
      <c r="CB165" s="45"/>
      <c r="CC165" s="45"/>
      <c r="CD165" s="45"/>
      <c r="CE165" s="45"/>
      <c r="CF165" s="45"/>
      <c r="CG165" s="45"/>
      <c r="CH165" s="45"/>
      <c r="CI165" s="45"/>
      <c r="CJ165" s="45"/>
      <c r="CK165" s="45"/>
      <c r="CL165" s="115"/>
      <c r="CM165" s="45"/>
      <c r="CN165" s="223"/>
      <c r="CO165" s="223"/>
      <c r="CP165" s="223"/>
      <c r="CQ165" s="223"/>
      <c r="CR165" s="224"/>
      <c r="CS165" s="224"/>
      <c r="CT165" s="224"/>
      <c r="CU165" s="224"/>
      <c r="CV165" s="224"/>
      <c r="CW165" s="224"/>
      <c r="CX165" s="224"/>
      <c r="CY165" s="224"/>
      <c r="CZ165" s="224"/>
      <c r="DA165" s="224"/>
      <c r="DB165" s="224"/>
      <c r="DC165" s="224"/>
      <c r="DD165" s="224"/>
      <c r="DE165" s="224"/>
      <c r="DF165" s="224"/>
    </row>
    <row r="166" spans="1:110" s="116" customFormat="1" ht="18" collapsed="1" x14ac:dyDescent="0.3">
      <c r="A166" s="224"/>
      <c r="B166" s="205"/>
      <c r="C166" s="423" t="s">
        <v>336</v>
      </c>
      <c r="D166" s="111" t="s">
        <v>335</v>
      </c>
      <c r="E166" s="310"/>
      <c r="F166" s="351" t="str">
        <f>IF($B75="x","enthalten","Kauf nach CF")</f>
        <v>Kauf nach CF</v>
      </c>
      <c r="G166" s="310" t="str">
        <f>IF($B75="x","enthalten","Kauf nach CF")</f>
        <v>Kauf nach CF</v>
      </c>
      <c r="H166" s="310"/>
      <c r="I166" s="203" t="s">
        <v>5</v>
      </c>
      <c r="J166" s="203" t="s">
        <v>5</v>
      </c>
      <c r="K166" s="203" t="s">
        <v>5</v>
      </c>
      <c r="L166" s="203" t="s">
        <v>5</v>
      </c>
      <c r="M166" s="108" t="s">
        <v>6</v>
      </c>
      <c r="N166" s="112" t="s">
        <v>6</v>
      </c>
      <c r="O166" s="374" t="s">
        <v>6</v>
      </c>
      <c r="P166" s="113"/>
      <c r="Q166" s="211"/>
      <c r="R166" s="211"/>
      <c r="S166" s="194" t="s">
        <v>5</v>
      </c>
      <c r="T166" s="114"/>
      <c r="U166" s="71"/>
      <c r="V166" s="71"/>
      <c r="W166" s="71"/>
      <c r="X166" s="71"/>
      <c r="Y166" s="45"/>
      <c r="Z166" s="45"/>
      <c r="AA166" s="45"/>
      <c r="AB166" s="45"/>
      <c r="AC166" s="67"/>
      <c r="AD166" s="81"/>
      <c r="AE166" s="64"/>
      <c r="AF166" s="64"/>
      <c r="AG166" s="67"/>
      <c r="AH166" s="67"/>
      <c r="AI166" s="472"/>
      <c r="AJ166" s="67"/>
      <c r="AK166" s="472"/>
      <c r="AL166" s="67"/>
      <c r="AM166" s="45"/>
      <c r="AN166" s="64"/>
      <c r="AO166" s="64"/>
      <c r="AP166" s="64"/>
      <c r="AQ166" s="64"/>
      <c r="AR166" s="64"/>
      <c r="AS166" s="64"/>
      <c r="AT166" s="64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67"/>
      <c r="BP166" s="67"/>
      <c r="BQ166" s="67"/>
      <c r="BR166" s="67"/>
      <c r="BS166" s="67"/>
      <c r="BT166" s="67"/>
      <c r="BU166" s="67"/>
      <c r="BV166" s="45"/>
      <c r="BW166" s="45"/>
      <c r="BX166" s="45"/>
      <c r="BY166" s="45"/>
      <c r="BZ166" s="45"/>
      <c r="CA166" s="45"/>
      <c r="CB166" s="45"/>
      <c r="CC166" s="45"/>
      <c r="CD166" s="45"/>
      <c r="CE166" s="45"/>
      <c r="CF166" s="45"/>
      <c r="CG166" s="45"/>
      <c r="CH166" s="45"/>
      <c r="CI166" s="45"/>
      <c r="CJ166" s="45"/>
      <c r="CK166" s="45"/>
      <c r="CL166" s="115"/>
      <c r="CM166" s="45"/>
      <c r="CN166" s="223"/>
      <c r="CO166" s="223"/>
      <c r="CP166" s="223"/>
      <c r="CQ166" s="223"/>
      <c r="CR166" s="224"/>
      <c r="CS166" s="224"/>
      <c r="CT166" s="224"/>
      <c r="CU166" s="224"/>
      <c r="CV166" s="224"/>
      <c r="CW166" s="224"/>
      <c r="CX166" s="224"/>
      <c r="CY166" s="224"/>
      <c r="CZ166" s="224"/>
      <c r="DA166" s="224"/>
      <c r="DB166" s="224"/>
      <c r="DC166" s="224"/>
      <c r="DD166" s="224"/>
      <c r="DE166" s="224"/>
      <c r="DF166" s="224"/>
    </row>
    <row r="167" spans="1:110" s="116" customFormat="1" ht="18" collapsed="1" x14ac:dyDescent="0.3">
      <c r="A167" s="224"/>
      <c r="B167" s="205"/>
      <c r="C167" s="423" t="s">
        <v>341</v>
      </c>
      <c r="D167" s="111" t="s">
        <v>335</v>
      </c>
      <c r="E167" s="310"/>
      <c r="F167" s="351" t="str">
        <f>IF($B76="x","enthalten","Kauf nach CF")</f>
        <v>Kauf nach CF</v>
      </c>
      <c r="G167" s="310" t="str">
        <f>IF($B76="x","enthalten","Kauf nach CF")</f>
        <v>Kauf nach CF</v>
      </c>
      <c r="H167" s="310"/>
      <c r="I167" s="203" t="s">
        <v>5</v>
      </c>
      <c r="J167" s="203" t="s">
        <v>5</v>
      </c>
      <c r="K167" s="203" t="s">
        <v>5</v>
      </c>
      <c r="L167" s="203" t="s">
        <v>5</v>
      </c>
      <c r="M167" s="108" t="s">
        <v>6</v>
      </c>
      <c r="N167" s="112" t="s">
        <v>6</v>
      </c>
      <c r="O167" s="374" t="s">
        <v>6</v>
      </c>
      <c r="P167" s="113"/>
      <c r="Q167" s="211"/>
      <c r="R167" s="211"/>
      <c r="S167" s="194" t="s">
        <v>5</v>
      </c>
      <c r="T167" s="114"/>
      <c r="U167" s="71"/>
      <c r="V167" s="71"/>
      <c r="W167" s="71"/>
      <c r="X167" s="71"/>
      <c r="Y167" s="45"/>
      <c r="Z167" s="45"/>
      <c r="AA167" s="45"/>
      <c r="AB167" s="45"/>
      <c r="AC167" s="67"/>
      <c r="AD167" s="81"/>
      <c r="AE167" s="64"/>
      <c r="AF167" s="64"/>
      <c r="AG167" s="67"/>
      <c r="AH167" s="67"/>
      <c r="AI167" s="472"/>
      <c r="AJ167" s="67"/>
      <c r="AK167" s="472"/>
      <c r="AL167" s="67"/>
      <c r="AM167" s="45"/>
      <c r="AN167" s="64"/>
      <c r="AO167" s="64"/>
      <c r="AP167" s="64"/>
      <c r="AQ167" s="64"/>
      <c r="AR167" s="64"/>
      <c r="AS167" s="64"/>
      <c r="AT167" s="64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  <c r="BS167" s="67"/>
      <c r="BT167" s="67"/>
      <c r="BU167" s="67"/>
      <c r="BV167" s="45"/>
      <c r="BW167" s="45"/>
      <c r="BX167" s="45"/>
      <c r="BY167" s="45"/>
      <c r="BZ167" s="45"/>
      <c r="CA167" s="45"/>
      <c r="CB167" s="45"/>
      <c r="CC167" s="45"/>
      <c r="CD167" s="45"/>
      <c r="CE167" s="45"/>
      <c r="CF167" s="45"/>
      <c r="CG167" s="45"/>
      <c r="CH167" s="45"/>
      <c r="CI167" s="45"/>
      <c r="CJ167" s="45"/>
      <c r="CK167" s="45"/>
      <c r="CL167" s="115"/>
      <c r="CM167" s="45"/>
      <c r="CN167" s="223"/>
      <c r="CO167" s="223"/>
      <c r="CP167" s="223"/>
      <c r="CQ167" s="223"/>
      <c r="CR167" s="224"/>
      <c r="CS167" s="224"/>
      <c r="CT167" s="224"/>
      <c r="CU167" s="224"/>
      <c r="CV167" s="224"/>
      <c r="CW167" s="224"/>
      <c r="CX167" s="224"/>
      <c r="CY167" s="224"/>
      <c r="CZ167" s="224"/>
      <c r="DA167" s="224"/>
      <c r="DB167" s="224"/>
      <c r="DC167" s="224"/>
      <c r="DD167" s="224"/>
      <c r="DE167" s="224"/>
      <c r="DF167" s="224"/>
    </row>
    <row r="168" spans="1:110" s="116" customFormat="1" ht="18" hidden="1" outlineLevel="1" collapsed="1" x14ac:dyDescent="0.3">
      <c r="A168" s="224"/>
      <c r="B168" s="205"/>
      <c r="C168" s="366" t="s">
        <v>225</v>
      </c>
      <c r="D168" s="398" t="s">
        <v>335</v>
      </c>
      <c r="E168" s="435"/>
      <c r="F168" s="435" t="s">
        <v>345</v>
      </c>
      <c r="G168" s="435" t="s">
        <v>345</v>
      </c>
      <c r="H168" s="435"/>
      <c r="I168" s="203" t="s">
        <v>5</v>
      </c>
      <c r="J168" s="203" t="s">
        <v>5</v>
      </c>
      <c r="K168" s="203" t="s">
        <v>5</v>
      </c>
      <c r="L168" s="203" t="s">
        <v>5</v>
      </c>
      <c r="M168" s="108" t="s">
        <v>6</v>
      </c>
      <c r="N168" s="112" t="s">
        <v>6</v>
      </c>
      <c r="O168" s="374" t="s">
        <v>6</v>
      </c>
      <c r="P168" s="113"/>
      <c r="Q168" s="211"/>
      <c r="R168" s="211"/>
      <c r="S168" s="194" t="s">
        <v>5</v>
      </c>
      <c r="T168" s="114"/>
      <c r="U168" s="71"/>
      <c r="V168" s="71"/>
      <c r="W168" s="71"/>
      <c r="X168" s="71"/>
      <c r="Y168" s="45"/>
      <c r="Z168" s="45"/>
      <c r="AA168" s="45"/>
      <c r="AB168" s="45"/>
      <c r="AC168" s="67"/>
      <c r="AD168" s="81"/>
      <c r="AE168" s="64"/>
      <c r="AF168" s="64"/>
      <c r="AG168" s="67"/>
      <c r="AH168" s="67"/>
      <c r="AI168" s="472"/>
      <c r="AJ168" s="67"/>
      <c r="AK168" s="472"/>
      <c r="AL168" s="67"/>
      <c r="AM168" s="45"/>
      <c r="AN168" s="64"/>
      <c r="AO168" s="64"/>
      <c r="AP168" s="64"/>
      <c r="AQ168" s="64"/>
      <c r="AR168" s="64"/>
      <c r="AS168" s="64"/>
      <c r="AT168" s="64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  <c r="BM168" s="67"/>
      <c r="BN168" s="67"/>
      <c r="BO168" s="67"/>
      <c r="BP168" s="67"/>
      <c r="BQ168" s="67"/>
      <c r="BR168" s="67"/>
      <c r="BS168" s="67"/>
      <c r="BT168" s="67"/>
      <c r="BU168" s="67"/>
      <c r="BV168" s="45"/>
      <c r="BW168" s="45"/>
      <c r="BX168" s="45"/>
      <c r="BY168" s="45"/>
      <c r="BZ168" s="45"/>
      <c r="CA168" s="45"/>
      <c r="CB168" s="45"/>
      <c r="CC168" s="45"/>
      <c r="CD168" s="45"/>
      <c r="CE168" s="45"/>
      <c r="CF168" s="45"/>
      <c r="CG168" s="45"/>
      <c r="CH168" s="45"/>
      <c r="CI168" s="45"/>
      <c r="CJ168" s="45"/>
      <c r="CK168" s="45"/>
      <c r="CL168" s="115"/>
      <c r="CM168" s="45"/>
      <c r="CN168" s="223"/>
      <c r="CO168" s="223"/>
      <c r="CP168" s="223"/>
      <c r="CQ168" s="223"/>
      <c r="CR168" s="224"/>
      <c r="CS168" s="224"/>
      <c r="CT168" s="224"/>
      <c r="CU168" s="224"/>
      <c r="CV168" s="224"/>
      <c r="CW168" s="224"/>
      <c r="CX168" s="224"/>
      <c r="CY168" s="224"/>
      <c r="CZ168" s="224"/>
      <c r="DA168" s="224"/>
      <c r="DB168" s="224"/>
      <c r="DC168" s="224"/>
      <c r="DD168" s="224"/>
      <c r="DE168" s="224"/>
      <c r="DF168" s="224"/>
    </row>
    <row r="169" spans="1:110" s="116" customFormat="1" ht="18" hidden="1" outlineLevel="1" collapsed="1" x14ac:dyDescent="0.3">
      <c r="A169" s="224"/>
      <c r="B169" s="205"/>
      <c r="C169" s="366" t="s">
        <v>229</v>
      </c>
      <c r="D169" s="398" t="s">
        <v>335</v>
      </c>
      <c r="E169" s="435"/>
      <c r="F169" s="435" t="s">
        <v>345</v>
      </c>
      <c r="G169" s="435" t="s">
        <v>345</v>
      </c>
      <c r="H169" s="435"/>
      <c r="I169" s="203" t="s">
        <v>5</v>
      </c>
      <c r="J169" s="203" t="s">
        <v>5</v>
      </c>
      <c r="K169" s="203" t="s">
        <v>5</v>
      </c>
      <c r="L169" s="203" t="s">
        <v>5</v>
      </c>
      <c r="M169" s="108" t="s">
        <v>6</v>
      </c>
      <c r="N169" s="112" t="s">
        <v>6</v>
      </c>
      <c r="O169" s="374" t="s">
        <v>6</v>
      </c>
      <c r="P169" s="113"/>
      <c r="Q169" s="211"/>
      <c r="R169" s="211"/>
      <c r="S169" s="194" t="s">
        <v>5</v>
      </c>
      <c r="T169" s="114"/>
      <c r="U169" s="71"/>
      <c r="V169" s="71"/>
      <c r="W169" s="71"/>
      <c r="X169" s="71"/>
      <c r="Y169" s="45"/>
      <c r="Z169" s="45"/>
      <c r="AA169" s="45"/>
      <c r="AB169" s="45"/>
      <c r="AC169" s="67"/>
      <c r="AD169" s="81"/>
      <c r="AE169" s="64"/>
      <c r="AF169" s="64"/>
      <c r="AG169" s="67"/>
      <c r="AH169" s="67"/>
      <c r="AI169" s="472"/>
      <c r="AJ169" s="67"/>
      <c r="AK169" s="472"/>
      <c r="AL169" s="67"/>
      <c r="AM169" s="45"/>
      <c r="AN169" s="64"/>
      <c r="AO169" s="64"/>
      <c r="AP169" s="64"/>
      <c r="AQ169" s="64"/>
      <c r="AR169" s="64"/>
      <c r="AS169" s="64"/>
      <c r="AT169" s="64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  <c r="BS169" s="67"/>
      <c r="BT169" s="67"/>
      <c r="BU169" s="67"/>
      <c r="BV169" s="45"/>
      <c r="BW169" s="45"/>
      <c r="BX169" s="45"/>
      <c r="BY169" s="45"/>
      <c r="BZ169" s="45"/>
      <c r="CA169" s="45"/>
      <c r="CB169" s="45"/>
      <c r="CC169" s="45"/>
      <c r="CD169" s="45"/>
      <c r="CE169" s="45"/>
      <c r="CF169" s="45"/>
      <c r="CG169" s="45"/>
      <c r="CH169" s="45"/>
      <c r="CI169" s="45"/>
      <c r="CJ169" s="45"/>
      <c r="CK169" s="45"/>
      <c r="CL169" s="115"/>
      <c r="CM169" s="45"/>
      <c r="CN169" s="223"/>
      <c r="CO169" s="223"/>
      <c r="CP169" s="223"/>
      <c r="CQ169" s="223"/>
      <c r="CR169" s="224"/>
      <c r="CS169" s="224"/>
      <c r="CT169" s="224"/>
      <c r="CU169" s="224"/>
      <c r="CV169" s="224"/>
      <c r="CW169" s="224"/>
      <c r="CX169" s="224"/>
      <c r="CY169" s="224"/>
      <c r="CZ169" s="224"/>
      <c r="DA169" s="224"/>
      <c r="DB169" s="224"/>
      <c r="DC169" s="224"/>
      <c r="DD169" s="224"/>
      <c r="DE169" s="224"/>
      <c r="DF169" s="224"/>
    </row>
    <row r="170" spans="1:110" s="116" customFormat="1" ht="18" collapsed="1" x14ac:dyDescent="0.3">
      <c r="B170" s="205"/>
      <c r="C170" s="423" t="s">
        <v>334</v>
      </c>
      <c r="D170" s="111" t="s">
        <v>335</v>
      </c>
      <c r="E170" s="310"/>
      <c r="F170" s="351" t="str">
        <f t="shared" ref="F170:G175" si="14">IF($B79="x","enthalten","Kauf nach CF")</f>
        <v>Kauf nach CF</v>
      </c>
      <c r="G170" s="310" t="str">
        <f t="shared" si="14"/>
        <v>Kauf nach CF</v>
      </c>
      <c r="H170" s="310"/>
      <c r="I170" s="203" t="s">
        <v>5</v>
      </c>
      <c r="J170" s="203" t="s">
        <v>5</v>
      </c>
      <c r="K170" s="203" t="s">
        <v>5</v>
      </c>
      <c r="L170" s="203" t="s">
        <v>5</v>
      </c>
      <c r="M170" s="108" t="s">
        <v>6</v>
      </c>
      <c r="N170" s="112" t="s">
        <v>6</v>
      </c>
      <c r="O170" s="424" t="s">
        <v>6</v>
      </c>
      <c r="P170" s="113"/>
      <c r="Q170" s="211"/>
      <c r="R170" s="211"/>
      <c r="S170" s="425" t="s">
        <v>5</v>
      </c>
      <c r="T170" s="426"/>
      <c r="U170" s="88"/>
      <c r="V170" s="88"/>
      <c r="W170" s="88"/>
      <c r="X170" s="88"/>
      <c r="AC170" s="427"/>
      <c r="AD170" s="428"/>
      <c r="AE170" s="429"/>
      <c r="AF170" s="429"/>
      <c r="AG170" s="427"/>
      <c r="AH170" s="427"/>
      <c r="AI170" s="477"/>
      <c r="AJ170" s="427"/>
      <c r="AK170" s="477"/>
      <c r="AL170" s="427"/>
      <c r="AN170" s="429"/>
      <c r="AO170" s="429"/>
      <c r="AP170" s="429"/>
      <c r="AQ170" s="429"/>
      <c r="AR170" s="429"/>
      <c r="AS170" s="429"/>
      <c r="AT170" s="429"/>
      <c r="AU170" s="427"/>
      <c r="AV170" s="427"/>
      <c r="AW170" s="427"/>
      <c r="AX170" s="427"/>
      <c r="AY170" s="427"/>
      <c r="AZ170" s="427"/>
      <c r="BA170" s="427"/>
      <c r="BB170" s="427"/>
      <c r="BC170" s="427"/>
      <c r="BD170" s="427"/>
      <c r="BE170" s="427"/>
      <c r="BF170" s="427"/>
      <c r="BG170" s="427"/>
      <c r="BH170" s="427"/>
      <c r="BI170" s="427"/>
      <c r="BJ170" s="427"/>
      <c r="BK170" s="427"/>
      <c r="BL170" s="427"/>
      <c r="BM170" s="427"/>
      <c r="BN170" s="427"/>
      <c r="BO170" s="427"/>
      <c r="BP170" s="427"/>
      <c r="BQ170" s="427"/>
      <c r="BR170" s="427"/>
      <c r="BS170" s="427"/>
      <c r="BT170" s="427"/>
      <c r="BU170" s="427"/>
      <c r="CL170" s="430"/>
      <c r="CN170" s="223"/>
      <c r="CO170" s="223"/>
      <c r="CP170" s="223"/>
      <c r="CQ170" s="223"/>
    </row>
    <row r="171" spans="1:110" s="116" customFormat="1" ht="18" x14ac:dyDescent="0.3">
      <c r="A171" s="224"/>
      <c r="B171" s="205"/>
      <c r="C171" s="431" t="s">
        <v>338</v>
      </c>
      <c r="D171" s="111" t="s">
        <v>335</v>
      </c>
      <c r="E171" s="310"/>
      <c r="F171" s="351" t="str">
        <f t="shared" si="14"/>
        <v>Kauf nach CF</v>
      </c>
      <c r="G171" s="310" t="str">
        <f t="shared" si="14"/>
        <v>Kauf nach CF</v>
      </c>
      <c r="H171" s="310"/>
      <c r="I171" s="203" t="s">
        <v>5</v>
      </c>
      <c r="J171" s="203" t="s">
        <v>5</v>
      </c>
      <c r="K171" s="203" t="s">
        <v>5</v>
      </c>
      <c r="L171" s="203" t="s">
        <v>5</v>
      </c>
      <c r="M171" s="108" t="s">
        <v>6</v>
      </c>
      <c r="N171" s="112" t="s">
        <v>6</v>
      </c>
      <c r="O171" s="374" t="s">
        <v>6</v>
      </c>
      <c r="P171" s="113"/>
      <c r="Q171" s="211"/>
      <c r="R171" s="211"/>
      <c r="S171" s="194" t="s">
        <v>5</v>
      </c>
      <c r="T171" s="114"/>
      <c r="U171" s="71"/>
      <c r="V171" s="71"/>
      <c r="W171" s="71"/>
      <c r="X171" s="71"/>
      <c r="Y171" s="45"/>
      <c r="Z171" s="45"/>
      <c r="AA171" s="45"/>
      <c r="AB171" s="45"/>
      <c r="AC171" s="67"/>
      <c r="AD171" s="81"/>
      <c r="AE171" s="64"/>
      <c r="AF171" s="64"/>
      <c r="AG171" s="67"/>
      <c r="AH171" s="67"/>
      <c r="AI171" s="472"/>
      <c r="AJ171" s="67"/>
      <c r="AK171" s="472"/>
      <c r="AL171" s="67"/>
      <c r="AM171" s="45"/>
      <c r="AN171" s="64"/>
      <c r="AO171" s="64"/>
      <c r="AP171" s="64"/>
      <c r="AQ171" s="64"/>
      <c r="AR171" s="64"/>
      <c r="AS171" s="64"/>
      <c r="AT171" s="64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  <c r="BS171" s="67"/>
      <c r="BT171" s="67"/>
      <c r="BU171" s="67"/>
      <c r="BV171" s="45"/>
      <c r="BW171" s="45"/>
      <c r="BX171" s="45"/>
      <c r="BY171" s="45"/>
      <c r="BZ171" s="45"/>
      <c r="CA171" s="45"/>
      <c r="CB171" s="45"/>
      <c r="CC171" s="45"/>
      <c r="CD171" s="45"/>
      <c r="CE171" s="45"/>
      <c r="CF171" s="45"/>
      <c r="CG171" s="45"/>
      <c r="CH171" s="45"/>
      <c r="CI171" s="45"/>
      <c r="CJ171" s="45"/>
      <c r="CK171" s="45"/>
      <c r="CL171" s="115"/>
      <c r="CM171" s="45"/>
      <c r="CN171" s="223"/>
      <c r="CO171" s="223"/>
      <c r="CP171" s="223"/>
      <c r="CQ171" s="223"/>
      <c r="CR171" s="224"/>
      <c r="CS171" s="224"/>
      <c r="CT171" s="224"/>
      <c r="CU171" s="224"/>
      <c r="CV171" s="224"/>
      <c r="CW171" s="224"/>
      <c r="CX171" s="224"/>
      <c r="CY171" s="224"/>
      <c r="CZ171" s="224"/>
      <c r="DA171" s="224"/>
      <c r="DB171" s="224"/>
      <c r="DC171" s="224"/>
      <c r="DD171" s="224"/>
      <c r="DE171" s="224"/>
      <c r="DF171" s="224"/>
    </row>
    <row r="172" spans="1:110" s="116" customFormat="1" ht="18" x14ac:dyDescent="0.3">
      <c r="A172" s="224"/>
      <c r="B172" s="205"/>
      <c r="C172" s="431" t="s">
        <v>365</v>
      </c>
      <c r="D172" s="111" t="s">
        <v>335</v>
      </c>
      <c r="E172" s="310"/>
      <c r="F172" s="351" t="str">
        <f t="shared" si="14"/>
        <v>Kauf nach CF</v>
      </c>
      <c r="G172" s="310" t="str">
        <f t="shared" si="14"/>
        <v>Kauf nach CF</v>
      </c>
      <c r="H172" s="310"/>
      <c r="I172" s="203" t="s">
        <v>5</v>
      </c>
      <c r="J172" s="203" t="s">
        <v>5</v>
      </c>
      <c r="K172" s="203" t="s">
        <v>5</v>
      </c>
      <c r="L172" s="203" t="s">
        <v>5</v>
      </c>
      <c r="M172" s="108" t="s">
        <v>6</v>
      </c>
      <c r="N172" s="112" t="s">
        <v>6</v>
      </c>
      <c r="O172" s="374" t="s">
        <v>6</v>
      </c>
      <c r="P172" s="113"/>
      <c r="Q172" s="211"/>
      <c r="R172" s="211"/>
      <c r="S172" s="194" t="s">
        <v>5</v>
      </c>
      <c r="T172" s="114"/>
      <c r="U172" s="71"/>
      <c r="V172" s="71"/>
      <c r="W172" s="71"/>
      <c r="X172" s="71"/>
      <c r="Y172" s="45"/>
      <c r="Z172" s="45"/>
      <c r="AA172" s="45"/>
      <c r="AB172" s="45"/>
      <c r="AC172" s="67"/>
      <c r="AD172" s="81"/>
      <c r="AE172" s="64"/>
      <c r="AF172" s="64"/>
      <c r="AG172" s="67"/>
      <c r="AH172" s="67"/>
      <c r="AI172" s="472"/>
      <c r="AJ172" s="67"/>
      <c r="AK172" s="472"/>
      <c r="AL172" s="67"/>
      <c r="AM172" s="45"/>
      <c r="AN172" s="64"/>
      <c r="AO172" s="64"/>
      <c r="AP172" s="64"/>
      <c r="AQ172" s="64"/>
      <c r="AR172" s="64"/>
      <c r="AS172" s="64"/>
      <c r="AT172" s="64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  <c r="BE172" s="67"/>
      <c r="BF172" s="67"/>
      <c r="BG172" s="67"/>
      <c r="BH172" s="67"/>
      <c r="BI172" s="67"/>
      <c r="BJ172" s="67"/>
      <c r="BK172" s="67"/>
      <c r="BL172" s="67"/>
      <c r="BM172" s="67"/>
      <c r="BN172" s="67"/>
      <c r="BO172" s="67"/>
      <c r="BP172" s="67"/>
      <c r="BQ172" s="67"/>
      <c r="BR172" s="67"/>
      <c r="BS172" s="67"/>
      <c r="BT172" s="67"/>
      <c r="BU172" s="67"/>
      <c r="BV172" s="45"/>
      <c r="BW172" s="45"/>
      <c r="BX172" s="45"/>
      <c r="BY172" s="45"/>
      <c r="BZ172" s="45"/>
      <c r="CA172" s="45"/>
      <c r="CB172" s="45"/>
      <c r="CC172" s="45"/>
      <c r="CD172" s="45"/>
      <c r="CE172" s="45"/>
      <c r="CF172" s="45"/>
      <c r="CG172" s="45"/>
      <c r="CH172" s="45"/>
      <c r="CI172" s="45"/>
      <c r="CJ172" s="45"/>
      <c r="CK172" s="45"/>
      <c r="CL172" s="115"/>
      <c r="CM172" s="45"/>
      <c r="CN172" s="223"/>
      <c r="CO172" s="223"/>
      <c r="CP172" s="223"/>
      <c r="CQ172" s="223"/>
      <c r="CR172" s="224"/>
      <c r="CS172" s="224"/>
      <c r="CT172" s="224"/>
      <c r="CU172" s="224"/>
      <c r="CV172" s="224"/>
      <c r="CW172" s="224"/>
      <c r="CX172" s="224"/>
      <c r="CY172" s="224"/>
      <c r="CZ172" s="224"/>
      <c r="DA172" s="224"/>
      <c r="DB172" s="224"/>
      <c r="DC172" s="224"/>
      <c r="DD172" s="224"/>
      <c r="DE172" s="224"/>
      <c r="DF172" s="224"/>
    </row>
    <row r="173" spans="1:110" s="116" customFormat="1" ht="18" x14ac:dyDescent="0.3">
      <c r="A173" s="224"/>
      <c r="B173" s="205"/>
      <c r="C173" s="431" t="s">
        <v>339</v>
      </c>
      <c r="D173" s="111" t="s">
        <v>335</v>
      </c>
      <c r="E173" s="310"/>
      <c r="F173" s="351" t="str">
        <f t="shared" si="14"/>
        <v>Kauf nach CF</v>
      </c>
      <c r="G173" s="310" t="str">
        <f t="shared" si="14"/>
        <v>Kauf nach CF</v>
      </c>
      <c r="H173" s="310"/>
      <c r="I173" s="203" t="s">
        <v>5</v>
      </c>
      <c r="J173" s="203" t="s">
        <v>5</v>
      </c>
      <c r="K173" s="203" t="s">
        <v>5</v>
      </c>
      <c r="L173" s="203" t="s">
        <v>5</v>
      </c>
      <c r="M173" s="108" t="s">
        <v>6</v>
      </c>
      <c r="N173" s="112" t="s">
        <v>6</v>
      </c>
      <c r="O173" s="374" t="s">
        <v>6</v>
      </c>
      <c r="P173" s="113"/>
      <c r="Q173" s="211"/>
      <c r="R173" s="211"/>
      <c r="S173" s="194" t="s">
        <v>5</v>
      </c>
      <c r="T173" s="114"/>
      <c r="U173" s="71"/>
      <c r="V173" s="71"/>
      <c r="W173" s="71"/>
      <c r="X173" s="71"/>
      <c r="Y173" s="45"/>
      <c r="Z173" s="45"/>
      <c r="AA173" s="45"/>
      <c r="AB173" s="45"/>
      <c r="AC173" s="67"/>
      <c r="AD173" s="81"/>
      <c r="AE173" s="64"/>
      <c r="AF173" s="64"/>
      <c r="AG173" s="67"/>
      <c r="AH173" s="67"/>
      <c r="AI173" s="472"/>
      <c r="AJ173" s="67"/>
      <c r="AK173" s="472"/>
      <c r="AL173" s="67"/>
      <c r="AM173" s="45"/>
      <c r="AN173" s="64"/>
      <c r="AO173" s="64"/>
      <c r="AP173" s="64"/>
      <c r="AQ173" s="64"/>
      <c r="AR173" s="64"/>
      <c r="AS173" s="64"/>
      <c r="AT173" s="64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  <c r="BE173" s="67"/>
      <c r="BF173" s="67"/>
      <c r="BG173" s="67"/>
      <c r="BH173" s="67"/>
      <c r="BI173" s="67"/>
      <c r="BJ173" s="67"/>
      <c r="BK173" s="67"/>
      <c r="BL173" s="67"/>
      <c r="BM173" s="67"/>
      <c r="BN173" s="67"/>
      <c r="BO173" s="67"/>
      <c r="BP173" s="67"/>
      <c r="BQ173" s="67"/>
      <c r="BR173" s="67"/>
      <c r="BS173" s="67"/>
      <c r="BT173" s="67"/>
      <c r="BU173" s="67"/>
      <c r="BV173" s="45"/>
      <c r="BW173" s="45"/>
      <c r="BX173" s="45"/>
      <c r="BY173" s="45"/>
      <c r="BZ173" s="45"/>
      <c r="CA173" s="45"/>
      <c r="CB173" s="45"/>
      <c r="CC173" s="45"/>
      <c r="CD173" s="45"/>
      <c r="CE173" s="45"/>
      <c r="CF173" s="45"/>
      <c r="CG173" s="45"/>
      <c r="CH173" s="45"/>
      <c r="CI173" s="45"/>
      <c r="CJ173" s="45"/>
      <c r="CK173" s="45"/>
      <c r="CL173" s="115"/>
      <c r="CM173" s="45"/>
      <c r="CN173" s="223"/>
      <c r="CO173" s="223"/>
      <c r="CP173" s="223"/>
      <c r="CQ173" s="223"/>
      <c r="CR173" s="224"/>
      <c r="CS173" s="224"/>
      <c r="CT173" s="224"/>
      <c r="CU173" s="224"/>
      <c r="CV173" s="224"/>
      <c r="CW173" s="224"/>
      <c r="CX173" s="224"/>
      <c r="CY173" s="224"/>
      <c r="CZ173" s="224"/>
      <c r="DA173" s="224"/>
      <c r="DB173" s="224"/>
      <c r="DC173" s="224"/>
      <c r="DD173" s="224"/>
      <c r="DE173" s="224"/>
      <c r="DF173" s="224"/>
    </row>
    <row r="174" spans="1:110" s="116" customFormat="1" ht="18" x14ac:dyDescent="0.3">
      <c r="A174" s="224"/>
      <c r="B174" s="205"/>
      <c r="C174" s="431" t="s">
        <v>340</v>
      </c>
      <c r="D174" s="111" t="s">
        <v>335</v>
      </c>
      <c r="E174" s="310"/>
      <c r="F174" s="351" t="str">
        <f t="shared" si="14"/>
        <v>Kauf nach CF</v>
      </c>
      <c r="G174" s="310" t="str">
        <f t="shared" si="14"/>
        <v>Kauf nach CF</v>
      </c>
      <c r="H174" s="310"/>
      <c r="I174" s="203" t="s">
        <v>5</v>
      </c>
      <c r="J174" s="203" t="s">
        <v>5</v>
      </c>
      <c r="K174" s="203" t="s">
        <v>5</v>
      </c>
      <c r="L174" s="203" t="s">
        <v>5</v>
      </c>
      <c r="M174" s="108" t="s">
        <v>6</v>
      </c>
      <c r="N174" s="112" t="s">
        <v>6</v>
      </c>
      <c r="O174" s="374" t="s">
        <v>6</v>
      </c>
      <c r="P174" s="113"/>
      <c r="Q174" s="211"/>
      <c r="R174" s="211"/>
      <c r="S174" s="194" t="s">
        <v>5</v>
      </c>
      <c r="T174" s="114"/>
      <c r="U174" s="71"/>
      <c r="V174" s="71"/>
      <c r="W174" s="71"/>
      <c r="X174" s="71"/>
      <c r="Y174" s="45"/>
      <c r="Z174" s="45"/>
      <c r="AA174" s="45"/>
      <c r="AB174" s="45"/>
      <c r="AC174" s="67"/>
      <c r="AD174" s="81"/>
      <c r="AE174" s="64"/>
      <c r="AF174" s="64"/>
      <c r="AG174" s="67"/>
      <c r="AH174" s="67"/>
      <c r="AI174" s="472"/>
      <c r="AJ174" s="67"/>
      <c r="AK174" s="472"/>
      <c r="AL174" s="67"/>
      <c r="AM174" s="45"/>
      <c r="AN174" s="64"/>
      <c r="AO174" s="64"/>
      <c r="AP174" s="64"/>
      <c r="AQ174" s="64"/>
      <c r="AR174" s="64"/>
      <c r="AS174" s="64"/>
      <c r="AT174" s="64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  <c r="BM174" s="67"/>
      <c r="BN174" s="67"/>
      <c r="BO174" s="67"/>
      <c r="BP174" s="67"/>
      <c r="BQ174" s="67"/>
      <c r="BR174" s="67"/>
      <c r="BS174" s="67"/>
      <c r="BT174" s="67"/>
      <c r="BU174" s="67"/>
      <c r="BV174" s="45"/>
      <c r="BW174" s="45"/>
      <c r="BX174" s="45"/>
      <c r="BY174" s="45"/>
      <c r="BZ174" s="45"/>
      <c r="CA174" s="45"/>
      <c r="CB174" s="45"/>
      <c r="CC174" s="45"/>
      <c r="CD174" s="45"/>
      <c r="CE174" s="45"/>
      <c r="CF174" s="45"/>
      <c r="CG174" s="45"/>
      <c r="CH174" s="45"/>
      <c r="CI174" s="45"/>
      <c r="CJ174" s="45"/>
      <c r="CK174" s="45"/>
      <c r="CL174" s="115"/>
      <c r="CM174" s="45"/>
      <c r="CN174" s="223"/>
      <c r="CO174" s="223"/>
      <c r="CP174" s="223"/>
      <c r="CQ174" s="223"/>
      <c r="CR174" s="224"/>
      <c r="CS174" s="224"/>
      <c r="CT174" s="224"/>
      <c r="CU174" s="224"/>
      <c r="CV174" s="224"/>
      <c r="CW174" s="224"/>
      <c r="CX174" s="224"/>
      <c r="CY174" s="224"/>
      <c r="CZ174" s="224"/>
      <c r="DA174" s="224"/>
      <c r="DB174" s="224"/>
      <c r="DC174" s="224"/>
      <c r="DD174" s="224"/>
      <c r="DE174" s="224"/>
      <c r="DF174" s="224"/>
    </row>
    <row r="175" spans="1:110" s="116" customFormat="1" thickBot="1" x14ac:dyDescent="0.35">
      <c r="A175" s="224"/>
      <c r="B175" s="205"/>
      <c r="C175" s="431" t="s">
        <v>342</v>
      </c>
      <c r="D175" s="111" t="s">
        <v>335</v>
      </c>
      <c r="E175" s="310"/>
      <c r="F175" s="351" t="str">
        <f t="shared" si="14"/>
        <v>Kauf nach CF</v>
      </c>
      <c r="G175" s="310" t="str">
        <f t="shared" si="14"/>
        <v>Kauf nach CF</v>
      </c>
      <c r="H175" s="310"/>
      <c r="I175" s="203" t="s">
        <v>5</v>
      </c>
      <c r="J175" s="203" t="s">
        <v>5</v>
      </c>
      <c r="K175" s="203" t="s">
        <v>5</v>
      </c>
      <c r="L175" s="203" t="s">
        <v>5</v>
      </c>
      <c r="M175" s="108" t="s">
        <v>6</v>
      </c>
      <c r="N175" s="112" t="s">
        <v>6</v>
      </c>
      <c r="O175" s="374" t="s">
        <v>6</v>
      </c>
      <c r="P175" s="113"/>
      <c r="Q175" s="211"/>
      <c r="R175" s="211"/>
      <c r="S175" s="194" t="s">
        <v>5</v>
      </c>
      <c r="T175" s="114"/>
      <c r="U175" s="71"/>
      <c r="V175" s="71"/>
      <c r="W175" s="71"/>
      <c r="X175" s="71"/>
      <c r="Y175" s="45"/>
      <c r="Z175" s="45"/>
      <c r="AA175" s="45"/>
      <c r="AB175" s="45"/>
      <c r="AC175" s="67"/>
      <c r="AD175" s="81"/>
      <c r="AE175" s="64"/>
      <c r="AF175" s="64"/>
      <c r="AG175" s="67"/>
      <c r="AH175" s="67"/>
      <c r="AI175" s="472"/>
      <c r="AJ175" s="67"/>
      <c r="AK175" s="472"/>
      <c r="AL175" s="67"/>
      <c r="AM175" s="45"/>
      <c r="AN175" s="64"/>
      <c r="AO175" s="64"/>
      <c r="AP175" s="64"/>
      <c r="AQ175" s="64"/>
      <c r="AR175" s="64"/>
      <c r="AS175" s="64"/>
      <c r="AT175" s="64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  <c r="BM175" s="67"/>
      <c r="BN175" s="67"/>
      <c r="BO175" s="67"/>
      <c r="BP175" s="67"/>
      <c r="BQ175" s="67"/>
      <c r="BR175" s="67"/>
      <c r="BS175" s="67"/>
      <c r="BT175" s="67"/>
      <c r="BU175" s="67"/>
      <c r="BV175" s="45"/>
      <c r="BW175" s="45"/>
      <c r="BX175" s="45"/>
      <c r="BY175" s="45"/>
      <c r="BZ175" s="45"/>
      <c r="CA175" s="45"/>
      <c r="CB175" s="45"/>
      <c r="CC175" s="45"/>
      <c r="CD175" s="45"/>
      <c r="CE175" s="45"/>
      <c r="CF175" s="45"/>
      <c r="CG175" s="45"/>
      <c r="CH175" s="45"/>
      <c r="CI175" s="45"/>
      <c r="CJ175" s="45"/>
      <c r="CK175" s="45"/>
      <c r="CL175" s="115"/>
      <c r="CM175" s="45"/>
      <c r="CN175" s="223"/>
      <c r="CO175" s="223"/>
      <c r="CP175" s="223"/>
      <c r="CQ175" s="223"/>
      <c r="CR175" s="224"/>
      <c r="CS175" s="224"/>
      <c r="CT175" s="224"/>
      <c r="CU175" s="224"/>
      <c r="CV175" s="224"/>
      <c r="CW175" s="224"/>
      <c r="CX175" s="224"/>
      <c r="CY175" s="224"/>
      <c r="CZ175" s="224"/>
      <c r="DA175" s="224"/>
      <c r="DB175" s="224"/>
      <c r="DC175" s="224"/>
      <c r="DD175" s="224"/>
      <c r="DE175" s="224"/>
      <c r="DF175" s="224"/>
    </row>
    <row r="176" spans="1:110" s="116" customFormat="1" ht="18" hidden="1" outlineLevel="1" x14ac:dyDescent="0.3">
      <c r="A176" s="224"/>
      <c r="B176" s="205"/>
      <c r="C176" s="367" t="s">
        <v>227</v>
      </c>
      <c r="D176" s="398" t="s">
        <v>335</v>
      </c>
      <c r="E176" s="435" t="s">
        <v>345</v>
      </c>
      <c r="F176" s="435" t="s">
        <v>345</v>
      </c>
      <c r="G176" s="435" t="s">
        <v>345</v>
      </c>
      <c r="H176" s="435" t="s">
        <v>345</v>
      </c>
      <c r="I176" s="203" t="s">
        <v>5</v>
      </c>
      <c r="J176" s="203" t="s">
        <v>5</v>
      </c>
      <c r="K176" s="203" t="s">
        <v>5</v>
      </c>
      <c r="L176" s="203" t="s">
        <v>5</v>
      </c>
      <c r="M176" s="108" t="s">
        <v>6</v>
      </c>
      <c r="N176" s="112" t="s">
        <v>6</v>
      </c>
      <c r="O176" s="374" t="s">
        <v>6</v>
      </c>
      <c r="P176" s="113"/>
      <c r="Q176" s="211"/>
      <c r="R176" s="211"/>
      <c r="S176" s="194" t="s">
        <v>5</v>
      </c>
      <c r="T176" s="114"/>
      <c r="U176" s="71"/>
      <c r="V176" s="71"/>
      <c r="W176" s="71"/>
      <c r="X176" s="71"/>
      <c r="Y176" s="45"/>
      <c r="Z176" s="45"/>
      <c r="AA176" s="45"/>
      <c r="AB176" s="45"/>
      <c r="AC176" s="67"/>
      <c r="AD176" s="81"/>
      <c r="AE176" s="64"/>
      <c r="AF176" s="64"/>
      <c r="AG176" s="67"/>
      <c r="AH176" s="67"/>
      <c r="AI176" s="472"/>
      <c r="AJ176" s="67"/>
      <c r="AK176" s="472"/>
      <c r="AL176" s="67"/>
      <c r="AM176" s="45"/>
      <c r="AN176" s="64"/>
      <c r="AO176" s="64"/>
      <c r="AP176" s="64"/>
      <c r="AQ176" s="64"/>
      <c r="AR176" s="64"/>
      <c r="AS176" s="64"/>
      <c r="AT176" s="64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  <c r="BM176" s="67"/>
      <c r="BN176" s="67"/>
      <c r="BO176" s="67"/>
      <c r="BP176" s="67"/>
      <c r="BQ176" s="67"/>
      <c r="BR176" s="67"/>
      <c r="BS176" s="67"/>
      <c r="BT176" s="67"/>
      <c r="BU176" s="67"/>
      <c r="BV176" s="45"/>
      <c r="BW176" s="45"/>
      <c r="BX176" s="45"/>
      <c r="BY176" s="45"/>
      <c r="BZ176" s="45"/>
      <c r="CA176" s="45"/>
      <c r="CB176" s="45"/>
      <c r="CC176" s="45"/>
      <c r="CD176" s="45"/>
      <c r="CE176" s="45"/>
      <c r="CF176" s="45"/>
      <c r="CG176" s="45"/>
      <c r="CH176" s="45"/>
      <c r="CI176" s="45"/>
      <c r="CJ176" s="45"/>
      <c r="CK176" s="45"/>
      <c r="CL176" s="115"/>
      <c r="CM176" s="45"/>
      <c r="CN176" s="224"/>
      <c r="CO176" s="224"/>
      <c r="CP176" s="224"/>
      <c r="CQ176" s="224"/>
      <c r="CR176" s="224"/>
      <c r="CS176" s="224"/>
      <c r="CT176" s="224"/>
      <c r="CU176" s="224"/>
      <c r="CV176" s="224"/>
      <c r="CW176" s="224"/>
      <c r="CX176" s="224"/>
      <c r="CY176" s="224"/>
      <c r="CZ176" s="224"/>
      <c r="DA176" s="224"/>
      <c r="DB176" s="224"/>
      <c r="DC176" s="224"/>
      <c r="DD176" s="224"/>
      <c r="DE176" s="224"/>
      <c r="DF176" s="224"/>
    </row>
    <row r="177" spans="1:110" s="116" customFormat="1" hidden="1" outlineLevel="1" thickBot="1" x14ac:dyDescent="0.35">
      <c r="A177" s="224"/>
      <c r="B177" s="205"/>
      <c r="C177" s="367" t="s">
        <v>194</v>
      </c>
      <c r="D177" s="398" t="s">
        <v>151</v>
      </c>
      <c r="E177" s="435" t="s">
        <v>345</v>
      </c>
      <c r="F177" s="435" t="s">
        <v>345</v>
      </c>
      <c r="G177" s="435" t="s">
        <v>345</v>
      </c>
      <c r="H177" s="435" t="s">
        <v>345</v>
      </c>
      <c r="I177" s="203" t="s">
        <v>5</v>
      </c>
      <c r="J177" s="203" t="s">
        <v>5</v>
      </c>
      <c r="K177" s="203" t="s">
        <v>5</v>
      </c>
      <c r="L177" s="203" t="s">
        <v>5</v>
      </c>
      <c r="M177" s="108" t="s">
        <v>6</v>
      </c>
      <c r="N177" s="112" t="s">
        <v>6</v>
      </c>
      <c r="O177" s="374" t="s">
        <v>6</v>
      </c>
      <c r="P177" s="113"/>
      <c r="Q177" s="211"/>
      <c r="R177" s="211"/>
      <c r="S177" s="194" t="s">
        <v>5</v>
      </c>
      <c r="T177" s="114">
        <f t="shared" ref="T177" si="15">AD177</f>
        <v>0</v>
      </c>
      <c r="U177" s="71"/>
      <c r="V177" s="71"/>
      <c r="W177" s="71"/>
      <c r="X177" s="71"/>
      <c r="Y177" s="45"/>
      <c r="Z177" s="45"/>
      <c r="AA177" s="45"/>
      <c r="AB177" s="45"/>
      <c r="AC177" s="67"/>
      <c r="AD177" s="81"/>
      <c r="AE177" s="64"/>
      <c r="AF177" s="64"/>
      <c r="AG177" s="67"/>
      <c r="AH177" s="67"/>
      <c r="AI177" s="472"/>
      <c r="AJ177" s="67"/>
      <c r="AK177" s="472"/>
      <c r="AL177" s="67"/>
      <c r="AM177" s="45"/>
      <c r="AN177" s="64"/>
      <c r="AO177" s="64"/>
      <c r="AP177" s="64"/>
      <c r="AQ177" s="64"/>
      <c r="AR177" s="64"/>
      <c r="AS177" s="64"/>
      <c r="AT177" s="64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  <c r="BM177" s="67"/>
      <c r="BN177" s="67"/>
      <c r="BO177" s="67"/>
      <c r="BP177" s="67"/>
      <c r="BQ177" s="67"/>
      <c r="BR177" s="67"/>
      <c r="BS177" s="67"/>
      <c r="BT177" s="67"/>
      <c r="BU177" s="67"/>
      <c r="BV177" s="45"/>
      <c r="BW177" s="45"/>
      <c r="BX177" s="45"/>
      <c r="BY177" s="45"/>
      <c r="BZ177" s="45"/>
      <c r="CA177" s="45"/>
      <c r="CB177" s="45"/>
      <c r="CC177" s="45"/>
      <c r="CD177" s="45"/>
      <c r="CE177" s="45"/>
      <c r="CF177" s="45"/>
      <c r="CG177" s="45"/>
      <c r="CH177" s="45"/>
      <c r="CI177" s="45"/>
      <c r="CJ177" s="45"/>
      <c r="CK177" s="45"/>
      <c r="CL177" s="115"/>
      <c r="CM177" s="45"/>
      <c r="CN177" s="224"/>
      <c r="CO177" s="224"/>
      <c r="CP177" s="224"/>
      <c r="CQ177" s="224"/>
      <c r="CR177" s="224"/>
      <c r="CS177" s="224"/>
      <c r="CT177" s="224"/>
      <c r="CU177" s="224"/>
      <c r="CV177" s="224"/>
      <c r="CW177" s="224"/>
      <c r="CX177" s="224"/>
      <c r="CY177" s="224"/>
      <c r="CZ177" s="224"/>
      <c r="DA177" s="224"/>
      <c r="DB177" s="224"/>
      <c r="DC177" s="224"/>
      <c r="DD177" s="224"/>
      <c r="DE177" s="224"/>
      <c r="DF177" s="224"/>
    </row>
    <row r="178" spans="1:110" s="1" customFormat="1" collapsed="1" thickBot="1" x14ac:dyDescent="0.35">
      <c r="A178" s="225"/>
      <c r="B178" s="326" t="s">
        <v>223</v>
      </c>
      <c r="C178" s="327" t="s">
        <v>220</v>
      </c>
      <c r="D178" s="327"/>
      <c r="E178" s="328">
        <f t="shared" ref="E178:L178" si="16">SUMIF(E$144:E$177,"µ",$N$144:$N$177)</f>
        <v>0</v>
      </c>
      <c r="F178" s="353">
        <f t="shared" si="16"/>
        <v>9.99</v>
      </c>
      <c r="G178" s="328">
        <f t="shared" si="16"/>
        <v>29.979999999999997</v>
      </c>
      <c r="H178" s="328">
        <f t="shared" si="16"/>
        <v>0</v>
      </c>
      <c r="I178" s="328">
        <f t="shared" si="16"/>
        <v>154.88999999999999</v>
      </c>
      <c r="J178" s="328">
        <f t="shared" si="16"/>
        <v>134.91</v>
      </c>
      <c r="K178" s="328">
        <f t="shared" si="16"/>
        <v>134.91</v>
      </c>
      <c r="L178" s="329">
        <f t="shared" si="16"/>
        <v>154.88999999999999</v>
      </c>
      <c r="M178" s="330">
        <f>SUM(M144:M177)</f>
        <v>0</v>
      </c>
      <c r="N178" s="331">
        <f>SUM(N144:N177)</f>
        <v>154.88999999999999</v>
      </c>
      <c r="O178" s="375">
        <f>SUM(O144:O177)</f>
        <v>0</v>
      </c>
      <c r="P178" s="225"/>
      <c r="Q178" s="211"/>
      <c r="R178" s="211"/>
      <c r="S178" s="195" t="s">
        <v>5</v>
      </c>
      <c r="T178" s="39"/>
      <c r="U178" s="71"/>
      <c r="V178" s="71"/>
      <c r="W178" s="71"/>
      <c r="X178" s="71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476"/>
      <c r="AJ178" s="39"/>
      <c r="AK178" s="476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40"/>
      <c r="CD178" s="40"/>
      <c r="CE178" s="38">
        <v>1.984126984126984E-2</v>
      </c>
      <c r="CF178" s="117">
        <f t="shared" ref="CF178" si="17">CE178/$CE$196</f>
        <v>3.2051282051282055E-2</v>
      </c>
      <c r="CG178" s="39"/>
      <c r="CH178" s="40"/>
      <c r="CI178" s="40"/>
      <c r="CJ178" s="39"/>
      <c r="CK178" s="39"/>
      <c r="CL178" s="41"/>
      <c r="CM178" s="39"/>
      <c r="CN178" s="225"/>
      <c r="CO178" s="225"/>
      <c r="CP178" s="225"/>
      <c r="CQ178" s="225"/>
      <c r="CR178" s="225"/>
      <c r="CS178" s="225"/>
      <c r="CT178" s="225"/>
      <c r="CU178" s="225"/>
      <c r="CV178" s="225"/>
      <c r="CW178" s="225"/>
      <c r="CX178" s="225"/>
      <c r="CY178" s="225"/>
      <c r="CZ178" s="225"/>
      <c r="DA178" s="225"/>
      <c r="DB178" s="225"/>
      <c r="DC178" s="225"/>
      <c r="DD178" s="225"/>
      <c r="DE178" s="225"/>
      <c r="DF178" s="225"/>
    </row>
    <row r="179" spans="1:110" s="1" customFormat="1" thickBot="1" x14ac:dyDescent="0.35">
      <c r="A179" s="225"/>
      <c r="B179" s="326" t="s">
        <v>224</v>
      </c>
      <c r="C179" s="327" t="s">
        <v>221</v>
      </c>
      <c r="D179" s="327"/>
      <c r="E179" s="328">
        <f t="shared" ref="E179:O179" si="18">E140+E178</f>
        <v>0</v>
      </c>
      <c r="F179" s="353">
        <f t="shared" si="18"/>
        <v>19.939999999999998</v>
      </c>
      <c r="G179" s="328">
        <f t="shared" si="18"/>
        <v>79.88</v>
      </c>
      <c r="H179" s="328">
        <f t="shared" si="18"/>
        <v>44.940000000000005</v>
      </c>
      <c r="I179" s="328">
        <f t="shared" si="18"/>
        <v>154.88999999999999</v>
      </c>
      <c r="J179" s="328">
        <f t="shared" si="18"/>
        <v>359.51</v>
      </c>
      <c r="K179" s="328">
        <f t="shared" si="18"/>
        <v>389.51</v>
      </c>
      <c r="L179" s="329">
        <f t="shared" si="18"/>
        <v>609.18999999999983</v>
      </c>
      <c r="M179" s="330">
        <f t="shared" si="18"/>
        <v>1086.5000000000005</v>
      </c>
      <c r="N179" s="331">
        <f t="shared" si="18"/>
        <v>1610.530000000002</v>
      </c>
      <c r="O179" s="375">
        <f t="shared" si="18"/>
        <v>154</v>
      </c>
      <c r="P179" s="225"/>
      <c r="Q179" s="211"/>
      <c r="R179" s="211"/>
      <c r="S179" s="195" t="s">
        <v>5</v>
      </c>
      <c r="T179" s="39"/>
      <c r="U179" s="71"/>
      <c r="V179" s="71"/>
      <c r="W179" s="71"/>
      <c r="X179" s="71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476"/>
      <c r="AJ179" s="39"/>
      <c r="AK179" s="476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40"/>
      <c r="CD179" s="40"/>
      <c r="CE179" s="38">
        <v>1.984126984126984E-2</v>
      </c>
      <c r="CF179" s="117">
        <f t="shared" ref="CF179" si="19">CE179/$CE$196</f>
        <v>3.2051282051282055E-2</v>
      </c>
      <c r="CG179" s="39"/>
      <c r="CH179" s="40"/>
      <c r="CI179" s="40"/>
      <c r="CJ179" s="39"/>
      <c r="CK179" s="39"/>
      <c r="CL179" s="41"/>
      <c r="CM179" s="39"/>
      <c r="CN179" s="225"/>
      <c r="CO179" s="225"/>
      <c r="CP179" s="225"/>
      <c r="CQ179" s="225"/>
      <c r="CR179" s="225"/>
      <c r="CS179" s="225"/>
      <c r="CT179" s="225"/>
      <c r="CU179" s="225"/>
      <c r="CV179" s="225"/>
      <c r="CW179" s="225"/>
      <c r="CX179" s="225"/>
      <c r="CY179" s="225"/>
      <c r="CZ179" s="225"/>
      <c r="DA179" s="225"/>
      <c r="DB179" s="225"/>
      <c r="DC179" s="225"/>
      <c r="DD179" s="225"/>
      <c r="DE179" s="225"/>
      <c r="DF179" s="225"/>
    </row>
    <row r="180" spans="1:110" s="1" customFormat="1" ht="6.75" customHeight="1" thickBot="1" x14ac:dyDescent="0.35">
      <c r="A180" s="225"/>
      <c r="B180" s="243"/>
      <c r="C180" s="244"/>
      <c r="D180" s="244"/>
      <c r="E180" s="245"/>
      <c r="F180" s="356"/>
      <c r="G180" s="245"/>
      <c r="H180" s="245"/>
      <c r="I180" s="245"/>
      <c r="J180" s="245"/>
      <c r="K180" s="245"/>
      <c r="L180" s="245"/>
      <c r="M180" s="246"/>
      <c r="N180" s="247"/>
      <c r="O180" s="376"/>
      <c r="P180" s="225"/>
      <c r="Q180" s="211"/>
      <c r="R180" s="211"/>
      <c r="S180" s="196"/>
      <c r="T180" s="39"/>
      <c r="U180" s="39"/>
      <c r="V180" s="39"/>
      <c r="W180" s="39"/>
      <c r="X180" s="39"/>
      <c r="Y180" s="39"/>
      <c r="Z180" s="39"/>
      <c r="AA180" s="39"/>
      <c r="AB180" s="39"/>
      <c r="AC180" s="110"/>
      <c r="AD180" s="39"/>
      <c r="AE180" s="110"/>
      <c r="AF180" s="110"/>
      <c r="AG180" s="39"/>
      <c r="AH180" s="39"/>
      <c r="AI180" s="476"/>
      <c r="AJ180" s="39"/>
      <c r="AK180" s="476"/>
      <c r="AL180" s="39"/>
      <c r="AM180" s="39"/>
      <c r="AN180" s="58"/>
      <c r="AO180" s="39"/>
      <c r="AP180" s="58"/>
      <c r="AQ180" s="110"/>
      <c r="AR180" s="118"/>
      <c r="AS180" s="39"/>
      <c r="AT180" s="58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40"/>
      <c r="CD180" s="40"/>
      <c r="CE180" s="38">
        <v>3.0423280423280422E-2</v>
      </c>
      <c r="CF180" s="117">
        <f>CE180/$CE$196</f>
        <v>4.9145299145299151E-2</v>
      </c>
      <c r="CG180" s="39"/>
      <c r="CH180" s="40"/>
      <c r="CI180" s="40"/>
      <c r="CJ180" s="39"/>
      <c r="CK180" s="39"/>
      <c r="CL180" s="41"/>
      <c r="CM180" s="39"/>
      <c r="CN180" s="225"/>
      <c r="CO180" s="225"/>
      <c r="CP180" s="225"/>
      <c r="CQ180" s="225"/>
      <c r="CR180" s="225"/>
      <c r="CS180" s="225"/>
      <c r="CT180" s="225"/>
      <c r="CU180" s="225"/>
      <c r="CV180" s="225"/>
      <c r="CW180" s="225"/>
      <c r="CX180" s="225"/>
      <c r="CY180" s="225"/>
      <c r="CZ180" s="225"/>
      <c r="DA180" s="225"/>
      <c r="DB180" s="225"/>
      <c r="DC180" s="225"/>
      <c r="DD180" s="225"/>
      <c r="DE180" s="225"/>
      <c r="DF180" s="225"/>
    </row>
    <row r="181" spans="1:110" s="1" customFormat="1" thickBot="1" x14ac:dyDescent="0.35">
      <c r="A181" s="225"/>
      <c r="B181" s="332" t="s">
        <v>8</v>
      </c>
      <c r="C181" s="272" t="s">
        <v>178</v>
      </c>
      <c r="D181" s="272"/>
      <c r="E181" s="273">
        <f t="shared" ref="E181:L181" si="20">E$15+SUMIFS($M$42:$M$177,$B$42:$B$177,"x",E$42:E$177,"Zusatzprodukt")+SUMIFS($N$42:$N$177,$B$42:$B$177,"x",E$42:E$177,"Kauf nach CF")</f>
        <v>0</v>
      </c>
      <c r="F181" s="357">
        <f t="shared" si="20"/>
        <v>0</v>
      </c>
      <c r="G181" s="273">
        <f t="shared" si="20"/>
        <v>40</v>
      </c>
      <c r="H181" s="273">
        <f t="shared" si="20"/>
        <v>40</v>
      </c>
      <c r="I181" s="273">
        <f t="shared" si="20"/>
        <v>100</v>
      </c>
      <c r="J181" s="273">
        <f t="shared" si="20"/>
        <v>195</v>
      </c>
      <c r="K181" s="273">
        <f t="shared" si="20"/>
        <v>225</v>
      </c>
      <c r="L181" s="274">
        <f t="shared" si="20"/>
        <v>380</v>
      </c>
      <c r="M181" s="246"/>
      <c r="N181" s="247"/>
      <c r="O181" s="377">
        <f>SUMIFS($O$42:$O$177,$B$42:$B$177,"x")</f>
        <v>0</v>
      </c>
      <c r="P181" s="225"/>
      <c r="Q181" s="211"/>
      <c r="R181" s="211"/>
      <c r="S181" s="195" t="s">
        <v>5</v>
      </c>
      <c r="T181" s="39"/>
      <c r="U181" s="71"/>
      <c r="V181" s="71"/>
      <c r="W181" s="71"/>
      <c r="X181" s="71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476"/>
      <c r="AJ181" s="39"/>
      <c r="AK181" s="476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40"/>
      <c r="CD181" s="40"/>
      <c r="CE181" s="38">
        <v>1.984126984126984E-2</v>
      </c>
      <c r="CF181" s="117">
        <f t="shared" ref="CF181:CF187" si="21">CE181/$CE$196</f>
        <v>3.2051282051282055E-2</v>
      </c>
      <c r="CG181" s="39"/>
      <c r="CH181" s="40"/>
      <c r="CI181" s="40"/>
      <c r="CJ181" s="39"/>
      <c r="CK181" s="39"/>
      <c r="CL181" s="41"/>
      <c r="CM181" s="39"/>
      <c r="CN181" s="225"/>
      <c r="CO181" s="225"/>
      <c r="CP181" s="225"/>
      <c r="CQ181" s="225"/>
      <c r="CR181" s="225"/>
      <c r="CS181" s="225"/>
      <c r="CT181" s="225"/>
      <c r="CU181" s="225"/>
      <c r="CV181" s="225"/>
      <c r="CW181" s="225"/>
      <c r="CX181" s="225"/>
      <c r="CY181" s="225"/>
      <c r="CZ181" s="225"/>
      <c r="DA181" s="225"/>
      <c r="DB181" s="225"/>
      <c r="DC181" s="225"/>
      <c r="DD181" s="225"/>
      <c r="DE181" s="225"/>
      <c r="DF181" s="225"/>
    </row>
    <row r="182" spans="1:110" s="380" customFormat="1" ht="18" hidden="1" outlineLevel="1" x14ac:dyDescent="0.3">
      <c r="B182" s="381"/>
      <c r="C182" s="382" t="s">
        <v>187</v>
      </c>
      <c r="D182" s="383"/>
      <c r="E182" s="384">
        <f>$E$181-F$181</f>
        <v>0</v>
      </c>
      <c r="F182" s="358" t="s">
        <v>9</v>
      </c>
      <c r="G182" s="384">
        <f>$G$181-F$181</f>
        <v>40</v>
      </c>
      <c r="H182" s="384">
        <f>$H$181-F$181</f>
        <v>40</v>
      </c>
      <c r="I182" s="384">
        <f>$I$181-F$181</f>
        <v>100</v>
      </c>
      <c r="J182" s="384">
        <f>$J$181-F$181</f>
        <v>195</v>
      </c>
      <c r="K182" s="384">
        <f>$K$181-F$181</f>
        <v>225</v>
      </c>
      <c r="L182" s="385">
        <f>$L$181-F$181</f>
        <v>380</v>
      </c>
      <c r="M182" s="386"/>
      <c r="N182" s="387"/>
      <c r="O182" s="376"/>
      <c r="Q182" s="211"/>
      <c r="R182" s="211"/>
      <c r="S182" s="388" t="s">
        <v>5</v>
      </c>
      <c r="U182" s="389"/>
      <c r="V182" s="389"/>
      <c r="W182" s="389"/>
      <c r="X182" s="389"/>
      <c r="AC182" s="390"/>
      <c r="AE182" s="390"/>
      <c r="AF182" s="390"/>
      <c r="AI182" s="478"/>
      <c r="AK182" s="478"/>
      <c r="AN182" s="391"/>
      <c r="AP182" s="391"/>
      <c r="AQ182" s="390"/>
      <c r="AR182" s="392"/>
      <c r="AT182" s="391"/>
      <c r="CC182" s="393"/>
      <c r="CD182" s="393"/>
      <c r="CE182" s="394">
        <v>1.984126984126984E-2</v>
      </c>
      <c r="CF182" s="395">
        <f t="shared" si="21"/>
        <v>3.2051282051282055E-2</v>
      </c>
      <c r="CH182" s="393"/>
      <c r="CI182" s="393"/>
      <c r="CL182" s="396"/>
    </row>
    <row r="183" spans="1:110" s="1" customFormat="1" ht="18" collapsed="1" x14ac:dyDescent="0.3">
      <c r="A183" s="225"/>
      <c r="B183" s="243"/>
      <c r="C183" s="452" t="s">
        <v>346</v>
      </c>
      <c r="D183" s="453"/>
      <c r="E183" s="454">
        <f>$E$181-G$181</f>
        <v>-40</v>
      </c>
      <c r="F183" s="454">
        <f>$F$181-G$181</f>
        <v>-40</v>
      </c>
      <c r="G183" s="455" t="s">
        <v>9</v>
      </c>
      <c r="H183" s="454">
        <f>$H$181-G$181</f>
        <v>0</v>
      </c>
      <c r="I183" s="454">
        <f>$I$181-G$181</f>
        <v>60</v>
      </c>
      <c r="J183" s="454">
        <f>$J$181-G$181</f>
        <v>155</v>
      </c>
      <c r="K183" s="454">
        <f>$K$181-G$181</f>
        <v>185</v>
      </c>
      <c r="L183" s="456">
        <f>$L$181-G$181</f>
        <v>340</v>
      </c>
      <c r="M183" s="246"/>
      <c r="N183" s="247"/>
      <c r="O183" s="376"/>
      <c r="P183" s="225"/>
      <c r="Q183" s="211"/>
      <c r="R183" s="211"/>
      <c r="S183" s="192" t="s">
        <v>5</v>
      </c>
      <c r="T183" s="39"/>
      <c r="U183" s="71"/>
      <c r="V183" s="71"/>
      <c r="W183" s="71"/>
      <c r="X183" s="71"/>
      <c r="Y183" s="39"/>
      <c r="Z183" s="39"/>
      <c r="AA183" s="39"/>
      <c r="AB183" s="39"/>
      <c r="AC183" s="110"/>
      <c r="AD183" s="39"/>
      <c r="AE183" s="110"/>
      <c r="AF183" s="110"/>
      <c r="AG183" s="39"/>
      <c r="AH183" s="39"/>
      <c r="AI183" s="476"/>
      <c r="AJ183" s="39"/>
      <c r="AK183" s="476"/>
      <c r="AL183" s="39"/>
      <c r="AM183" s="39"/>
      <c r="AN183" s="58"/>
      <c r="AO183" s="39"/>
      <c r="AP183" s="58"/>
      <c r="AQ183" s="110"/>
      <c r="AR183" s="118"/>
      <c r="AS183" s="39"/>
      <c r="AT183" s="58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40"/>
      <c r="CD183" s="40"/>
      <c r="CE183" s="38">
        <v>1.984126984126984E-2</v>
      </c>
      <c r="CF183" s="117">
        <f t="shared" si="21"/>
        <v>3.2051282051282055E-2</v>
      </c>
      <c r="CG183" s="39"/>
      <c r="CH183" s="40"/>
      <c r="CI183" s="40"/>
      <c r="CJ183" s="39"/>
      <c r="CK183" s="39"/>
      <c r="CL183" s="41"/>
      <c r="CM183" s="39"/>
      <c r="CN183" s="225"/>
      <c r="CO183" s="225"/>
      <c r="CP183" s="225"/>
      <c r="CQ183" s="225"/>
      <c r="CR183" s="225"/>
      <c r="CS183" s="225"/>
      <c r="CT183" s="225"/>
      <c r="CU183" s="225"/>
      <c r="CV183" s="225"/>
      <c r="CW183" s="225"/>
      <c r="CX183" s="225"/>
      <c r="CY183" s="225"/>
      <c r="CZ183" s="225"/>
      <c r="DA183" s="225"/>
      <c r="DB183" s="225"/>
      <c r="DC183" s="225"/>
      <c r="DD183" s="225"/>
      <c r="DE183" s="225"/>
      <c r="DF183" s="225"/>
    </row>
    <row r="184" spans="1:110" s="1" customFormat="1" ht="18" x14ac:dyDescent="0.3">
      <c r="A184" s="225"/>
      <c r="B184" s="243"/>
      <c r="C184" s="452" t="s">
        <v>349</v>
      </c>
      <c r="D184" s="453"/>
      <c r="E184" s="454">
        <f>$E$181-H$181</f>
        <v>-40</v>
      </c>
      <c r="F184" s="454">
        <f>$F$181-H$181</f>
        <v>-40</v>
      </c>
      <c r="G184" s="454">
        <f>$G$181-H$181</f>
        <v>0</v>
      </c>
      <c r="H184" s="455" t="s">
        <v>9</v>
      </c>
      <c r="I184" s="454">
        <f>$I$181-H$181</f>
        <v>60</v>
      </c>
      <c r="J184" s="454">
        <f>$J$181-H$181</f>
        <v>155</v>
      </c>
      <c r="K184" s="454">
        <f>$K$181-H$181</f>
        <v>185</v>
      </c>
      <c r="L184" s="456">
        <f>$L$181-H$181</f>
        <v>340</v>
      </c>
      <c r="M184" s="246"/>
      <c r="N184" s="247"/>
      <c r="O184" s="376"/>
      <c r="P184" s="225"/>
      <c r="Q184" s="211"/>
      <c r="R184" s="211"/>
      <c r="S184" s="192" t="s">
        <v>5</v>
      </c>
      <c r="T184" s="39"/>
      <c r="U184" s="71"/>
      <c r="V184" s="71"/>
      <c r="W184" s="71"/>
      <c r="X184" s="71"/>
      <c r="Y184" s="39"/>
      <c r="Z184" s="39"/>
      <c r="AA184" s="39"/>
      <c r="AB184" s="39"/>
      <c r="AC184" s="110"/>
      <c r="AD184" s="39"/>
      <c r="AE184" s="110"/>
      <c r="AF184" s="110"/>
      <c r="AG184" s="39"/>
      <c r="AH184" s="39"/>
      <c r="AI184" s="476"/>
      <c r="AJ184" s="39"/>
      <c r="AK184" s="476"/>
      <c r="AL184" s="39"/>
      <c r="AM184" s="39"/>
      <c r="AN184" s="58"/>
      <c r="AO184" s="39"/>
      <c r="AP184" s="58"/>
      <c r="AQ184" s="110"/>
      <c r="AR184" s="118"/>
      <c r="AS184" s="39"/>
      <c r="AT184" s="58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40"/>
      <c r="CD184" s="40"/>
      <c r="CE184" s="38">
        <v>1.984126984126984E-2</v>
      </c>
      <c r="CF184" s="117">
        <f t="shared" si="21"/>
        <v>3.2051282051282055E-2</v>
      </c>
      <c r="CG184" s="39"/>
      <c r="CH184" s="40"/>
      <c r="CI184" s="40"/>
      <c r="CJ184" s="39"/>
      <c r="CK184" s="39"/>
      <c r="CL184" s="41"/>
      <c r="CM184" s="39"/>
      <c r="CN184" s="225"/>
      <c r="CO184" s="225"/>
      <c r="CP184" s="225"/>
      <c r="CQ184" s="225"/>
      <c r="CR184" s="225"/>
      <c r="CS184" s="225"/>
      <c r="CT184" s="225"/>
      <c r="CU184" s="225"/>
      <c r="CV184" s="225"/>
      <c r="CW184" s="225"/>
      <c r="CX184" s="225"/>
      <c r="CY184" s="225"/>
      <c r="CZ184" s="225"/>
      <c r="DA184" s="225"/>
      <c r="DB184" s="225"/>
      <c r="DC184" s="225"/>
      <c r="DD184" s="225"/>
      <c r="DE184" s="225"/>
      <c r="DF184" s="225"/>
    </row>
    <row r="185" spans="1:110" s="1" customFormat="1" ht="18" x14ac:dyDescent="0.3">
      <c r="A185" s="225"/>
      <c r="B185" s="243"/>
      <c r="C185" s="452" t="s">
        <v>347</v>
      </c>
      <c r="D185" s="453"/>
      <c r="E185" s="454">
        <f>$E$181-I$181</f>
        <v>-100</v>
      </c>
      <c r="F185" s="454">
        <f>$F$181-I$181</f>
        <v>-100</v>
      </c>
      <c r="G185" s="454">
        <f>$G$181-I$181</f>
        <v>-60</v>
      </c>
      <c r="H185" s="454">
        <f>$H$181-I$181</f>
        <v>-60</v>
      </c>
      <c r="I185" s="455" t="s">
        <v>9</v>
      </c>
      <c r="J185" s="454">
        <f>$J$181-I$181</f>
        <v>95</v>
      </c>
      <c r="K185" s="454">
        <f>$K$181-I$181</f>
        <v>125</v>
      </c>
      <c r="L185" s="456">
        <f>$L$181-I$181</f>
        <v>280</v>
      </c>
      <c r="M185" s="246"/>
      <c r="N185" s="247"/>
      <c r="O185" s="376"/>
      <c r="P185" s="225"/>
      <c r="Q185" s="211"/>
      <c r="R185" s="211"/>
      <c r="S185" s="192" t="s">
        <v>5</v>
      </c>
      <c r="T185" s="39"/>
      <c r="U185" s="71"/>
      <c r="V185" s="71"/>
      <c r="W185" s="71"/>
      <c r="X185" s="71"/>
      <c r="Y185" s="39"/>
      <c r="Z185" s="39"/>
      <c r="AA185" s="39"/>
      <c r="AB185" s="39"/>
      <c r="AC185" s="110"/>
      <c r="AD185" s="39"/>
      <c r="AE185" s="110"/>
      <c r="AF185" s="110"/>
      <c r="AG185" s="39"/>
      <c r="AH185" s="39"/>
      <c r="AI185" s="476"/>
      <c r="AJ185" s="39"/>
      <c r="AK185" s="476"/>
      <c r="AL185" s="39"/>
      <c r="AM185" s="39"/>
      <c r="AN185" s="58"/>
      <c r="AO185" s="39"/>
      <c r="AP185" s="58"/>
      <c r="AQ185" s="110"/>
      <c r="AR185" s="118"/>
      <c r="AS185" s="39"/>
      <c r="AT185" s="58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40"/>
      <c r="CD185" s="40"/>
      <c r="CE185" s="38">
        <v>2.2486772486772486E-2</v>
      </c>
      <c r="CF185" s="117">
        <f t="shared" si="21"/>
        <v>3.6324786324786328E-2</v>
      </c>
      <c r="CG185" s="39"/>
      <c r="CH185" s="40"/>
      <c r="CI185" s="40"/>
      <c r="CJ185" s="39"/>
      <c r="CK185" s="39"/>
      <c r="CL185" s="41"/>
      <c r="CM185" s="39"/>
      <c r="CN185" s="225"/>
      <c r="CO185" s="225"/>
      <c r="CP185" s="225"/>
      <c r="CQ185" s="225"/>
      <c r="CR185" s="225"/>
      <c r="CS185" s="225"/>
      <c r="CT185" s="225"/>
      <c r="CU185" s="225"/>
      <c r="CV185" s="225"/>
      <c r="CW185" s="225"/>
      <c r="CX185" s="225"/>
      <c r="CY185" s="225"/>
      <c r="CZ185" s="225"/>
      <c r="DA185" s="225"/>
      <c r="DB185" s="225"/>
      <c r="DC185" s="225"/>
      <c r="DD185" s="225"/>
      <c r="DE185" s="225"/>
      <c r="DF185" s="225"/>
    </row>
    <row r="186" spans="1:110" s="1" customFormat="1" ht="18" x14ac:dyDescent="0.3">
      <c r="A186" s="225"/>
      <c r="B186" s="243"/>
      <c r="C186" s="452" t="s">
        <v>348</v>
      </c>
      <c r="D186" s="453"/>
      <c r="E186" s="454">
        <f>$E$181-J$181</f>
        <v>-195</v>
      </c>
      <c r="F186" s="454">
        <f>$F$181-J$181</f>
        <v>-195</v>
      </c>
      <c r="G186" s="454">
        <f>$G$181-J$181</f>
        <v>-155</v>
      </c>
      <c r="H186" s="454">
        <f>$H$181-J$181</f>
        <v>-155</v>
      </c>
      <c r="I186" s="454">
        <f>$I$181-J$181</f>
        <v>-95</v>
      </c>
      <c r="J186" s="455" t="s">
        <v>9</v>
      </c>
      <c r="K186" s="454">
        <f>$K$181-J$181</f>
        <v>30</v>
      </c>
      <c r="L186" s="456">
        <f>$L$181-J$181</f>
        <v>185</v>
      </c>
      <c r="M186" s="246"/>
      <c r="N186" s="247"/>
      <c r="O186" s="376"/>
      <c r="P186" s="225"/>
      <c r="Q186" s="211"/>
      <c r="R186" s="211"/>
      <c r="S186" s="192" t="s">
        <v>5</v>
      </c>
      <c r="T186" s="39"/>
      <c r="U186" s="39"/>
      <c r="V186" s="39"/>
      <c r="W186" s="39"/>
      <c r="X186" s="39"/>
      <c r="Y186" s="39"/>
      <c r="Z186" s="39"/>
      <c r="AA186" s="39"/>
      <c r="AB186" s="39"/>
      <c r="AC186" s="110"/>
      <c r="AD186" s="39"/>
      <c r="AE186" s="110"/>
      <c r="AF186" s="110"/>
      <c r="AG186" s="39"/>
      <c r="AH186" s="39"/>
      <c r="AI186" s="476"/>
      <c r="AJ186" s="39"/>
      <c r="AK186" s="476"/>
      <c r="AL186" s="39"/>
      <c r="AM186" s="39"/>
      <c r="AN186" s="58"/>
      <c r="AO186" s="39"/>
      <c r="AP186" s="58"/>
      <c r="AQ186" s="110"/>
      <c r="AR186" s="118"/>
      <c r="AS186" s="39"/>
      <c r="AT186" s="58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40"/>
      <c r="CD186" s="40"/>
      <c r="CE186" s="38">
        <v>2.5132275132275131E-2</v>
      </c>
      <c r="CF186" s="117">
        <f t="shared" si="21"/>
        <v>4.05982905982906E-2</v>
      </c>
      <c r="CG186" s="39"/>
      <c r="CH186" s="40"/>
      <c r="CI186" s="40"/>
      <c r="CJ186" s="39"/>
      <c r="CK186" s="39"/>
      <c r="CL186" s="41"/>
      <c r="CM186" s="39"/>
      <c r="CN186" s="225"/>
      <c r="CO186" s="225"/>
      <c r="CP186" s="225"/>
      <c r="CQ186" s="225"/>
      <c r="CR186" s="225"/>
      <c r="CS186" s="225"/>
      <c r="CT186" s="225"/>
      <c r="CU186" s="225"/>
      <c r="CV186" s="225"/>
      <c r="CW186" s="225"/>
      <c r="CX186" s="225"/>
      <c r="CY186" s="225"/>
      <c r="CZ186" s="225"/>
      <c r="DA186" s="225"/>
      <c r="DB186" s="225"/>
      <c r="DC186" s="225"/>
      <c r="DD186" s="225"/>
      <c r="DE186" s="225"/>
      <c r="DF186" s="225"/>
    </row>
    <row r="187" spans="1:110" s="1" customFormat="1" ht="18" x14ac:dyDescent="0.3">
      <c r="A187" s="225"/>
      <c r="B187" s="243"/>
      <c r="C187" s="452" t="s">
        <v>350</v>
      </c>
      <c r="D187" s="453"/>
      <c r="E187" s="454">
        <f>$E$181-K$181</f>
        <v>-225</v>
      </c>
      <c r="F187" s="454">
        <f>$F$181-K$181</f>
        <v>-225</v>
      </c>
      <c r="G187" s="454">
        <f>$G$181-L$181</f>
        <v>-340</v>
      </c>
      <c r="H187" s="454">
        <f>$H$181-K$181</f>
        <v>-185</v>
      </c>
      <c r="I187" s="454">
        <f>$I$181-K$181</f>
        <v>-125</v>
      </c>
      <c r="J187" s="454">
        <f>$J$181-K$181</f>
        <v>-30</v>
      </c>
      <c r="K187" s="455" t="s">
        <v>9</v>
      </c>
      <c r="L187" s="456">
        <f>$L$181-K$181</f>
        <v>155</v>
      </c>
      <c r="M187" s="246"/>
      <c r="N187" s="247"/>
      <c r="O187" s="376"/>
      <c r="P187" s="225"/>
      <c r="Q187" s="211"/>
      <c r="R187" s="211"/>
      <c r="S187" s="192" t="s">
        <v>5</v>
      </c>
      <c r="T187" s="39"/>
      <c r="U187" s="39"/>
      <c r="V187" s="39"/>
      <c r="W187" s="39"/>
      <c r="X187" s="39"/>
      <c r="Y187" s="39"/>
      <c r="Z187" s="39"/>
      <c r="AA187" s="39"/>
      <c r="AB187" s="39"/>
      <c r="AC187" s="110"/>
      <c r="AD187" s="39"/>
      <c r="AE187" s="110"/>
      <c r="AF187" s="110"/>
      <c r="AG187" s="39"/>
      <c r="AH187" s="39"/>
      <c r="AI187" s="476"/>
      <c r="AJ187" s="39"/>
      <c r="AK187" s="476"/>
      <c r="AL187" s="39"/>
      <c r="AM187" s="39"/>
      <c r="AN187" s="58"/>
      <c r="AO187" s="39"/>
      <c r="AP187" s="58"/>
      <c r="AQ187" s="110"/>
      <c r="AR187" s="118"/>
      <c r="AS187" s="39"/>
      <c r="AT187" s="58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40"/>
      <c r="CD187" s="40"/>
      <c r="CE187" s="38">
        <v>2.5132275132275131E-2</v>
      </c>
      <c r="CF187" s="117">
        <f t="shared" si="21"/>
        <v>4.05982905982906E-2</v>
      </c>
      <c r="CG187" s="39"/>
      <c r="CH187" s="40"/>
      <c r="CI187" s="40"/>
      <c r="CJ187" s="39"/>
      <c r="CK187" s="39"/>
      <c r="CL187" s="41"/>
      <c r="CM187" s="39"/>
      <c r="CN187" s="225"/>
      <c r="CO187" s="225"/>
      <c r="CP187" s="225"/>
      <c r="CQ187" s="225"/>
      <c r="CR187" s="225"/>
      <c r="CS187" s="225"/>
      <c r="CT187" s="225"/>
      <c r="CU187" s="225"/>
      <c r="CV187" s="225"/>
      <c r="CW187" s="225"/>
      <c r="CX187" s="225"/>
      <c r="CY187" s="225"/>
      <c r="CZ187" s="225"/>
      <c r="DA187" s="225"/>
      <c r="DB187" s="225"/>
      <c r="DC187" s="225"/>
      <c r="DD187" s="225"/>
      <c r="DE187" s="225"/>
      <c r="DF187" s="225"/>
    </row>
    <row r="188" spans="1:110" s="1" customFormat="1" thickBot="1" x14ac:dyDescent="0.35">
      <c r="A188" s="225"/>
      <c r="B188" s="243"/>
      <c r="C188" s="457" t="s">
        <v>351</v>
      </c>
      <c r="D188" s="458"/>
      <c r="E188" s="459">
        <f>$E$181-L$181</f>
        <v>-380</v>
      </c>
      <c r="F188" s="459">
        <f>$F$181-L$181</f>
        <v>-380</v>
      </c>
      <c r="G188" s="459">
        <f>$G$181-L$181</f>
        <v>-340</v>
      </c>
      <c r="H188" s="459">
        <f>$H$181-L$181</f>
        <v>-340</v>
      </c>
      <c r="I188" s="459">
        <f>$I$181-L$181</f>
        <v>-280</v>
      </c>
      <c r="J188" s="459">
        <f>$J$181-L$181</f>
        <v>-185</v>
      </c>
      <c r="K188" s="459">
        <f>$K$181-L$181</f>
        <v>-155</v>
      </c>
      <c r="L188" s="460" t="s">
        <v>9</v>
      </c>
      <c r="M188" s="246"/>
      <c r="N188" s="247"/>
      <c r="O188" s="376"/>
      <c r="P188" s="225"/>
      <c r="Q188" s="211"/>
      <c r="R188" s="211"/>
      <c r="S188" s="192" t="s">
        <v>5</v>
      </c>
      <c r="T188" s="39"/>
      <c r="U188" s="39"/>
      <c r="V188" s="39"/>
      <c r="W188" s="39"/>
      <c r="X188" s="39"/>
      <c r="Y188" s="39"/>
      <c r="Z188" s="39"/>
      <c r="AA188" s="39"/>
      <c r="AB188" s="39"/>
      <c r="AC188" s="110"/>
      <c r="AD188" s="39"/>
      <c r="AE188" s="110"/>
      <c r="AF188" s="110"/>
      <c r="AG188" s="39"/>
      <c r="AH188" s="39"/>
      <c r="AI188" s="476"/>
      <c r="AJ188" s="39"/>
      <c r="AK188" s="476"/>
      <c r="AL188" s="39"/>
      <c r="AM188" s="39"/>
      <c r="AN188" s="58"/>
      <c r="AO188" s="39"/>
      <c r="AP188" s="58"/>
      <c r="AQ188" s="110"/>
      <c r="AR188" s="118"/>
      <c r="AS188" s="39"/>
      <c r="AT188" s="58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40"/>
      <c r="CD188" s="40"/>
      <c r="CE188" s="38">
        <v>2.5132275132275131E-2</v>
      </c>
      <c r="CF188" s="117">
        <f t="shared" ref="CF188" si="22">CE188/$CE$196</f>
        <v>4.05982905982906E-2</v>
      </c>
      <c r="CG188" s="39"/>
      <c r="CH188" s="40"/>
      <c r="CI188" s="40"/>
      <c r="CJ188" s="39"/>
      <c r="CK188" s="39"/>
      <c r="CL188" s="41"/>
      <c r="CM188" s="39"/>
      <c r="CN188" s="225"/>
      <c r="CO188" s="225"/>
      <c r="CP188" s="225"/>
      <c r="CQ188" s="225"/>
      <c r="CR188" s="225"/>
      <c r="CS188" s="225"/>
      <c r="CT188" s="225"/>
      <c r="CU188" s="225"/>
      <c r="CV188" s="225"/>
      <c r="CW188" s="225"/>
      <c r="CX188" s="225"/>
      <c r="CY188" s="225"/>
      <c r="CZ188" s="225"/>
      <c r="DA188" s="225"/>
      <c r="DB188" s="225"/>
      <c r="DC188" s="225"/>
      <c r="DD188" s="225"/>
      <c r="DE188" s="225"/>
      <c r="DF188" s="225"/>
    </row>
    <row r="189" spans="1:110" s="1" customFormat="1" thickBot="1" x14ac:dyDescent="0.35">
      <c r="A189" s="225"/>
      <c r="B189" s="243"/>
      <c r="C189" s="244"/>
      <c r="D189" s="244"/>
      <c r="E189" s="245"/>
      <c r="F189" s="356"/>
      <c r="G189" s="245"/>
      <c r="H189" s="245"/>
      <c r="I189" s="245"/>
      <c r="J189" s="245"/>
      <c r="K189" s="245"/>
      <c r="L189" s="245"/>
      <c r="M189" s="246"/>
      <c r="N189" s="247"/>
      <c r="O189" s="376"/>
      <c r="P189" s="225"/>
      <c r="Q189" s="211"/>
      <c r="R189" s="211"/>
      <c r="S189" s="196"/>
      <c r="T189" s="39"/>
      <c r="U189" s="39"/>
      <c r="V189" s="39"/>
      <c r="W189" s="39"/>
      <c r="X189" s="39"/>
      <c r="Y189" s="39"/>
      <c r="Z189" s="39"/>
      <c r="AA189" s="39"/>
      <c r="AB189" s="39"/>
      <c r="AC189" s="110"/>
      <c r="AD189" s="39"/>
      <c r="AE189" s="110"/>
      <c r="AF189" s="110"/>
      <c r="AG189" s="39"/>
      <c r="AH189" s="39"/>
      <c r="AI189" s="476"/>
      <c r="AJ189" s="39"/>
      <c r="AK189" s="476"/>
      <c r="AL189" s="39"/>
      <c r="AM189" s="39"/>
      <c r="AN189" s="58"/>
      <c r="AO189" s="39"/>
      <c r="AP189" s="58"/>
      <c r="AQ189" s="110"/>
      <c r="AR189" s="118"/>
      <c r="AS189" s="39"/>
      <c r="AT189" s="58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40"/>
      <c r="CD189" s="40"/>
      <c r="CE189" s="38">
        <v>3.0423280423280422E-2</v>
      </c>
      <c r="CF189" s="117">
        <f>CE189/$CE$196</f>
        <v>4.9145299145299151E-2</v>
      </c>
      <c r="CG189" s="39"/>
      <c r="CH189" s="40"/>
      <c r="CI189" s="40"/>
      <c r="CJ189" s="39"/>
      <c r="CK189" s="39"/>
      <c r="CL189" s="41"/>
      <c r="CM189" s="39"/>
      <c r="CN189" s="225"/>
      <c r="CO189" s="225"/>
      <c r="CP189" s="225"/>
      <c r="CQ189" s="225"/>
      <c r="CR189" s="225"/>
      <c r="CS189" s="225"/>
      <c r="CT189" s="225"/>
      <c r="CU189" s="225"/>
      <c r="CV189" s="225"/>
      <c r="CW189" s="225"/>
      <c r="CX189" s="225"/>
      <c r="CY189" s="225"/>
      <c r="CZ189" s="225"/>
      <c r="DA189" s="225"/>
      <c r="DB189" s="225"/>
      <c r="DC189" s="225"/>
      <c r="DD189" s="225"/>
      <c r="DE189" s="225"/>
      <c r="DF189" s="225"/>
    </row>
    <row r="190" spans="1:110" s="1" customFormat="1" ht="18" x14ac:dyDescent="0.3">
      <c r="A190" s="225"/>
      <c r="B190" s="508" t="s">
        <v>10</v>
      </c>
      <c r="C190" s="312" t="s">
        <v>188</v>
      </c>
      <c r="D190" s="275"/>
      <c r="E190" s="517">
        <f>SUMIF($B$42:$B$177,"x",$N$42:$N$177)</f>
        <v>0</v>
      </c>
      <c r="F190" s="518"/>
      <c r="G190" s="518"/>
      <c r="H190" s="518"/>
      <c r="I190" s="518"/>
      <c r="J190" s="518"/>
      <c r="K190" s="518"/>
      <c r="L190" s="519"/>
      <c r="M190" s="248"/>
      <c r="N190" s="249"/>
      <c r="O190" s="378"/>
      <c r="P190" s="225"/>
      <c r="Q190" s="211"/>
      <c r="R190" s="211"/>
      <c r="S190" s="192" t="s">
        <v>5</v>
      </c>
      <c r="T190" s="39"/>
      <c r="U190" s="39"/>
      <c r="V190" s="39"/>
      <c r="W190" s="39"/>
      <c r="X190" s="39"/>
      <c r="Y190" s="39"/>
      <c r="Z190" s="39"/>
      <c r="AA190" s="39"/>
      <c r="AB190" s="39"/>
      <c r="AC190" s="110"/>
      <c r="AD190" s="39"/>
      <c r="AE190" s="110"/>
      <c r="AF190" s="110"/>
      <c r="AG190" s="39"/>
      <c r="AH190" s="39"/>
      <c r="AI190" s="476"/>
      <c r="AJ190" s="39"/>
      <c r="AK190" s="476"/>
      <c r="AL190" s="39"/>
      <c r="AM190" s="39"/>
      <c r="AN190" s="58"/>
      <c r="AO190" s="39"/>
      <c r="AP190" s="58"/>
      <c r="AQ190" s="110"/>
      <c r="AR190" s="118"/>
      <c r="AS190" s="39"/>
      <c r="AT190" s="58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40"/>
      <c r="CD190" s="40"/>
      <c r="CE190" s="38">
        <v>3.439153439153439E-2</v>
      </c>
      <c r="CF190" s="117">
        <f>CE190/$CE$196</f>
        <v>5.5555555555555559E-2</v>
      </c>
      <c r="CG190" s="39"/>
      <c r="CH190" s="40"/>
      <c r="CI190" s="40"/>
      <c r="CJ190" s="39"/>
      <c r="CK190" s="39"/>
      <c r="CL190" s="41"/>
      <c r="CM190" s="39"/>
      <c r="CN190" s="225"/>
      <c r="CO190" s="225"/>
      <c r="CP190" s="225"/>
      <c r="CQ190" s="225"/>
      <c r="CR190" s="225"/>
      <c r="CS190" s="225"/>
      <c r="CT190" s="225"/>
      <c r="CU190" s="225"/>
      <c r="CV190" s="225"/>
      <c r="CW190" s="225"/>
      <c r="CX190" s="225"/>
      <c r="CY190" s="225"/>
      <c r="CZ190" s="225"/>
      <c r="DA190" s="225"/>
      <c r="DB190" s="225"/>
      <c r="DC190" s="225"/>
      <c r="DD190" s="225"/>
      <c r="DE190" s="225"/>
      <c r="DF190" s="225"/>
    </row>
    <row r="191" spans="1:110" s="1" customFormat="1" ht="18" x14ac:dyDescent="0.3">
      <c r="A191" s="225"/>
      <c r="B191" s="509"/>
      <c r="C191" s="316" t="s">
        <v>13</v>
      </c>
      <c r="D191" s="317"/>
      <c r="E191" s="318">
        <f t="shared" ref="E191:L191" si="23">$E$190-E181</f>
        <v>0</v>
      </c>
      <c r="F191" s="359">
        <f t="shared" si="23"/>
        <v>0</v>
      </c>
      <c r="G191" s="318">
        <f t="shared" si="23"/>
        <v>-40</v>
      </c>
      <c r="H191" s="318">
        <f t="shared" si="23"/>
        <v>-40</v>
      </c>
      <c r="I191" s="318">
        <f t="shared" si="23"/>
        <v>-100</v>
      </c>
      <c r="J191" s="318">
        <f t="shared" si="23"/>
        <v>-195</v>
      </c>
      <c r="K191" s="318">
        <f t="shared" si="23"/>
        <v>-225</v>
      </c>
      <c r="L191" s="319">
        <f t="shared" si="23"/>
        <v>-380</v>
      </c>
      <c r="M191" s="248"/>
      <c r="N191" s="249"/>
      <c r="O191" s="378"/>
      <c r="P191" s="225"/>
      <c r="Q191" s="211"/>
      <c r="R191" s="211"/>
      <c r="S191" s="192" t="s">
        <v>5</v>
      </c>
      <c r="T191" s="39"/>
      <c r="U191" s="39"/>
      <c r="V191" s="39"/>
      <c r="W191" s="39"/>
      <c r="X191" s="39"/>
      <c r="Y191" s="39"/>
      <c r="Z191" s="39"/>
      <c r="AA191" s="39"/>
      <c r="AB191" s="39"/>
      <c r="AC191" s="110"/>
      <c r="AD191" s="39"/>
      <c r="AE191" s="110"/>
      <c r="AF191" s="110"/>
      <c r="AG191" s="39"/>
      <c r="AH191" s="39"/>
      <c r="AI191" s="476"/>
      <c r="AJ191" s="39"/>
      <c r="AK191" s="476"/>
      <c r="AL191" s="39"/>
      <c r="AM191" s="39"/>
      <c r="AN191" s="58"/>
      <c r="AO191" s="39"/>
      <c r="AP191" s="58"/>
      <c r="AQ191" s="110"/>
      <c r="AR191" s="118"/>
      <c r="AS191" s="39"/>
      <c r="AT191" s="58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40"/>
      <c r="CD191" s="40"/>
      <c r="CE191" s="117">
        <v>3.968253968253968E-2</v>
      </c>
      <c r="CF191" s="117">
        <f>CE191/$CE$196</f>
        <v>6.4102564102564111E-2</v>
      </c>
      <c r="CG191" s="39"/>
      <c r="CH191" s="40"/>
      <c r="CI191" s="40"/>
      <c r="CJ191" s="39"/>
      <c r="CK191" s="39"/>
      <c r="CL191" s="41"/>
      <c r="CM191" s="39"/>
      <c r="CN191" s="225"/>
      <c r="CO191" s="225"/>
      <c r="CP191" s="225"/>
      <c r="CQ191" s="225"/>
      <c r="CR191" s="225"/>
      <c r="CS191" s="225"/>
      <c r="CT191" s="225"/>
      <c r="CU191" s="225"/>
      <c r="CV191" s="225"/>
      <c r="CW191" s="225"/>
      <c r="CX191" s="225"/>
      <c r="CY191" s="225"/>
      <c r="CZ191" s="225"/>
      <c r="DA191" s="225"/>
      <c r="DB191" s="225"/>
      <c r="DC191" s="225"/>
      <c r="DD191" s="225"/>
      <c r="DE191" s="225"/>
      <c r="DF191" s="225"/>
    </row>
    <row r="192" spans="1:110" s="1" customFormat="1" thickBot="1" x14ac:dyDescent="0.35">
      <c r="A192" s="225"/>
      <c r="B192" s="510"/>
      <c r="C192" s="276" t="s">
        <v>209</v>
      </c>
      <c r="D192" s="277"/>
      <c r="E192" s="314">
        <f>IFERROR(E191/$E$190,)</f>
        <v>0</v>
      </c>
      <c r="F192" s="360">
        <f t="shared" ref="F192:L192" si="24">IFERROR(F191/$E$190,)</f>
        <v>0</v>
      </c>
      <c r="G192" s="314">
        <f t="shared" si="24"/>
        <v>0</v>
      </c>
      <c r="H192" s="314">
        <f t="shared" si="24"/>
        <v>0</v>
      </c>
      <c r="I192" s="314">
        <f t="shared" si="24"/>
        <v>0</v>
      </c>
      <c r="J192" s="314">
        <f t="shared" si="24"/>
        <v>0</v>
      </c>
      <c r="K192" s="314">
        <f t="shared" si="24"/>
        <v>0</v>
      </c>
      <c r="L192" s="315">
        <f t="shared" si="24"/>
        <v>0</v>
      </c>
      <c r="M192" s="248"/>
      <c r="N192" s="249"/>
      <c r="O192" s="378"/>
      <c r="P192" s="225"/>
      <c r="Q192" s="211"/>
      <c r="R192" s="211"/>
      <c r="S192" s="311"/>
      <c r="T192" s="39"/>
      <c r="U192" s="39"/>
      <c r="V192" s="39"/>
      <c r="W192" s="39"/>
      <c r="X192" s="39"/>
      <c r="Y192" s="39"/>
      <c r="Z192" s="39"/>
      <c r="AA192" s="39"/>
      <c r="AB192" s="39"/>
      <c r="AC192" s="110"/>
      <c r="AD192" s="39"/>
      <c r="AE192" s="110"/>
      <c r="AF192" s="110"/>
      <c r="AG192" s="39"/>
      <c r="AH192" s="39"/>
      <c r="AI192" s="476"/>
      <c r="AJ192" s="39"/>
      <c r="AK192" s="476"/>
      <c r="AL192" s="39"/>
      <c r="AM192" s="39"/>
      <c r="AN192" s="58"/>
      <c r="AO192" s="39"/>
      <c r="AP192" s="58"/>
      <c r="AQ192" s="110"/>
      <c r="AR192" s="118"/>
      <c r="AS192" s="39"/>
      <c r="AT192" s="58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40"/>
      <c r="CD192" s="40"/>
      <c r="CE192" s="117"/>
      <c r="CF192" s="117"/>
      <c r="CG192" s="39"/>
      <c r="CH192" s="40"/>
      <c r="CI192" s="40"/>
      <c r="CJ192" s="39"/>
      <c r="CK192" s="39"/>
      <c r="CL192" s="41"/>
      <c r="CM192" s="39"/>
      <c r="CN192" s="225"/>
      <c r="CO192" s="225"/>
      <c r="CP192" s="225"/>
      <c r="CQ192" s="225"/>
      <c r="CR192" s="225"/>
      <c r="CS192" s="225"/>
      <c r="CT192" s="225"/>
      <c r="CU192" s="225"/>
      <c r="CV192" s="225"/>
      <c r="CW192" s="225"/>
      <c r="CX192" s="225"/>
      <c r="CY192" s="225"/>
      <c r="CZ192" s="225"/>
      <c r="DA192" s="225"/>
      <c r="DB192" s="225"/>
      <c r="DC192" s="225"/>
      <c r="DD192" s="225"/>
      <c r="DE192" s="225"/>
      <c r="DF192" s="225"/>
    </row>
    <row r="193" spans="1:110" s="2" customFormat="1" ht="19.5" thickBot="1" x14ac:dyDescent="0.35">
      <c r="A193" s="211"/>
      <c r="B193" s="252"/>
      <c r="C193" s="211"/>
      <c r="D193" s="211"/>
      <c r="E193" s="240"/>
      <c r="F193" s="354"/>
      <c r="G193" s="240"/>
      <c r="H193" s="240"/>
      <c r="I193" s="240"/>
      <c r="J193" s="240"/>
      <c r="K193" s="240"/>
      <c r="L193" s="240"/>
      <c r="M193" s="233"/>
      <c r="N193" s="234"/>
      <c r="O193" s="368"/>
      <c r="P193" s="211"/>
      <c r="Q193" s="211"/>
      <c r="R193" s="211"/>
      <c r="S193" s="197"/>
      <c r="T193" s="44"/>
      <c r="U193" s="44"/>
      <c r="V193" s="44"/>
      <c r="W193" s="44"/>
      <c r="X193" s="44"/>
      <c r="Y193" s="44"/>
      <c r="Z193" s="44"/>
      <c r="AA193" s="44"/>
      <c r="AB193" s="44"/>
      <c r="AC193" s="110"/>
      <c r="AD193" s="44"/>
      <c r="AE193" s="110"/>
      <c r="AF193" s="110"/>
      <c r="AG193" s="44"/>
      <c r="AH193" s="44"/>
      <c r="AI193" s="305"/>
      <c r="AJ193" s="44"/>
      <c r="AK193" s="305"/>
      <c r="AL193" s="44"/>
      <c r="AM193" s="44"/>
      <c r="AN193" s="60"/>
      <c r="AO193" s="44"/>
      <c r="AP193" s="60"/>
      <c r="AQ193" s="110"/>
      <c r="AR193" s="118"/>
      <c r="AS193" s="44"/>
      <c r="AT193" s="60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5"/>
      <c r="BX193" s="45"/>
      <c r="BY193" s="44"/>
      <c r="BZ193" s="44"/>
      <c r="CA193" s="45"/>
      <c r="CB193" s="45"/>
      <c r="CC193" s="44"/>
      <c r="CD193" s="44"/>
      <c r="CE193" s="38">
        <v>4.7619047619047616E-2</v>
      </c>
      <c r="CF193" s="117">
        <f>CE193/$CE$196</f>
        <v>7.6923076923076927E-2</v>
      </c>
      <c r="CG193" s="44"/>
      <c r="CH193" s="44"/>
      <c r="CI193" s="44"/>
      <c r="CJ193" s="45"/>
      <c r="CK193" s="45"/>
      <c r="CL193" s="46"/>
      <c r="CM193" s="44"/>
      <c r="CN193" s="211"/>
      <c r="CO193" s="211"/>
      <c r="CP193" s="211"/>
      <c r="CQ193" s="211"/>
      <c r="CR193" s="211"/>
      <c r="CS193" s="211"/>
      <c r="CT193" s="211"/>
      <c r="CU193" s="211"/>
      <c r="CV193" s="211"/>
      <c r="CW193" s="211"/>
      <c r="CX193" s="211"/>
      <c r="CY193" s="211"/>
      <c r="CZ193" s="211"/>
      <c r="DA193" s="211"/>
      <c r="DB193" s="211"/>
      <c r="DC193" s="211"/>
      <c r="DD193" s="211"/>
      <c r="DE193" s="211"/>
      <c r="DF193" s="211"/>
    </row>
    <row r="194" spans="1:110" s="1" customFormat="1" ht="18" customHeight="1" x14ac:dyDescent="0.3">
      <c r="A194" s="225"/>
      <c r="B194" s="511" t="s">
        <v>11</v>
      </c>
      <c r="C194" s="312" t="s">
        <v>152</v>
      </c>
      <c r="D194" s="275"/>
      <c r="E194" s="280">
        <f t="shared" ref="E194:L194" si="25">SUMIFS($N$42:$N$177,$B$42:$B$177,"",E$42:E$177,"µ")</f>
        <v>0</v>
      </c>
      <c r="F194" s="361">
        <f t="shared" si="25"/>
        <v>19.939999999999998</v>
      </c>
      <c r="G194" s="280">
        <f t="shared" si="25"/>
        <v>79.88</v>
      </c>
      <c r="H194" s="280">
        <f t="shared" si="25"/>
        <v>44.940000000000005</v>
      </c>
      <c r="I194" s="280">
        <f t="shared" si="25"/>
        <v>154.88999999999999</v>
      </c>
      <c r="J194" s="280">
        <f t="shared" si="25"/>
        <v>359.51000000000005</v>
      </c>
      <c r="K194" s="280">
        <f t="shared" si="25"/>
        <v>389.51000000000005</v>
      </c>
      <c r="L194" s="281">
        <f t="shared" si="25"/>
        <v>609.18999999999994</v>
      </c>
      <c r="M194" s="248"/>
      <c r="N194" s="249"/>
      <c r="O194" s="378"/>
      <c r="P194" s="225"/>
      <c r="Q194" s="211"/>
      <c r="R194" s="211"/>
      <c r="S194" s="192" t="s">
        <v>5</v>
      </c>
      <c r="T194" s="39"/>
      <c r="U194" s="39"/>
      <c r="V194" s="39"/>
      <c r="W194" s="39"/>
      <c r="X194" s="39"/>
      <c r="Y194" s="39"/>
      <c r="Z194" s="39"/>
      <c r="AA194" s="39"/>
      <c r="AB194" s="39"/>
      <c r="AC194" s="110"/>
      <c r="AD194" s="42"/>
      <c r="AE194" s="110"/>
      <c r="AF194" s="110"/>
      <c r="AG194" s="42"/>
      <c r="AH194" s="39"/>
      <c r="AI194" s="476"/>
      <c r="AJ194" s="39"/>
      <c r="AK194" s="476"/>
      <c r="AL194" s="39"/>
      <c r="AM194" s="42" t="s">
        <v>97</v>
      </c>
      <c r="AN194" s="59"/>
      <c r="AO194" s="42"/>
      <c r="AP194" s="59"/>
      <c r="AQ194" s="110"/>
      <c r="AR194" s="118"/>
      <c r="AS194" s="42"/>
      <c r="AT194" s="59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39"/>
      <c r="BV194" s="39"/>
      <c r="BW194" s="39"/>
      <c r="BX194" s="39"/>
      <c r="BY194" s="39"/>
      <c r="BZ194" s="39"/>
      <c r="CA194" s="39"/>
      <c r="CB194" s="39"/>
      <c r="CC194" s="40"/>
      <c r="CD194" s="40"/>
      <c r="CE194" s="38">
        <v>5.1587301587301584E-2</v>
      </c>
      <c r="CF194" s="117">
        <f>CE194/$CE$196</f>
        <v>8.3333333333333343E-2</v>
      </c>
      <c r="CG194" s="39"/>
      <c r="CH194" s="40"/>
      <c r="CI194" s="40"/>
      <c r="CJ194" s="39"/>
      <c r="CK194" s="39"/>
      <c r="CL194" s="41"/>
      <c r="CM194" s="39"/>
      <c r="CN194" s="225"/>
      <c r="CO194" s="225"/>
      <c r="CP194" s="225"/>
      <c r="CQ194" s="225"/>
      <c r="CR194" s="225"/>
      <c r="CS194" s="225"/>
      <c r="CT194" s="225"/>
      <c r="CU194" s="225"/>
      <c r="CV194" s="225"/>
      <c r="CW194" s="225"/>
      <c r="CX194" s="225"/>
      <c r="CY194" s="225"/>
      <c r="CZ194" s="225"/>
      <c r="DA194" s="225"/>
      <c r="DB194" s="225"/>
      <c r="DC194" s="225"/>
      <c r="DD194" s="225"/>
      <c r="DE194" s="225"/>
      <c r="DF194" s="225"/>
    </row>
    <row r="195" spans="1:110" s="1" customFormat="1" thickBot="1" x14ac:dyDescent="0.35">
      <c r="A195" s="225"/>
      <c r="B195" s="512"/>
      <c r="C195" s="313" t="s">
        <v>184</v>
      </c>
      <c r="D195" s="277"/>
      <c r="E195" s="278">
        <f t="shared" ref="E195:L195" si="26">$E$190+E194</f>
        <v>0</v>
      </c>
      <c r="F195" s="362">
        <f>$E$190+F194</f>
        <v>19.939999999999998</v>
      </c>
      <c r="G195" s="278">
        <f>$E$190+G194</f>
        <v>79.88</v>
      </c>
      <c r="H195" s="278">
        <f>$E$190+H194</f>
        <v>44.940000000000005</v>
      </c>
      <c r="I195" s="278">
        <f t="shared" si="26"/>
        <v>154.88999999999999</v>
      </c>
      <c r="J195" s="278">
        <f t="shared" ref="J195" si="27">$E$190+J194</f>
        <v>359.51000000000005</v>
      </c>
      <c r="K195" s="278">
        <f t="shared" si="26"/>
        <v>389.51000000000005</v>
      </c>
      <c r="L195" s="279">
        <f t="shared" si="26"/>
        <v>609.18999999999994</v>
      </c>
      <c r="M195" s="248"/>
      <c r="N195" s="249"/>
      <c r="O195" s="378"/>
      <c r="P195" s="225"/>
      <c r="Q195" s="211"/>
      <c r="R195" s="211"/>
      <c r="S195" s="192" t="s">
        <v>5</v>
      </c>
      <c r="T195" s="39"/>
      <c r="U195" s="39"/>
      <c r="V195" s="39"/>
      <c r="W195" s="39"/>
      <c r="X195" s="39"/>
      <c r="Y195" s="39"/>
      <c r="Z195" s="39"/>
      <c r="AA195" s="39"/>
      <c r="AB195" s="39" t="s">
        <v>96</v>
      </c>
      <c r="AC195" s="110"/>
      <c r="AD195" s="39"/>
      <c r="AE195" s="110"/>
      <c r="AF195" s="110"/>
      <c r="AG195" s="39"/>
      <c r="AH195" s="39"/>
      <c r="AI195" s="476"/>
      <c r="AJ195" s="39"/>
      <c r="AK195" s="476"/>
      <c r="AL195" s="39"/>
      <c r="AM195" s="39" t="s">
        <v>96</v>
      </c>
      <c r="AN195" s="58"/>
      <c r="AO195" s="39"/>
      <c r="AP195" s="58"/>
      <c r="AQ195" s="110"/>
      <c r="AR195" s="118"/>
      <c r="AS195" s="39"/>
      <c r="AT195" s="58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40"/>
      <c r="CD195" s="40"/>
      <c r="CE195" s="38">
        <v>0.23809523809523808</v>
      </c>
      <c r="CF195" s="117">
        <f>CE195/$CE$196</f>
        <v>0.38461538461538464</v>
      </c>
      <c r="CG195" s="39"/>
      <c r="CH195" s="40"/>
      <c r="CI195" s="40"/>
      <c r="CJ195" s="39"/>
      <c r="CK195" s="39"/>
      <c r="CL195" s="41"/>
      <c r="CM195" s="39"/>
      <c r="CN195" s="225"/>
      <c r="CO195" s="225"/>
      <c r="CP195" s="225"/>
      <c r="CQ195" s="225"/>
      <c r="CR195" s="225"/>
      <c r="CS195" s="225"/>
      <c r="CT195" s="225"/>
      <c r="CU195" s="225"/>
      <c r="CV195" s="225"/>
      <c r="CW195" s="225"/>
      <c r="CX195" s="225"/>
      <c r="CY195" s="225"/>
      <c r="CZ195" s="225"/>
      <c r="DA195" s="225"/>
      <c r="DB195" s="225"/>
      <c r="DC195" s="225"/>
      <c r="DD195" s="225"/>
      <c r="DE195" s="225"/>
      <c r="DF195" s="225"/>
    </row>
    <row r="196" spans="1:110" s="1" customFormat="1" ht="18" x14ac:dyDescent="0.3">
      <c r="A196" s="225"/>
      <c r="B196" s="511" t="s">
        <v>210</v>
      </c>
      <c r="C196" s="316" t="s">
        <v>153</v>
      </c>
      <c r="D196" s="317"/>
      <c r="E196" s="318">
        <f t="shared" ref="E196:L196" si="28">E195-E181</f>
        <v>0</v>
      </c>
      <c r="F196" s="359">
        <f t="shared" si="28"/>
        <v>19.939999999999998</v>
      </c>
      <c r="G196" s="318">
        <f t="shared" si="28"/>
        <v>39.879999999999995</v>
      </c>
      <c r="H196" s="318">
        <f t="shared" si="28"/>
        <v>4.9400000000000048</v>
      </c>
      <c r="I196" s="318">
        <f t="shared" si="28"/>
        <v>54.889999999999986</v>
      </c>
      <c r="J196" s="318">
        <f t="shared" si="28"/>
        <v>164.51000000000005</v>
      </c>
      <c r="K196" s="318">
        <f t="shared" si="28"/>
        <v>164.51000000000005</v>
      </c>
      <c r="L196" s="319">
        <f t="shared" si="28"/>
        <v>229.18999999999994</v>
      </c>
      <c r="M196" s="248"/>
      <c r="N196" s="249"/>
      <c r="O196" s="378"/>
      <c r="P196" s="225"/>
      <c r="Q196" s="211"/>
      <c r="R196" s="211"/>
      <c r="S196" s="192" t="s">
        <v>5</v>
      </c>
      <c r="T196" s="39"/>
      <c r="U196" s="39"/>
      <c r="V196" s="39"/>
      <c r="W196" s="39"/>
      <c r="X196" s="39"/>
      <c r="Y196" s="39"/>
      <c r="Z196" s="39"/>
      <c r="AA196" s="39"/>
      <c r="AB196" s="43">
        <f>AB204+AD205*AH204</f>
        <v>110048.5035971223</v>
      </c>
      <c r="AC196" s="39"/>
      <c r="AD196" s="39"/>
      <c r="AE196" s="39"/>
      <c r="AF196" s="39"/>
      <c r="AG196" s="39"/>
      <c r="AH196" s="39"/>
      <c r="AI196" s="476"/>
      <c r="AJ196" s="39"/>
      <c r="AK196" s="476"/>
      <c r="AL196" s="39"/>
      <c r="AM196" s="43" t="e">
        <f>AQ204+AQ$232*#REF!</f>
        <v>#REF!</v>
      </c>
      <c r="AN196" s="58"/>
      <c r="AO196" s="39"/>
      <c r="AP196" s="58"/>
      <c r="AQ196" s="39"/>
      <c r="AR196" s="58"/>
      <c r="AS196" s="39"/>
      <c r="AT196" s="58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40"/>
      <c r="CD196" s="40"/>
      <c r="CE196" s="38">
        <f>SUM(CE181:CE195)</f>
        <v>0.61904761904761896</v>
      </c>
      <c r="CF196" s="117">
        <f>CE196/$CE$196</f>
        <v>1</v>
      </c>
      <c r="CG196" s="39"/>
      <c r="CH196" s="40"/>
      <c r="CI196" s="40"/>
      <c r="CJ196" s="39"/>
      <c r="CK196" s="39"/>
      <c r="CL196" s="41"/>
      <c r="CM196" s="39"/>
      <c r="CN196" s="225"/>
      <c r="CO196" s="225"/>
      <c r="CP196" s="225"/>
      <c r="CQ196" s="225"/>
      <c r="CR196" s="225"/>
      <c r="CS196" s="225"/>
      <c r="CT196" s="225"/>
      <c r="CU196" s="225"/>
      <c r="CV196" s="225"/>
      <c r="CW196" s="225"/>
      <c r="CX196" s="225"/>
      <c r="CY196" s="225"/>
      <c r="CZ196" s="225"/>
      <c r="DA196" s="225"/>
      <c r="DB196" s="225"/>
      <c r="DC196" s="225"/>
      <c r="DD196" s="225"/>
      <c r="DE196" s="225"/>
      <c r="DF196" s="225"/>
    </row>
    <row r="197" spans="1:110" s="1" customFormat="1" thickBot="1" x14ac:dyDescent="0.35">
      <c r="A197" s="225"/>
      <c r="B197" s="512"/>
      <c r="C197" s="276" t="s">
        <v>209</v>
      </c>
      <c r="D197" s="277"/>
      <c r="E197" s="314">
        <f>IFERROR(E196/E195,)</f>
        <v>0</v>
      </c>
      <c r="F197" s="360">
        <f t="shared" ref="F197:L197" si="29">IFERROR(F196/F195,)</f>
        <v>1</v>
      </c>
      <c r="G197" s="314">
        <f t="shared" si="29"/>
        <v>0.49924887330996492</v>
      </c>
      <c r="H197" s="314">
        <f t="shared" si="29"/>
        <v>0.10992434356920348</v>
      </c>
      <c r="I197" s="314">
        <f t="shared" si="29"/>
        <v>0.35438052811672793</v>
      </c>
      <c r="J197" s="314">
        <f t="shared" si="29"/>
        <v>0.45759505994269983</v>
      </c>
      <c r="K197" s="314">
        <f t="shared" si="29"/>
        <v>0.42235115914867405</v>
      </c>
      <c r="L197" s="315">
        <f t="shared" si="29"/>
        <v>0.37622088346821181</v>
      </c>
      <c r="M197" s="248"/>
      <c r="N197" s="249"/>
      <c r="O197" s="378"/>
      <c r="P197" s="225"/>
      <c r="Q197" s="211"/>
      <c r="R197" s="211"/>
      <c r="S197" s="311"/>
      <c r="T197" s="39"/>
      <c r="U197" s="39"/>
      <c r="V197" s="39"/>
      <c r="W197" s="39"/>
      <c r="X197" s="39"/>
      <c r="Y197" s="39"/>
      <c r="Z197" s="39"/>
      <c r="AA197" s="39"/>
      <c r="AB197" s="39"/>
      <c r="AC197" s="110"/>
      <c r="AD197" s="39"/>
      <c r="AE197" s="110"/>
      <c r="AF197" s="110"/>
      <c r="AG197" s="39"/>
      <c r="AH197" s="39"/>
      <c r="AI197" s="476"/>
      <c r="AJ197" s="39"/>
      <c r="AK197" s="476"/>
      <c r="AL197" s="39"/>
      <c r="AM197" s="39"/>
      <c r="AN197" s="58"/>
      <c r="AO197" s="39"/>
      <c r="AP197" s="58"/>
      <c r="AQ197" s="110"/>
      <c r="AR197" s="118"/>
      <c r="AS197" s="39"/>
      <c r="AT197" s="58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40"/>
      <c r="CD197" s="40"/>
      <c r="CE197" s="117"/>
      <c r="CF197" s="117"/>
      <c r="CG197" s="39"/>
      <c r="CH197" s="40"/>
      <c r="CI197" s="40"/>
      <c r="CJ197" s="39"/>
      <c r="CK197" s="39"/>
      <c r="CL197" s="41"/>
      <c r="CM197" s="39"/>
      <c r="CN197" s="225"/>
      <c r="CO197" s="225"/>
      <c r="CP197" s="225"/>
      <c r="CQ197" s="225"/>
      <c r="CR197" s="225"/>
      <c r="CS197" s="225"/>
      <c r="CT197" s="225"/>
      <c r="CU197" s="225"/>
      <c r="CV197" s="225"/>
      <c r="CW197" s="225"/>
      <c r="CX197" s="225"/>
      <c r="CY197" s="225"/>
      <c r="CZ197" s="225"/>
      <c r="DA197" s="225"/>
      <c r="DB197" s="225"/>
      <c r="DC197" s="225"/>
      <c r="DD197" s="225"/>
      <c r="DE197" s="225"/>
      <c r="DF197" s="225"/>
    </row>
    <row r="198" spans="1:110" s="2" customFormat="1" x14ac:dyDescent="0.3">
      <c r="A198" s="211"/>
      <c r="B198" s="252"/>
      <c r="C198" s="211"/>
      <c r="D198" s="211"/>
      <c r="E198" s="240"/>
      <c r="F198" s="354"/>
      <c r="G198" s="240"/>
      <c r="H198" s="240"/>
      <c r="I198" s="240"/>
      <c r="J198" s="240"/>
      <c r="K198" s="240"/>
      <c r="L198" s="240"/>
      <c r="M198" s="233"/>
      <c r="N198" s="234"/>
      <c r="O198" s="368"/>
      <c r="P198" s="211"/>
      <c r="Q198" s="211"/>
      <c r="R198" s="211"/>
      <c r="S198" s="197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5"/>
      <c r="AG198" s="44"/>
      <c r="AH198" s="44"/>
      <c r="AI198" s="305"/>
      <c r="AJ198" s="44"/>
      <c r="AK198" s="305"/>
      <c r="AL198" s="44"/>
      <c r="AM198" s="44"/>
      <c r="AN198" s="60"/>
      <c r="AO198" s="44"/>
      <c r="AP198" s="60"/>
      <c r="AQ198" s="44"/>
      <c r="AR198" s="60"/>
      <c r="AS198" s="44"/>
      <c r="AT198" s="60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5"/>
      <c r="BX198" s="45"/>
      <c r="BY198" s="44"/>
      <c r="BZ198" s="44"/>
      <c r="CA198" s="45"/>
      <c r="CB198" s="45"/>
      <c r="CC198" s="44"/>
      <c r="CD198" s="44"/>
      <c r="CE198" s="45"/>
      <c r="CF198" s="45"/>
      <c r="CG198" s="44"/>
      <c r="CH198" s="44"/>
      <c r="CI198" s="44"/>
      <c r="CJ198" s="45"/>
      <c r="CK198" s="45"/>
      <c r="CL198" s="46"/>
      <c r="CM198" s="44"/>
      <c r="CN198" s="211"/>
      <c r="CO198" s="211"/>
      <c r="CP198" s="211"/>
      <c r="CQ198" s="211"/>
      <c r="CR198" s="211"/>
      <c r="CS198" s="211"/>
      <c r="CT198" s="211"/>
      <c r="CU198" s="211"/>
      <c r="CV198" s="211"/>
      <c r="CW198" s="211"/>
      <c r="CX198" s="211"/>
      <c r="CY198" s="211"/>
      <c r="CZ198" s="211"/>
      <c r="DA198" s="211"/>
      <c r="DB198" s="211"/>
      <c r="DC198" s="211"/>
      <c r="DD198" s="211"/>
      <c r="DE198" s="211"/>
      <c r="DF198" s="211"/>
    </row>
    <row r="199" spans="1:110" s="2" customFormat="1" collapsed="1" x14ac:dyDescent="0.3">
      <c r="A199" s="226"/>
      <c r="B199" s="211"/>
      <c r="C199" s="211"/>
      <c r="D199" s="211"/>
      <c r="E199" s="240"/>
      <c r="F199" s="343"/>
      <c r="G199" s="240"/>
      <c r="H199" s="240"/>
      <c r="I199" s="240"/>
      <c r="J199" s="253"/>
      <c r="K199" s="253"/>
      <c r="L199" s="235" t="s">
        <v>182</v>
      </c>
      <c r="M199" s="250"/>
      <c r="N199" s="251"/>
      <c r="O199" s="343"/>
      <c r="P199" s="251"/>
      <c r="Q199" s="251"/>
      <c r="R199" s="251"/>
      <c r="S199" s="198"/>
      <c r="T199" s="44"/>
      <c r="U199" s="44"/>
      <c r="V199" s="44"/>
      <c r="W199" s="44"/>
      <c r="X199" s="44"/>
      <c r="Y199" s="44"/>
      <c r="Z199" s="44"/>
      <c r="AA199" s="44"/>
      <c r="AB199" s="516" t="s">
        <v>133</v>
      </c>
      <c r="AC199" s="516"/>
      <c r="AD199" s="44"/>
      <c r="AE199" s="44"/>
      <c r="AF199" s="45"/>
      <c r="AG199" s="44"/>
      <c r="AH199" s="44"/>
      <c r="AI199" s="520" t="s">
        <v>378</v>
      </c>
      <c r="AJ199" s="520"/>
      <c r="AK199" s="521" t="s">
        <v>379</v>
      </c>
      <c r="AL199" s="521"/>
      <c r="AM199" s="513" t="s">
        <v>130</v>
      </c>
      <c r="AN199" s="514"/>
      <c r="AO199" s="514"/>
      <c r="AP199" s="515"/>
      <c r="AQ199" s="513" t="s">
        <v>131</v>
      </c>
      <c r="AR199" s="514"/>
      <c r="AS199" s="514"/>
      <c r="AT199" s="515"/>
      <c r="AU199" s="44"/>
      <c r="AV199" s="44"/>
      <c r="AW199" s="507" t="s">
        <v>353</v>
      </c>
      <c r="AX199" s="507"/>
      <c r="AY199" s="507"/>
      <c r="AZ199" s="507"/>
      <c r="BA199" s="507"/>
      <c r="BB199" s="507"/>
      <c r="BC199" s="507"/>
      <c r="BD199" s="507"/>
      <c r="BE199" s="507" t="s">
        <v>207</v>
      </c>
      <c r="BF199" s="507"/>
      <c r="BG199" s="507"/>
      <c r="BH199" s="507"/>
      <c r="BI199" s="507"/>
      <c r="BJ199" s="507"/>
      <c r="BK199" s="507"/>
      <c r="BL199" s="507"/>
      <c r="BM199" s="507" t="s">
        <v>183</v>
      </c>
      <c r="BN199" s="507"/>
      <c r="BO199" s="507"/>
      <c r="BP199" s="507"/>
      <c r="BQ199" s="507"/>
      <c r="BR199" s="507"/>
      <c r="BS199" s="507"/>
      <c r="BT199" s="507"/>
      <c r="BU199" s="504" t="s">
        <v>122</v>
      </c>
      <c r="BV199" s="505"/>
      <c r="BW199" s="505"/>
      <c r="BX199" s="506"/>
      <c r="BY199" s="504" t="s">
        <v>52</v>
      </c>
      <c r="BZ199" s="505"/>
      <c r="CA199" s="505"/>
      <c r="CB199" s="506"/>
      <c r="CC199" s="504" t="s">
        <v>54</v>
      </c>
      <c r="CD199" s="505"/>
      <c r="CE199" s="505"/>
      <c r="CF199" s="505"/>
      <c r="CG199" s="507" t="s">
        <v>53</v>
      </c>
      <c r="CH199" s="507"/>
      <c r="CI199" s="507"/>
      <c r="CJ199" s="507"/>
      <c r="CK199" s="507"/>
      <c r="CL199" s="507" t="s">
        <v>55</v>
      </c>
      <c r="CM199" s="507"/>
      <c r="CN199" s="211"/>
      <c r="CO199" s="211"/>
      <c r="CP199" s="211"/>
      <c r="CQ199" s="211"/>
      <c r="CR199" s="211"/>
      <c r="CS199" s="211"/>
      <c r="CT199" s="211"/>
      <c r="CU199" s="211"/>
      <c r="CV199" s="211"/>
      <c r="CW199" s="211"/>
      <c r="CX199" s="211"/>
      <c r="CY199" s="211"/>
      <c r="CZ199" s="211"/>
      <c r="DA199" s="211"/>
      <c r="DB199" s="211"/>
      <c r="DC199" s="211"/>
      <c r="DD199" s="211"/>
      <c r="DE199" s="211"/>
      <c r="DF199" s="211"/>
    </row>
    <row r="200" spans="1:110" s="2" customFormat="1" x14ac:dyDescent="0.3">
      <c r="A200" s="226"/>
      <c r="B200" s="254" t="s">
        <v>386</v>
      </c>
      <c r="C200" s="211"/>
      <c r="D200" s="211"/>
      <c r="E200" s="240"/>
      <c r="F200" s="343"/>
      <c r="G200" s="240"/>
      <c r="H200" s="437" t="s">
        <v>20</v>
      </c>
      <c r="I200" s="285" t="s">
        <v>20</v>
      </c>
      <c r="J200" s="232" t="s">
        <v>20</v>
      </c>
      <c r="K200" s="300" t="s">
        <v>20</v>
      </c>
      <c r="L200" s="282" t="s">
        <v>20</v>
      </c>
      <c r="M200" s="283" t="s">
        <v>20</v>
      </c>
      <c r="N200" s="284" t="s">
        <v>20</v>
      </c>
      <c r="O200" s="343"/>
      <c r="P200" s="284"/>
      <c r="Q200" s="437" t="s">
        <v>388</v>
      </c>
      <c r="R200" s="437" t="s">
        <v>387</v>
      </c>
      <c r="S200" s="198"/>
      <c r="T200" s="44"/>
      <c r="U200" s="119" t="s">
        <v>36</v>
      </c>
      <c r="V200" s="119" t="s">
        <v>37</v>
      </c>
      <c r="W200" s="119" t="s">
        <v>18</v>
      </c>
      <c r="X200" s="119" t="s">
        <v>39</v>
      </c>
      <c r="Y200" s="119" t="s">
        <v>38</v>
      </c>
      <c r="Z200" s="119" t="s">
        <v>40</v>
      </c>
      <c r="AA200" s="119" t="s">
        <v>41</v>
      </c>
      <c r="AB200" s="119" t="s">
        <v>42</v>
      </c>
      <c r="AC200" s="119" t="s">
        <v>45</v>
      </c>
      <c r="AD200" s="119" t="s">
        <v>49</v>
      </c>
      <c r="AE200" s="119" t="s">
        <v>44</v>
      </c>
      <c r="AF200" s="120" t="s">
        <v>46</v>
      </c>
      <c r="AG200" s="119" t="s">
        <v>51</v>
      </c>
      <c r="AH200" s="119" t="s">
        <v>50</v>
      </c>
      <c r="AI200" s="479" t="s">
        <v>132</v>
      </c>
      <c r="AJ200" s="121" t="s">
        <v>45</v>
      </c>
      <c r="AK200" s="482" t="s">
        <v>132</v>
      </c>
      <c r="AL200" s="470" t="s">
        <v>45</v>
      </c>
      <c r="AM200" s="119" t="s">
        <v>132</v>
      </c>
      <c r="AN200" s="121" t="s">
        <v>43</v>
      </c>
      <c r="AO200" s="119" t="s">
        <v>45</v>
      </c>
      <c r="AP200" s="121" t="s">
        <v>43</v>
      </c>
      <c r="AQ200" s="119" t="s">
        <v>132</v>
      </c>
      <c r="AR200" s="121" t="s">
        <v>43</v>
      </c>
      <c r="AS200" s="119" t="s">
        <v>45</v>
      </c>
      <c r="AT200" s="121" t="s">
        <v>43</v>
      </c>
      <c r="AU200" s="119" t="s">
        <v>47</v>
      </c>
      <c r="AV200" s="119" t="s">
        <v>48</v>
      </c>
      <c r="AW200" s="119" t="s">
        <v>20</v>
      </c>
      <c r="AX200" s="119" t="s">
        <v>19</v>
      </c>
      <c r="AY200" s="119"/>
      <c r="AZ200" s="119"/>
      <c r="BA200" s="119" t="s">
        <v>20</v>
      </c>
      <c r="BB200" s="119" t="s">
        <v>94</v>
      </c>
      <c r="BC200" s="120" t="s">
        <v>19</v>
      </c>
      <c r="BD200" s="120" t="s">
        <v>95</v>
      </c>
      <c r="BE200" s="119" t="s">
        <v>20</v>
      </c>
      <c r="BF200" s="119" t="s">
        <v>19</v>
      </c>
      <c r="BG200" s="119"/>
      <c r="BH200" s="119"/>
      <c r="BI200" s="119" t="s">
        <v>20</v>
      </c>
      <c r="BJ200" s="119" t="s">
        <v>94</v>
      </c>
      <c r="BK200" s="120" t="s">
        <v>19</v>
      </c>
      <c r="BL200" s="120" t="s">
        <v>95</v>
      </c>
      <c r="BM200" s="119" t="s">
        <v>20</v>
      </c>
      <c r="BN200" s="119" t="s">
        <v>19</v>
      </c>
      <c r="BO200" s="119"/>
      <c r="BP200" s="119"/>
      <c r="BQ200" s="119" t="s">
        <v>20</v>
      </c>
      <c r="BR200" s="119" t="s">
        <v>94</v>
      </c>
      <c r="BS200" s="120" t="s">
        <v>19</v>
      </c>
      <c r="BT200" s="120" t="s">
        <v>95</v>
      </c>
      <c r="BU200" s="119" t="s">
        <v>20</v>
      </c>
      <c r="BV200" s="119" t="s">
        <v>94</v>
      </c>
      <c r="BW200" s="120" t="s">
        <v>19</v>
      </c>
      <c r="BX200" s="120" t="s">
        <v>95</v>
      </c>
      <c r="BY200" s="119" t="s">
        <v>20</v>
      </c>
      <c r="BZ200" s="119" t="s">
        <v>94</v>
      </c>
      <c r="CA200" s="120" t="s">
        <v>19</v>
      </c>
      <c r="CB200" s="120" t="s">
        <v>95</v>
      </c>
      <c r="CC200" s="119" t="s">
        <v>20</v>
      </c>
      <c r="CD200" s="119" t="s">
        <v>94</v>
      </c>
      <c r="CE200" s="120" t="s">
        <v>19</v>
      </c>
      <c r="CF200" s="120" t="s">
        <v>95</v>
      </c>
      <c r="CG200" s="119" t="s">
        <v>123</v>
      </c>
      <c r="CH200" s="119" t="s">
        <v>20</v>
      </c>
      <c r="CI200" s="119" t="s">
        <v>94</v>
      </c>
      <c r="CJ200" s="120" t="s">
        <v>19</v>
      </c>
      <c r="CK200" s="120" t="s">
        <v>95</v>
      </c>
      <c r="CL200" s="122" t="s">
        <v>20</v>
      </c>
      <c r="CM200" s="119" t="s">
        <v>56</v>
      </c>
      <c r="CN200" s="211"/>
      <c r="CO200" s="211"/>
      <c r="CP200" s="211"/>
      <c r="CQ200" s="211"/>
      <c r="CR200" s="211"/>
      <c r="CS200" s="211"/>
      <c r="CT200" s="211"/>
      <c r="CU200" s="211"/>
      <c r="CV200" s="211"/>
      <c r="CW200" s="211"/>
      <c r="CX200" s="211"/>
      <c r="CY200" s="211"/>
      <c r="CZ200" s="211"/>
      <c r="DA200" s="211"/>
      <c r="DB200" s="211"/>
      <c r="DC200" s="211"/>
      <c r="DD200" s="211"/>
      <c r="DE200" s="211"/>
      <c r="DF200" s="211"/>
    </row>
    <row r="201" spans="1:110" s="123" customFormat="1" x14ac:dyDescent="0.3">
      <c r="A201" s="227"/>
      <c r="B201" s="235"/>
      <c r="C201" s="235"/>
      <c r="D201" s="235"/>
      <c r="E201" s="235" t="s">
        <v>36</v>
      </c>
      <c r="F201" s="363"/>
      <c r="G201" s="235" t="s">
        <v>18</v>
      </c>
      <c r="H201" s="437" t="s">
        <v>100</v>
      </c>
      <c r="I201" s="285" t="s">
        <v>98</v>
      </c>
      <c r="J201" s="232" t="s">
        <v>99</v>
      </c>
      <c r="K201" s="300" t="s">
        <v>158</v>
      </c>
      <c r="L201" s="282" t="s">
        <v>181</v>
      </c>
      <c r="M201" s="283" t="s">
        <v>197</v>
      </c>
      <c r="N201" s="284" t="s">
        <v>207</v>
      </c>
      <c r="O201" s="363"/>
      <c r="P201" s="284"/>
      <c r="Q201" s="437" t="s">
        <v>100</v>
      </c>
      <c r="R201" s="437" t="s">
        <v>100</v>
      </c>
      <c r="S201" s="199"/>
      <c r="T201" s="124"/>
      <c r="U201" s="125">
        <v>0</v>
      </c>
      <c r="V201" s="126">
        <f>WEEKDAY(W201)</f>
        <v>4</v>
      </c>
      <c r="W201" s="127">
        <v>44881</v>
      </c>
      <c r="X201" s="128">
        <v>0.75</v>
      </c>
      <c r="Y201" s="129">
        <f t="shared" ref="Y201:Y223" si="30">W201+X201</f>
        <v>44881.75</v>
      </c>
      <c r="Z201" s="130"/>
      <c r="AA201" s="130"/>
      <c r="AB201" s="131">
        <v>0</v>
      </c>
      <c r="AC201" s="68">
        <v>0</v>
      </c>
      <c r="AD201" s="132"/>
      <c r="AE201" s="133"/>
      <c r="AF201" s="134"/>
      <c r="AG201" s="135"/>
      <c r="AH201" s="134"/>
      <c r="AI201" s="480">
        <f>AB201</f>
        <v>0</v>
      </c>
      <c r="AJ201" s="468">
        <f>AC201</f>
        <v>0</v>
      </c>
      <c r="AK201" s="480">
        <f>AB201</f>
        <v>0</v>
      </c>
      <c r="AL201" s="468">
        <f>AC201</f>
        <v>0</v>
      </c>
      <c r="AM201" s="133">
        <f>AR201</f>
        <v>0</v>
      </c>
      <c r="AN201" s="136"/>
      <c r="AO201" s="94"/>
      <c r="AP201" s="94"/>
      <c r="AQ201" s="133"/>
      <c r="AR201" s="136"/>
      <c r="AS201" s="94"/>
      <c r="AT201" s="94"/>
      <c r="AU201" s="133"/>
      <c r="AV201" s="133"/>
      <c r="AW201" s="131">
        <v>0</v>
      </c>
      <c r="AX201" s="68">
        <v>0</v>
      </c>
      <c r="AY201" s="146"/>
      <c r="AZ201" s="146"/>
      <c r="BA201" s="133"/>
      <c r="BB201" s="133"/>
      <c r="BC201" s="133"/>
      <c r="BD201" s="133"/>
      <c r="BE201" s="131">
        <v>0</v>
      </c>
      <c r="BF201" s="68">
        <v>0</v>
      </c>
      <c r="BG201" s="146"/>
      <c r="BH201" s="146"/>
      <c r="BI201" s="133"/>
      <c r="BJ201" s="133"/>
      <c r="BK201" s="133"/>
      <c r="BL201" s="133"/>
      <c r="BM201" s="131">
        <v>0</v>
      </c>
      <c r="BN201" s="68">
        <v>0</v>
      </c>
      <c r="BO201" s="146"/>
      <c r="BP201" s="146"/>
      <c r="BQ201" s="133"/>
      <c r="BR201" s="133"/>
      <c r="BS201" s="133"/>
      <c r="BT201" s="133"/>
      <c r="BU201" s="137">
        <v>0</v>
      </c>
      <c r="BV201" s="137">
        <v>0</v>
      </c>
      <c r="BW201" s="138">
        <v>0</v>
      </c>
      <c r="BX201" s="138"/>
      <c r="BY201" s="137">
        <v>0</v>
      </c>
      <c r="BZ201" s="137">
        <v>0</v>
      </c>
      <c r="CA201" s="138">
        <v>0</v>
      </c>
      <c r="CB201" s="138"/>
      <c r="CC201" s="137">
        <f>AU201/$AB$223</f>
        <v>0</v>
      </c>
      <c r="CD201" s="137">
        <f>CC201</f>
        <v>0</v>
      </c>
      <c r="CE201" s="138">
        <f>BU201/$AC$230</f>
        <v>0</v>
      </c>
      <c r="CF201" s="138"/>
      <c r="CG201" s="139">
        <f>Vergleich!C3</f>
        <v>0</v>
      </c>
      <c r="CH201" s="80"/>
      <c r="CI201" s="137">
        <f>CH201</f>
        <v>0</v>
      </c>
      <c r="CJ201" s="140"/>
      <c r="CK201" s="138"/>
      <c r="CL201" s="139"/>
      <c r="CM201" s="137"/>
      <c r="CN201" s="235"/>
      <c r="CO201" s="235"/>
      <c r="CP201" s="235"/>
      <c r="CQ201" s="235"/>
      <c r="CR201" s="235"/>
      <c r="CS201" s="235"/>
      <c r="CT201" s="235"/>
      <c r="CU201" s="235"/>
      <c r="CV201" s="235"/>
      <c r="CW201" s="235"/>
      <c r="CX201" s="235"/>
      <c r="CY201" s="235"/>
      <c r="CZ201" s="235"/>
      <c r="DA201" s="235"/>
      <c r="DB201" s="235"/>
      <c r="DC201" s="235"/>
      <c r="DD201" s="235"/>
      <c r="DE201" s="235"/>
      <c r="DF201" s="235"/>
    </row>
    <row r="202" spans="1:110" s="141" customFormat="1" x14ac:dyDescent="0.3">
      <c r="A202" s="228"/>
      <c r="B202" s="236"/>
      <c r="C202" s="236"/>
      <c r="D202" s="236"/>
      <c r="E202" s="232">
        <v>0</v>
      </c>
      <c r="F202" s="364"/>
      <c r="G202" s="286">
        <f>Y201</f>
        <v>44881.75</v>
      </c>
      <c r="H202" s="255">
        <f>AB201</f>
        <v>0</v>
      </c>
      <c r="I202" s="256">
        <f>AM201</f>
        <v>0</v>
      </c>
      <c r="J202" s="256">
        <f>AQ201</f>
        <v>0</v>
      </c>
      <c r="K202" s="236">
        <v>0</v>
      </c>
      <c r="L202" s="236">
        <v>0</v>
      </c>
      <c r="M202" s="257">
        <f>BM201</f>
        <v>0</v>
      </c>
      <c r="N202" s="257">
        <v>0</v>
      </c>
      <c r="O202" s="364"/>
      <c r="P202" s="257"/>
      <c r="Q202" s="257">
        <f>AI201</f>
        <v>0</v>
      </c>
      <c r="R202" s="257">
        <f>AK201</f>
        <v>0</v>
      </c>
      <c r="S202" s="200"/>
      <c r="T202" s="89"/>
      <c r="U202" s="125">
        <v>0</v>
      </c>
      <c r="V202" s="126">
        <f>WEEKDAY(W202)</f>
        <v>4</v>
      </c>
      <c r="W202" s="127">
        <f>W201</f>
        <v>44881</v>
      </c>
      <c r="X202" s="128">
        <v>0.99998842592592585</v>
      </c>
      <c r="Y202" s="129">
        <f t="shared" si="30"/>
        <v>44881.999988425923</v>
      </c>
      <c r="Z202" s="130">
        <f t="shared" ref="Z202:Z223" si="31">Y202-$Y$201</f>
        <v>0.24998842592322035</v>
      </c>
      <c r="AA202" s="130"/>
      <c r="AB202" s="142">
        <v>54693</v>
      </c>
      <c r="AC202" s="143">
        <v>219</v>
      </c>
      <c r="AD202" s="144"/>
      <c r="AE202" s="133"/>
      <c r="AF202" s="134">
        <f t="shared" ref="AF202:AF223" si="32">AB202/AC202</f>
        <v>249.73972602739727</v>
      </c>
      <c r="AG202" s="135"/>
      <c r="AH202" s="134"/>
      <c r="AI202" s="480">
        <f t="shared" ref="AI202:AI217" si="33">AB202</f>
        <v>54693</v>
      </c>
      <c r="AJ202" s="468">
        <f t="shared" ref="AJ202:AJ217" si="34">AC202</f>
        <v>219</v>
      </c>
      <c r="AK202" s="480">
        <f t="shared" ref="AK202:AK217" si="35">AB202</f>
        <v>54693</v>
      </c>
      <c r="AL202" s="468">
        <f t="shared" ref="AL202:AL217" si="36">AC202</f>
        <v>219</v>
      </c>
      <c r="AM202" s="133">
        <f>AB202</f>
        <v>54693</v>
      </c>
      <c r="AN202" s="136">
        <f>AB202-AM202</f>
        <v>0</v>
      </c>
      <c r="AO202" s="145">
        <f>AD202</f>
        <v>0</v>
      </c>
      <c r="AP202" s="146"/>
      <c r="AQ202" s="133">
        <f>AM202</f>
        <v>54693</v>
      </c>
      <c r="AR202" s="136">
        <f t="shared" ref="AR202:AR203" si="37">AB202-AQ202</f>
        <v>0</v>
      </c>
      <c r="AS202" s="146">
        <f>AO202</f>
        <v>0</v>
      </c>
      <c r="AT202" s="146"/>
      <c r="AU202" s="133">
        <f>AE202/Z202</f>
        <v>0</v>
      </c>
      <c r="AV202" s="133">
        <f t="shared" ref="AV202:AV223" si="38">AB202/Z202</f>
        <v>218782.12880462719</v>
      </c>
      <c r="AW202" s="142">
        <f>AB202</f>
        <v>54693</v>
      </c>
      <c r="AX202" s="143">
        <f>AC202</f>
        <v>219</v>
      </c>
      <c r="AY202" s="301">
        <f>AD202</f>
        <v>0</v>
      </c>
      <c r="AZ202" s="301">
        <f>AE202</f>
        <v>0</v>
      </c>
      <c r="BA202" s="133"/>
      <c r="BB202" s="133"/>
      <c r="BC202" s="133"/>
      <c r="BD202" s="133"/>
      <c r="BE202" s="142">
        <v>70783</v>
      </c>
      <c r="BF202" s="143">
        <v>291</v>
      </c>
      <c r="BG202" s="301"/>
      <c r="BH202" s="301"/>
      <c r="BI202" s="133"/>
      <c r="BJ202" s="133"/>
      <c r="BK202" s="133"/>
      <c r="BL202" s="133"/>
      <c r="BM202" s="142">
        <v>75090</v>
      </c>
      <c r="BN202" s="143">
        <v>510</v>
      </c>
      <c r="BO202" s="301"/>
      <c r="BP202" s="301"/>
      <c r="BQ202" s="133"/>
      <c r="BR202" s="133"/>
      <c r="BS202" s="133"/>
      <c r="BT202" s="133"/>
      <c r="BU202" s="137">
        <v>0</v>
      </c>
      <c r="BV202" s="137">
        <v>0</v>
      </c>
      <c r="BW202" s="138">
        <v>0</v>
      </c>
      <c r="BX202" s="138">
        <v>0</v>
      </c>
      <c r="BY202" s="137">
        <v>0.24557122124840888</v>
      </c>
      <c r="BZ202" s="137">
        <v>0.24557122124840888</v>
      </c>
      <c r="CA202" s="138">
        <v>0.24159021406727829</v>
      </c>
      <c r="CB202" s="138">
        <v>0.24159021406727829</v>
      </c>
      <c r="CC202" s="137">
        <v>0.20305967479960829</v>
      </c>
      <c r="CD202" s="137">
        <f>CD201+CC202</f>
        <v>0.20305967479960829</v>
      </c>
      <c r="CE202" s="138">
        <v>0.18386243386243387</v>
      </c>
      <c r="CF202" s="138">
        <f>CE202</f>
        <v>0.18386243386243387</v>
      </c>
      <c r="CG202" s="139"/>
      <c r="CH202" s="137">
        <v>0.20659234902558346</v>
      </c>
      <c r="CI202" s="137">
        <f>CI201+CH202</f>
        <v>0.20659234902558346</v>
      </c>
      <c r="CJ202" s="138">
        <v>0.1729106628242075</v>
      </c>
      <c r="CK202" s="138"/>
      <c r="CL202" s="139"/>
      <c r="CM202" s="137"/>
      <c r="CN202" s="236"/>
      <c r="CO202" s="236"/>
      <c r="CP202" s="236"/>
      <c r="CQ202" s="236"/>
      <c r="CR202" s="236"/>
      <c r="CS202" s="236"/>
      <c r="CT202" s="236"/>
      <c r="CU202" s="236"/>
      <c r="CV202" s="236"/>
      <c r="CW202" s="236"/>
      <c r="CX202" s="236"/>
      <c r="CY202" s="236"/>
      <c r="CZ202" s="236"/>
      <c r="DA202" s="236"/>
      <c r="DB202" s="236"/>
      <c r="DC202" s="236"/>
      <c r="DD202" s="236"/>
      <c r="DE202" s="236"/>
      <c r="DF202" s="236"/>
    </row>
    <row r="203" spans="1:110" s="141" customFormat="1" x14ac:dyDescent="0.3">
      <c r="A203" s="228"/>
      <c r="B203" s="236"/>
      <c r="C203" s="236"/>
      <c r="D203" s="236"/>
      <c r="E203" s="232">
        <v>1</v>
      </c>
      <c r="F203" s="364"/>
      <c r="G203" s="286">
        <f t="shared" ref="G203:G223" si="39">Y203</f>
        <v>44882.75</v>
      </c>
      <c r="H203" s="255">
        <f t="shared" ref="H203:H223" si="40">AB203</f>
        <v>76466</v>
      </c>
      <c r="I203" s="256">
        <f t="shared" ref="I203:I222" si="41">AM203</f>
        <v>76466</v>
      </c>
      <c r="J203" s="256">
        <f t="shared" ref="J203:J223" si="42">AQ203</f>
        <v>76466</v>
      </c>
      <c r="K203" s="257">
        <v>43437</v>
      </c>
      <c r="L203" s="257"/>
      <c r="M203" s="257">
        <f t="shared" ref="M203:M223" si="43">BM203</f>
        <v>89735</v>
      </c>
      <c r="N203" s="257">
        <v>82966</v>
      </c>
      <c r="O203" s="364"/>
      <c r="P203" s="257"/>
      <c r="Q203" s="257">
        <f>AI203</f>
        <v>76466</v>
      </c>
      <c r="R203" s="257">
        <f>AK203</f>
        <v>76466</v>
      </c>
      <c r="S203" s="200"/>
      <c r="T203" s="89"/>
      <c r="U203" s="147">
        <v>1</v>
      </c>
      <c r="V203" s="126" t="s">
        <v>17</v>
      </c>
      <c r="W203" s="127">
        <f>W201+1</f>
        <v>44882</v>
      </c>
      <c r="X203" s="128">
        <v>0.75</v>
      </c>
      <c r="Y203" s="129">
        <f t="shared" si="30"/>
        <v>44882.75</v>
      </c>
      <c r="Z203" s="130">
        <f t="shared" si="31"/>
        <v>1</v>
      </c>
      <c r="AA203" s="130">
        <f>Z203-Z201</f>
        <v>1</v>
      </c>
      <c r="AB203" s="142">
        <v>76466</v>
      </c>
      <c r="AC203" s="143">
        <v>317</v>
      </c>
      <c r="AD203" s="144">
        <f>AC203-AC201</f>
        <v>317</v>
      </c>
      <c r="AE203" s="133">
        <f>AB203-AB201</f>
        <v>76466</v>
      </c>
      <c r="AF203" s="134">
        <f t="shared" si="32"/>
        <v>241.21766561514195</v>
      </c>
      <c r="AG203" s="135">
        <f>(AE203-AB201)/(AD203-AC201)</f>
        <v>241.21766561514195</v>
      </c>
      <c r="AH203" s="135">
        <f>SUM(AE202:AE203)/SUM(AD202:AD203)</f>
        <v>241.21766561514195</v>
      </c>
      <c r="AI203" s="131">
        <f t="shared" si="33"/>
        <v>76466</v>
      </c>
      <c r="AJ203" s="469">
        <f t="shared" si="34"/>
        <v>317</v>
      </c>
      <c r="AK203" s="131">
        <f t="shared" si="35"/>
        <v>76466</v>
      </c>
      <c r="AL203" s="469">
        <f t="shared" si="36"/>
        <v>317</v>
      </c>
      <c r="AM203" s="133">
        <f>AB203</f>
        <v>76466</v>
      </c>
      <c r="AN203" s="136">
        <f>AB203-AM203</f>
        <v>0</v>
      </c>
      <c r="AO203" s="146">
        <f>AD203</f>
        <v>317</v>
      </c>
      <c r="AP203" s="106">
        <f t="shared" ref="AP203:AP205" si="44">AC203-AO203</f>
        <v>0</v>
      </c>
      <c r="AQ203" s="133">
        <f>AM203</f>
        <v>76466</v>
      </c>
      <c r="AR203" s="136">
        <f t="shared" si="37"/>
        <v>0</v>
      </c>
      <c r="AS203" s="146">
        <f>AO203</f>
        <v>317</v>
      </c>
      <c r="AT203" s="106">
        <f t="shared" ref="AT203:AT223" si="45">AC203-AS203</f>
        <v>0</v>
      </c>
      <c r="AU203" s="133">
        <f t="shared" ref="AU203:AU223" si="46">AE203/AA203</f>
        <v>76466</v>
      </c>
      <c r="AV203" s="133">
        <f t="shared" si="38"/>
        <v>76466</v>
      </c>
      <c r="AW203" s="142">
        <f t="shared" ref="AW203:AW223" si="47">AB203</f>
        <v>76466</v>
      </c>
      <c r="AX203" s="143">
        <f t="shared" ref="AX203:AX223" si="48">AC203</f>
        <v>317</v>
      </c>
      <c r="AY203" s="301">
        <f t="shared" ref="AY203:AY223" si="49">AD203</f>
        <v>317</v>
      </c>
      <c r="AZ203" s="301">
        <f t="shared" ref="AZ203:AZ223" si="50">AE203</f>
        <v>76466</v>
      </c>
      <c r="BA203" s="137">
        <f>AZ203/$AW$223</f>
        <v>0.32882944869699837</v>
      </c>
      <c r="BB203" s="137">
        <f>AW203/$AW$223</f>
        <v>0.32882944869699837</v>
      </c>
      <c r="BC203" s="138">
        <f>AY203/$AX$223</f>
        <v>0.32446264073694986</v>
      </c>
      <c r="BD203" s="138">
        <f>BC203</f>
        <v>0.32446264073694986</v>
      </c>
      <c r="BE203" s="142">
        <v>82966</v>
      </c>
      <c r="BF203" s="143">
        <v>341</v>
      </c>
      <c r="BG203" s="301">
        <f>BF203-BF201</f>
        <v>341</v>
      </c>
      <c r="BH203" s="301">
        <f>BE203-BE201</f>
        <v>82966</v>
      </c>
      <c r="BI203" s="137">
        <f>BH203/$BE$223</f>
        <v>0.21315089046234162</v>
      </c>
      <c r="BJ203" s="137">
        <f>BE203/$BE$223</f>
        <v>0.21315089046234162</v>
      </c>
      <c r="BK203" s="138">
        <f>BG203/$BF$223</f>
        <v>0.20591787439613526</v>
      </c>
      <c r="BL203" s="138">
        <f>BK203</f>
        <v>0.20591787439613526</v>
      </c>
      <c r="BM203" s="142">
        <v>89735</v>
      </c>
      <c r="BN203" s="143">
        <v>625</v>
      </c>
      <c r="BO203" s="301">
        <f>BN203-BN201</f>
        <v>625</v>
      </c>
      <c r="BP203" s="301">
        <f>BM203-BM201</f>
        <v>89735</v>
      </c>
      <c r="BQ203" s="137">
        <f>BP203/$BM$223</f>
        <v>0.37516514206398316</v>
      </c>
      <c r="BR203" s="137">
        <f>BM203/$BM$223</f>
        <v>0.37516514206398316</v>
      </c>
      <c r="BS203" s="138">
        <f>BO203/$BN$223</f>
        <v>0.37560096153846156</v>
      </c>
      <c r="BT203" s="138">
        <f>BS203</f>
        <v>0.37560096153846156</v>
      </c>
      <c r="BU203" s="137">
        <v>0.217908689903446</v>
      </c>
      <c r="BV203" s="137">
        <v>0.21790868990344553</v>
      </c>
      <c r="BW203" s="138">
        <v>0.23279352226720648</v>
      </c>
      <c r="BX203" s="138">
        <v>0.23279352226720648</v>
      </c>
      <c r="BY203" s="137">
        <v>4.9561783997210986E-2</v>
      </c>
      <c r="BZ203" s="137">
        <v>0.29513300524561986</v>
      </c>
      <c r="CA203" s="138">
        <v>5.657492354740061E-2</v>
      </c>
      <c r="CB203" s="138">
        <v>0.29816513761467889</v>
      </c>
      <c r="CC203" s="137">
        <v>5.1641540743868043E-2</v>
      </c>
      <c r="CD203" s="137">
        <f t="shared" ref="CD203:CD223" si="51">CD202+CC203</f>
        <v>0.25470121554347636</v>
      </c>
      <c r="CE203" s="138">
        <v>5.2910052910052907E-2</v>
      </c>
      <c r="CF203" s="138">
        <f>SUM(CE$201:CE203)</f>
        <v>0.23677248677248677</v>
      </c>
      <c r="CG203" s="139">
        <f>Vergleich!C4</f>
        <v>14771</v>
      </c>
      <c r="CH203" s="137">
        <v>3.0331221429144267E-2</v>
      </c>
      <c r="CI203" s="137">
        <f t="shared" ref="CI203:CI223" si="52">CI202+CH203</f>
        <v>0.23692357045472773</v>
      </c>
      <c r="CJ203" s="138">
        <v>3.7463976945244948E-2</v>
      </c>
      <c r="CK203" s="138">
        <f>SUM(CJ$201:CJ203)</f>
        <v>0.21037463976945245</v>
      </c>
      <c r="CL203" s="139"/>
      <c r="CM203" s="137"/>
      <c r="CN203" s="236"/>
      <c r="CO203" s="236"/>
      <c r="CP203" s="236"/>
      <c r="CQ203" s="236"/>
      <c r="CR203" s="236"/>
      <c r="CS203" s="236"/>
      <c r="CT203" s="236"/>
      <c r="CU203" s="236"/>
      <c r="CV203" s="236"/>
      <c r="CW203" s="236"/>
      <c r="CX203" s="236"/>
      <c r="CY203" s="236"/>
      <c r="CZ203" s="236"/>
      <c r="DA203" s="236"/>
      <c r="DB203" s="236"/>
      <c r="DC203" s="236"/>
      <c r="DD203" s="236"/>
      <c r="DE203" s="236"/>
      <c r="DF203" s="236"/>
    </row>
    <row r="204" spans="1:110" s="141" customFormat="1" x14ac:dyDescent="0.3">
      <c r="A204" s="228"/>
      <c r="B204" s="236"/>
      <c r="C204" s="236"/>
      <c r="D204" s="236"/>
      <c r="E204" s="232">
        <v>2</v>
      </c>
      <c r="F204" s="364"/>
      <c r="G204" s="286">
        <f t="shared" si="39"/>
        <v>44883.75</v>
      </c>
      <c r="H204" s="255">
        <f t="shared" si="40"/>
        <v>100197</v>
      </c>
      <c r="I204" s="256">
        <f t="shared" si="41"/>
        <v>100197</v>
      </c>
      <c r="J204" s="256">
        <f t="shared" si="42"/>
        <v>100197</v>
      </c>
      <c r="K204" s="257">
        <v>49522</v>
      </c>
      <c r="L204" s="257">
        <v>65000</v>
      </c>
      <c r="M204" s="257">
        <f t="shared" si="43"/>
        <v>114003</v>
      </c>
      <c r="N204" s="257">
        <v>96328</v>
      </c>
      <c r="O204" s="364"/>
      <c r="P204" s="257"/>
      <c r="Q204" s="257">
        <f t="shared" ref="Q204:Q223" si="53">AI204</f>
        <v>100197</v>
      </c>
      <c r="R204" s="257">
        <f t="shared" ref="R204:R223" si="54">AK204</f>
        <v>100197</v>
      </c>
      <c r="S204" s="200"/>
      <c r="T204" s="89"/>
      <c r="U204" s="147">
        <v>2</v>
      </c>
      <c r="V204" s="126">
        <f t="shared" ref="V204:V223" si="55">WEEKDAY(W204)</f>
        <v>6</v>
      </c>
      <c r="W204" s="127">
        <f t="shared" ref="W204:W223" si="56">W203+1</f>
        <v>44883</v>
      </c>
      <c r="X204" s="128">
        <v>0.75</v>
      </c>
      <c r="Y204" s="129">
        <f t="shared" si="30"/>
        <v>44883.75</v>
      </c>
      <c r="Z204" s="130">
        <f t="shared" si="31"/>
        <v>2</v>
      </c>
      <c r="AA204" s="130">
        <f t="shared" ref="AA204:AA223" si="57">Z204-Z203</f>
        <v>1</v>
      </c>
      <c r="AB204" s="142">
        <v>100197</v>
      </c>
      <c r="AC204" s="143">
        <v>417</v>
      </c>
      <c r="AD204" s="144">
        <f>AC204-AC203</f>
        <v>100</v>
      </c>
      <c r="AE204" s="133">
        <f t="shared" ref="AE204:AE223" si="58">AB204-AB203</f>
        <v>23731</v>
      </c>
      <c r="AF204" s="134">
        <f t="shared" si="32"/>
        <v>240.28057553956833</v>
      </c>
      <c r="AG204" s="135">
        <f t="shared" ref="AG204:AG225" si="59">AE204/AD204</f>
        <v>237.31</v>
      </c>
      <c r="AH204" s="135">
        <f>SUM(AE202:AE204)/SUM(AD202:AD204)</f>
        <v>240.28057553956833</v>
      </c>
      <c r="AI204" s="131">
        <f t="shared" si="33"/>
        <v>100197</v>
      </c>
      <c r="AJ204" s="469">
        <f t="shared" si="34"/>
        <v>417</v>
      </c>
      <c r="AK204" s="131">
        <f t="shared" si="35"/>
        <v>100197</v>
      </c>
      <c r="AL204" s="469">
        <f t="shared" si="36"/>
        <v>417</v>
      </c>
      <c r="AM204" s="133">
        <f t="shared" ref="AM204:AM205" si="60">AB204</f>
        <v>100197</v>
      </c>
      <c r="AN204" s="136">
        <f t="shared" ref="AN204" si="61">AB204-AM204</f>
        <v>0</v>
      </c>
      <c r="AO204" s="146">
        <f>AO203+AD204</f>
        <v>417</v>
      </c>
      <c r="AP204" s="106">
        <f t="shared" si="44"/>
        <v>0</v>
      </c>
      <c r="AQ204" s="133">
        <f t="shared" ref="AQ204:AQ205" si="62">AM204</f>
        <v>100197</v>
      </c>
      <c r="AR204" s="136">
        <f t="shared" ref="AR204:AR205" si="63">AB204-AQ204</f>
        <v>0</v>
      </c>
      <c r="AS204" s="146">
        <f t="shared" ref="AS204:AS205" si="64">AO204</f>
        <v>417</v>
      </c>
      <c r="AT204" s="106">
        <f t="shared" si="45"/>
        <v>0</v>
      </c>
      <c r="AU204" s="133">
        <f t="shared" si="46"/>
        <v>23731</v>
      </c>
      <c r="AV204" s="133">
        <f t="shared" si="38"/>
        <v>50098.5</v>
      </c>
      <c r="AW204" s="142">
        <f t="shared" si="47"/>
        <v>100197</v>
      </c>
      <c r="AX204" s="143">
        <f t="shared" si="48"/>
        <v>417</v>
      </c>
      <c r="AY204" s="301">
        <f t="shared" si="49"/>
        <v>100</v>
      </c>
      <c r="AZ204" s="301">
        <f t="shared" si="50"/>
        <v>23731</v>
      </c>
      <c r="BA204" s="137">
        <f t="shared" ref="BA204:BA223" si="65">AZ204/$AW$223</f>
        <v>0.10205125999827987</v>
      </c>
      <c r="BB204" s="137">
        <f t="shared" ref="BB204:BB223" si="66">AW204/$AW$223</f>
        <v>0.43088070869527823</v>
      </c>
      <c r="BC204" s="138">
        <f t="shared" ref="BC204:BC223" si="67">AY204/$AX$223</f>
        <v>0.10235414534288639</v>
      </c>
      <c r="BD204" s="138">
        <f>BD203+BC204</f>
        <v>0.42681678607983625</v>
      </c>
      <c r="BE204" s="142">
        <v>96328</v>
      </c>
      <c r="BF204" s="143">
        <v>404</v>
      </c>
      <c r="BG204" s="301">
        <f>BF204-BF203</f>
        <v>63</v>
      </c>
      <c r="BH204" s="301">
        <f>BE204-BE203</f>
        <v>13362</v>
      </c>
      <c r="BI204" s="137">
        <f t="shared" ref="BI204:BI223" si="68">BH204/$BE$223</f>
        <v>3.4328787676371146E-2</v>
      </c>
      <c r="BJ204" s="137">
        <f t="shared" ref="BJ204:BJ223" si="69">BE204/$BE$223</f>
        <v>0.24747967813871277</v>
      </c>
      <c r="BK204" s="138">
        <f t="shared" ref="BK204:BK223" si="70">BG204/$BF$223</f>
        <v>3.8043478260869568E-2</v>
      </c>
      <c r="BL204" s="138">
        <f>BL203+BK204</f>
        <v>0.24396135265700483</v>
      </c>
      <c r="BM204" s="142">
        <v>114003</v>
      </c>
      <c r="BN204" s="143">
        <v>789</v>
      </c>
      <c r="BO204" s="301">
        <f>BN204-BN203</f>
        <v>164</v>
      </c>
      <c r="BP204" s="301">
        <f>BM204-BM203</f>
        <v>24268</v>
      </c>
      <c r="BQ204" s="137">
        <f t="shared" ref="BQ204:BQ223" si="71">BP204/$BM$223</f>
        <v>0.10145993946184591</v>
      </c>
      <c r="BR204" s="137">
        <f t="shared" ref="BR204:BR223" si="72">BM204/$BM$223</f>
        <v>0.47662508152582905</v>
      </c>
      <c r="BS204" s="138">
        <f t="shared" ref="BS204:BS223" si="73">BO204/$BN$223</f>
        <v>9.8557692307692304E-2</v>
      </c>
      <c r="BT204" s="138">
        <f>BT203+BS204</f>
        <v>0.47415865384615385</v>
      </c>
      <c r="BU204" s="137">
        <v>5.4666059266008156E-2</v>
      </c>
      <c r="BV204" s="137">
        <v>0.27257474916945368</v>
      </c>
      <c r="BW204" s="138">
        <v>6.0728744939271252E-2</v>
      </c>
      <c r="BX204" s="138">
        <v>0.29352226720647773</v>
      </c>
      <c r="BY204" s="137">
        <v>5.0729278990765438E-2</v>
      </c>
      <c r="BZ204" s="137">
        <v>0.34586228423638532</v>
      </c>
      <c r="CA204" s="138">
        <v>5.8103975535168197E-2</v>
      </c>
      <c r="CB204" s="138">
        <v>0.35626911314984711</v>
      </c>
      <c r="CC204" s="137">
        <v>3.5680569481825485E-2</v>
      </c>
      <c r="CD204" s="137">
        <f t="shared" si="51"/>
        <v>0.29038178502530182</v>
      </c>
      <c r="CE204" s="138">
        <v>3.5714285714285712E-2</v>
      </c>
      <c r="CF204" s="138">
        <f>SUM(CE$201:CE204)</f>
        <v>0.2724867724867725</v>
      </c>
      <c r="CG204" s="139">
        <f>Vergleich!C5</f>
        <v>16764</v>
      </c>
      <c r="CH204" s="137">
        <v>3.1967278851551872E-2</v>
      </c>
      <c r="CI204" s="137">
        <f t="shared" si="52"/>
        <v>0.2688908493062796</v>
      </c>
      <c r="CJ204" s="138">
        <v>2.5936599423631135E-2</v>
      </c>
      <c r="CK204" s="138">
        <f>SUM(CJ$201:CJ204)</f>
        <v>0.23631123919308358</v>
      </c>
      <c r="CL204" s="139">
        <v>65000</v>
      </c>
      <c r="CM204" s="137">
        <f>L204/$CL$225</f>
        <v>0.22773696030719964</v>
      </c>
      <c r="CN204" s="236"/>
      <c r="CO204" s="236"/>
      <c r="CP204" s="236"/>
      <c r="CQ204" s="236"/>
      <c r="CR204" s="236"/>
      <c r="CS204" s="236"/>
      <c r="CT204" s="236"/>
      <c r="CU204" s="236"/>
      <c r="CV204" s="236"/>
      <c r="CW204" s="236"/>
      <c r="CX204" s="236"/>
      <c r="CY204" s="236"/>
      <c r="CZ204" s="236"/>
      <c r="DA204" s="236"/>
      <c r="DB204" s="236"/>
      <c r="DC204" s="236"/>
      <c r="DD204" s="236"/>
      <c r="DE204" s="236"/>
      <c r="DF204" s="236"/>
    </row>
    <row r="205" spans="1:110" s="141" customFormat="1" x14ac:dyDescent="0.3">
      <c r="A205" s="228"/>
      <c r="B205" s="236"/>
      <c r="C205" s="236"/>
      <c r="D205" s="236"/>
      <c r="E205" s="232">
        <v>3</v>
      </c>
      <c r="F205" s="364"/>
      <c r="G205" s="286">
        <f t="shared" si="39"/>
        <v>44884.75</v>
      </c>
      <c r="H205" s="255">
        <f t="shared" si="40"/>
        <v>110488</v>
      </c>
      <c r="I205" s="256">
        <f t="shared" si="41"/>
        <v>110488</v>
      </c>
      <c r="J205" s="256">
        <f t="shared" si="42"/>
        <v>110488</v>
      </c>
      <c r="K205" s="257">
        <v>53901</v>
      </c>
      <c r="L205" s="257"/>
      <c r="M205" s="257">
        <f t="shared" si="43"/>
        <v>122519</v>
      </c>
      <c r="N205" s="257">
        <v>115147</v>
      </c>
      <c r="O205" s="364"/>
      <c r="P205" s="257"/>
      <c r="Q205" s="257">
        <f t="shared" si="53"/>
        <v>110488</v>
      </c>
      <c r="R205" s="257">
        <f t="shared" si="54"/>
        <v>110488</v>
      </c>
      <c r="S205" s="200"/>
      <c r="T205" s="89"/>
      <c r="U205" s="147">
        <v>3</v>
      </c>
      <c r="V205" s="126">
        <f t="shared" si="55"/>
        <v>7</v>
      </c>
      <c r="W205" s="127">
        <f t="shared" si="56"/>
        <v>44884</v>
      </c>
      <c r="X205" s="128">
        <v>0.75</v>
      </c>
      <c r="Y205" s="129">
        <f t="shared" si="30"/>
        <v>44884.75</v>
      </c>
      <c r="Z205" s="130">
        <f t="shared" si="31"/>
        <v>3</v>
      </c>
      <c r="AA205" s="130">
        <f t="shared" si="57"/>
        <v>1</v>
      </c>
      <c r="AB205" s="142">
        <v>110488</v>
      </c>
      <c r="AC205" s="143">
        <v>458</v>
      </c>
      <c r="AD205" s="144">
        <f t="shared" ref="AD205:AD223" si="74">AC205-AC204</f>
        <v>41</v>
      </c>
      <c r="AE205" s="133">
        <f t="shared" si="58"/>
        <v>10291</v>
      </c>
      <c r="AF205" s="134">
        <f t="shared" si="32"/>
        <v>241.24017467248908</v>
      </c>
      <c r="AG205" s="135">
        <f t="shared" si="59"/>
        <v>251</v>
      </c>
      <c r="AH205" s="135">
        <f>SUM(AE202:AE205)/SUM(AD202:AD205)</f>
        <v>241.24017467248908</v>
      </c>
      <c r="AI205" s="131">
        <f t="shared" si="33"/>
        <v>110488</v>
      </c>
      <c r="AJ205" s="469">
        <f t="shared" si="34"/>
        <v>458</v>
      </c>
      <c r="AK205" s="131">
        <f t="shared" si="35"/>
        <v>110488</v>
      </c>
      <c r="AL205" s="469">
        <f t="shared" si="36"/>
        <v>458</v>
      </c>
      <c r="AM205" s="133">
        <f t="shared" si="60"/>
        <v>110488</v>
      </c>
      <c r="AN205" s="136">
        <f>AB205-AM205</f>
        <v>0</v>
      </c>
      <c r="AO205" s="146">
        <f t="shared" ref="AO205" si="75">AO204+AD205</f>
        <v>458</v>
      </c>
      <c r="AP205" s="106">
        <f t="shared" si="44"/>
        <v>0</v>
      </c>
      <c r="AQ205" s="133">
        <f t="shared" si="62"/>
        <v>110488</v>
      </c>
      <c r="AR205" s="136">
        <f t="shared" si="63"/>
        <v>0</v>
      </c>
      <c r="AS205" s="146">
        <f t="shared" si="64"/>
        <v>458</v>
      </c>
      <c r="AT205" s="106">
        <f t="shared" ref="AT205" si="76">AC205-AS205</f>
        <v>0</v>
      </c>
      <c r="AU205" s="133">
        <f t="shared" si="46"/>
        <v>10291</v>
      </c>
      <c r="AV205" s="133">
        <f t="shared" si="38"/>
        <v>36829.333333333336</v>
      </c>
      <c r="AW205" s="142">
        <f t="shared" si="47"/>
        <v>110488</v>
      </c>
      <c r="AX205" s="143">
        <f t="shared" si="48"/>
        <v>458</v>
      </c>
      <c r="AY205" s="301">
        <f t="shared" si="49"/>
        <v>41</v>
      </c>
      <c r="AZ205" s="301">
        <f t="shared" si="50"/>
        <v>10291</v>
      </c>
      <c r="BA205" s="137">
        <f t="shared" si="65"/>
        <v>4.4254751870645911E-2</v>
      </c>
      <c r="BB205" s="137">
        <f t="shared" si="66"/>
        <v>0.47513546056592415</v>
      </c>
      <c r="BC205" s="138">
        <f t="shared" si="67"/>
        <v>4.1965199590583417E-2</v>
      </c>
      <c r="BD205" s="138">
        <f t="shared" ref="BD205:BD223" si="77">BD204+BC205</f>
        <v>0.46878198567041968</v>
      </c>
      <c r="BE205" s="142">
        <v>115147</v>
      </c>
      <c r="BF205" s="143">
        <v>480</v>
      </c>
      <c r="BG205" s="301">
        <f t="shared" ref="BG205:BG223" si="78">BF205-BF204</f>
        <v>76</v>
      </c>
      <c r="BH205" s="301">
        <f t="shared" ref="BH205:BH223" si="79">BE205-BE204</f>
        <v>18819</v>
      </c>
      <c r="BI205" s="137">
        <f t="shared" si="68"/>
        <v>4.8348559742675393E-2</v>
      </c>
      <c r="BJ205" s="137">
        <f t="shared" si="69"/>
        <v>0.29582823788138818</v>
      </c>
      <c r="BK205" s="138">
        <f t="shared" si="70"/>
        <v>4.5893719806763288E-2</v>
      </c>
      <c r="BL205" s="138">
        <f t="shared" ref="BL205:BL223" si="80">BL204+BK205</f>
        <v>0.28985507246376813</v>
      </c>
      <c r="BM205" s="142">
        <v>122519</v>
      </c>
      <c r="BN205" s="143">
        <v>852</v>
      </c>
      <c r="BO205" s="301">
        <f t="shared" ref="BO205:BO223" si="81">BN205-BN204</f>
        <v>63</v>
      </c>
      <c r="BP205" s="301">
        <f t="shared" ref="BP205:BP223" si="82">BM205-BM204</f>
        <v>8516</v>
      </c>
      <c r="BQ205" s="137">
        <f t="shared" si="71"/>
        <v>3.5603792832416339E-2</v>
      </c>
      <c r="BR205" s="137">
        <f t="shared" si="72"/>
        <v>0.51222887435824538</v>
      </c>
      <c r="BS205" s="138">
        <f t="shared" si="73"/>
        <v>3.786057692307692E-2</v>
      </c>
      <c r="BT205" s="138">
        <f t="shared" ref="BT205:BT223" si="83">BT204+BS205</f>
        <v>0.51201923076923073</v>
      </c>
      <c r="BU205" s="137">
        <v>3.4877390251219428E-2</v>
      </c>
      <c r="BV205" s="137">
        <v>0.30745213942067312</v>
      </c>
      <c r="BW205" s="138">
        <v>3.4412955465587043E-2</v>
      </c>
      <c r="BX205" s="138">
        <v>0.32793522267206476</v>
      </c>
      <c r="BY205" s="137">
        <v>2.1193277174662115E-2</v>
      </c>
      <c r="BZ205" s="137">
        <v>0.36705556141104745</v>
      </c>
      <c r="CA205" s="138">
        <v>2.2935779816513763E-2</v>
      </c>
      <c r="CB205" s="138">
        <v>0.37920489296636084</v>
      </c>
      <c r="CC205" s="137">
        <v>2.5677109903190436E-2</v>
      </c>
      <c r="CD205" s="137">
        <f t="shared" si="51"/>
        <v>0.31605889492849226</v>
      </c>
      <c r="CE205" s="138">
        <v>2.3809523809523808E-2</v>
      </c>
      <c r="CF205" s="138">
        <f>SUM(CE$201:CE205)</f>
        <v>0.29629629629629628</v>
      </c>
      <c r="CG205" s="139">
        <f>Vergleich!C6</f>
        <v>17674</v>
      </c>
      <c r="CH205" s="137">
        <v>3.3956211404282621E-2</v>
      </c>
      <c r="CI205" s="137">
        <f t="shared" si="52"/>
        <v>0.30284706071056222</v>
      </c>
      <c r="CJ205" s="138">
        <v>3.746397694524492E-2</v>
      </c>
      <c r="CK205" s="138">
        <f>SUM(CJ$201:CJ205)</f>
        <v>0.2737752161383285</v>
      </c>
      <c r="CL205" s="139"/>
      <c r="CM205" s="137"/>
      <c r="CN205" s="236"/>
      <c r="CO205" s="236"/>
      <c r="CP205" s="236"/>
      <c r="CQ205" s="236"/>
      <c r="CR205" s="236"/>
      <c r="CS205" s="236"/>
      <c r="CT205" s="236"/>
      <c r="CU205" s="236"/>
      <c r="CV205" s="236"/>
      <c r="CW205" s="236"/>
      <c r="CX205" s="236"/>
      <c r="CY205" s="236"/>
      <c r="CZ205" s="236"/>
      <c r="DA205" s="236"/>
      <c r="DB205" s="236"/>
      <c r="DC205" s="236"/>
      <c r="DD205" s="236"/>
      <c r="DE205" s="236"/>
      <c r="DF205" s="236"/>
    </row>
    <row r="206" spans="1:110" s="141" customFormat="1" x14ac:dyDescent="0.3">
      <c r="A206" s="228"/>
      <c r="B206" s="236"/>
      <c r="C206" s="236"/>
      <c r="D206" s="236"/>
      <c r="E206" s="232">
        <v>4</v>
      </c>
      <c r="F206" s="364"/>
      <c r="G206" s="286">
        <f t="shared" si="39"/>
        <v>44885.75</v>
      </c>
      <c r="H206" s="255">
        <f t="shared" si="40"/>
        <v>117325</v>
      </c>
      <c r="I206" s="256">
        <f t="shared" si="41"/>
        <v>115338.6173758169</v>
      </c>
      <c r="J206" s="256">
        <f t="shared" si="42"/>
        <v>123318.57599713086</v>
      </c>
      <c r="K206" s="257">
        <v>59963</v>
      </c>
      <c r="L206" s="257"/>
      <c r="M206" s="257">
        <f t="shared" si="43"/>
        <v>127604</v>
      </c>
      <c r="N206" s="257">
        <v>123834</v>
      </c>
      <c r="O206" s="364"/>
      <c r="P206" s="257"/>
      <c r="Q206" s="257">
        <f t="shared" si="53"/>
        <v>117325</v>
      </c>
      <c r="R206" s="257">
        <f t="shared" si="54"/>
        <v>117325</v>
      </c>
      <c r="S206" s="443"/>
      <c r="T206" s="89"/>
      <c r="U206" s="147">
        <v>4</v>
      </c>
      <c r="V206" s="444">
        <f t="shared" si="55"/>
        <v>1</v>
      </c>
      <c r="W206" s="127">
        <f t="shared" si="56"/>
        <v>44885</v>
      </c>
      <c r="X206" s="128">
        <v>0.75</v>
      </c>
      <c r="Y206" s="129">
        <f t="shared" si="30"/>
        <v>44885.75</v>
      </c>
      <c r="Z206" s="130">
        <f t="shared" si="31"/>
        <v>4</v>
      </c>
      <c r="AA206" s="130">
        <f t="shared" si="57"/>
        <v>1</v>
      </c>
      <c r="AB206" s="142">
        <v>117325</v>
      </c>
      <c r="AC206" s="143">
        <v>486</v>
      </c>
      <c r="AD206" s="144">
        <f t="shared" si="74"/>
        <v>28</v>
      </c>
      <c r="AE206" s="133">
        <f t="shared" si="58"/>
        <v>6837</v>
      </c>
      <c r="AF206" s="134">
        <f t="shared" si="32"/>
        <v>241.40946502057614</v>
      </c>
      <c r="AG206" s="135">
        <f t="shared" si="59"/>
        <v>244.17857142857142</v>
      </c>
      <c r="AH206" s="135">
        <f t="shared" ref="AH206" si="84">SUM(AE203:AE206)/SUM(AD203:AD206)</f>
        <v>241.40946502057614</v>
      </c>
      <c r="AI206" s="131">
        <f t="shared" si="33"/>
        <v>117325</v>
      </c>
      <c r="AJ206" s="469">
        <f t="shared" si="34"/>
        <v>486</v>
      </c>
      <c r="AK206" s="131">
        <f t="shared" si="35"/>
        <v>117325</v>
      </c>
      <c r="AL206" s="469">
        <f t="shared" si="36"/>
        <v>486</v>
      </c>
      <c r="AM206" s="133">
        <f t="shared" ref="AM206:AM223" si="85">AM205+(AM$232-$AM$205)*CC229</f>
        <v>115338.6173758169</v>
      </c>
      <c r="AN206" s="133">
        <f t="shared" ref="AN206:AN208" si="86">AB206-AM206</f>
        <v>1986.3826241830975</v>
      </c>
      <c r="AO206" s="146">
        <f t="shared" ref="AO206:AO223" si="87">ROUND(AO205+(AO$232-$AO$205)*CE229,)</f>
        <v>475</v>
      </c>
      <c r="AP206" s="94">
        <f t="shared" ref="AP206:AP223" si="88">AC206-AO206</f>
        <v>11</v>
      </c>
      <c r="AQ206" s="133">
        <f t="shared" ref="AQ206:AQ223" si="89">AQ205+(AQ$232-$AQ$205)*BQ229</f>
        <v>123318.57599713086</v>
      </c>
      <c r="AR206" s="133">
        <f t="shared" ref="AR206:AR208" si="90">AB206-AQ206</f>
        <v>-5993.575997130858</v>
      </c>
      <c r="AS206" s="146">
        <f t="shared" ref="AS206:AS223" si="91">ROUND(AS205+(AS$232-$AS$205)*BS229,)</f>
        <v>521</v>
      </c>
      <c r="AT206" s="94">
        <f t="shared" si="45"/>
        <v>-35</v>
      </c>
      <c r="AU206" s="133">
        <f t="shared" si="46"/>
        <v>6837</v>
      </c>
      <c r="AV206" s="133">
        <f t="shared" si="38"/>
        <v>29331.25</v>
      </c>
      <c r="AW206" s="131">
        <f t="shared" si="47"/>
        <v>117325</v>
      </c>
      <c r="AX206" s="68">
        <f t="shared" si="48"/>
        <v>486</v>
      </c>
      <c r="AY206" s="301">
        <f t="shared" si="49"/>
        <v>28</v>
      </c>
      <c r="AZ206" s="301">
        <f t="shared" si="50"/>
        <v>6837</v>
      </c>
      <c r="BA206" s="137">
        <f t="shared" si="65"/>
        <v>2.9401393308678078E-2</v>
      </c>
      <c r="BB206" s="137">
        <f t="shared" si="66"/>
        <v>0.50453685387460223</v>
      </c>
      <c r="BC206" s="138">
        <f t="shared" si="67"/>
        <v>2.8659160696008188E-2</v>
      </c>
      <c r="BD206" s="138">
        <f t="shared" si="77"/>
        <v>0.49744114636642789</v>
      </c>
      <c r="BE206" s="131">
        <v>123834</v>
      </c>
      <c r="BF206" s="68">
        <v>520</v>
      </c>
      <c r="BG206" s="301">
        <f t="shared" si="78"/>
        <v>40</v>
      </c>
      <c r="BH206" s="301">
        <f t="shared" si="79"/>
        <v>8687</v>
      </c>
      <c r="BI206" s="137">
        <f t="shared" si="68"/>
        <v>2.231807951987997E-2</v>
      </c>
      <c r="BJ206" s="137">
        <f t="shared" si="69"/>
        <v>0.31814631740126814</v>
      </c>
      <c r="BK206" s="138">
        <f t="shared" si="70"/>
        <v>2.4154589371980676E-2</v>
      </c>
      <c r="BL206" s="138">
        <f t="shared" si="80"/>
        <v>0.3140096618357488</v>
      </c>
      <c r="BM206" s="131">
        <v>127604</v>
      </c>
      <c r="BN206" s="68">
        <v>891</v>
      </c>
      <c r="BO206" s="301">
        <f t="shared" si="81"/>
        <v>39</v>
      </c>
      <c r="BP206" s="301">
        <f t="shared" si="82"/>
        <v>5085</v>
      </c>
      <c r="BQ206" s="137">
        <f t="shared" si="71"/>
        <v>2.125942773048815E-2</v>
      </c>
      <c r="BR206" s="137">
        <f t="shared" si="72"/>
        <v>0.53348830208873355</v>
      </c>
      <c r="BS206" s="138">
        <f t="shared" si="73"/>
        <v>2.34375E-2</v>
      </c>
      <c r="BT206" s="138">
        <f t="shared" si="83"/>
        <v>0.53545673076923073</v>
      </c>
      <c r="BU206" s="137">
        <v>2.9477450250552772E-2</v>
      </c>
      <c r="BV206" s="137">
        <v>0.33692958967122588</v>
      </c>
      <c r="BW206" s="138">
        <v>3.2388663967611336E-2</v>
      </c>
      <c r="BX206" s="138">
        <v>0.36032388663967607</v>
      </c>
      <c r="BY206" s="137">
        <v>2.176080946319553E-2</v>
      </c>
      <c r="BZ206" s="137">
        <v>0.38881637087424298</v>
      </c>
      <c r="CA206" s="138">
        <v>2.4464831804281346E-2</v>
      </c>
      <c r="CB206" s="138">
        <v>0.40366972477064217</v>
      </c>
      <c r="CC206" s="137">
        <v>3.5545704551984567E-2</v>
      </c>
      <c r="CD206" s="137">
        <f t="shared" si="51"/>
        <v>0.35160459948047684</v>
      </c>
      <c r="CE206" s="138">
        <v>3.0423280423280422E-2</v>
      </c>
      <c r="CF206" s="138">
        <f>SUM(CE$201:CE206)</f>
        <v>0.32671957671957669</v>
      </c>
      <c r="CG206" s="139">
        <f>Vergleich!C7</f>
        <v>18881</v>
      </c>
      <c r="CH206" s="137">
        <v>2.7524260165209702E-2</v>
      </c>
      <c r="CI206" s="137">
        <f t="shared" si="52"/>
        <v>0.33037132087577192</v>
      </c>
      <c r="CJ206" s="138">
        <v>2.8818443804034588E-2</v>
      </c>
      <c r="CK206" s="138">
        <f>SUM(CJ$201:CJ206)</f>
        <v>0.30259365994236309</v>
      </c>
      <c r="CL206" s="139"/>
      <c r="CM206" s="93"/>
      <c r="CN206" s="236"/>
      <c r="CO206" s="236"/>
      <c r="CP206" s="236"/>
      <c r="CQ206" s="236"/>
      <c r="CR206" s="236"/>
      <c r="CS206" s="236"/>
      <c r="CT206" s="236"/>
      <c r="CU206" s="236"/>
      <c r="CV206" s="236"/>
      <c r="CW206" s="236"/>
      <c r="CX206" s="236"/>
      <c r="CY206" s="236"/>
      <c r="CZ206" s="236"/>
      <c r="DA206" s="236"/>
      <c r="DB206" s="236"/>
      <c r="DC206" s="236"/>
      <c r="DD206" s="236"/>
      <c r="DE206" s="236"/>
      <c r="DF206" s="236"/>
    </row>
    <row r="207" spans="1:110" s="141" customFormat="1" x14ac:dyDescent="0.3">
      <c r="A207" s="228"/>
      <c r="B207" s="236"/>
      <c r="C207" s="236"/>
      <c r="D207" s="236"/>
      <c r="E207" s="232">
        <v>5</v>
      </c>
      <c r="F207" s="364"/>
      <c r="G207" s="286">
        <f t="shared" si="39"/>
        <v>44886.75</v>
      </c>
      <c r="H207" s="255">
        <f t="shared" si="40"/>
        <v>120368</v>
      </c>
      <c r="I207" s="256">
        <f t="shared" si="41"/>
        <v>117860.74637096288</v>
      </c>
      <c r="J207" s="256">
        <f t="shared" si="42"/>
        <v>132578.79505504045</v>
      </c>
      <c r="K207" s="257">
        <v>63115</v>
      </c>
      <c r="L207" s="257"/>
      <c r="M207" s="257">
        <f t="shared" si="43"/>
        <v>131274</v>
      </c>
      <c r="N207" s="257">
        <v>132002</v>
      </c>
      <c r="O207" s="364"/>
      <c r="P207" s="257"/>
      <c r="Q207" s="257">
        <f t="shared" si="53"/>
        <v>120368</v>
      </c>
      <c r="R207" s="257">
        <f t="shared" si="54"/>
        <v>120368</v>
      </c>
      <c r="S207" s="443"/>
      <c r="T207" s="89"/>
      <c r="U207" s="147">
        <v>5</v>
      </c>
      <c r="V207" s="444">
        <f t="shared" si="55"/>
        <v>2</v>
      </c>
      <c r="W207" s="127">
        <f t="shared" si="56"/>
        <v>44886</v>
      </c>
      <c r="X207" s="128">
        <v>0.75</v>
      </c>
      <c r="Y207" s="129">
        <f t="shared" si="30"/>
        <v>44886.75</v>
      </c>
      <c r="Z207" s="130">
        <f t="shared" si="31"/>
        <v>5</v>
      </c>
      <c r="AA207" s="130">
        <f t="shared" si="57"/>
        <v>1</v>
      </c>
      <c r="AB207" s="142">
        <v>120368</v>
      </c>
      <c r="AC207" s="143">
        <v>497</v>
      </c>
      <c r="AD207" s="144">
        <f t="shared" si="74"/>
        <v>11</v>
      </c>
      <c r="AE207" s="133">
        <f t="shared" si="58"/>
        <v>3043</v>
      </c>
      <c r="AF207" s="134">
        <f t="shared" si="32"/>
        <v>242.18913480885311</v>
      </c>
      <c r="AG207" s="135">
        <f t="shared" si="59"/>
        <v>276.63636363636363</v>
      </c>
      <c r="AH207" s="135">
        <f>SUM(AE203:AE207)/SUM(AD203:AD207)</f>
        <v>242.18913480885311</v>
      </c>
      <c r="AI207" s="131">
        <f t="shared" si="33"/>
        <v>120368</v>
      </c>
      <c r="AJ207" s="469">
        <f t="shared" si="34"/>
        <v>497</v>
      </c>
      <c r="AK207" s="131">
        <f t="shared" si="35"/>
        <v>120368</v>
      </c>
      <c r="AL207" s="469">
        <f t="shared" si="36"/>
        <v>497</v>
      </c>
      <c r="AM207" s="133">
        <f t="shared" si="85"/>
        <v>117860.74637096288</v>
      </c>
      <c r="AN207" s="133">
        <f t="shared" si="86"/>
        <v>2507.2536290371208</v>
      </c>
      <c r="AO207" s="146">
        <f t="shared" si="87"/>
        <v>487</v>
      </c>
      <c r="AP207" s="94">
        <f t="shared" si="88"/>
        <v>10</v>
      </c>
      <c r="AQ207" s="133">
        <f t="shared" si="89"/>
        <v>132578.79505504045</v>
      </c>
      <c r="AR207" s="133">
        <f t="shared" si="90"/>
        <v>-12210.795055040449</v>
      </c>
      <c r="AS207" s="146">
        <f t="shared" si="91"/>
        <v>564</v>
      </c>
      <c r="AT207" s="94">
        <f t="shared" si="45"/>
        <v>-67</v>
      </c>
      <c r="AU207" s="133">
        <f t="shared" si="46"/>
        <v>3043</v>
      </c>
      <c r="AV207" s="133">
        <f t="shared" si="38"/>
        <v>24073.599999999999</v>
      </c>
      <c r="AW207" s="131">
        <f t="shared" si="47"/>
        <v>120368</v>
      </c>
      <c r="AX207" s="68">
        <f t="shared" si="48"/>
        <v>497</v>
      </c>
      <c r="AY207" s="146">
        <f t="shared" si="49"/>
        <v>11</v>
      </c>
      <c r="AZ207" s="146">
        <f t="shared" si="50"/>
        <v>3043</v>
      </c>
      <c r="BA207" s="137">
        <f t="shared" si="65"/>
        <v>1.3085920701814741E-2</v>
      </c>
      <c r="BB207" s="137">
        <f t="shared" si="66"/>
        <v>0.51762277457641692</v>
      </c>
      <c r="BC207" s="138">
        <f t="shared" si="67"/>
        <v>1.1258955987717503E-2</v>
      </c>
      <c r="BD207" s="138">
        <f t="shared" si="77"/>
        <v>0.50870010235414542</v>
      </c>
      <c r="BE207" s="131">
        <v>132002</v>
      </c>
      <c r="BF207" s="68">
        <v>564</v>
      </c>
      <c r="BG207" s="146">
        <f t="shared" si="78"/>
        <v>44</v>
      </c>
      <c r="BH207" s="146">
        <f t="shared" si="79"/>
        <v>8168</v>
      </c>
      <c r="BI207" s="137">
        <f t="shared" si="68"/>
        <v>2.098469822935186E-2</v>
      </c>
      <c r="BJ207" s="137">
        <f t="shared" si="69"/>
        <v>0.33913101563061998</v>
      </c>
      <c r="BK207" s="138">
        <f t="shared" si="70"/>
        <v>2.6570048309178744E-2</v>
      </c>
      <c r="BL207" s="138">
        <f t="shared" si="80"/>
        <v>0.34057971014492755</v>
      </c>
      <c r="BM207" s="131">
        <v>131274</v>
      </c>
      <c r="BN207" s="68">
        <v>918</v>
      </c>
      <c r="BO207" s="146">
        <f t="shared" si="81"/>
        <v>27</v>
      </c>
      <c r="BP207" s="146">
        <f t="shared" si="82"/>
        <v>3670</v>
      </c>
      <c r="BQ207" s="137">
        <f t="shared" si="71"/>
        <v>1.5343579109319865E-2</v>
      </c>
      <c r="BR207" s="137">
        <f t="shared" si="72"/>
        <v>0.54883188119805337</v>
      </c>
      <c r="BS207" s="138">
        <f t="shared" si="73"/>
        <v>1.622596153846154E-2</v>
      </c>
      <c r="BT207" s="138">
        <f t="shared" si="83"/>
        <v>0.55168269230769229</v>
      </c>
      <c r="BU207" s="137">
        <v>2.5521938645126165E-2</v>
      </c>
      <c r="BV207" s="137">
        <v>0.36245152831635202</v>
      </c>
      <c r="BW207" s="138">
        <v>2.6315789473684209E-2</v>
      </c>
      <c r="BX207" s="138">
        <v>0.38663967611336025</v>
      </c>
      <c r="BY207" s="137">
        <v>2.2749937166068056E-2</v>
      </c>
      <c r="BZ207" s="137">
        <v>0.41156630804031102</v>
      </c>
      <c r="CA207" s="138">
        <v>2.4464831804281346E-2</v>
      </c>
      <c r="CB207" s="138">
        <v>0.4281345565749235</v>
      </c>
      <c r="CC207" s="137">
        <v>1.8482359080807548E-2</v>
      </c>
      <c r="CD207" s="137">
        <f t="shared" si="51"/>
        <v>0.37008695856128437</v>
      </c>
      <c r="CE207" s="138">
        <v>2.2486772486772486E-2</v>
      </c>
      <c r="CF207" s="138">
        <f>SUM(CE$201:CE207)</f>
        <v>0.34920634920634919</v>
      </c>
      <c r="CG207" s="139">
        <f>Vergleich!C8</f>
        <v>21886</v>
      </c>
      <c r="CH207" s="137">
        <v>2.0675274681209388E-2</v>
      </c>
      <c r="CI207" s="137">
        <f t="shared" si="52"/>
        <v>0.35104659555698131</v>
      </c>
      <c r="CJ207" s="138">
        <v>1.7291066282420775E-2</v>
      </c>
      <c r="CK207" s="138">
        <f>SUM(CJ$201:CJ207)</f>
        <v>0.31988472622478387</v>
      </c>
      <c r="CL207" s="139"/>
      <c r="CM207" s="93"/>
      <c r="CN207" s="236"/>
      <c r="CO207" s="236"/>
      <c r="CP207" s="236"/>
      <c r="CQ207" s="236"/>
      <c r="CR207" s="236"/>
      <c r="CS207" s="236"/>
      <c r="CT207" s="236"/>
      <c r="CU207" s="236"/>
      <c r="CV207" s="236"/>
      <c r="CW207" s="236"/>
      <c r="CX207" s="236"/>
      <c r="CY207" s="236"/>
      <c r="CZ207" s="236"/>
      <c r="DA207" s="236"/>
      <c r="DB207" s="236"/>
      <c r="DC207" s="236"/>
      <c r="DD207" s="236"/>
      <c r="DE207" s="236"/>
      <c r="DF207" s="236"/>
    </row>
    <row r="208" spans="1:110" s="141" customFormat="1" x14ac:dyDescent="0.3">
      <c r="A208" s="228"/>
      <c r="B208" s="236"/>
      <c r="C208" s="236"/>
      <c r="D208" s="236"/>
      <c r="E208" s="232">
        <v>6</v>
      </c>
      <c r="F208" s="364"/>
      <c r="G208" s="286">
        <f t="shared" si="39"/>
        <v>44887.75</v>
      </c>
      <c r="H208" s="255">
        <f t="shared" si="40"/>
        <v>123198</v>
      </c>
      <c r="I208" s="256">
        <f t="shared" si="41"/>
        <v>119487.4875661189</v>
      </c>
      <c r="J208" s="256">
        <f t="shared" si="42"/>
        <v>143476.58418613349</v>
      </c>
      <c r="K208" s="257">
        <v>65148</v>
      </c>
      <c r="L208" s="257"/>
      <c r="M208" s="257">
        <f t="shared" si="43"/>
        <v>135593</v>
      </c>
      <c r="N208" s="257">
        <v>150957</v>
      </c>
      <c r="O208" s="364"/>
      <c r="P208" s="257"/>
      <c r="Q208" s="257">
        <f t="shared" si="53"/>
        <v>123198</v>
      </c>
      <c r="R208" s="257">
        <f t="shared" si="54"/>
        <v>123198</v>
      </c>
      <c r="S208" s="443"/>
      <c r="T208" s="89"/>
      <c r="U208" s="147">
        <v>6</v>
      </c>
      <c r="V208" s="444">
        <f t="shared" si="55"/>
        <v>3</v>
      </c>
      <c r="W208" s="127">
        <f t="shared" si="56"/>
        <v>44887</v>
      </c>
      <c r="X208" s="128">
        <v>0.75</v>
      </c>
      <c r="Y208" s="129">
        <f t="shared" si="30"/>
        <v>44887.75</v>
      </c>
      <c r="Z208" s="130">
        <f t="shared" si="31"/>
        <v>6</v>
      </c>
      <c r="AA208" s="130">
        <f t="shared" si="57"/>
        <v>1</v>
      </c>
      <c r="AB208" s="142">
        <v>123198</v>
      </c>
      <c r="AC208" s="143">
        <v>508</v>
      </c>
      <c r="AD208" s="144">
        <f t="shared" si="74"/>
        <v>11</v>
      </c>
      <c r="AE208" s="133">
        <f t="shared" si="58"/>
        <v>2830</v>
      </c>
      <c r="AF208" s="134">
        <f t="shared" si="32"/>
        <v>242.51574803149606</v>
      </c>
      <c r="AG208" s="135">
        <f t="shared" si="59"/>
        <v>257.27272727272725</v>
      </c>
      <c r="AH208" s="135">
        <f>SUM(AE204:AE208)/SUM(AD204:AD208)</f>
        <v>244.67015706806282</v>
      </c>
      <c r="AI208" s="131">
        <f t="shared" si="33"/>
        <v>123198</v>
      </c>
      <c r="AJ208" s="469">
        <f t="shared" si="34"/>
        <v>508</v>
      </c>
      <c r="AK208" s="131">
        <f t="shared" si="35"/>
        <v>123198</v>
      </c>
      <c r="AL208" s="469">
        <f t="shared" si="36"/>
        <v>508</v>
      </c>
      <c r="AM208" s="133">
        <f t="shared" si="85"/>
        <v>119487.4875661189</v>
      </c>
      <c r="AN208" s="133">
        <f t="shared" si="86"/>
        <v>3710.5124338811002</v>
      </c>
      <c r="AO208" s="146">
        <f t="shared" si="87"/>
        <v>494</v>
      </c>
      <c r="AP208" s="94">
        <f t="shared" si="88"/>
        <v>14</v>
      </c>
      <c r="AQ208" s="133">
        <f t="shared" si="89"/>
        <v>143476.58418613349</v>
      </c>
      <c r="AR208" s="133">
        <f t="shared" si="90"/>
        <v>-20278.584186133492</v>
      </c>
      <c r="AS208" s="146">
        <f t="shared" si="91"/>
        <v>620</v>
      </c>
      <c r="AT208" s="94">
        <f t="shared" si="45"/>
        <v>-112</v>
      </c>
      <c r="AU208" s="133">
        <f t="shared" si="46"/>
        <v>2830</v>
      </c>
      <c r="AV208" s="133">
        <f t="shared" si="38"/>
        <v>20533</v>
      </c>
      <c r="AW208" s="131">
        <f t="shared" si="47"/>
        <v>123198</v>
      </c>
      <c r="AX208" s="68">
        <f t="shared" si="48"/>
        <v>508</v>
      </c>
      <c r="AY208" s="146">
        <f t="shared" si="49"/>
        <v>11</v>
      </c>
      <c r="AZ208" s="146">
        <f t="shared" si="50"/>
        <v>2830</v>
      </c>
      <c r="BA208" s="137">
        <f t="shared" si="65"/>
        <v>1.2169949256041972E-2</v>
      </c>
      <c r="BB208" s="137">
        <f t="shared" si="66"/>
        <v>0.5297927238324589</v>
      </c>
      <c r="BC208" s="138">
        <f t="shared" si="67"/>
        <v>1.1258955987717503E-2</v>
      </c>
      <c r="BD208" s="138">
        <f t="shared" si="77"/>
        <v>0.51995905834186296</v>
      </c>
      <c r="BE208" s="131">
        <v>150957</v>
      </c>
      <c r="BF208" s="68">
        <v>652</v>
      </c>
      <c r="BG208" s="146">
        <f t="shared" si="78"/>
        <v>88</v>
      </c>
      <c r="BH208" s="146">
        <f t="shared" si="79"/>
        <v>18955</v>
      </c>
      <c r="BI208" s="137">
        <f t="shared" si="68"/>
        <v>4.8697962161773321E-2</v>
      </c>
      <c r="BJ208" s="137">
        <f t="shared" si="69"/>
        <v>0.38782897779239328</v>
      </c>
      <c r="BK208" s="138">
        <f t="shared" si="70"/>
        <v>5.3140096618357488E-2</v>
      </c>
      <c r="BL208" s="138">
        <f t="shared" si="80"/>
        <v>0.39371980676328505</v>
      </c>
      <c r="BM208" s="131">
        <v>135593</v>
      </c>
      <c r="BN208" s="68">
        <v>953</v>
      </c>
      <c r="BO208" s="146">
        <f t="shared" si="81"/>
        <v>35</v>
      </c>
      <c r="BP208" s="146">
        <f t="shared" si="82"/>
        <v>4319</v>
      </c>
      <c r="BQ208" s="137">
        <f t="shared" si="71"/>
        <v>1.8056925932739099E-2</v>
      </c>
      <c r="BR208" s="137">
        <f t="shared" si="72"/>
        <v>0.56688880713079248</v>
      </c>
      <c r="BS208" s="138">
        <f t="shared" si="73"/>
        <v>2.1033653846153848E-2</v>
      </c>
      <c r="BT208" s="138">
        <f t="shared" si="83"/>
        <v>0.57271634615384615</v>
      </c>
      <c r="BU208" s="137">
        <v>5.3999400006666594E-2</v>
      </c>
      <c r="BV208" s="137">
        <v>0.41645092832301861</v>
      </c>
      <c r="BW208" s="138">
        <v>5.8704453441295545E-2</v>
      </c>
      <c r="BX208" s="138">
        <v>0.4453441295546558</v>
      </c>
      <c r="BY208" s="137">
        <v>2.4857914237763599E-2</v>
      </c>
      <c r="BZ208" s="137">
        <v>0.43642422227807465</v>
      </c>
      <c r="CA208" s="138">
        <v>2.1406727828746176E-2</v>
      </c>
      <c r="CB208" s="138">
        <v>0.44954128440366969</v>
      </c>
      <c r="CC208" s="137">
        <v>1.1920887059416798E-2</v>
      </c>
      <c r="CD208" s="137">
        <f t="shared" si="51"/>
        <v>0.38200784562070117</v>
      </c>
      <c r="CE208" s="138">
        <v>1.3227513227513227E-2</v>
      </c>
      <c r="CF208" s="138">
        <f>SUM(CE$201:CE208)</f>
        <v>0.36243386243386244</v>
      </c>
      <c r="CG208" s="139">
        <f>Vergleich!C9</f>
        <v>22571</v>
      </c>
      <c r="CH208" s="137">
        <v>1.0987248375972425E-2</v>
      </c>
      <c r="CI208" s="137">
        <f t="shared" si="52"/>
        <v>0.36203384393295374</v>
      </c>
      <c r="CJ208" s="138">
        <v>1.1527377521613813E-2</v>
      </c>
      <c r="CK208" s="138">
        <f>SUM(CJ$201:CJ208)</f>
        <v>0.33141210374639768</v>
      </c>
      <c r="CL208" s="139"/>
      <c r="CM208" s="93"/>
      <c r="CN208" s="236"/>
      <c r="CO208" s="236"/>
      <c r="CP208" s="236"/>
      <c r="CQ208" s="236"/>
      <c r="CR208" s="236"/>
      <c r="CS208" s="236"/>
      <c r="CT208" s="236"/>
      <c r="CU208" s="236"/>
      <c r="CV208" s="236"/>
      <c r="CW208" s="236"/>
      <c r="CX208" s="236"/>
      <c r="CY208" s="236"/>
      <c r="CZ208" s="236"/>
      <c r="DA208" s="236"/>
      <c r="DB208" s="236"/>
      <c r="DC208" s="236"/>
      <c r="DD208" s="236"/>
      <c r="DE208" s="236"/>
      <c r="DF208" s="236"/>
    </row>
    <row r="209" spans="1:110" s="141" customFormat="1" x14ac:dyDescent="0.3">
      <c r="A209" s="228"/>
      <c r="B209" s="236"/>
      <c r="C209" s="236"/>
      <c r="D209" s="236"/>
      <c r="E209" s="232">
        <v>7</v>
      </c>
      <c r="F209" s="364"/>
      <c r="G209" s="286">
        <f t="shared" si="39"/>
        <v>44888.75</v>
      </c>
      <c r="H209" s="255">
        <f t="shared" si="40"/>
        <v>126713</v>
      </c>
      <c r="I209" s="256">
        <f t="shared" si="41"/>
        <v>123068.23859825032</v>
      </c>
      <c r="J209" s="256">
        <f t="shared" si="42"/>
        <v>173008.35635337431</v>
      </c>
      <c r="K209" s="257">
        <v>69623</v>
      </c>
      <c r="L209" s="257"/>
      <c r="M209" s="257">
        <f t="shared" si="43"/>
        <v>147297</v>
      </c>
      <c r="N209" s="257">
        <v>164491</v>
      </c>
      <c r="O209" s="364"/>
      <c r="P209" s="257"/>
      <c r="Q209" s="257">
        <f t="shared" si="53"/>
        <v>126713</v>
      </c>
      <c r="R209" s="257">
        <f t="shared" si="54"/>
        <v>126713</v>
      </c>
      <c r="S209" s="443"/>
      <c r="T209" s="89"/>
      <c r="U209" s="147">
        <v>7</v>
      </c>
      <c r="V209" s="444">
        <f t="shared" si="55"/>
        <v>4</v>
      </c>
      <c r="W209" s="127">
        <f t="shared" si="56"/>
        <v>44888</v>
      </c>
      <c r="X209" s="128">
        <v>0.75</v>
      </c>
      <c r="Y209" s="129">
        <f t="shared" si="30"/>
        <v>44888.75</v>
      </c>
      <c r="Z209" s="130">
        <f t="shared" si="31"/>
        <v>7</v>
      </c>
      <c r="AA209" s="130">
        <f t="shared" si="57"/>
        <v>1</v>
      </c>
      <c r="AB209" s="142">
        <v>126713</v>
      </c>
      <c r="AC209" s="143">
        <v>523</v>
      </c>
      <c r="AD209" s="144">
        <f t="shared" si="74"/>
        <v>15</v>
      </c>
      <c r="AE209" s="133">
        <f t="shared" si="58"/>
        <v>3515</v>
      </c>
      <c r="AF209" s="134">
        <f t="shared" si="32"/>
        <v>242.28107074569789</v>
      </c>
      <c r="AG209" s="135">
        <f t="shared" si="59"/>
        <v>234.33333333333334</v>
      </c>
      <c r="AH209" s="135">
        <f t="shared" ref="AH209:AH223" si="92">SUM(AE205:AE209)/SUM(AD205:AD209)</f>
        <v>250.15094339622641</v>
      </c>
      <c r="AI209" s="131">
        <f t="shared" si="33"/>
        <v>126713</v>
      </c>
      <c r="AJ209" s="469">
        <f t="shared" si="34"/>
        <v>523</v>
      </c>
      <c r="AK209" s="131">
        <f t="shared" si="35"/>
        <v>126713</v>
      </c>
      <c r="AL209" s="469">
        <f t="shared" si="36"/>
        <v>523</v>
      </c>
      <c r="AM209" s="133">
        <f t="shared" si="85"/>
        <v>123068.23859825032</v>
      </c>
      <c r="AN209" s="133">
        <f t="shared" ref="AN209" si="93">AB209-AM209</f>
        <v>3644.7614017496817</v>
      </c>
      <c r="AO209" s="146">
        <f t="shared" si="87"/>
        <v>509</v>
      </c>
      <c r="AP209" s="94">
        <f t="shared" si="88"/>
        <v>14</v>
      </c>
      <c r="AQ209" s="133">
        <f t="shared" si="89"/>
        <v>173008.35635337431</v>
      </c>
      <c r="AR209" s="133">
        <f>AB209-AQ209</f>
        <v>-46295.356353374314</v>
      </c>
      <c r="AS209" s="146">
        <f t="shared" si="91"/>
        <v>767</v>
      </c>
      <c r="AT209" s="94">
        <f t="shared" si="45"/>
        <v>-244</v>
      </c>
      <c r="AU209" s="133">
        <f t="shared" si="46"/>
        <v>3515</v>
      </c>
      <c r="AV209" s="133">
        <f t="shared" si="38"/>
        <v>18101.857142857141</v>
      </c>
      <c r="AW209" s="131">
        <f t="shared" si="47"/>
        <v>126713</v>
      </c>
      <c r="AX209" s="68">
        <f t="shared" si="48"/>
        <v>523</v>
      </c>
      <c r="AY209" s="146">
        <f t="shared" si="49"/>
        <v>15</v>
      </c>
      <c r="AZ209" s="146">
        <f t="shared" si="50"/>
        <v>3515</v>
      </c>
      <c r="BA209" s="137">
        <f t="shared" si="65"/>
        <v>1.5115679022963791E-2</v>
      </c>
      <c r="BB209" s="137">
        <f t="shared" si="66"/>
        <v>0.54490840285542275</v>
      </c>
      <c r="BC209" s="138">
        <f t="shared" si="67"/>
        <v>1.5353121801432957E-2</v>
      </c>
      <c r="BD209" s="138">
        <f t="shared" si="77"/>
        <v>0.53531218014329596</v>
      </c>
      <c r="BE209" s="131">
        <v>164491</v>
      </c>
      <c r="BF209" s="68">
        <v>709</v>
      </c>
      <c r="BG209" s="146">
        <f t="shared" si="78"/>
        <v>57</v>
      </c>
      <c r="BH209" s="146">
        <f t="shared" si="79"/>
        <v>13534</v>
      </c>
      <c r="BI209" s="137">
        <f t="shared" si="68"/>
        <v>3.4770678971112641E-2</v>
      </c>
      <c r="BJ209" s="137">
        <f t="shared" si="69"/>
        <v>0.42259965676350597</v>
      </c>
      <c r="BK209" s="138">
        <f t="shared" si="70"/>
        <v>3.4420289855072464E-2</v>
      </c>
      <c r="BL209" s="138">
        <f t="shared" si="80"/>
        <v>0.4281400966183575</v>
      </c>
      <c r="BM209" s="131">
        <v>147297</v>
      </c>
      <c r="BN209" s="68">
        <v>1044</v>
      </c>
      <c r="BO209" s="146">
        <f t="shared" si="81"/>
        <v>91</v>
      </c>
      <c r="BP209" s="146">
        <f t="shared" si="82"/>
        <v>11704</v>
      </c>
      <c r="BQ209" s="137">
        <f t="shared" si="71"/>
        <v>4.893222067996722E-2</v>
      </c>
      <c r="BR209" s="137">
        <f t="shared" si="72"/>
        <v>0.61582102781075976</v>
      </c>
      <c r="BS209" s="138">
        <f t="shared" si="73"/>
        <v>5.46875E-2</v>
      </c>
      <c r="BT209" s="138">
        <f t="shared" si="83"/>
        <v>0.62740384615384615</v>
      </c>
      <c r="BU209" s="137">
        <v>3.0466328151909423E-2</v>
      </c>
      <c r="BV209" s="137">
        <v>0.44691725647492803</v>
      </c>
      <c r="BW209" s="138">
        <v>3.2388663967611336E-2</v>
      </c>
      <c r="BX209" s="138">
        <v>0.47773279352226716</v>
      </c>
      <c r="BY209" s="137">
        <v>1.7447564070341575E-2</v>
      </c>
      <c r="BZ209" s="137">
        <v>0.45387178634841624</v>
      </c>
      <c r="CA209" s="138">
        <v>2.1406727828746176E-2</v>
      </c>
      <c r="CB209" s="138">
        <v>0.47094801223241589</v>
      </c>
      <c r="CC209" s="137">
        <v>2.6240024392961223E-2</v>
      </c>
      <c r="CD209" s="137">
        <f t="shared" si="51"/>
        <v>0.40824787001366242</v>
      </c>
      <c r="CE209" s="138">
        <v>2.7777777777777776E-2</v>
      </c>
      <c r="CF209" s="138">
        <f>SUM(CE$201:CE209)</f>
        <v>0.39021164021164023</v>
      </c>
      <c r="CG209" s="139">
        <f>Vergleich!C10</f>
        <v>24180</v>
      </c>
      <c r="CH209" s="137">
        <v>2.5808003849546846E-2</v>
      </c>
      <c r="CI209" s="137">
        <f t="shared" si="52"/>
        <v>0.38784184778250058</v>
      </c>
      <c r="CJ209" s="138">
        <v>2.5936599423631135E-2</v>
      </c>
      <c r="CK209" s="138">
        <f>SUM(CJ$201:CJ209)</f>
        <v>0.35734870317002881</v>
      </c>
      <c r="CL209" s="139"/>
      <c r="CM209" s="93"/>
      <c r="CN209" s="236"/>
      <c r="CO209" s="236"/>
      <c r="CP209" s="236"/>
      <c r="CQ209" s="236"/>
      <c r="CR209" s="236"/>
      <c r="CS209" s="236"/>
      <c r="CT209" s="236"/>
      <c r="CU209" s="236"/>
      <c r="CV209" s="236"/>
      <c r="CW209" s="236"/>
      <c r="CX209" s="236"/>
      <c r="CY209" s="236"/>
      <c r="CZ209" s="236"/>
      <c r="DA209" s="236"/>
      <c r="DB209" s="236"/>
      <c r="DC209" s="236"/>
      <c r="DD209" s="236"/>
      <c r="DE209" s="236"/>
      <c r="DF209" s="236"/>
    </row>
    <row r="210" spans="1:110" s="141" customFormat="1" x14ac:dyDescent="0.3">
      <c r="A210" s="228"/>
      <c r="B210" s="236"/>
      <c r="C210" s="236"/>
      <c r="D210" s="236"/>
      <c r="E210" s="232">
        <v>8</v>
      </c>
      <c r="F210" s="364"/>
      <c r="G210" s="286">
        <f t="shared" si="39"/>
        <v>44889.75</v>
      </c>
      <c r="H210" s="255">
        <f t="shared" si="40"/>
        <v>130050</v>
      </c>
      <c r="I210" s="256">
        <f t="shared" si="41"/>
        <v>125596.76893602357</v>
      </c>
      <c r="J210" s="256">
        <f t="shared" si="42"/>
        <v>190310.07899099993</v>
      </c>
      <c r="K210" s="257">
        <v>72783</v>
      </c>
      <c r="L210" s="257"/>
      <c r="M210" s="257">
        <f t="shared" si="43"/>
        <v>154154</v>
      </c>
      <c r="N210" s="257">
        <v>182858</v>
      </c>
      <c r="O210" s="364"/>
      <c r="P210" s="257"/>
      <c r="Q210" s="257">
        <f t="shared" si="53"/>
        <v>130050</v>
      </c>
      <c r="R210" s="257">
        <f t="shared" si="54"/>
        <v>130050</v>
      </c>
      <c r="S210" s="443"/>
      <c r="T210" s="89"/>
      <c r="U210" s="147">
        <v>8</v>
      </c>
      <c r="V210" s="444">
        <f t="shared" si="55"/>
        <v>5</v>
      </c>
      <c r="W210" s="127">
        <f t="shared" si="56"/>
        <v>44889</v>
      </c>
      <c r="X210" s="128">
        <v>0.75</v>
      </c>
      <c r="Y210" s="129">
        <f t="shared" si="30"/>
        <v>44889.75</v>
      </c>
      <c r="Z210" s="130">
        <f t="shared" si="31"/>
        <v>8</v>
      </c>
      <c r="AA210" s="130">
        <f t="shared" si="57"/>
        <v>1</v>
      </c>
      <c r="AB210" s="142">
        <v>130050</v>
      </c>
      <c r="AC210" s="143">
        <v>539</v>
      </c>
      <c r="AD210" s="144">
        <f t="shared" si="74"/>
        <v>16</v>
      </c>
      <c r="AE210" s="133">
        <f t="shared" si="58"/>
        <v>3337</v>
      </c>
      <c r="AF210" s="134">
        <f t="shared" si="32"/>
        <v>241.28014842300556</v>
      </c>
      <c r="AG210" s="135">
        <f t="shared" si="59"/>
        <v>208.5625</v>
      </c>
      <c r="AH210" s="135">
        <f t="shared" si="92"/>
        <v>241.50617283950618</v>
      </c>
      <c r="AI210" s="131">
        <f t="shared" si="33"/>
        <v>130050</v>
      </c>
      <c r="AJ210" s="469">
        <f t="shared" si="34"/>
        <v>539</v>
      </c>
      <c r="AK210" s="131">
        <f t="shared" si="35"/>
        <v>130050</v>
      </c>
      <c r="AL210" s="469">
        <f t="shared" si="36"/>
        <v>539</v>
      </c>
      <c r="AM210" s="133">
        <f t="shared" si="85"/>
        <v>125596.76893602357</v>
      </c>
      <c r="AN210" s="133">
        <f t="shared" ref="AN210:AN223" si="94">AB210-AM210</f>
        <v>4453.2310639764328</v>
      </c>
      <c r="AO210" s="146">
        <f t="shared" si="87"/>
        <v>518</v>
      </c>
      <c r="AP210" s="94">
        <f t="shared" si="88"/>
        <v>21</v>
      </c>
      <c r="AQ210" s="133">
        <f t="shared" si="89"/>
        <v>190310.07899099993</v>
      </c>
      <c r="AR210" s="133">
        <f t="shared" ref="AR210:AR223" si="95">AB210-AQ210</f>
        <v>-60260.078990999929</v>
      </c>
      <c r="AS210" s="146">
        <f t="shared" si="91"/>
        <v>831</v>
      </c>
      <c r="AT210" s="94">
        <f t="shared" si="45"/>
        <v>-292</v>
      </c>
      <c r="AU210" s="133">
        <f t="shared" si="46"/>
        <v>3337</v>
      </c>
      <c r="AV210" s="133">
        <f t="shared" si="38"/>
        <v>16256.25</v>
      </c>
      <c r="AW210" s="131">
        <f t="shared" si="47"/>
        <v>130050</v>
      </c>
      <c r="AX210" s="68">
        <f t="shared" si="48"/>
        <v>539</v>
      </c>
      <c r="AY210" s="146">
        <f t="shared" si="49"/>
        <v>16</v>
      </c>
      <c r="AZ210" s="146">
        <f t="shared" si="50"/>
        <v>3337</v>
      </c>
      <c r="BA210" s="137">
        <f t="shared" si="65"/>
        <v>1.4350219317106734E-2</v>
      </c>
      <c r="BB210" s="137">
        <f t="shared" si="66"/>
        <v>0.55925862217252942</v>
      </c>
      <c r="BC210" s="138">
        <f t="shared" si="67"/>
        <v>1.6376663254861822E-2</v>
      </c>
      <c r="BD210" s="138">
        <f t="shared" si="77"/>
        <v>0.55168884339815782</v>
      </c>
      <c r="BE210" s="131">
        <v>182858</v>
      </c>
      <c r="BF210" s="68">
        <v>792</v>
      </c>
      <c r="BG210" s="146">
        <f t="shared" si="78"/>
        <v>83</v>
      </c>
      <c r="BH210" s="146">
        <f t="shared" si="79"/>
        <v>18367</v>
      </c>
      <c r="BI210" s="137">
        <f t="shared" si="68"/>
        <v>4.7187310526261704E-2</v>
      </c>
      <c r="BJ210" s="137">
        <f t="shared" si="69"/>
        <v>0.46978696728976765</v>
      </c>
      <c r="BK210" s="138">
        <f t="shared" si="70"/>
        <v>5.0120772946859904E-2</v>
      </c>
      <c r="BL210" s="138">
        <f t="shared" si="80"/>
        <v>0.47826086956521741</v>
      </c>
      <c r="BM210" s="131">
        <v>154154</v>
      </c>
      <c r="BN210" s="68">
        <v>1084</v>
      </c>
      <c r="BO210" s="146">
        <f t="shared" si="81"/>
        <v>40</v>
      </c>
      <c r="BP210" s="146">
        <f t="shared" si="82"/>
        <v>6857</v>
      </c>
      <c r="BQ210" s="137">
        <f t="shared" si="71"/>
        <v>2.8667826145124337E-2</v>
      </c>
      <c r="BR210" s="137">
        <f t="shared" si="72"/>
        <v>0.64448885395588407</v>
      </c>
      <c r="BS210" s="138">
        <f t="shared" si="73"/>
        <v>2.403846153846154E-2</v>
      </c>
      <c r="BT210" s="138">
        <f t="shared" si="83"/>
        <v>0.65144230769230771</v>
      </c>
      <c r="BU210" s="137">
        <v>3.9366229264119285E-2</v>
      </c>
      <c r="BV210" s="137">
        <v>0.48628348573904734</v>
      </c>
      <c r="BW210" s="138">
        <v>3.4412955465587043E-2</v>
      </c>
      <c r="BX210" s="138">
        <v>0.51214574898785425</v>
      </c>
      <c r="BY210" s="137">
        <v>2.2814797999043304E-2</v>
      </c>
      <c r="BZ210" s="137">
        <v>0.47668658434745953</v>
      </c>
      <c r="CA210" s="138">
        <v>2.5993883792048929E-2</v>
      </c>
      <c r="CB210" s="138">
        <v>0.49694189602446481</v>
      </c>
      <c r="CC210" s="137">
        <v>1.852926862162178E-2</v>
      </c>
      <c r="CD210" s="137">
        <f t="shared" si="51"/>
        <v>0.42677713863528421</v>
      </c>
      <c r="CE210" s="138">
        <v>1.7195767195767195E-2</v>
      </c>
      <c r="CF210" s="138">
        <f>SUM(CE$201:CE210)</f>
        <v>0.40740740740740744</v>
      </c>
      <c r="CG210" s="139">
        <f>Vergleich!C11</f>
        <v>26679</v>
      </c>
      <c r="CH210" s="137">
        <v>4.0083406848985481E-2</v>
      </c>
      <c r="CI210" s="137">
        <f t="shared" si="52"/>
        <v>0.42792525463148606</v>
      </c>
      <c r="CJ210" s="138">
        <v>3.4582132564841495E-2</v>
      </c>
      <c r="CK210" s="138">
        <f>SUM(CJ$201:CJ210)</f>
        <v>0.39193083573487031</v>
      </c>
      <c r="CL210" s="139"/>
      <c r="CM210" s="93"/>
      <c r="CN210" s="236"/>
      <c r="CO210" s="236"/>
      <c r="CP210" s="236"/>
      <c r="CQ210" s="236"/>
      <c r="CR210" s="236"/>
      <c r="CS210" s="236"/>
      <c r="CT210" s="236"/>
      <c r="CU210" s="236"/>
      <c r="CV210" s="236"/>
      <c r="CW210" s="236"/>
      <c r="CX210" s="236"/>
      <c r="CY210" s="236"/>
      <c r="CZ210" s="236"/>
      <c r="DA210" s="236"/>
      <c r="DB210" s="236"/>
      <c r="DC210" s="236"/>
      <c r="DD210" s="236"/>
      <c r="DE210" s="236"/>
      <c r="DF210" s="236"/>
    </row>
    <row r="211" spans="1:110" s="141" customFormat="1" x14ac:dyDescent="0.3">
      <c r="A211" s="228"/>
      <c r="B211" s="236"/>
      <c r="C211" s="236"/>
      <c r="D211" s="236"/>
      <c r="E211" s="232">
        <v>9</v>
      </c>
      <c r="F211" s="364"/>
      <c r="G211" s="286">
        <f t="shared" si="39"/>
        <v>44890.75</v>
      </c>
      <c r="H211" s="255">
        <f t="shared" si="40"/>
        <v>133215</v>
      </c>
      <c r="I211" s="256">
        <f t="shared" si="41"/>
        <v>128648.60903357646</v>
      </c>
      <c r="J211" s="256">
        <f t="shared" si="42"/>
        <v>201634.29237843814</v>
      </c>
      <c r="K211" s="257">
        <v>76597</v>
      </c>
      <c r="L211" s="257"/>
      <c r="M211" s="257">
        <f t="shared" si="43"/>
        <v>158642</v>
      </c>
      <c r="N211" s="257">
        <v>195000</v>
      </c>
      <c r="O211" s="364"/>
      <c r="P211" s="257"/>
      <c r="Q211" s="257">
        <f t="shared" si="53"/>
        <v>133215</v>
      </c>
      <c r="R211" s="257">
        <f t="shared" si="54"/>
        <v>133215</v>
      </c>
      <c r="S211" s="443"/>
      <c r="T211" s="89"/>
      <c r="U211" s="147">
        <v>9</v>
      </c>
      <c r="V211" s="444">
        <f t="shared" si="55"/>
        <v>6</v>
      </c>
      <c r="W211" s="127">
        <f t="shared" si="56"/>
        <v>44890</v>
      </c>
      <c r="X211" s="128">
        <v>0.75</v>
      </c>
      <c r="Y211" s="129">
        <f t="shared" si="30"/>
        <v>44890.75</v>
      </c>
      <c r="Z211" s="130">
        <f t="shared" si="31"/>
        <v>9</v>
      </c>
      <c r="AA211" s="130">
        <f t="shared" si="57"/>
        <v>1</v>
      </c>
      <c r="AB211" s="142">
        <v>133215</v>
      </c>
      <c r="AC211" s="143">
        <v>551</v>
      </c>
      <c r="AD211" s="144">
        <f t="shared" si="74"/>
        <v>12</v>
      </c>
      <c r="AE211" s="133">
        <f t="shared" si="58"/>
        <v>3165</v>
      </c>
      <c r="AF211" s="134">
        <f t="shared" si="32"/>
        <v>241.76950998185117</v>
      </c>
      <c r="AG211" s="135">
        <f t="shared" si="59"/>
        <v>263.75</v>
      </c>
      <c r="AH211" s="135">
        <f t="shared" si="92"/>
        <v>244.46153846153845</v>
      </c>
      <c r="AI211" s="131">
        <f t="shared" si="33"/>
        <v>133215</v>
      </c>
      <c r="AJ211" s="469">
        <f t="shared" si="34"/>
        <v>551</v>
      </c>
      <c r="AK211" s="131">
        <f t="shared" si="35"/>
        <v>133215</v>
      </c>
      <c r="AL211" s="469">
        <f t="shared" si="36"/>
        <v>551</v>
      </c>
      <c r="AM211" s="133">
        <f t="shared" si="85"/>
        <v>128648.60903357646</v>
      </c>
      <c r="AN211" s="133">
        <f t="shared" si="94"/>
        <v>4566.3909664235398</v>
      </c>
      <c r="AO211" s="146">
        <f t="shared" si="87"/>
        <v>533</v>
      </c>
      <c r="AP211" s="94">
        <f t="shared" si="88"/>
        <v>18</v>
      </c>
      <c r="AQ211" s="133">
        <f t="shared" si="89"/>
        <v>201634.29237843814</v>
      </c>
      <c r="AR211" s="133">
        <f t="shared" si="95"/>
        <v>-68419.292378438142</v>
      </c>
      <c r="AS211" s="146">
        <f t="shared" si="91"/>
        <v>876</v>
      </c>
      <c r="AT211" s="94">
        <f t="shared" si="45"/>
        <v>-325</v>
      </c>
      <c r="AU211" s="133">
        <f t="shared" si="46"/>
        <v>3165</v>
      </c>
      <c r="AV211" s="133">
        <f t="shared" si="38"/>
        <v>14801.666666666666</v>
      </c>
      <c r="AW211" s="131">
        <f t="shared" si="47"/>
        <v>133215</v>
      </c>
      <c r="AX211" s="68">
        <f t="shared" si="48"/>
        <v>551</v>
      </c>
      <c r="AY211" s="146">
        <f t="shared" si="49"/>
        <v>12</v>
      </c>
      <c r="AZ211" s="146">
        <f t="shared" si="50"/>
        <v>3165</v>
      </c>
      <c r="BA211" s="137">
        <f t="shared" si="65"/>
        <v>1.3610561623806658E-2</v>
      </c>
      <c r="BB211" s="137">
        <f t="shared" si="66"/>
        <v>0.57286918379633611</v>
      </c>
      <c r="BC211" s="138">
        <f t="shared" si="67"/>
        <v>1.2282497441146366E-2</v>
      </c>
      <c r="BD211" s="138">
        <f t="shared" si="77"/>
        <v>0.56397134083930422</v>
      </c>
      <c r="BE211" s="131">
        <v>195000</v>
      </c>
      <c r="BF211" s="68">
        <v>851</v>
      </c>
      <c r="BG211" s="146">
        <f t="shared" si="78"/>
        <v>59</v>
      </c>
      <c r="BH211" s="146">
        <f t="shared" si="79"/>
        <v>12142</v>
      </c>
      <c r="BI211" s="137">
        <f t="shared" si="68"/>
        <v>3.1194442446227995E-2</v>
      </c>
      <c r="BJ211" s="137">
        <f t="shared" si="69"/>
        <v>0.5009814097359957</v>
      </c>
      <c r="BK211" s="138">
        <f t="shared" si="70"/>
        <v>3.5628019323671496E-2</v>
      </c>
      <c r="BL211" s="138">
        <f t="shared" si="80"/>
        <v>0.51388888888888895</v>
      </c>
      <c r="BM211" s="131">
        <v>158642</v>
      </c>
      <c r="BN211" s="68">
        <v>1112</v>
      </c>
      <c r="BO211" s="146">
        <f t="shared" si="81"/>
        <v>28</v>
      </c>
      <c r="BP211" s="146">
        <f t="shared" si="82"/>
        <v>4488</v>
      </c>
      <c r="BQ211" s="137">
        <f t="shared" si="71"/>
        <v>1.8763483117882167E-2</v>
      </c>
      <c r="BR211" s="137">
        <f t="shared" si="72"/>
        <v>0.6632523370737663</v>
      </c>
      <c r="BS211" s="138">
        <f t="shared" si="73"/>
        <v>1.6826923076923076E-2</v>
      </c>
      <c r="BT211" s="138">
        <f t="shared" si="83"/>
        <v>0.66826923076923084</v>
      </c>
      <c r="BU211" s="137">
        <v>2.4499727780802436E-2</v>
      </c>
      <c r="BV211" s="137">
        <v>0.51078321351984979</v>
      </c>
      <c r="BW211" s="138">
        <v>2.8340080971659919E-2</v>
      </c>
      <c r="BX211" s="138">
        <v>0.54048582995951422</v>
      </c>
      <c r="BY211" s="137">
        <v>3.6524756569186238E-2</v>
      </c>
      <c r="BZ211" s="137">
        <v>0.51321134091664578</v>
      </c>
      <c r="CA211" s="138">
        <v>3.82262996941896E-2</v>
      </c>
      <c r="CB211" s="138">
        <v>0.53516819571865437</v>
      </c>
      <c r="CC211" s="137">
        <v>2.2364123583185274E-2</v>
      </c>
      <c r="CD211" s="137">
        <f t="shared" si="51"/>
        <v>0.44914126221846951</v>
      </c>
      <c r="CE211" s="138">
        <v>2.7777777777777776E-2</v>
      </c>
      <c r="CF211" s="138">
        <f>SUM(CE$201:CE211)</f>
        <v>0.43518518518518523</v>
      </c>
      <c r="CG211" s="139">
        <f>Vergleich!C12</f>
        <v>27868</v>
      </c>
      <c r="CH211" s="137">
        <v>1.9071296816103978E-2</v>
      </c>
      <c r="CI211" s="137">
        <f t="shared" si="52"/>
        <v>0.44699655144759004</v>
      </c>
      <c r="CJ211" s="138">
        <v>1.7291066282420775E-2</v>
      </c>
      <c r="CK211" s="138">
        <f>SUM(CJ$201:CJ211)</f>
        <v>0.40922190201729108</v>
      </c>
      <c r="CL211" s="139"/>
      <c r="CM211" s="93"/>
      <c r="CN211" s="236"/>
      <c r="CO211" s="236"/>
      <c r="CP211" s="236"/>
      <c r="CQ211" s="236"/>
      <c r="CR211" s="236"/>
      <c r="CS211" s="236"/>
      <c r="CT211" s="236"/>
      <c r="CU211" s="236"/>
      <c r="CV211" s="236"/>
      <c r="CW211" s="236"/>
      <c r="CX211" s="236"/>
      <c r="CY211" s="236"/>
      <c r="CZ211" s="236"/>
      <c r="DA211" s="236"/>
      <c r="DB211" s="236"/>
      <c r="DC211" s="236"/>
      <c r="DD211" s="236"/>
      <c r="DE211" s="236"/>
      <c r="DF211" s="236"/>
    </row>
    <row r="212" spans="1:110" s="141" customFormat="1" x14ac:dyDescent="0.3">
      <c r="A212" s="228"/>
      <c r="B212" s="236"/>
      <c r="C212" s="236"/>
      <c r="D212" s="236"/>
      <c r="E212" s="232">
        <v>10</v>
      </c>
      <c r="F212" s="364"/>
      <c r="G212" s="286">
        <f t="shared" si="39"/>
        <v>44891.75</v>
      </c>
      <c r="H212" s="255">
        <f t="shared" si="40"/>
        <v>136715</v>
      </c>
      <c r="I212" s="256">
        <f t="shared" si="41"/>
        <v>132433.40286195223</v>
      </c>
      <c r="J212" s="256">
        <f t="shared" si="42"/>
        <v>213119.99187478813</v>
      </c>
      <c r="K212" s="257">
        <v>81327</v>
      </c>
      <c r="L212" s="257"/>
      <c r="M212" s="257">
        <f t="shared" si="43"/>
        <v>163194</v>
      </c>
      <c r="N212" s="257">
        <v>203877</v>
      </c>
      <c r="O212" s="364"/>
      <c r="P212" s="257"/>
      <c r="Q212" s="257">
        <f t="shared" si="53"/>
        <v>136715</v>
      </c>
      <c r="R212" s="257">
        <f t="shared" si="54"/>
        <v>136715</v>
      </c>
      <c r="S212" s="443"/>
      <c r="T212" s="89"/>
      <c r="U212" s="147">
        <v>10</v>
      </c>
      <c r="V212" s="444">
        <f t="shared" si="55"/>
        <v>7</v>
      </c>
      <c r="W212" s="127">
        <f t="shared" si="56"/>
        <v>44891</v>
      </c>
      <c r="X212" s="128">
        <v>0.75</v>
      </c>
      <c r="Y212" s="129">
        <f t="shared" si="30"/>
        <v>44891.75</v>
      </c>
      <c r="Z212" s="130">
        <f t="shared" si="31"/>
        <v>10</v>
      </c>
      <c r="AA212" s="130">
        <f t="shared" si="57"/>
        <v>1</v>
      </c>
      <c r="AB212" s="142">
        <v>136715</v>
      </c>
      <c r="AC212" s="143">
        <v>565</v>
      </c>
      <c r="AD212" s="144">
        <f t="shared" si="74"/>
        <v>14</v>
      </c>
      <c r="AE212" s="133">
        <f t="shared" si="58"/>
        <v>3500</v>
      </c>
      <c r="AF212" s="134">
        <f t="shared" si="32"/>
        <v>241.97345132743362</v>
      </c>
      <c r="AG212" s="135">
        <f t="shared" si="59"/>
        <v>250</v>
      </c>
      <c r="AH212" s="135">
        <f t="shared" si="92"/>
        <v>240.39705882352942</v>
      </c>
      <c r="AI212" s="131">
        <f t="shared" si="33"/>
        <v>136715</v>
      </c>
      <c r="AJ212" s="469">
        <f t="shared" si="34"/>
        <v>565</v>
      </c>
      <c r="AK212" s="131">
        <f t="shared" si="35"/>
        <v>136715</v>
      </c>
      <c r="AL212" s="469">
        <f t="shared" si="36"/>
        <v>565</v>
      </c>
      <c r="AM212" s="133">
        <f t="shared" si="85"/>
        <v>132433.40286195223</v>
      </c>
      <c r="AN212" s="133">
        <f t="shared" si="94"/>
        <v>4281.5971380477713</v>
      </c>
      <c r="AO212" s="146">
        <f t="shared" si="87"/>
        <v>548</v>
      </c>
      <c r="AP212" s="94">
        <f t="shared" si="88"/>
        <v>17</v>
      </c>
      <c r="AQ212" s="133">
        <f t="shared" si="89"/>
        <v>213119.99187478813</v>
      </c>
      <c r="AR212" s="133">
        <f t="shared" si="95"/>
        <v>-76404.991874788131</v>
      </c>
      <c r="AS212" s="146">
        <f t="shared" si="91"/>
        <v>921</v>
      </c>
      <c r="AT212" s="94">
        <f t="shared" si="45"/>
        <v>-356</v>
      </c>
      <c r="AU212" s="133">
        <f t="shared" si="46"/>
        <v>3500</v>
      </c>
      <c r="AV212" s="133">
        <f t="shared" si="38"/>
        <v>13671.5</v>
      </c>
      <c r="AW212" s="131">
        <f t="shared" si="47"/>
        <v>136715</v>
      </c>
      <c r="AX212" s="68">
        <f t="shared" si="48"/>
        <v>565</v>
      </c>
      <c r="AY212" s="146">
        <f t="shared" si="49"/>
        <v>14</v>
      </c>
      <c r="AZ212" s="146">
        <f t="shared" si="50"/>
        <v>3500</v>
      </c>
      <c r="BA212" s="137">
        <f t="shared" si="65"/>
        <v>1.5051173991571343E-2</v>
      </c>
      <c r="BB212" s="137">
        <f t="shared" si="66"/>
        <v>0.58792035778790741</v>
      </c>
      <c r="BC212" s="138">
        <f t="shared" si="67"/>
        <v>1.4329580348004094E-2</v>
      </c>
      <c r="BD212" s="138">
        <f t="shared" si="77"/>
        <v>0.57830092118730836</v>
      </c>
      <c r="BE212" s="131">
        <v>203877</v>
      </c>
      <c r="BF212" s="68">
        <v>893</v>
      </c>
      <c r="BG212" s="146">
        <f t="shared" si="78"/>
        <v>42</v>
      </c>
      <c r="BH212" s="146">
        <f t="shared" si="79"/>
        <v>8877</v>
      </c>
      <c r="BI212" s="137">
        <f t="shared" si="68"/>
        <v>2.2806215252443248E-2</v>
      </c>
      <c r="BJ212" s="137">
        <f t="shared" si="69"/>
        <v>0.52378762498843889</v>
      </c>
      <c r="BK212" s="138">
        <f t="shared" si="70"/>
        <v>2.5362318840579712E-2</v>
      </c>
      <c r="BL212" s="138">
        <f t="shared" si="80"/>
        <v>0.53925120772946866</v>
      </c>
      <c r="BM212" s="131">
        <v>163194</v>
      </c>
      <c r="BN212" s="68">
        <v>1140</v>
      </c>
      <c r="BO212" s="146">
        <f t="shared" si="81"/>
        <v>28</v>
      </c>
      <c r="BP212" s="146">
        <f t="shared" si="82"/>
        <v>4552</v>
      </c>
      <c r="BQ212" s="137">
        <f t="shared" si="71"/>
        <v>1.9031055069652324E-2</v>
      </c>
      <c r="BR212" s="137">
        <f t="shared" si="72"/>
        <v>0.6822833921434186</v>
      </c>
      <c r="BS212" s="138">
        <f t="shared" si="73"/>
        <v>1.6826923076923076E-2</v>
      </c>
      <c r="BT212" s="138">
        <f t="shared" si="83"/>
        <v>0.68509615384615397</v>
      </c>
      <c r="BU212" s="137">
        <v>3.2021866423706406E-2</v>
      </c>
      <c r="BV212" s="137">
        <v>0.5428050799435562</v>
      </c>
      <c r="BW212" s="138">
        <v>3.0364372469635626E-2</v>
      </c>
      <c r="BX212" s="138">
        <v>0.57085020242914986</v>
      </c>
      <c r="BY212" s="137">
        <v>2.7160473808384884E-2</v>
      </c>
      <c r="BZ212" s="137">
        <v>0.54037181472503071</v>
      </c>
      <c r="CA212" s="138">
        <v>2.9051987767584098E-2</v>
      </c>
      <c r="CB212" s="138">
        <v>0.56422018348623848</v>
      </c>
      <c r="CC212" s="137">
        <v>2.7735266006414881E-2</v>
      </c>
      <c r="CD212" s="137">
        <f t="shared" si="51"/>
        <v>0.47687652822488441</v>
      </c>
      <c r="CE212" s="138">
        <v>2.7777777777777776E-2</v>
      </c>
      <c r="CF212" s="138">
        <f>SUM(CE$201:CE212)</f>
        <v>0.46296296296296302</v>
      </c>
      <c r="CG212" s="139">
        <f>Vergleich!C13</f>
        <v>31587</v>
      </c>
      <c r="CH212" s="137">
        <v>5.9651936803272132E-2</v>
      </c>
      <c r="CI212" s="137">
        <f t="shared" si="52"/>
        <v>0.50664848825086217</v>
      </c>
      <c r="CJ212" s="138">
        <v>5.4755043227665667E-2</v>
      </c>
      <c r="CK212" s="138">
        <f>SUM(CJ$201:CJ212)</f>
        <v>0.46397694524495675</v>
      </c>
      <c r="CL212" s="139"/>
      <c r="CM212" s="93"/>
      <c r="CN212" s="236"/>
      <c r="CO212" s="236"/>
      <c r="CP212" s="236"/>
      <c r="CQ212" s="236"/>
      <c r="CR212" s="236"/>
      <c r="CS212" s="236"/>
      <c r="CT212" s="236"/>
      <c r="CU212" s="236"/>
      <c r="CV212" s="236"/>
      <c r="CW212" s="236"/>
      <c r="CX212" s="236"/>
      <c r="CY212" s="236"/>
      <c r="CZ212" s="236"/>
      <c r="DA212" s="236"/>
      <c r="DB212" s="236"/>
      <c r="DC212" s="236"/>
      <c r="DD212" s="236"/>
      <c r="DE212" s="236"/>
      <c r="DF212" s="236"/>
    </row>
    <row r="213" spans="1:110" s="141" customFormat="1" x14ac:dyDescent="0.3">
      <c r="A213" s="228"/>
      <c r="B213" s="236"/>
      <c r="C213" s="236"/>
      <c r="D213" s="236"/>
      <c r="E213" s="232">
        <v>11</v>
      </c>
      <c r="F213" s="364"/>
      <c r="G213" s="286">
        <f t="shared" si="39"/>
        <v>44892.75</v>
      </c>
      <c r="H213" s="255">
        <f t="shared" si="40"/>
        <v>139670</v>
      </c>
      <c r="I213" s="256">
        <f t="shared" si="41"/>
        <v>133821.69404424229</v>
      </c>
      <c r="J213" s="256">
        <f t="shared" si="42"/>
        <v>221222.0527453461</v>
      </c>
      <c r="K213" s="257">
        <v>83062</v>
      </c>
      <c r="L213" s="257"/>
      <c r="M213" s="257">
        <f t="shared" si="43"/>
        <v>166405</v>
      </c>
      <c r="N213" s="257">
        <v>212794</v>
      </c>
      <c r="O213" s="364"/>
      <c r="P213" s="257"/>
      <c r="Q213" s="257">
        <f t="shared" si="53"/>
        <v>139670</v>
      </c>
      <c r="R213" s="257">
        <f t="shared" si="54"/>
        <v>139670</v>
      </c>
      <c r="S213" s="443"/>
      <c r="T213" s="89"/>
      <c r="U213" s="147">
        <v>11</v>
      </c>
      <c r="V213" s="444">
        <f t="shared" si="55"/>
        <v>1</v>
      </c>
      <c r="W213" s="127">
        <f t="shared" si="56"/>
        <v>44892</v>
      </c>
      <c r="X213" s="128">
        <v>0.75</v>
      </c>
      <c r="Y213" s="129">
        <f t="shared" si="30"/>
        <v>44892.75</v>
      </c>
      <c r="Z213" s="130">
        <f t="shared" si="31"/>
        <v>11</v>
      </c>
      <c r="AA213" s="130">
        <f t="shared" si="57"/>
        <v>1</v>
      </c>
      <c r="AB213" s="142">
        <v>139670</v>
      </c>
      <c r="AC213" s="143">
        <v>582</v>
      </c>
      <c r="AD213" s="144">
        <f t="shared" si="74"/>
        <v>17</v>
      </c>
      <c r="AE213" s="133">
        <f t="shared" si="58"/>
        <v>2955</v>
      </c>
      <c r="AF213" s="134">
        <f t="shared" si="32"/>
        <v>239.98281786941581</v>
      </c>
      <c r="AG213" s="135">
        <f t="shared" si="59"/>
        <v>173.8235294117647</v>
      </c>
      <c r="AH213" s="135">
        <f t="shared" si="92"/>
        <v>222.59459459459458</v>
      </c>
      <c r="AI213" s="131">
        <f t="shared" si="33"/>
        <v>139670</v>
      </c>
      <c r="AJ213" s="469">
        <f t="shared" si="34"/>
        <v>582</v>
      </c>
      <c r="AK213" s="131">
        <f t="shared" si="35"/>
        <v>139670</v>
      </c>
      <c r="AL213" s="469">
        <f t="shared" si="36"/>
        <v>582</v>
      </c>
      <c r="AM213" s="133">
        <f t="shared" si="85"/>
        <v>133821.69404424229</v>
      </c>
      <c r="AN213" s="133">
        <f t="shared" si="94"/>
        <v>5848.3059557577071</v>
      </c>
      <c r="AO213" s="146">
        <f t="shared" si="87"/>
        <v>552</v>
      </c>
      <c r="AP213" s="94">
        <f t="shared" si="88"/>
        <v>30</v>
      </c>
      <c r="AQ213" s="133">
        <f t="shared" si="89"/>
        <v>221222.0527453461</v>
      </c>
      <c r="AR213" s="133">
        <f t="shared" si="95"/>
        <v>-81552.052745346096</v>
      </c>
      <c r="AS213" s="146">
        <f t="shared" si="91"/>
        <v>958</v>
      </c>
      <c r="AT213" s="94">
        <f t="shared" si="45"/>
        <v>-376</v>
      </c>
      <c r="AU213" s="133">
        <f t="shared" si="46"/>
        <v>2955</v>
      </c>
      <c r="AV213" s="133">
        <f t="shared" si="38"/>
        <v>12697.272727272728</v>
      </c>
      <c r="AW213" s="131">
        <f t="shared" si="47"/>
        <v>139670</v>
      </c>
      <c r="AX213" s="68">
        <f t="shared" si="48"/>
        <v>582</v>
      </c>
      <c r="AY213" s="146">
        <f t="shared" si="49"/>
        <v>17</v>
      </c>
      <c r="AZ213" s="146">
        <f t="shared" si="50"/>
        <v>2955</v>
      </c>
      <c r="BA213" s="137">
        <f t="shared" si="65"/>
        <v>1.2707491184312376E-2</v>
      </c>
      <c r="BB213" s="137">
        <f t="shared" si="66"/>
        <v>0.60062784897221988</v>
      </c>
      <c r="BC213" s="138">
        <f t="shared" si="67"/>
        <v>1.7400204708290685E-2</v>
      </c>
      <c r="BD213" s="138">
        <f t="shared" si="77"/>
        <v>0.59570112589559909</v>
      </c>
      <c r="BE213" s="131">
        <v>212794</v>
      </c>
      <c r="BF213" s="68">
        <v>935</v>
      </c>
      <c r="BG213" s="146">
        <f t="shared" si="78"/>
        <v>42</v>
      </c>
      <c r="BH213" s="146">
        <f t="shared" si="79"/>
        <v>8917</v>
      </c>
      <c r="BI213" s="137">
        <f t="shared" si="68"/>
        <v>2.290898066982499E-2</v>
      </c>
      <c r="BJ213" s="137">
        <f t="shared" si="69"/>
        <v>0.54669660565826383</v>
      </c>
      <c r="BK213" s="138">
        <f t="shared" si="70"/>
        <v>2.5362318840579712E-2</v>
      </c>
      <c r="BL213" s="138">
        <f t="shared" si="80"/>
        <v>0.56461352657004837</v>
      </c>
      <c r="BM213" s="131">
        <v>166405</v>
      </c>
      <c r="BN213" s="68">
        <v>1163</v>
      </c>
      <c r="BO213" s="146">
        <f t="shared" si="81"/>
        <v>23</v>
      </c>
      <c r="BP213" s="146">
        <f t="shared" si="82"/>
        <v>3211</v>
      </c>
      <c r="BQ213" s="137">
        <f t="shared" si="71"/>
        <v>1.342458651771828E-2</v>
      </c>
      <c r="BR213" s="137">
        <f t="shared" si="72"/>
        <v>0.69570797866113687</v>
      </c>
      <c r="BS213" s="138">
        <f t="shared" si="73"/>
        <v>1.3822115384615384E-2</v>
      </c>
      <c r="BT213" s="138">
        <f t="shared" si="83"/>
        <v>0.69891826923076938</v>
      </c>
      <c r="BU213" s="137">
        <v>1.5899823335296274E-2</v>
      </c>
      <c r="BV213" s="137">
        <v>0.55870490327885247</v>
      </c>
      <c r="BW213" s="138">
        <v>1.8218623481781375E-2</v>
      </c>
      <c r="BX213" s="138">
        <v>0.58906882591093124</v>
      </c>
      <c r="BY213" s="137">
        <v>2.4468749239912112E-2</v>
      </c>
      <c r="BZ213" s="137">
        <v>0.56484056396494287</v>
      </c>
      <c r="CA213" s="138">
        <v>2.5993883792048929E-2</v>
      </c>
      <c r="CB213" s="138">
        <v>0.5902140672782874</v>
      </c>
      <c r="CC213" s="137">
        <v>1.0173506664086642E-2</v>
      </c>
      <c r="CD213" s="137">
        <f t="shared" si="51"/>
        <v>0.48705003488897103</v>
      </c>
      <c r="CE213" s="138">
        <v>7.9365079365079361E-3</v>
      </c>
      <c r="CF213" s="138">
        <f>SUM(CE$201:CE213)</f>
        <v>0.47089947089947093</v>
      </c>
      <c r="CG213" s="139">
        <f>Vergleich!C14</f>
        <v>34703</v>
      </c>
      <c r="CH213" s="137">
        <v>4.9979950276686114E-2</v>
      </c>
      <c r="CI213" s="137">
        <f t="shared" si="52"/>
        <v>0.55662843852754829</v>
      </c>
      <c r="CJ213" s="138">
        <v>4.8991354466858816E-2</v>
      </c>
      <c r="CK213" s="138">
        <f>SUM(CJ$201:CJ213)</f>
        <v>0.51296829971181557</v>
      </c>
      <c r="CL213" s="139"/>
      <c r="CM213" s="137"/>
      <c r="CN213" s="236"/>
      <c r="CO213" s="236"/>
      <c r="CP213" s="236"/>
      <c r="CQ213" s="236"/>
      <c r="CR213" s="236"/>
      <c r="CS213" s="236"/>
      <c r="CT213" s="236"/>
      <c r="CU213" s="236"/>
      <c r="CV213" s="236"/>
      <c r="CW213" s="236"/>
      <c r="CX213" s="236"/>
      <c r="CY213" s="236"/>
      <c r="CZ213" s="236"/>
      <c r="DA213" s="236"/>
      <c r="DB213" s="236"/>
      <c r="DC213" s="236"/>
      <c r="DD213" s="236"/>
      <c r="DE213" s="236"/>
      <c r="DF213" s="236"/>
    </row>
    <row r="214" spans="1:110" s="141" customFormat="1" x14ac:dyDescent="0.3">
      <c r="A214" s="228"/>
      <c r="B214" s="236"/>
      <c r="C214" s="236"/>
      <c r="D214" s="236"/>
      <c r="E214" s="232">
        <v>12</v>
      </c>
      <c r="F214" s="364"/>
      <c r="G214" s="286">
        <f t="shared" si="39"/>
        <v>44893.75</v>
      </c>
      <c r="H214" s="255">
        <f t="shared" si="40"/>
        <v>143057</v>
      </c>
      <c r="I214" s="256">
        <f t="shared" si="41"/>
        <v>136295.8129696837</v>
      </c>
      <c r="J214" s="256">
        <f t="shared" si="42"/>
        <v>229737.92176999047</v>
      </c>
      <c r="K214" s="257">
        <v>86154</v>
      </c>
      <c r="L214" s="257">
        <v>125000</v>
      </c>
      <c r="M214" s="257">
        <f t="shared" si="43"/>
        <v>169780</v>
      </c>
      <c r="N214" s="257">
        <v>221864</v>
      </c>
      <c r="O214" s="364"/>
      <c r="P214" s="257"/>
      <c r="Q214" s="257">
        <f t="shared" si="53"/>
        <v>143057</v>
      </c>
      <c r="R214" s="257">
        <f t="shared" si="54"/>
        <v>143057</v>
      </c>
      <c r="S214" s="443"/>
      <c r="T214" s="89"/>
      <c r="U214" s="147">
        <v>12</v>
      </c>
      <c r="V214" s="444">
        <f t="shared" si="55"/>
        <v>2</v>
      </c>
      <c r="W214" s="127">
        <f t="shared" si="56"/>
        <v>44893</v>
      </c>
      <c r="X214" s="128">
        <v>0.75</v>
      </c>
      <c r="Y214" s="129">
        <f t="shared" si="30"/>
        <v>44893.75</v>
      </c>
      <c r="Z214" s="130">
        <f t="shared" si="31"/>
        <v>12</v>
      </c>
      <c r="AA214" s="130">
        <f t="shared" si="57"/>
        <v>1</v>
      </c>
      <c r="AB214" s="142">
        <v>143057</v>
      </c>
      <c r="AC214" s="143">
        <v>598</v>
      </c>
      <c r="AD214" s="144">
        <f t="shared" si="74"/>
        <v>16</v>
      </c>
      <c r="AE214" s="133">
        <f t="shared" si="58"/>
        <v>3387</v>
      </c>
      <c r="AF214" s="134">
        <f t="shared" si="32"/>
        <v>239.22575250836121</v>
      </c>
      <c r="AG214" s="135">
        <f t="shared" si="59"/>
        <v>211.6875</v>
      </c>
      <c r="AH214" s="135">
        <f t="shared" si="92"/>
        <v>217.92</v>
      </c>
      <c r="AI214" s="131">
        <f t="shared" si="33"/>
        <v>143057</v>
      </c>
      <c r="AJ214" s="469">
        <f t="shared" si="34"/>
        <v>598</v>
      </c>
      <c r="AK214" s="131">
        <f t="shared" si="35"/>
        <v>143057</v>
      </c>
      <c r="AL214" s="469">
        <f t="shared" si="36"/>
        <v>598</v>
      </c>
      <c r="AM214" s="133">
        <f t="shared" si="85"/>
        <v>136295.8129696837</v>
      </c>
      <c r="AN214" s="133">
        <f t="shared" si="94"/>
        <v>6761.1870303163014</v>
      </c>
      <c r="AO214" s="146">
        <f t="shared" si="87"/>
        <v>563</v>
      </c>
      <c r="AP214" s="94">
        <f t="shared" si="88"/>
        <v>35</v>
      </c>
      <c r="AQ214" s="133">
        <f t="shared" si="89"/>
        <v>229737.92176999047</v>
      </c>
      <c r="AR214" s="133">
        <f t="shared" si="95"/>
        <v>-86680.921769990469</v>
      </c>
      <c r="AS214" s="146">
        <f t="shared" si="91"/>
        <v>1000</v>
      </c>
      <c r="AT214" s="94">
        <f t="shared" si="45"/>
        <v>-402</v>
      </c>
      <c r="AU214" s="133">
        <f t="shared" si="46"/>
        <v>3387</v>
      </c>
      <c r="AV214" s="133">
        <f t="shared" si="38"/>
        <v>11921.416666666666</v>
      </c>
      <c r="AW214" s="131">
        <f t="shared" si="47"/>
        <v>143057</v>
      </c>
      <c r="AX214" s="68">
        <f t="shared" si="48"/>
        <v>598</v>
      </c>
      <c r="AY214" s="146">
        <f t="shared" si="49"/>
        <v>16</v>
      </c>
      <c r="AZ214" s="146">
        <f t="shared" si="50"/>
        <v>3387</v>
      </c>
      <c r="BA214" s="137">
        <f t="shared" si="65"/>
        <v>1.4565236088414896E-2</v>
      </c>
      <c r="BB214" s="461">
        <f t="shared" si="66"/>
        <v>0.61519308506063475</v>
      </c>
      <c r="BC214" s="138">
        <f t="shared" si="67"/>
        <v>1.6376663254861822E-2</v>
      </c>
      <c r="BD214" s="138">
        <f t="shared" si="77"/>
        <v>0.61207778915046096</v>
      </c>
      <c r="BE214" s="131">
        <v>221864</v>
      </c>
      <c r="BF214" s="68">
        <v>976</v>
      </c>
      <c r="BG214" s="146">
        <f t="shared" si="78"/>
        <v>41</v>
      </c>
      <c r="BH214" s="146">
        <f t="shared" si="79"/>
        <v>9070</v>
      </c>
      <c r="BI214" s="137">
        <f t="shared" si="68"/>
        <v>2.3302058391310155E-2</v>
      </c>
      <c r="BJ214" s="461">
        <f t="shared" si="69"/>
        <v>0.569998664049574</v>
      </c>
      <c r="BK214" s="138">
        <f t="shared" si="70"/>
        <v>2.4758454106280192E-2</v>
      </c>
      <c r="BL214" s="138">
        <f t="shared" si="80"/>
        <v>0.58937198067632857</v>
      </c>
      <c r="BM214" s="131">
        <v>169780</v>
      </c>
      <c r="BN214" s="68">
        <v>1189</v>
      </c>
      <c r="BO214" s="146">
        <f t="shared" si="81"/>
        <v>26</v>
      </c>
      <c r="BP214" s="146">
        <f t="shared" si="82"/>
        <v>3375</v>
      </c>
      <c r="BQ214" s="137">
        <f t="shared" si="71"/>
        <v>1.4110239644129304E-2</v>
      </c>
      <c r="BR214" s="461">
        <f t="shared" si="72"/>
        <v>0.70981821830526615</v>
      </c>
      <c r="BS214" s="138">
        <f t="shared" si="73"/>
        <v>1.5625E-2</v>
      </c>
      <c r="BT214" s="138">
        <f t="shared" si="83"/>
        <v>0.71454326923076938</v>
      </c>
      <c r="BU214" s="137">
        <v>4.371062543749514E-2</v>
      </c>
      <c r="BV214" s="461">
        <v>0.60241552871634763</v>
      </c>
      <c r="BW214" s="138">
        <v>4.048582995951417E-2</v>
      </c>
      <c r="BX214" s="138">
        <v>0.62955465587044546</v>
      </c>
      <c r="BY214" s="137">
        <v>1.3118103469243804E-2</v>
      </c>
      <c r="BZ214" s="461">
        <v>0.57795866743418667</v>
      </c>
      <c r="CA214" s="138">
        <v>1.3761467889908258E-2</v>
      </c>
      <c r="CB214" s="138">
        <v>0.60397553516819569</v>
      </c>
      <c r="CC214" s="137">
        <v>1.8130537524700806E-2</v>
      </c>
      <c r="CD214" s="461">
        <f t="shared" si="51"/>
        <v>0.50518057241367187</v>
      </c>
      <c r="CE214" s="138">
        <v>1.984126984126984E-2</v>
      </c>
      <c r="CF214" s="138">
        <f>SUM(CE$201:CE214)</f>
        <v>0.49074074074074076</v>
      </c>
      <c r="CG214" s="139">
        <f>Vergleich!C15</f>
        <v>36986</v>
      </c>
      <c r="CH214" s="137">
        <v>3.6618814660357768E-2</v>
      </c>
      <c r="CI214" s="461">
        <f t="shared" si="52"/>
        <v>0.59324725318790605</v>
      </c>
      <c r="CJ214" s="138">
        <v>4.3227665706051854E-2</v>
      </c>
      <c r="CK214" s="138">
        <f>SUM(CJ$201:CJ214)</f>
        <v>0.55619596541786742</v>
      </c>
      <c r="CL214" s="139">
        <v>125000</v>
      </c>
      <c r="CM214" s="461">
        <f>L214/$CL$225</f>
        <v>0.43795569289846087</v>
      </c>
      <c r="CN214" s="236"/>
      <c r="CO214" s="236"/>
      <c r="CP214" s="236"/>
      <c r="CQ214" s="236"/>
      <c r="CR214" s="236"/>
      <c r="CS214" s="236"/>
      <c r="CT214" s="236"/>
      <c r="CU214" s="236"/>
      <c r="CV214" s="236"/>
      <c r="CW214" s="236"/>
      <c r="CX214" s="236"/>
      <c r="CY214" s="236"/>
      <c r="CZ214" s="236"/>
      <c r="DA214" s="236"/>
      <c r="DB214" s="236"/>
      <c r="DC214" s="236"/>
      <c r="DD214" s="236"/>
      <c r="DE214" s="236"/>
      <c r="DF214" s="236"/>
    </row>
    <row r="215" spans="1:110" s="141" customFormat="1" x14ac:dyDescent="0.3">
      <c r="A215" s="228"/>
      <c r="B215" s="236"/>
      <c r="C215" s="236"/>
      <c r="D215" s="236"/>
      <c r="E215" s="232">
        <v>13</v>
      </c>
      <c r="F215" s="364"/>
      <c r="G215" s="286">
        <f t="shared" si="39"/>
        <v>44894.75</v>
      </c>
      <c r="H215" s="255">
        <f t="shared" si="40"/>
        <v>149744</v>
      </c>
      <c r="I215" s="256">
        <f t="shared" si="41"/>
        <v>138622.70101469781</v>
      </c>
      <c r="J215" s="256">
        <f t="shared" si="42"/>
        <v>236439.59528982913</v>
      </c>
      <c r="K215" s="257">
        <v>89062</v>
      </c>
      <c r="L215" s="257"/>
      <c r="M215" s="257">
        <f t="shared" si="43"/>
        <v>172436</v>
      </c>
      <c r="N215" s="257">
        <v>229701</v>
      </c>
      <c r="O215" s="364"/>
      <c r="P215" s="257"/>
      <c r="Q215" s="257">
        <f t="shared" si="53"/>
        <v>149744</v>
      </c>
      <c r="R215" s="257">
        <f t="shared" si="54"/>
        <v>149744</v>
      </c>
      <c r="S215" s="443"/>
      <c r="T215" s="89"/>
      <c r="U215" s="147">
        <v>13</v>
      </c>
      <c r="V215" s="444">
        <f t="shared" si="55"/>
        <v>3</v>
      </c>
      <c r="W215" s="127">
        <f t="shared" si="56"/>
        <v>44894</v>
      </c>
      <c r="X215" s="128">
        <v>0.75</v>
      </c>
      <c r="Y215" s="129">
        <f t="shared" si="30"/>
        <v>44894.75</v>
      </c>
      <c r="Z215" s="130">
        <f t="shared" si="31"/>
        <v>13</v>
      </c>
      <c r="AA215" s="130">
        <f t="shared" si="57"/>
        <v>1</v>
      </c>
      <c r="AB215" s="142">
        <v>149744</v>
      </c>
      <c r="AC215" s="143">
        <v>624</v>
      </c>
      <c r="AD215" s="144">
        <f t="shared" si="74"/>
        <v>26</v>
      </c>
      <c r="AE215" s="133">
        <f t="shared" si="58"/>
        <v>6687</v>
      </c>
      <c r="AF215" s="134">
        <f t="shared" si="32"/>
        <v>239.97435897435898</v>
      </c>
      <c r="AG215" s="135">
        <f t="shared" si="59"/>
        <v>257.19230769230768</v>
      </c>
      <c r="AH215" s="135">
        <f t="shared" si="92"/>
        <v>231.69411764705882</v>
      </c>
      <c r="AI215" s="131">
        <f t="shared" si="33"/>
        <v>149744</v>
      </c>
      <c r="AJ215" s="469">
        <f t="shared" si="34"/>
        <v>624</v>
      </c>
      <c r="AK215" s="131">
        <f t="shared" si="35"/>
        <v>149744</v>
      </c>
      <c r="AL215" s="469">
        <f t="shared" si="36"/>
        <v>624</v>
      </c>
      <c r="AM215" s="133">
        <f t="shared" si="85"/>
        <v>138622.70101469781</v>
      </c>
      <c r="AN215" s="133">
        <f t="shared" si="94"/>
        <v>11121.298985302186</v>
      </c>
      <c r="AO215" s="146">
        <f t="shared" si="87"/>
        <v>574</v>
      </c>
      <c r="AP215" s="94">
        <f t="shared" si="88"/>
        <v>50</v>
      </c>
      <c r="AQ215" s="133">
        <f t="shared" si="89"/>
        <v>236439.59528982913</v>
      </c>
      <c r="AR215" s="133">
        <f t="shared" si="95"/>
        <v>-86695.595289829129</v>
      </c>
      <c r="AS215" s="146">
        <f t="shared" si="91"/>
        <v>1026</v>
      </c>
      <c r="AT215" s="94">
        <f t="shared" si="45"/>
        <v>-402</v>
      </c>
      <c r="AU215" s="133">
        <f t="shared" si="46"/>
        <v>6687</v>
      </c>
      <c r="AV215" s="133">
        <f t="shared" si="38"/>
        <v>11518.76923076923</v>
      </c>
      <c r="AW215" s="131">
        <f t="shared" si="47"/>
        <v>149744</v>
      </c>
      <c r="AX215" s="68">
        <f t="shared" si="48"/>
        <v>624</v>
      </c>
      <c r="AY215" s="146">
        <f t="shared" si="49"/>
        <v>26</v>
      </c>
      <c r="AZ215" s="146">
        <f t="shared" si="50"/>
        <v>6687</v>
      </c>
      <c r="BA215" s="137">
        <f t="shared" si="65"/>
        <v>2.8756342994753589E-2</v>
      </c>
      <c r="BB215" s="137">
        <f t="shared" si="66"/>
        <v>0.64394942805538835</v>
      </c>
      <c r="BC215" s="138">
        <f t="shared" si="67"/>
        <v>2.6612077789150462E-2</v>
      </c>
      <c r="BD215" s="138">
        <f t="shared" si="77"/>
        <v>0.63868986693961138</v>
      </c>
      <c r="BE215" s="131">
        <v>229701</v>
      </c>
      <c r="BF215" s="68">
        <v>1011</v>
      </c>
      <c r="BG215" s="146">
        <f t="shared" si="78"/>
        <v>35</v>
      </c>
      <c r="BH215" s="146">
        <f t="shared" si="79"/>
        <v>7837</v>
      </c>
      <c r="BI215" s="137">
        <f t="shared" si="68"/>
        <v>2.0134314400517939E-2</v>
      </c>
      <c r="BJ215" s="137">
        <f t="shared" si="69"/>
        <v>0.59013297845009194</v>
      </c>
      <c r="BK215" s="138">
        <f t="shared" si="70"/>
        <v>2.1135265700483092E-2</v>
      </c>
      <c r="BL215" s="138">
        <f t="shared" si="80"/>
        <v>0.61050724637681164</v>
      </c>
      <c r="BM215" s="131">
        <v>172436</v>
      </c>
      <c r="BN215" s="68">
        <v>1205</v>
      </c>
      <c r="BO215" s="146">
        <f t="shared" si="81"/>
        <v>16</v>
      </c>
      <c r="BP215" s="146">
        <f t="shared" si="82"/>
        <v>2656</v>
      </c>
      <c r="BQ215" s="137">
        <f t="shared" si="71"/>
        <v>1.1104235998461462E-2</v>
      </c>
      <c r="BR215" s="137">
        <f t="shared" si="72"/>
        <v>0.72092245430372759</v>
      </c>
      <c r="BS215" s="138">
        <f t="shared" si="73"/>
        <v>9.6153846153846159E-3</v>
      </c>
      <c r="BT215" s="138">
        <f t="shared" si="83"/>
        <v>0.72415865384615397</v>
      </c>
      <c r="BU215" s="137">
        <v>1.518872012533194E-2</v>
      </c>
      <c r="BV215" s="137">
        <v>0.61760424884167953</v>
      </c>
      <c r="BW215" s="138">
        <v>1.6194331983805668E-2</v>
      </c>
      <c r="BX215" s="138">
        <v>0.64574898785425117</v>
      </c>
      <c r="BY215" s="137">
        <v>2.2644538312483278E-2</v>
      </c>
      <c r="BZ215" s="137">
        <v>0.60060320574666992</v>
      </c>
      <c r="CA215" s="138">
        <v>2.2935779816513763E-2</v>
      </c>
      <c r="CB215" s="138">
        <v>0.62691131498470942</v>
      </c>
      <c r="CC215" s="137">
        <v>1.7051618085973462E-2</v>
      </c>
      <c r="CD215" s="137">
        <f t="shared" si="51"/>
        <v>0.52223219049964531</v>
      </c>
      <c r="CE215" s="138">
        <v>1.984126984126984E-2</v>
      </c>
      <c r="CF215" s="138">
        <f>SUM(CE$201:CE215)</f>
        <v>0.51058201058201058</v>
      </c>
      <c r="CG215" s="139">
        <f>Vergleich!C16</f>
        <v>37704</v>
      </c>
      <c r="CH215" s="137">
        <v>1.1516561071457154E-2</v>
      </c>
      <c r="CI215" s="137">
        <f t="shared" si="52"/>
        <v>0.60476381425936321</v>
      </c>
      <c r="CJ215" s="138">
        <v>1.1527377521613813E-2</v>
      </c>
      <c r="CK215" s="138">
        <f>SUM(CJ$201:CJ215)</f>
        <v>0.56772334293948123</v>
      </c>
      <c r="CL215" s="139"/>
      <c r="CM215" s="137"/>
      <c r="CN215" s="236"/>
      <c r="CO215" s="236"/>
      <c r="CP215" s="236"/>
      <c r="CQ215" s="236"/>
      <c r="CR215" s="236"/>
      <c r="CS215" s="236"/>
      <c r="CT215" s="236"/>
      <c r="CU215" s="236"/>
      <c r="CV215" s="236"/>
      <c r="CW215" s="236"/>
      <c r="CX215" s="236"/>
      <c r="CY215" s="236"/>
      <c r="CZ215" s="236"/>
      <c r="DA215" s="236"/>
      <c r="DB215" s="236"/>
      <c r="DC215" s="236"/>
      <c r="DD215" s="236"/>
      <c r="DE215" s="236"/>
      <c r="DF215" s="236"/>
    </row>
    <row r="216" spans="1:110" s="141" customFormat="1" x14ac:dyDescent="0.3">
      <c r="A216" s="228"/>
      <c r="B216" s="236"/>
      <c r="C216" s="236"/>
      <c r="D216" s="236"/>
      <c r="E216" s="232">
        <v>14</v>
      </c>
      <c r="F216" s="364"/>
      <c r="G216" s="286">
        <f t="shared" si="39"/>
        <v>44895.75</v>
      </c>
      <c r="H216" s="255">
        <f t="shared" si="40"/>
        <v>155980</v>
      </c>
      <c r="I216" s="256">
        <f t="shared" si="41"/>
        <v>141860.98021627008</v>
      </c>
      <c r="J216" s="256">
        <f t="shared" si="42"/>
        <v>247019.45864400212</v>
      </c>
      <c r="K216" s="257">
        <v>93109</v>
      </c>
      <c r="L216" s="257"/>
      <c r="M216" s="257">
        <f t="shared" si="43"/>
        <v>176629</v>
      </c>
      <c r="N216" s="257">
        <v>240791</v>
      </c>
      <c r="O216" s="364"/>
      <c r="P216" s="257"/>
      <c r="Q216" s="257">
        <f t="shared" si="53"/>
        <v>155980</v>
      </c>
      <c r="R216" s="257">
        <f t="shared" si="54"/>
        <v>155980</v>
      </c>
      <c r="S216" s="443"/>
      <c r="T216" s="89"/>
      <c r="U216" s="147">
        <v>14</v>
      </c>
      <c r="V216" s="444">
        <f t="shared" si="55"/>
        <v>4</v>
      </c>
      <c r="W216" s="127">
        <f t="shared" si="56"/>
        <v>44895</v>
      </c>
      <c r="X216" s="128">
        <v>0.75</v>
      </c>
      <c r="Y216" s="129">
        <f t="shared" si="30"/>
        <v>44895.75</v>
      </c>
      <c r="Z216" s="130">
        <f t="shared" si="31"/>
        <v>14</v>
      </c>
      <c r="AA216" s="130">
        <f t="shared" si="57"/>
        <v>1</v>
      </c>
      <c r="AB216" s="142">
        <v>155980</v>
      </c>
      <c r="AC216" s="143">
        <v>650</v>
      </c>
      <c r="AD216" s="144">
        <f t="shared" si="74"/>
        <v>26</v>
      </c>
      <c r="AE216" s="133">
        <f t="shared" si="58"/>
        <v>6236</v>
      </c>
      <c r="AF216" s="134">
        <f t="shared" si="32"/>
        <v>239.96923076923076</v>
      </c>
      <c r="AG216" s="135">
        <f t="shared" si="59"/>
        <v>239.84615384615384</v>
      </c>
      <c r="AH216" s="135">
        <f t="shared" si="92"/>
        <v>229.94949494949495</v>
      </c>
      <c r="AI216" s="131">
        <f t="shared" si="33"/>
        <v>155980</v>
      </c>
      <c r="AJ216" s="469">
        <f t="shared" si="34"/>
        <v>650</v>
      </c>
      <c r="AK216" s="131">
        <f t="shared" si="35"/>
        <v>155980</v>
      </c>
      <c r="AL216" s="469">
        <f t="shared" si="36"/>
        <v>650</v>
      </c>
      <c r="AM216" s="133">
        <f t="shared" si="85"/>
        <v>141860.98021627008</v>
      </c>
      <c r="AN216" s="133">
        <f t="shared" si="94"/>
        <v>14119.01978372992</v>
      </c>
      <c r="AO216" s="146">
        <f t="shared" si="87"/>
        <v>586</v>
      </c>
      <c r="AP216" s="94">
        <f t="shared" si="88"/>
        <v>64</v>
      </c>
      <c r="AQ216" s="133">
        <f t="shared" si="89"/>
        <v>247019.45864400212</v>
      </c>
      <c r="AR216" s="133">
        <f t="shared" si="95"/>
        <v>-91039.458644002123</v>
      </c>
      <c r="AS216" s="146">
        <f t="shared" si="91"/>
        <v>1069</v>
      </c>
      <c r="AT216" s="94">
        <f t="shared" si="45"/>
        <v>-419</v>
      </c>
      <c r="AU216" s="133">
        <f t="shared" si="46"/>
        <v>6236</v>
      </c>
      <c r="AV216" s="133">
        <f t="shared" si="38"/>
        <v>11141.428571428571</v>
      </c>
      <c r="AW216" s="131">
        <f t="shared" si="47"/>
        <v>155980</v>
      </c>
      <c r="AX216" s="68">
        <f t="shared" si="48"/>
        <v>650</v>
      </c>
      <c r="AY216" s="146">
        <f t="shared" si="49"/>
        <v>26</v>
      </c>
      <c r="AZ216" s="146">
        <f t="shared" si="50"/>
        <v>6236</v>
      </c>
      <c r="BA216" s="137">
        <f t="shared" si="65"/>
        <v>2.681689171755397E-2</v>
      </c>
      <c r="BB216" s="137">
        <f t="shared" si="66"/>
        <v>0.67076631977294232</v>
      </c>
      <c r="BC216" s="138">
        <f t="shared" si="67"/>
        <v>2.6612077789150462E-2</v>
      </c>
      <c r="BD216" s="138">
        <f t="shared" si="77"/>
        <v>0.66530194472876181</v>
      </c>
      <c r="BE216" s="131">
        <v>240791</v>
      </c>
      <c r="BF216" s="68">
        <v>1060</v>
      </c>
      <c r="BG216" s="146">
        <f t="shared" si="78"/>
        <v>49</v>
      </c>
      <c r="BH216" s="146">
        <f t="shared" si="79"/>
        <v>11090</v>
      </c>
      <c r="BI216" s="137">
        <f t="shared" si="68"/>
        <v>2.8491711969088163E-2</v>
      </c>
      <c r="BJ216" s="137">
        <f t="shared" si="69"/>
        <v>0.61862469041918011</v>
      </c>
      <c r="BK216" s="138">
        <f t="shared" si="70"/>
        <v>2.9589371980676328E-2</v>
      </c>
      <c r="BL216" s="138">
        <f t="shared" si="80"/>
        <v>0.64009661835748799</v>
      </c>
      <c r="BM216" s="131">
        <v>176629</v>
      </c>
      <c r="BN216" s="68">
        <v>1232</v>
      </c>
      <c r="BO216" s="146">
        <f t="shared" si="81"/>
        <v>27</v>
      </c>
      <c r="BP216" s="146">
        <f t="shared" si="82"/>
        <v>4193</v>
      </c>
      <c r="BQ216" s="137">
        <f t="shared" si="71"/>
        <v>1.7530143652691607E-2</v>
      </c>
      <c r="BR216" s="137">
        <f t="shared" si="72"/>
        <v>0.73845259795641927</v>
      </c>
      <c r="BS216" s="138">
        <f t="shared" si="73"/>
        <v>1.622596153846154E-2</v>
      </c>
      <c r="BT216" s="138">
        <f t="shared" si="83"/>
        <v>0.74038461538461553</v>
      </c>
      <c r="BU216" s="137">
        <v>2.3033077410250999E-2</v>
      </c>
      <c r="BV216" s="137">
        <v>0.64063732625193048</v>
      </c>
      <c r="BW216" s="138">
        <v>2.2267206477732792E-2</v>
      </c>
      <c r="BX216" s="138">
        <v>0.668016194331984</v>
      </c>
      <c r="BY216" s="137">
        <v>1.0799328690378706E-2</v>
      </c>
      <c r="BZ216" s="137">
        <v>0.61140253443704862</v>
      </c>
      <c r="CA216" s="138">
        <v>1.0703363914373088E-2</v>
      </c>
      <c r="CB216" s="138">
        <v>0.63761467889908252</v>
      </c>
      <c r="CC216" s="137">
        <v>2.3730363959399793E-2</v>
      </c>
      <c r="CD216" s="137">
        <f t="shared" si="51"/>
        <v>0.54596255445904507</v>
      </c>
      <c r="CE216" s="138">
        <v>2.2486772486772486E-2</v>
      </c>
      <c r="CF216" s="138">
        <f>SUM(CE$201:CE216)</f>
        <v>0.53306878306878303</v>
      </c>
      <c r="CG216" s="139">
        <f>Vergleich!C17</f>
        <v>38541</v>
      </c>
      <c r="CH216" s="137">
        <v>1.342529473093268E-2</v>
      </c>
      <c r="CI216" s="137">
        <f t="shared" si="52"/>
        <v>0.61818910899029589</v>
      </c>
      <c r="CJ216" s="138">
        <v>2.3054755043227737E-2</v>
      </c>
      <c r="CK216" s="138">
        <f>SUM(CJ$201:CJ216)</f>
        <v>0.59077809798270897</v>
      </c>
      <c r="CL216" s="139"/>
      <c r="CM216" s="137"/>
      <c r="CN216" s="236"/>
      <c r="CO216" s="236"/>
      <c r="CP216" s="236"/>
      <c r="CQ216" s="236"/>
      <c r="CR216" s="236"/>
      <c r="CS216" s="236"/>
      <c r="CT216" s="236"/>
      <c r="CU216" s="236"/>
      <c r="CV216" s="236"/>
      <c r="CW216" s="236"/>
      <c r="CX216" s="236"/>
      <c r="CY216" s="236"/>
      <c r="CZ216" s="236"/>
      <c r="DA216" s="236"/>
      <c r="DB216" s="236"/>
      <c r="DC216" s="236"/>
      <c r="DD216" s="236"/>
      <c r="DE216" s="236"/>
      <c r="DF216" s="236"/>
    </row>
    <row r="217" spans="1:110" s="141" customFormat="1" x14ac:dyDescent="0.3">
      <c r="A217" s="228"/>
      <c r="B217" s="236"/>
      <c r="C217" s="236"/>
      <c r="D217" s="236"/>
      <c r="E217" s="232">
        <v>15</v>
      </c>
      <c r="F217" s="364"/>
      <c r="G217" s="286">
        <f t="shared" si="39"/>
        <v>44896.75</v>
      </c>
      <c r="H217" s="255">
        <f t="shared" si="40"/>
        <v>165152</v>
      </c>
      <c r="I217" s="256">
        <f t="shared" si="41"/>
        <v>145347.31144464921</v>
      </c>
      <c r="J217" s="256">
        <f t="shared" si="42"/>
        <v>276399.83758413815</v>
      </c>
      <c r="K217" s="257">
        <v>97466</v>
      </c>
      <c r="L217" s="257"/>
      <c r="M217" s="257">
        <f t="shared" si="43"/>
        <v>188273</v>
      </c>
      <c r="N217" s="257">
        <v>249000</v>
      </c>
      <c r="O217" s="364"/>
      <c r="P217" s="257"/>
      <c r="Q217" s="257">
        <f t="shared" si="53"/>
        <v>165152</v>
      </c>
      <c r="R217" s="257">
        <f t="shared" si="54"/>
        <v>165152</v>
      </c>
      <c r="S217" s="443"/>
      <c r="T217" s="89"/>
      <c r="U217" s="147">
        <v>15</v>
      </c>
      <c r="V217" s="444">
        <f t="shared" si="55"/>
        <v>5</v>
      </c>
      <c r="W217" s="127">
        <f t="shared" si="56"/>
        <v>44896</v>
      </c>
      <c r="X217" s="128">
        <v>0.75</v>
      </c>
      <c r="Y217" s="129">
        <f t="shared" si="30"/>
        <v>44896.75</v>
      </c>
      <c r="Z217" s="130">
        <f t="shared" si="31"/>
        <v>15</v>
      </c>
      <c r="AA217" s="130">
        <f t="shared" si="57"/>
        <v>1</v>
      </c>
      <c r="AB217" s="142">
        <v>165152</v>
      </c>
      <c r="AC217" s="143">
        <v>690</v>
      </c>
      <c r="AD217" s="144">
        <f t="shared" si="74"/>
        <v>40</v>
      </c>
      <c r="AE217" s="133">
        <f t="shared" si="58"/>
        <v>9172</v>
      </c>
      <c r="AF217" s="134">
        <f t="shared" si="32"/>
        <v>239.35072463768117</v>
      </c>
      <c r="AG217" s="135">
        <f t="shared" si="59"/>
        <v>229.3</v>
      </c>
      <c r="AH217" s="135">
        <f t="shared" si="92"/>
        <v>227.49600000000001</v>
      </c>
      <c r="AI217" s="131">
        <f t="shared" si="33"/>
        <v>165152</v>
      </c>
      <c r="AJ217" s="469">
        <f t="shared" si="34"/>
        <v>690</v>
      </c>
      <c r="AK217" s="131">
        <f t="shared" si="35"/>
        <v>165152</v>
      </c>
      <c r="AL217" s="469">
        <f t="shared" si="36"/>
        <v>690</v>
      </c>
      <c r="AM217" s="133">
        <f t="shared" si="85"/>
        <v>145347.31144464921</v>
      </c>
      <c r="AN217" s="133">
        <f t="shared" si="94"/>
        <v>19804.688555350789</v>
      </c>
      <c r="AO217" s="146">
        <f t="shared" si="87"/>
        <v>600</v>
      </c>
      <c r="AP217" s="94">
        <f t="shared" si="88"/>
        <v>90</v>
      </c>
      <c r="AQ217" s="133">
        <f t="shared" si="89"/>
        <v>276399.83758413815</v>
      </c>
      <c r="AR217" s="133">
        <f t="shared" si="95"/>
        <v>-111247.83758413815</v>
      </c>
      <c r="AS217" s="146">
        <f t="shared" si="91"/>
        <v>1199</v>
      </c>
      <c r="AT217" s="94">
        <f t="shared" si="45"/>
        <v>-509</v>
      </c>
      <c r="AU217" s="133">
        <f t="shared" si="46"/>
        <v>9172</v>
      </c>
      <c r="AV217" s="133">
        <f t="shared" si="38"/>
        <v>11010.133333333333</v>
      </c>
      <c r="AW217" s="131">
        <f t="shared" si="47"/>
        <v>165152</v>
      </c>
      <c r="AX217" s="68">
        <f t="shared" si="48"/>
        <v>690</v>
      </c>
      <c r="AY217" s="146">
        <f t="shared" si="49"/>
        <v>40</v>
      </c>
      <c r="AZ217" s="146">
        <f t="shared" si="50"/>
        <v>9172</v>
      </c>
      <c r="BA217" s="137">
        <f t="shared" si="65"/>
        <v>3.9442676528769247E-2</v>
      </c>
      <c r="BB217" s="137">
        <f t="shared" si="66"/>
        <v>0.71020899630171153</v>
      </c>
      <c r="BC217" s="138">
        <f t="shared" si="67"/>
        <v>4.0941658137154557E-2</v>
      </c>
      <c r="BD217" s="138">
        <f t="shared" si="77"/>
        <v>0.70624360286591636</v>
      </c>
      <c r="BE217" s="131">
        <v>249000</v>
      </c>
      <c r="BF217" s="68">
        <v>1096</v>
      </c>
      <c r="BG217" s="146">
        <f t="shared" si="78"/>
        <v>36</v>
      </c>
      <c r="BH217" s="146">
        <f t="shared" si="79"/>
        <v>8209</v>
      </c>
      <c r="BI217" s="137">
        <f t="shared" si="68"/>
        <v>2.1090032782168144E-2</v>
      </c>
      <c r="BJ217" s="137">
        <f t="shared" si="69"/>
        <v>0.63971472320134826</v>
      </c>
      <c r="BK217" s="138">
        <f t="shared" si="70"/>
        <v>2.1739130434782608E-2</v>
      </c>
      <c r="BL217" s="138">
        <f t="shared" si="80"/>
        <v>0.66183574879227058</v>
      </c>
      <c r="BM217" s="131">
        <v>188273</v>
      </c>
      <c r="BN217" s="68">
        <v>1313</v>
      </c>
      <c r="BO217" s="146">
        <f t="shared" si="81"/>
        <v>81</v>
      </c>
      <c r="BP217" s="146">
        <f t="shared" si="82"/>
        <v>11644</v>
      </c>
      <c r="BQ217" s="137">
        <f t="shared" si="71"/>
        <v>4.86813719751827E-2</v>
      </c>
      <c r="BR217" s="137">
        <f t="shared" si="72"/>
        <v>0.7871339699316019</v>
      </c>
      <c r="BS217" s="138">
        <f t="shared" si="73"/>
        <v>4.8677884615384616E-2</v>
      </c>
      <c r="BT217" s="138">
        <f t="shared" si="83"/>
        <v>0.78906250000000011</v>
      </c>
      <c r="BU217" s="137">
        <v>1.6622037532916301E-2</v>
      </c>
      <c r="BV217" s="137">
        <v>0.65725936378484673</v>
      </c>
      <c r="BW217" s="138">
        <v>1.417004048582996E-2</v>
      </c>
      <c r="BX217" s="138">
        <v>0.68218623481781393</v>
      </c>
      <c r="BY217" s="137">
        <v>1.3012704615659027E-2</v>
      </c>
      <c r="BZ217" s="137">
        <v>0.62441523905270768</v>
      </c>
      <c r="CA217" s="138">
        <v>1.5290519877675841E-2</v>
      </c>
      <c r="CB217" s="138">
        <v>0.65290519877675834</v>
      </c>
      <c r="CC217" s="137">
        <v>2.5548108665951298E-2</v>
      </c>
      <c r="CD217" s="137">
        <f t="shared" si="51"/>
        <v>0.57151066312499632</v>
      </c>
      <c r="CE217" s="138">
        <v>2.5132275132275131E-2</v>
      </c>
      <c r="CF217" s="138">
        <f>SUM(CE$201:CE217)</f>
        <v>0.55820105820105814</v>
      </c>
      <c r="CG217" s="139">
        <f>Vergleich!C18</f>
        <v>40401</v>
      </c>
      <c r="CH217" s="137">
        <v>2.9833988290961622E-2</v>
      </c>
      <c r="CI217" s="137">
        <f t="shared" si="52"/>
        <v>0.64802309728125751</v>
      </c>
      <c r="CJ217" s="138">
        <v>2.5936599423631135E-2</v>
      </c>
      <c r="CK217" s="138">
        <f>SUM(CJ$201:CJ217)</f>
        <v>0.61671469740634011</v>
      </c>
      <c r="CL217" s="139"/>
      <c r="CM217" s="137"/>
      <c r="CN217" s="236"/>
      <c r="CO217" s="236"/>
      <c r="CP217" s="236"/>
      <c r="CQ217" s="236"/>
      <c r="CR217" s="236"/>
      <c r="CS217" s="236"/>
      <c r="CT217" s="236"/>
      <c r="CU217" s="236"/>
      <c r="CV217" s="236"/>
      <c r="CW217" s="236"/>
      <c r="CX217" s="236"/>
      <c r="CY217" s="236"/>
      <c r="CZ217" s="236"/>
      <c r="DA217" s="236"/>
      <c r="DB217" s="236"/>
      <c r="DC217" s="236"/>
      <c r="DD217" s="236"/>
      <c r="DE217" s="236"/>
      <c r="DF217" s="236"/>
    </row>
    <row r="218" spans="1:110" s="141" customFormat="1" x14ac:dyDescent="0.3">
      <c r="A218" s="228"/>
      <c r="B218" s="236"/>
      <c r="C218" s="236"/>
      <c r="D218" s="236"/>
      <c r="E218" s="232">
        <v>16</v>
      </c>
      <c r="F218" s="364"/>
      <c r="G218" s="286">
        <f t="shared" si="39"/>
        <v>44897.75</v>
      </c>
      <c r="H218" s="255">
        <f t="shared" si="40"/>
        <v>174081</v>
      </c>
      <c r="I218" s="256">
        <f t="shared" si="41"/>
        <v>150137.11606550703</v>
      </c>
      <c r="J218" s="256">
        <f t="shared" si="42"/>
        <v>288993.23085880483</v>
      </c>
      <c r="K218" s="257">
        <v>103452</v>
      </c>
      <c r="L218" s="257"/>
      <c r="M218" s="257">
        <f t="shared" si="43"/>
        <v>193264</v>
      </c>
      <c r="N218" s="257">
        <v>257666</v>
      </c>
      <c r="O218" s="364"/>
      <c r="P218" s="257"/>
      <c r="Q218" s="257">
        <f t="shared" si="53"/>
        <v>174081</v>
      </c>
      <c r="R218" s="257">
        <f t="shared" si="54"/>
        <v>174081</v>
      </c>
      <c r="S218" s="443"/>
      <c r="T218" s="89"/>
      <c r="U218" s="147">
        <v>16</v>
      </c>
      <c r="V218" s="444">
        <f t="shared" si="55"/>
        <v>6</v>
      </c>
      <c r="W218" s="127">
        <f t="shared" si="56"/>
        <v>44897</v>
      </c>
      <c r="X218" s="128">
        <v>0.75</v>
      </c>
      <c r="Y218" s="129">
        <f t="shared" si="30"/>
        <v>44897.75</v>
      </c>
      <c r="Z218" s="130">
        <f t="shared" si="31"/>
        <v>16</v>
      </c>
      <c r="AA218" s="130">
        <f t="shared" si="57"/>
        <v>1</v>
      </c>
      <c r="AB218" s="131">
        <v>174081</v>
      </c>
      <c r="AC218" s="143">
        <v>729</v>
      </c>
      <c r="AD218" s="144">
        <f t="shared" si="74"/>
        <v>39</v>
      </c>
      <c r="AE218" s="133">
        <f t="shared" si="58"/>
        <v>8929</v>
      </c>
      <c r="AF218" s="134">
        <f t="shared" si="32"/>
        <v>238.79423868312756</v>
      </c>
      <c r="AG218" s="135">
        <f t="shared" si="59"/>
        <v>228.94871794871796</v>
      </c>
      <c r="AH218" s="135">
        <f t="shared" si="92"/>
        <v>234.08843537414967</v>
      </c>
      <c r="AI218" s="131">
        <f t="shared" ref="AI218" si="96">AB218</f>
        <v>174081</v>
      </c>
      <c r="AJ218" s="469">
        <f t="shared" ref="AJ218" si="97">AC218</f>
        <v>729</v>
      </c>
      <c r="AK218" s="131">
        <f t="shared" ref="AK218" si="98">AB218</f>
        <v>174081</v>
      </c>
      <c r="AL218" s="469">
        <f t="shared" ref="AL218" si="99">AC218</f>
        <v>729</v>
      </c>
      <c r="AM218" s="133">
        <f t="shared" si="85"/>
        <v>150137.11606550703</v>
      </c>
      <c r="AN218" s="133">
        <f t="shared" si="94"/>
        <v>23943.883934492973</v>
      </c>
      <c r="AO218" s="146">
        <f t="shared" si="87"/>
        <v>617</v>
      </c>
      <c r="AP218" s="94">
        <f t="shared" si="88"/>
        <v>112</v>
      </c>
      <c r="AQ218" s="133">
        <f t="shared" si="89"/>
        <v>288993.23085880483</v>
      </c>
      <c r="AR218" s="133">
        <f t="shared" si="95"/>
        <v>-114912.23085880483</v>
      </c>
      <c r="AS218" s="146">
        <f t="shared" si="91"/>
        <v>1259</v>
      </c>
      <c r="AT218" s="94">
        <f t="shared" si="45"/>
        <v>-530</v>
      </c>
      <c r="AU218" s="133">
        <f t="shared" si="46"/>
        <v>8929</v>
      </c>
      <c r="AV218" s="133">
        <f t="shared" si="38"/>
        <v>10880.0625</v>
      </c>
      <c r="AW218" s="131">
        <f t="shared" si="47"/>
        <v>174081</v>
      </c>
      <c r="AX218" s="68">
        <f t="shared" si="48"/>
        <v>729</v>
      </c>
      <c r="AY218" s="146">
        <f t="shared" si="49"/>
        <v>39</v>
      </c>
      <c r="AZ218" s="146">
        <f t="shared" si="50"/>
        <v>8929</v>
      </c>
      <c r="BA218" s="137">
        <f t="shared" si="65"/>
        <v>3.8397695020211578E-2</v>
      </c>
      <c r="BB218" s="137">
        <f t="shared" si="66"/>
        <v>0.74860669132192315</v>
      </c>
      <c r="BC218" s="138">
        <f t="shared" si="67"/>
        <v>3.9918116683725691E-2</v>
      </c>
      <c r="BD218" s="138">
        <f t="shared" si="77"/>
        <v>0.74616171954964206</v>
      </c>
      <c r="BE218" s="131">
        <v>257666</v>
      </c>
      <c r="BF218" s="68">
        <v>1134</v>
      </c>
      <c r="BG218" s="146">
        <f t="shared" si="78"/>
        <v>38</v>
      </c>
      <c r="BH218" s="146">
        <f t="shared" si="79"/>
        <v>8666</v>
      </c>
      <c r="BI218" s="137">
        <f t="shared" si="68"/>
        <v>2.2264127675754555E-2</v>
      </c>
      <c r="BJ218" s="137">
        <f t="shared" si="69"/>
        <v>0.66197885087710284</v>
      </c>
      <c r="BK218" s="138">
        <f t="shared" si="70"/>
        <v>2.2946859903381644E-2</v>
      </c>
      <c r="BL218" s="138">
        <f t="shared" si="80"/>
        <v>0.68478260869565222</v>
      </c>
      <c r="BM218" s="131">
        <v>193264</v>
      </c>
      <c r="BN218" s="68">
        <v>1350</v>
      </c>
      <c r="BO218" s="146">
        <f t="shared" si="81"/>
        <v>37</v>
      </c>
      <c r="BP218" s="146">
        <f t="shared" si="82"/>
        <v>4991</v>
      </c>
      <c r="BQ218" s="137">
        <f t="shared" si="71"/>
        <v>2.0866431426325736E-2</v>
      </c>
      <c r="BR218" s="137">
        <f t="shared" si="72"/>
        <v>0.80800040135792761</v>
      </c>
      <c r="BS218" s="138">
        <f t="shared" si="73"/>
        <v>2.2235576923076924E-2</v>
      </c>
      <c r="BT218" s="138">
        <f t="shared" si="83"/>
        <v>0.81129807692307698</v>
      </c>
      <c r="BU218" s="137">
        <v>2.9866334818502017E-2</v>
      </c>
      <c r="BV218" s="137">
        <v>0.68712569860334871</v>
      </c>
      <c r="BW218" s="138">
        <v>2.4291497975708502E-2</v>
      </c>
      <c r="BX218" s="138">
        <v>0.70647773279352244</v>
      </c>
      <c r="BY218" s="137">
        <v>2.4590363301740702E-2</v>
      </c>
      <c r="BZ218" s="137">
        <v>0.64900560235444837</v>
      </c>
      <c r="CA218" s="138">
        <v>2.5993883792048929E-2</v>
      </c>
      <c r="CB218" s="138">
        <v>0.67889908256880727</v>
      </c>
      <c r="CC218" s="137">
        <v>3.5100063914249358E-2</v>
      </c>
      <c r="CD218" s="137">
        <f t="shared" si="51"/>
        <v>0.60661072703924568</v>
      </c>
      <c r="CE218" s="138">
        <v>3.0423280423280422E-2</v>
      </c>
      <c r="CF218" s="138">
        <f>SUM(CE$201:CE218)</f>
        <v>0.58862433862433861</v>
      </c>
      <c r="CG218" s="139">
        <f>Vergleich!C19</f>
        <v>42277</v>
      </c>
      <c r="CH218" s="137">
        <v>3.0090624749378514E-2</v>
      </c>
      <c r="CI218" s="137">
        <f t="shared" si="52"/>
        <v>0.67811372203063602</v>
      </c>
      <c r="CJ218" s="138">
        <v>2.8818443804034533E-2</v>
      </c>
      <c r="CK218" s="138">
        <f>SUM(CJ$201:CJ218)</f>
        <v>0.64553314121037464</v>
      </c>
      <c r="CL218" s="139"/>
      <c r="CM218" s="137"/>
      <c r="CN218" s="236"/>
      <c r="CO218" s="236"/>
      <c r="CP218" s="236"/>
      <c r="CQ218" s="236"/>
      <c r="CR218" s="236"/>
      <c r="CS218" s="236"/>
      <c r="CT218" s="236"/>
      <c r="CU218" s="236"/>
      <c r="CV218" s="236"/>
      <c r="CW218" s="236"/>
      <c r="CX218" s="236"/>
      <c r="CY218" s="236"/>
      <c r="CZ218" s="236"/>
      <c r="DA218" s="236"/>
      <c r="DB218" s="236"/>
      <c r="DC218" s="236"/>
      <c r="DD218" s="236"/>
      <c r="DE218" s="236"/>
      <c r="DF218" s="236"/>
    </row>
    <row r="219" spans="1:110" s="141" customFormat="1" x14ac:dyDescent="0.3">
      <c r="A219" s="228"/>
      <c r="B219" s="236"/>
      <c r="C219" s="236"/>
      <c r="D219" s="236"/>
      <c r="E219" s="232">
        <v>17</v>
      </c>
      <c r="F219" s="364"/>
      <c r="G219" s="286">
        <f t="shared" si="39"/>
        <v>44898.75</v>
      </c>
      <c r="H219" s="255">
        <f t="shared" si="40"/>
        <v>181054</v>
      </c>
      <c r="I219" s="256">
        <f t="shared" si="41"/>
        <v>155014.13897966145</v>
      </c>
      <c r="J219" s="256">
        <f t="shared" si="42"/>
        <v>301601.76345618197</v>
      </c>
      <c r="K219" s="257">
        <v>109547</v>
      </c>
      <c r="L219" s="257"/>
      <c r="M219" s="257">
        <f t="shared" si="43"/>
        <v>198261</v>
      </c>
      <c r="N219" s="257">
        <v>268894</v>
      </c>
      <c r="O219" s="364"/>
      <c r="P219" s="257"/>
      <c r="Q219" s="257">
        <f t="shared" si="53"/>
        <v>181054</v>
      </c>
      <c r="R219" s="257">
        <f t="shared" si="54"/>
        <v>181054</v>
      </c>
      <c r="S219" s="443"/>
      <c r="T219" s="89"/>
      <c r="U219" s="147">
        <v>17</v>
      </c>
      <c r="V219" s="444">
        <f t="shared" si="55"/>
        <v>7</v>
      </c>
      <c r="W219" s="127">
        <f t="shared" si="56"/>
        <v>44898</v>
      </c>
      <c r="X219" s="128">
        <v>0.75</v>
      </c>
      <c r="Y219" s="129">
        <f t="shared" si="30"/>
        <v>44898.75</v>
      </c>
      <c r="Z219" s="130">
        <f t="shared" si="31"/>
        <v>17</v>
      </c>
      <c r="AA219" s="130">
        <f t="shared" si="57"/>
        <v>1</v>
      </c>
      <c r="AB219" s="131">
        <v>181054</v>
      </c>
      <c r="AC219" s="143">
        <v>757</v>
      </c>
      <c r="AD219" s="144">
        <f t="shared" si="74"/>
        <v>28</v>
      </c>
      <c r="AE219" s="133">
        <f t="shared" si="58"/>
        <v>6973</v>
      </c>
      <c r="AF219" s="134">
        <f t="shared" si="32"/>
        <v>239.17305151915457</v>
      </c>
      <c r="AG219" s="135">
        <f t="shared" si="59"/>
        <v>249.03571428571428</v>
      </c>
      <c r="AH219" s="135">
        <f t="shared" si="92"/>
        <v>238.9748427672956</v>
      </c>
      <c r="AI219" s="131">
        <f t="shared" ref="AI219:AI220" si="100">AB219</f>
        <v>181054</v>
      </c>
      <c r="AJ219" s="469">
        <f t="shared" ref="AJ219:AJ220" si="101">AC219</f>
        <v>757</v>
      </c>
      <c r="AK219" s="131">
        <f t="shared" ref="AK219:AK220" si="102">AB219</f>
        <v>181054</v>
      </c>
      <c r="AL219" s="469">
        <f t="shared" ref="AL219:AL220" si="103">AC219</f>
        <v>757</v>
      </c>
      <c r="AM219" s="133">
        <f t="shared" si="85"/>
        <v>155014.13897966145</v>
      </c>
      <c r="AN219" s="133">
        <f t="shared" si="94"/>
        <v>26039.861020338547</v>
      </c>
      <c r="AO219" s="146">
        <f t="shared" si="87"/>
        <v>636</v>
      </c>
      <c r="AP219" s="94">
        <f t="shared" si="88"/>
        <v>121</v>
      </c>
      <c r="AQ219" s="133">
        <f t="shared" si="89"/>
        <v>301601.76345618197</v>
      </c>
      <c r="AR219" s="133">
        <f t="shared" si="95"/>
        <v>-120547.76345618197</v>
      </c>
      <c r="AS219" s="146">
        <f t="shared" si="91"/>
        <v>1314</v>
      </c>
      <c r="AT219" s="94">
        <f t="shared" si="45"/>
        <v>-557</v>
      </c>
      <c r="AU219" s="133">
        <f t="shared" si="46"/>
        <v>6973</v>
      </c>
      <c r="AV219" s="133">
        <f t="shared" si="38"/>
        <v>10650.235294117647</v>
      </c>
      <c r="AW219" s="131">
        <f t="shared" si="47"/>
        <v>181054</v>
      </c>
      <c r="AX219" s="68">
        <f t="shared" si="48"/>
        <v>757</v>
      </c>
      <c r="AY219" s="146">
        <f t="shared" si="49"/>
        <v>28</v>
      </c>
      <c r="AZ219" s="146">
        <f t="shared" si="50"/>
        <v>6973</v>
      </c>
      <c r="BA219" s="137">
        <f t="shared" si="65"/>
        <v>2.9986238926636277E-2</v>
      </c>
      <c r="BB219" s="137">
        <f t="shared" si="66"/>
        <v>0.77859293024855936</v>
      </c>
      <c r="BC219" s="138">
        <f t="shared" si="67"/>
        <v>2.8659160696008188E-2</v>
      </c>
      <c r="BD219" s="138">
        <f t="shared" si="77"/>
        <v>0.77482088024565021</v>
      </c>
      <c r="BE219" s="131">
        <v>268894</v>
      </c>
      <c r="BF219" s="68">
        <v>1160</v>
      </c>
      <c r="BG219" s="146">
        <f t="shared" si="78"/>
        <v>26</v>
      </c>
      <c r="BH219" s="146">
        <f t="shared" si="79"/>
        <v>11228</v>
      </c>
      <c r="BI219" s="137">
        <f t="shared" si="68"/>
        <v>2.8846252659055174E-2</v>
      </c>
      <c r="BJ219" s="137">
        <f t="shared" si="69"/>
        <v>0.690825103536158</v>
      </c>
      <c r="BK219" s="138">
        <f t="shared" si="70"/>
        <v>1.570048309178744E-2</v>
      </c>
      <c r="BL219" s="138">
        <f t="shared" si="80"/>
        <v>0.70048309178743962</v>
      </c>
      <c r="BM219" s="131">
        <v>198261</v>
      </c>
      <c r="BN219" s="68">
        <v>1384</v>
      </c>
      <c r="BO219" s="146">
        <f t="shared" si="81"/>
        <v>34</v>
      </c>
      <c r="BP219" s="146">
        <f t="shared" si="82"/>
        <v>4997</v>
      </c>
      <c r="BQ219" s="137">
        <f t="shared" si="71"/>
        <v>2.0891516296804188E-2</v>
      </c>
      <c r="BR219" s="137">
        <f t="shared" si="72"/>
        <v>0.8288919176547318</v>
      </c>
      <c r="BS219" s="138">
        <f t="shared" si="73"/>
        <v>2.0432692307692308E-2</v>
      </c>
      <c r="BT219" s="138">
        <f t="shared" si="83"/>
        <v>0.83173076923076927</v>
      </c>
      <c r="BU219" s="137">
        <v>2.6844146176153598E-2</v>
      </c>
      <c r="BV219" s="137">
        <v>0.71396984477950232</v>
      </c>
      <c r="BW219" s="138">
        <v>2.8340080971659919E-2</v>
      </c>
      <c r="BX219" s="138">
        <v>0.7348178137651824</v>
      </c>
      <c r="BY219" s="137">
        <v>5.5001986363009868E-2</v>
      </c>
      <c r="BZ219" s="137">
        <v>0.70400758871745828</v>
      </c>
      <c r="CA219" s="138">
        <v>6.5749235474006115E-2</v>
      </c>
      <c r="CB219" s="138">
        <v>0.7446483180428134</v>
      </c>
      <c r="CC219" s="137">
        <v>3.5739206407843276E-2</v>
      </c>
      <c r="CD219" s="137">
        <f t="shared" si="51"/>
        <v>0.64234993344708891</v>
      </c>
      <c r="CE219" s="138">
        <v>3.439153439153439E-2</v>
      </c>
      <c r="CF219" s="138">
        <f>SUM(CE204:CE219)</f>
        <v>0.38624338624338628</v>
      </c>
      <c r="CG219" s="139">
        <f>Vergleich!C20</f>
        <v>44039</v>
      </c>
      <c r="CH219" s="137">
        <v>2.8262089983158156E-2</v>
      </c>
      <c r="CI219" s="137">
        <f t="shared" si="52"/>
        <v>0.70637581201379418</v>
      </c>
      <c r="CJ219" s="138">
        <v>2.5936599423631135E-2</v>
      </c>
      <c r="CK219" s="138">
        <f>SUM(CJ204:CJ219)</f>
        <v>0.46109510086455335</v>
      </c>
      <c r="CL219" s="139"/>
      <c r="CM219" s="137"/>
      <c r="CN219" s="236"/>
      <c r="CO219" s="236"/>
      <c r="CP219" s="236"/>
      <c r="CQ219" s="236"/>
      <c r="CR219" s="236"/>
      <c r="CS219" s="236"/>
      <c r="CT219" s="236"/>
      <c r="CU219" s="236"/>
      <c r="CV219" s="236"/>
      <c r="CW219" s="236"/>
      <c r="CX219" s="236"/>
      <c r="CY219" s="236"/>
      <c r="CZ219" s="236"/>
      <c r="DA219" s="236"/>
      <c r="DB219" s="236"/>
      <c r="DC219" s="236"/>
      <c r="DD219" s="236"/>
      <c r="DE219" s="236"/>
      <c r="DF219" s="236"/>
    </row>
    <row r="220" spans="1:110" s="141" customFormat="1" x14ac:dyDescent="0.3">
      <c r="A220" s="228"/>
      <c r="B220" s="236"/>
      <c r="C220" s="236"/>
      <c r="D220" s="236"/>
      <c r="E220" s="232">
        <v>18</v>
      </c>
      <c r="F220" s="364"/>
      <c r="G220" s="286">
        <f t="shared" si="39"/>
        <v>44899.75</v>
      </c>
      <c r="H220" s="255">
        <f t="shared" si="40"/>
        <v>187527</v>
      </c>
      <c r="I220" s="256">
        <f t="shared" si="41"/>
        <v>159713.52463590901</v>
      </c>
      <c r="J220" s="256">
        <f t="shared" si="42"/>
        <v>313859.56841076637</v>
      </c>
      <c r="K220" s="257">
        <v>115420</v>
      </c>
      <c r="L220" s="257"/>
      <c r="M220" s="257">
        <f t="shared" si="43"/>
        <v>203119</v>
      </c>
      <c r="N220" s="257">
        <v>280832</v>
      </c>
      <c r="O220" s="364"/>
      <c r="P220" s="257"/>
      <c r="Q220" s="257">
        <f t="shared" si="53"/>
        <v>187527</v>
      </c>
      <c r="R220" s="257">
        <f t="shared" si="54"/>
        <v>187527</v>
      </c>
      <c r="S220" s="443"/>
      <c r="T220" s="89"/>
      <c r="U220" s="147">
        <v>18</v>
      </c>
      <c r="V220" s="444">
        <f t="shared" si="55"/>
        <v>1</v>
      </c>
      <c r="W220" s="127">
        <f t="shared" si="56"/>
        <v>44899</v>
      </c>
      <c r="X220" s="128">
        <v>0.75</v>
      </c>
      <c r="Y220" s="129">
        <f t="shared" si="30"/>
        <v>44899.75</v>
      </c>
      <c r="Z220" s="130">
        <f t="shared" si="31"/>
        <v>18</v>
      </c>
      <c r="AA220" s="130">
        <f t="shared" si="57"/>
        <v>1</v>
      </c>
      <c r="AB220" s="131">
        <v>187527</v>
      </c>
      <c r="AC220" s="143">
        <v>781</v>
      </c>
      <c r="AD220" s="144">
        <f t="shared" si="74"/>
        <v>24</v>
      </c>
      <c r="AE220" s="133">
        <f t="shared" si="58"/>
        <v>6473</v>
      </c>
      <c r="AF220" s="134">
        <f t="shared" si="32"/>
        <v>240.11139564660692</v>
      </c>
      <c r="AG220" s="135">
        <f t="shared" si="59"/>
        <v>269.70833333333331</v>
      </c>
      <c r="AH220" s="135">
        <f t="shared" si="92"/>
        <v>240.656050955414</v>
      </c>
      <c r="AI220" s="131">
        <f t="shared" si="100"/>
        <v>187527</v>
      </c>
      <c r="AJ220" s="469">
        <f t="shared" si="101"/>
        <v>781</v>
      </c>
      <c r="AK220" s="131">
        <f t="shared" si="102"/>
        <v>187527</v>
      </c>
      <c r="AL220" s="469">
        <f t="shared" si="103"/>
        <v>781</v>
      </c>
      <c r="AM220" s="133">
        <f t="shared" si="85"/>
        <v>159713.52463590901</v>
      </c>
      <c r="AN220" s="133">
        <f t="shared" si="94"/>
        <v>27813.475364090991</v>
      </c>
      <c r="AO220" s="146">
        <f t="shared" si="87"/>
        <v>658</v>
      </c>
      <c r="AP220" s="94">
        <f t="shared" si="88"/>
        <v>123</v>
      </c>
      <c r="AQ220" s="133">
        <f t="shared" si="89"/>
        <v>313859.56841076637</v>
      </c>
      <c r="AR220" s="133">
        <f t="shared" si="95"/>
        <v>-126332.56841076637</v>
      </c>
      <c r="AS220" s="146">
        <f t="shared" si="91"/>
        <v>1370</v>
      </c>
      <c r="AT220" s="94">
        <f t="shared" si="45"/>
        <v>-589</v>
      </c>
      <c r="AU220" s="133">
        <f t="shared" si="46"/>
        <v>6473</v>
      </c>
      <c r="AV220" s="133">
        <f t="shared" si="38"/>
        <v>10418.166666666666</v>
      </c>
      <c r="AW220" s="131">
        <f t="shared" si="47"/>
        <v>187527</v>
      </c>
      <c r="AX220" s="68">
        <f t="shared" si="48"/>
        <v>781</v>
      </c>
      <c r="AY220" s="146">
        <f t="shared" si="49"/>
        <v>24</v>
      </c>
      <c r="AZ220" s="146">
        <f t="shared" si="50"/>
        <v>6473</v>
      </c>
      <c r="BA220" s="137">
        <f t="shared" si="65"/>
        <v>2.7836071213554657E-2</v>
      </c>
      <c r="BB220" s="137">
        <f t="shared" si="66"/>
        <v>0.80642900146211405</v>
      </c>
      <c r="BC220" s="138">
        <f t="shared" si="67"/>
        <v>2.4564994882292732E-2</v>
      </c>
      <c r="BD220" s="138">
        <f t="shared" si="77"/>
        <v>0.7993858751279429</v>
      </c>
      <c r="BE220" s="131">
        <v>280832</v>
      </c>
      <c r="BF220" s="68">
        <v>1210</v>
      </c>
      <c r="BG220" s="146">
        <f t="shared" si="78"/>
        <v>50</v>
      </c>
      <c r="BH220" s="146">
        <f t="shared" si="79"/>
        <v>11938</v>
      </c>
      <c r="BI220" s="137">
        <f t="shared" si="68"/>
        <v>3.0670338817581109E-2</v>
      </c>
      <c r="BJ220" s="137">
        <f t="shared" si="69"/>
        <v>0.72149544235373908</v>
      </c>
      <c r="BK220" s="138">
        <f t="shared" si="70"/>
        <v>3.0193236714975844E-2</v>
      </c>
      <c r="BL220" s="138">
        <f t="shared" si="80"/>
        <v>0.73067632850241548</v>
      </c>
      <c r="BM220" s="131">
        <v>203119</v>
      </c>
      <c r="BN220" s="68">
        <v>1419</v>
      </c>
      <c r="BO220" s="146">
        <f t="shared" si="81"/>
        <v>35</v>
      </c>
      <c r="BP220" s="146">
        <f t="shared" si="82"/>
        <v>4858</v>
      </c>
      <c r="BQ220" s="137">
        <f t="shared" si="71"/>
        <v>2.031038346405338E-2</v>
      </c>
      <c r="BR220" s="137">
        <f t="shared" si="72"/>
        <v>0.84920230111878525</v>
      </c>
      <c r="BS220" s="138">
        <f t="shared" si="73"/>
        <v>2.1033653846153848E-2</v>
      </c>
      <c r="BT220" s="138">
        <f t="shared" si="83"/>
        <v>0.85276442307692313</v>
      </c>
      <c r="BU220" s="137">
        <v>2.7677470250330551E-2</v>
      </c>
      <c r="BV220" s="137">
        <v>0.74164731502983283</v>
      </c>
      <c r="BW220" s="138">
        <v>2.8340080971659919E-2</v>
      </c>
      <c r="BX220" s="138">
        <v>0.76315789473684237</v>
      </c>
      <c r="BY220" s="137">
        <v>4.1681192790718413E-2</v>
      </c>
      <c r="BZ220" s="137">
        <v>0.74568878150817675</v>
      </c>
      <c r="CA220" s="138">
        <v>4.1284403669724773E-2</v>
      </c>
      <c r="CB220" s="138">
        <v>0.78593272171253814</v>
      </c>
      <c r="CC220" s="137">
        <v>3.4437466650248327E-2</v>
      </c>
      <c r="CD220" s="137">
        <f t="shared" si="51"/>
        <v>0.67678740009733729</v>
      </c>
      <c r="CE220" s="138">
        <v>3.968253968253968E-2</v>
      </c>
      <c r="CF220" s="138">
        <f>SUM(CE$201:CE220)</f>
        <v>0.66269841269841268</v>
      </c>
      <c r="CG220" s="139">
        <f>Vergleich!C21</f>
        <v>46661</v>
      </c>
      <c r="CH220" s="137">
        <v>4.205629962306523E-2</v>
      </c>
      <c r="CI220" s="137">
        <f t="shared" si="52"/>
        <v>0.74843211163685941</v>
      </c>
      <c r="CJ220" s="138">
        <v>4.8991354466858761E-2</v>
      </c>
      <c r="CK220" s="138">
        <f>SUM(CJ$201:CJ220)</f>
        <v>0.72046109510086453</v>
      </c>
      <c r="CL220" s="139"/>
      <c r="CM220" s="137"/>
      <c r="CN220" s="236"/>
      <c r="CO220" s="236"/>
      <c r="CP220" s="236"/>
      <c r="CQ220" s="236"/>
      <c r="CR220" s="236"/>
      <c r="CS220" s="236"/>
      <c r="CT220" s="236"/>
      <c r="CU220" s="236"/>
      <c r="CV220" s="236"/>
      <c r="CW220" s="236"/>
      <c r="CX220" s="236"/>
      <c r="CY220" s="236"/>
      <c r="CZ220" s="236"/>
      <c r="DA220" s="236"/>
      <c r="DB220" s="236"/>
      <c r="DC220" s="236"/>
      <c r="DD220" s="236"/>
      <c r="DE220" s="236"/>
      <c r="DF220" s="236"/>
    </row>
    <row r="221" spans="1:110" s="141" customFormat="1" x14ac:dyDescent="0.3">
      <c r="A221" s="228"/>
      <c r="B221" s="236"/>
      <c r="C221" s="236"/>
      <c r="D221" s="236"/>
      <c r="E221" s="232">
        <v>19</v>
      </c>
      <c r="F221" s="364"/>
      <c r="G221" s="286">
        <f t="shared" si="39"/>
        <v>44900.75</v>
      </c>
      <c r="H221" s="255">
        <f t="shared" si="40"/>
        <v>197700</v>
      </c>
      <c r="I221" s="256">
        <f t="shared" si="41"/>
        <v>166212.48773824898</v>
      </c>
      <c r="J221" s="256">
        <f t="shared" si="42"/>
        <v>336737.60824675171</v>
      </c>
      <c r="K221" s="257">
        <v>123542</v>
      </c>
      <c r="L221" s="257"/>
      <c r="M221" s="257">
        <f t="shared" si="43"/>
        <v>212186</v>
      </c>
      <c r="N221" s="257">
        <v>299641</v>
      </c>
      <c r="O221" s="364"/>
      <c r="P221" s="257"/>
      <c r="Q221" s="257">
        <f t="shared" si="53"/>
        <v>197700</v>
      </c>
      <c r="R221" s="257">
        <f t="shared" si="54"/>
        <v>197700</v>
      </c>
      <c r="S221" s="443"/>
      <c r="T221" s="89"/>
      <c r="U221" s="147">
        <v>19</v>
      </c>
      <c r="V221" s="444">
        <f t="shared" si="55"/>
        <v>2</v>
      </c>
      <c r="W221" s="127">
        <f t="shared" si="56"/>
        <v>44900</v>
      </c>
      <c r="X221" s="128">
        <v>0.75</v>
      </c>
      <c r="Y221" s="129">
        <f t="shared" si="30"/>
        <v>44900.75</v>
      </c>
      <c r="Z221" s="130">
        <f t="shared" si="31"/>
        <v>19</v>
      </c>
      <c r="AA221" s="130">
        <f t="shared" si="57"/>
        <v>1</v>
      </c>
      <c r="AB221" s="131">
        <v>197700</v>
      </c>
      <c r="AC221" s="143">
        <v>827</v>
      </c>
      <c r="AD221" s="144">
        <f t="shared" si="74"/>
        <v>46</v>
      </c>
      <c r="AE221" s="133">
        <f t="shared" si="58"/>
        <v>10173</v>
      </c>
      <c r="AF221" s="134">
        <f t="shared" si="32"/>
        <v>239.05683192261185</v>
      </c>
      <c r="AG221" s="135">
        <f t="shared" si="59"/>
        <v>221.15217391304347</v>
      </c>
      <c r="AH221" s="135">
        <f t="shared" si="92"/>
        <v>235.70621468926555</v>
      </c>
      <c r="AI221" s="131">
        <f t="shared" ref="AI221:AI222" si="104">AB221</f>
        <v>197700</v>
      </c>
      <c r="AJ221" s="469">
        <f t="shared" ref="AJ221:AJ222" si="105">AC221</f>
        <v>827</v>
      </c>
      <c r="AK221" s="131">
        <f t="shared" ref="AK221:AK222" si="106">AB221</f>
        <v>197700</v>
      </c>
      <c r="AL221" s="469">
        <f t="shared" ref="AL221:AL222" si="107">AC221</f>
        <v>827</v>
      </c>
      <c r="AM221" s="133">
        <f t="shared" si="85"/>
        <v>166212.48773824898</v>
      </c>
      <c r="AN221" s="133">
        <f t="shared" si="94"/>
        <v>31487.512261751021</v>
      </c>
      <c r="AO221" s="146">
        <f t="shared" si="87"/>
        <v>684</v>
      </c>
      <c r="AP221" s="94">
        <f t="shared" si="88"/>
        <v>143</v>
      </c>
      <c r="AQ221" s="133">
        <f t="shared" si="89"/>
        <v>336737.60824675171</v>
      </c>
      <c r="AR221" s="133">
        <f t="shared" si="95"/>
        <v>-139037.60824675171</v>
      </c>
      <c r="AS221" s="146">
        <f t="shared" si="91"/>
        <v>1473</v>
      </c>
      <c r="AT221" s="94">
        <f t="shared" si="45"/>
        <v>-646</v>
      </c>
      <c r="AU221" s="133">
        <f t="shared" si="46"/>
        <v>10173</v>
      </c>
      <c r="AV221" s="133">
        <f t="shared" si="38"/>
        <v>10405.263157894737</v>
      </c>
      <c r="AW221" s="131">
        <f t="shared" si="47"/>
        <v>197700</v>
      </c>
      <c r="AX221" s="68">
        <f t="shared" si="48"/>
        <v>827</v>
      </c>
      <c r="AY221" s="146">
        <f t="shared" si="49"/>
        <v>46</v>
      </c>
      <c r="AZ221" s="146">
        <f t="shared" si="50"/>
        <v>10173</v>
      </c>
      <c r="BA221" s="137">
        <f t="shared" si="65"/>
        <v>4.374731229035865E-2</v>
      </c>
      <c r="BB221" s="137">
        <f t="shared" si="66"/>
        <v>0.85017631375247271</v>
      </c>
      <c r="BC221" s="138">
        <f t="shared" si="67"/>
        <v>4.7082906857727737E-2</v>
      </c>
      <c r="BD221" s="138">
        <f t="shared" si="77"/>
        <v>0.84646878198567066</v>
      </c>
      <c r="BE221" s="131">
        <v>299641</v>
      </c>
      <c r="BF221" s="68">
        <v>1290</v>
      </c>
      <c r="BG221" s="146">
        <f t="shared" si="78"/>
        <v>80</v>
      </c>
      <c r="BH221" s="146">
        <f t="shared" si="79"/>
        <v>18809</v>
      </c>
      <c r="BI221" s="137">
        <f t="shared" si="68"/>
        <v>4.8322868388329956E-2</v>
      </c>
      <c r="BJ221" s="137">
        <f t="shared" si="69"/>
        <v>0.76981831074206908</v>
      </c>
      <c r="BK221" s="138">
        <f t="shared" si="70"/>
        <v>4.8309178743961352E-2</v>
      </c>
      <c r="BL221" s="138">
        <f t="shared" si="80"/>
        <v>0.77898550724637683</v>
      </c>
      <c r="BM221" s="131">
        <v>212186</v>
      </c>
      <c r="BN221" s="68">
        <v>1483</v>
      </c>
      <c r="BO221" s="146">
        <f t="shared" si="81"/>
        <v>64</v>
      </c>
      <c r="BP221" s="146">
        <f t="shared" si="82"/>
        <v>9067</v>
      </c>
      <c r="BQ221" s="137">
        <f t="shared" si="71"/>
        <v>3.7907420104687527E-2</v>
      </c>
      <c r="BR221" s="137">
        <f t="shared" si="72"/>
        <v>0.88710972122347276</v>
      </c>
      <c r="BS221" s="138">
        <f t="shared" si="73"/>
        <v>3.8461538461538464E-2</v>
      </c>
      <c r="BT221" s="138">
        <f t="shared" si="83"/>
        <v>0.89122596153846156</v>
      </c>
      <c r="BU221" s="137">
        <v>5.2043866179264674E-2</v>
      </c>
      <c r="BV221" s="137">
        <v>0.79369118120909754</v>
      </c>
      <c r="BW221" s="138">
        <v>4.8582995951417005E-2</v>
      </c>
      <c r="BX221" s="138">
        <v>0.81174089068825939</v>
      </c>
      <c r="BY221" s="137">
        <v>7.4557527505046989E-2</v>
      </c>
      <c r="BZ221" s="137">
        <v>0.82024630901322371</v>
      </c>
      <c r="CA221" s="138">
        <v>5.3516819571865444E-2</v>
      </c>
      <c r="CB221" s="138">
        <v>0.83944954128440363</v>
      </c>
      <c r="CC221" s="137">
        <v>4.76249113116494E-2</v>
      </c>
      <c r="CD221" s="137">
        <f t="shared" si="51"/>
        <v>0.72441231140898665</v>
      </c>
      <c r="CE221" s="138">
        <v>4.7619047619047616E-2</v>
      </c>
      <c r="CF221" s="138">
        <f>SUM(CE$201:CE221)</f>
        <v>0.71031746031746024</v>
      </c>
      <c r="CG221" s="139">
        <f>Vergleich!C22</f>
        <v>49576</v>
      </c>
      <c r="CH221" s="137">
        <v>4.6755954767824237E-2</v>
      </c>
      <c r="CI221" s="137">
        <f t="shared" si="52"/>
        <v>0.79518806640468365</v>
      </c>
      <c r="CJ221" s="138">
        <v>4.8991354466858761E-2</v>
      </c>
      <c r="CK221" s="138">
        <f>SUM(CJ$201:CJ221)</f>
        <v>0.7694524495677233</v>
      </c>
      <c r="CL221" s="139"/>
      <c r="CM221" s="137"/>
      <c r="CN221" s="236"/>
      <c r="CO221" s="236"/>
      <c r="CP221" s="236"/>
      <c r="CQ221" s="236"/>
      <c r="CR221" s="236"/>
      <c r="CS221" s="236"/>
      <c r="CT221" s="236"/>
      <c r="CU221" s="236"/>
      <c r="CV221" s="236"/>
      <c r="CW221" s="236"/>
      <c r="CX221" s="236"/>
      <c r="CY221" s="236"/>
      <c r="CZ221" s="236"/>
      <c r="DA221" s="236"/>
      <c r="DB221" s="236"/>
      <c r="DC221" s="236"/>
      <c r="DD221" s="236"/>
      <c r="DE221" s="236"/>
      <c r="DF221" s="236"/>
    </row>
    <row r="222" spans="1:110" s="141" customFormat="1" x14ac:dyDescent="0.3">
      <c r="A222" s="228"/>
      <c r="B222" s="236"/>
      <c r="C222" s="236"/>
      <c r="D222" s="236"/>
      <c r="E222" s="232">
        <v>20</v>
      </c>
      <c r="F222" s="364"/>
      <c r="G222" s="286">
        <f t="shared" si="39"/>
        <v>44901.75</v>
      </c>
      <c r="H222" s="255">
        <f t="shared" si="40"/>
        <v>205967</v>
      </c>
      <c r="I222" s="256">
        <f t="shared" si="41"/>
        <v>171639.22595052054</v>
      </c>
      <c r="J222" s="256">
        <f t="shared" si="42"/>
        <v>358717.38160191529</v>
      </c>
      <c r="K222" s="257">
        <v>130324</v>
      </c>
      <c r="L222" s="257"/>
      <c r="M222" s="257">
        <f t="shared" si="43"/>
        <v>220897</v>
      </c>
      <c r="N222" s="257">
        <v>330836</v>
      </c>
      <c r="O222" s="364"/>
      <c r="P222" s="257"/>
      <c r="Q222" s="257">
        <f t="shared" si="53"/>
        <v>205967</v>
      </c>
      <c r="R222" s="257">
        <f t="shared" si="54"/>
        <v>205967</v>
      </c>
      <c r="S222" s="443"/>
      <c r="T222" s="89"/>
      <c r="U222" s="147">
        <v>20</v>
      </c>
      <c r="V222" s="444">
        <f t="shared" si="55"/>
        <v>3</v>
      </c>
      <c r="W222" s="127">
        <f t="shared" si="56"/>
        <v>44901</v>
      </c>
      <c r="X222" s="128">
        <v>0.75</v>
      </c>
      <c r="Y222" s="129">
        <f t="shared" si="30"/>
        <v>44901.75</v>
      </c>
      <c r="Z222" s="130">
        <f t="shared" si="31"/>
        <v>20</v>
      </c>
      <c r="AA222" s="130">
        <f t="shared" si="57"/>
        <v>1</v>
      </c>
      <c r="AB222" s="131">
        <v>205967</v>
      </c>
      <c r="AC222" s="143">
        <v>863</v>
      </c>
      <c r="AD222" s="144">
        <f t="shared" si="74"/>
        <v>36</v>
      </c>
      <c r="AE222" s="133">
        <f t="shared" si="58"/>
        <v>8267</v>
      </c>
      <c r="AF222" s="134">
        <f t="shared" si="32"/>
        <v>238.66396292004634</v>
      </c>
      <c r="AG222" s="135">
        <f t="shared" si="59"/>
        <v>229.63888888888889</v>
      </c>
      <c r="AH222" s="135">
        <f t="shared" si="92"/>
        <v>235.92485549132948</v>
      </c>
      <c r="AI222" s="131">
        <f t="shared" si="104"/>
        <v>205967</v>
      </c>
      <c r="AJ222" s="469">
        <f t="shared" si="105"/>
        <v>863</v>
      </c>
      <c r="AK222" s="131">
        <f t="shared" si="106"/>
        <v>205967</v>
      </c>
      <c r="AL222" s="469">
        <f t="shared" si="107"/>
        <v>863</v>
      </c>
      <c r="AM222" s="133">
        <f t="shared" si="85"/>
        <v>171639.22595052054</v>
      </c>
      <c r="AN222" s="133">
        <f t="shared" si="94"/>
        <v>34327.774049479456</v>
      </c>
      <c r="AO222" s="146">
        <f t="shared" si="87"/>
        <v>712</v>
      </c>
      <c r="AP222" s="94">
        <f t="shared" si="88"/>
        <v>151</v>
      </c>
      <c r="AQ222" s="133">
        <f t="shared" si="89"/>
        <v>358717.38160191529</v>
      </c>
      <c r="AR222" s="133">
        <f t="shared" si="95"/>
        <v>-152750.38160191529</v>
      </c>
      <c r="AS222" s="146">
        <f t="shared" si="91"/>
        <v>1573</v>
      </c>
      <c r="AT222" s="94">
        <f t="shared" si="45"/>
        <v>-710</v>
      </c>
      <c r="AU222" s="133">
        <f t="shared" si="46"/>
        <v>8267</v>
      </c>
      <c r="AV222" s="133">
        <f t="shared" si="38"/>
        <v>10298.35</v>
      </c>
      <c r="AW222" s="131">
        <f t="shared" si="47"/>
        <v>205967</v>
      </c>
      <c r="AX222" s="68">
        <f t="shared" si="48"/>
        <v>863</v>
      </c>
      <c r="AY222" s="146">
        <f t="shared" si="49"/>
        <v>36</v>
      </c>
      <c r="AZ222" s="146">
        <f t="shared" si="50"/>
        <v>8267</v>
      </c>
      <c r="BA222" s="137">
        <f t="shared" si="65"/>
        <v>3.5550872968091514E-2</v>
      </c>
      <c r="BB222" s="137">
        <f t="shared" si="66"/>
        <v>0.88572718672056416</v>
      </c>
      <c r="BC222" s="138">
        <f t="shared" si="67"/>
        <v>3.6847492323439097E-2</v>
      </c>
      <c r="BD222" s="138">
        <f t="shared" si="77"/>
        <v>0.88331627430910975</v>
      </c>
      <c r="BE222" s="131">
        <v>330836</v>
      </c>
      <c r="BF222" s="68">
        <v>1421</v>
      </c>
      <c r="BG222" s="146">
        <f t="shared" si="78"/>
        <v>131</v>
      </c>
      <c r="BH222" s="146">
        <f t="shared" si="79"/>
        <v>31195</v>
      </c>
      <c r="BI222" s="137">
        <f t="shared" si="68"/>
        <v>8.0144179880586586E-2</v>
      </c>
      <c r="BJ222" s="137">
        <f t="shared" si="69"/>
        <v>0.84996249062265561</v>
      </c>
      <c r="BK222" s="138">
        <f t="shared" si="70"/>
        <v>7.9106280193236719E-2</v>
      </c>
      <c r="BL222" s="138">
        <f t="shared" si="80"/>
        <v>0.85809178743961356</v>
      </c>
      <c r="BM222" s="131">
        <v>220897</v>
      </c>
      <c r="BN222" s="68">
        <v>1545</v>
      </c>
      <c r="BO222" s="146">
        <f t="shared" si="81"/>
        <v>62</v>
      </c>
      <c r="BP222" s="146">
        <f t="shared" si="82"/>
        <v>8711</v>
      </c>
      <c r="BQ222" s="137">
        <f t="shared" si="71"/>
        <v>3.6419051122966034E-2</v>
      </c>
      <c r="BR222" s="137">
        <f t="shared" si="72"/>
        <v>0.92352877234643882</v>
      </c>
      <c r="BS222" s="138">
        <f t="shared" si="73"/>
        <v>3.7259615384615384E-2</v>
      </c>
      <c r="BT222" s="138">
        <f t="shared" si="83"/>
        <v>0.92848557692307698</v>
      </c>
      <c r="BU222" s="137">
        <v>8.3999066677036924E-2</v>
      </c>
      <c r="BV222" s="137">
        <v>0.87769024788613448</v>
      </c>
      <c r="BW222" s="138">
        <v>7.8947368421052627E-2</v>
      </c>
      <c r="BX222" s="138">
        <v>0.89068825910931204</v>
      </c>
      <c r="BY222" s="137">
        <v>6.2363690905700458E-2</v>
      </c>
      <c r="BZ222" s="137">
        <v>0.88260999991892419</v>
      </c>
      <c r="CA222" s="138">
        <v>5.3516819571865444E-2</v>
      </c>
      <c r="CB222" s="138">
        <v>0.89296636085626913</v>
      </c>
      <c r="CC222" s="137">
        <v>3.9767563225265479E-2</v>
      </c>
      <c r="CD222" s="137">
        <f t="shared" si="51"/>
        <v>0.76417987463425208</v>
      </c>
      <c r="CE222" s="138">
        <v>5.1587301587301584E-2</v>
      </c>
      <c r="CF222" s="138">
        <f>SUM(CE$201:CE222)</f>
        <v>0.76190476190476186</v>
      </c>
      <c r="CG222" s="139">
        <f>Vergleich!C23</f>
        <v>54612</v>
      </c>
      <c r="CH222" s="137">
        <v>8.077632528671097E-2</v>
      </c>
      <c r="CI222" s="137">
        <f t="shared" si="52"/>
        <v>0.87596439169139462</v>
      </c>
      <c r="CJ222" s="138">
        <v>9.5100864553314124E-2</v>
      </c>
      <c r="CK222" s="138">
        <f>SUM(CJ$201:CJ222)</f>
        <v>0.86455331412103742</v>
      </c>
      <c r="CL222" s="139"/>
      <c r="CM222" s="137"/>
      <c r="CN222" s="236"/>
      <c r="CO222" s="236"/>
      <c r="CP222" s="236"/>
      <c r="CQ222" s="236"/>
      <c r="CR222" s="236"/>
      <c r="CS222" s="236"/>
      <c r="CT222" s="236"/>
      <c r="CU222" s="236"/>
      <c r="CV222" s="236"/>
      <c r="CW222" s="236"/>
      <c r="CX222" s="236"/>
      <c r="CY222" s="236"/>
      <c r="CZ222" s="236"/>
      <c r="DA222" s="236"/>
      <c r="DB222" s="236"/>
      <c r="DC222" s="236"/>
      <c r="DD222" s="236"/>
      <c r="DE222" s="236"/>
      <c r="DF222" s="236"/>
    </row>
    <row r="223" spans="1:110" s="141" customFormat="1" x14ac:dyDescent="0.3">
      <c r="A223" s="228"/>
      <c r="B223" s="236"/>
      <c r="C223" s="236"/>
      <c r="D223" s="236"/>
      <c r="E223" s="232">
        <v>21</v>
      </c>
      <c r="F223" s="364"/>
      <c r="G223" s="286">
        <f t="shared" si="39"/>
        <v>44902.75</v>
      </c>
      <c r="H223" s="441">
        <f t="shared" si="40"/>
        <v>232540</v>
      </c>
      <c r="I223" s="253">
        <f>AM232</f>
        <v>203819.57550565555</v>
      </c>
      <c r="J223" s="255">
        <f t="shared" si="42"/>
        <v>404869.6068848102</v>
      </c>
      <c r="K223" s="496">
        <v>170541</v>
      </c>
      <c r="L223" s="497">
        <v>266116</v>
      </c>
      <c r="M223" s="498">
        <f t="shared" si="43"/>
        <v>239188</v>
      </c>
      <c r="N223" s="499">
        <v>389236</v>
      </c>
      <c r="O223" s="501"/>
      <c r="P223" s="438"/>
      <c r="Q223" s="491">
        <f t="shared" si="53"/>
        <v>232540</v>
      </c>
      <c r="R223" s="491">
        <f t="shared" si="54"/>
        <v>232540</v>
      </c>
      <c r="S223" s="443"/>
      <c r="T223" s="89"/>
      <c r="U223" s="147">
        <v>21</v>
      </c>
      <c r="V223" s="444">
        <f t="shared" si="55"/>
        <v>4</v>
      </c>
      <c r="W223" s="127">
        <f t="shared" si="56"/>
        <v>44902</v>
      </c>
      <c r="X223" s="128">
        <v>0.75</v>
      </c>
      <c r="Y223" s="129">
        <f t="shared" si="30"/>
        <v>44902.75</v>
      </c>
      <c r="Z223" s="130">
        <f t="shared" si="31"/>
        <v>21</v>
      </c>
      <c r="AA223" s="130">
        <f t="shared" si="57"/>
        <v>1</v>
      </c>
      <c r="AB223" s="131">
        <v>232540</v>
      </c>
      <c r="AC223" s="143">
        <v>977</v>
      </c>
      <c r="AD223" s="144">
        <f t="shared" si="74"/>
        <v>114</v>
      </c>
      <c r="AE223" s="133">
        <f t="shared" si="58"/>
        <v>26573</v>
      </c>
      <c r="AF223" s="134">
        <f t="shared" si="32"/>
        <v>238.014329580348</v>
      </c>
      <c r="AG223" s="135">
        <f t="shared" si="59"/>
        <v>233.09649122807016</v>
      </c>
      <c r="AH223" s="135">
        <f t="shared" si="92"/>
        <v>235.72177419354838</v>
      </c>
      <c r="AI223" s="131">
        <f t="shared" ref="AI223" si="108">AB223</f>
        <v>232540</v>
      </c>
      <c r="AJ223" s="469">
        <f t="shared" ref="AJ223" si="109">AC223</f>
        <v>977</v>
      </c>
      <c r="AK223" s="131">
        <f t="shared" ref="AK223" si="110">AB223</f>
        <v>232540</v>
      </c>
      <c r="AL223" s="469">
        <f t="shared" ref="AL223" si="111">AC223</f>
        <v>977</v>
      </c>
      <c r="AM223" s="133">
        <f t="shared" si="85"/>
        <v>203819.57550565555</v>
      </c>
      <c r="AN223" s="133">
        <f t="shared" si="94"/>
        <v>28720.42449434445</v>
      </c>
      <c r="AO223" s="146">
        <f t="shared" si="87"/>
        <v>843</v>
      </c>
      <c r="AP223" s="94">
        <f t="shared" si="88"/>
        <v>134</v>
      </c>
      <c r="AQ223" s="133">
        <f t="shared" si="89"/>
        <v>404869.6068848102</v>
      </c>
      <c r="AR223" s="133">
        <f t="shared" si="95"/>
        <v>-172329.6068848102</v>
      </c>
      <c r="AS223" s="146">
        <f t="shared" si="91"/>
        <v>1765</v>
      </c>
      <c r="AT223" s="94">
        <f t="shared" si="45"/>
        <v>-788</v>
      </c>
      <c r="AU223" s="133">
        <f t="shared" si="46"/>
        <v>26573</v>
      </c>
      <c r="AV223" s="133">
        <f t="shared" si="38"/>
        <v>11073.333333333334</v>
      </c>
      <c r="AW223" s="131">
        <f t="shared" si="47"/>
        <v>232540</v>
      </c>
      <c r="AX223" s="68">
        <f t="shared" si="48"/>
        <v>977</v>
      </c>
      <c r="AY223" s="146">
        <f t="shared" si="49"/>
        <v>114</v>
      </c>
      <c r="AZ223" s="146">
        <f t="shared" si="50"/>
        <v>26573</v>
      </c>
      <c r="BA223" s="137">
        <f t="shared" si="65"/>
        <v>0.11427281327943579</v>
      </c>
      <c r="BB223" s="137">
        <f t="shared" si="66"/>
        <v>1</v>
      </c>
      <c r="BC223" s="138">
        <f t="shared" si="67"/>
        <v>0.11668372569089049</v>
      </c>
      <c r="BD223" s="138">
        <f t="shared" si="77"/>
        <v>1.0000000000000002</v>
      </c>
      <c r="BE223" s="131">
        <v>389236</v>
      </c>
      <c r="BF223" s="68">
        <v>1656</v>
      </c>
      <c r="BG223" s="146">
        <f t="shared" si="78"/>
        <v>235</v>
      </c>
      <c r="BH223" s="146">
        <f t="shared" si="79"/>
        <v>58400</v>
      </c>
      <c r="BI223" s="137">
        <f t="shared" si="68"/>
        <v>0.15003750937734434</v>
      </c>
      <c r="BJ223" s="137">
        <f t="shared" si="69"/>
        <v>1</v>
      </c>
      <c r="BK223" s="138">
        <f t="shared" si="70"/>
        <v>0.14190821256038647</v>
      </c>
      <c r="BL223" s="138">
        <f t="shared" si="80"/>
        <v>1</v>
      </c>
      <c r="BM223" s="131">
        <v>239188</v>
      </c>
      <c r="BN223" s="68">
        <v>1664</v>
      </c>
      <c r="BO223" s="146">
        <f t="shared" si="81"/>
        <v>119</v>
      </c>
      <c r="BP223" s="146">
        <f t="shared" si="82"/>
        <v>18291</v>
      </c>
      <c r="BQ223" s="137">
        <f t="shared" si="71"/>
        <v>7.6471227653561222E-2</v>
      </c>
      <c r="BR223" s="137">
        <f t="shared" si="72"/>
        <v>1</v>
      </c>
      <c r="BS223" s="138">
        <f t="shared" si="73"/>
        <v>7.1514423076923073E-2</v>
      </c>
      <c r="BT223" s="138">
        <f t="shared" si="83"/>
        <v>1</v>
      </c>
      <c r="BU223" s="137">
        <v>0.1223097521138654</v>
      </c>
      <c r="BV223" s="137">
        <v>0.99999999999999989</v>
      </c>
      <c r="BW223" s="138">
        <v>0.11336032388663968</v>
      </c>
      <c r="BX223" s="138">
        <v>1.0040485829959518</v>
      </c>
      <c r="BY223" s="137">
        <v>0.11739000008107604</v>
      </c>
      <c r="BZ223" s="137">
        <v>1.0000000000000002</v>
      </c>
      <c r="CA223" s="138">
        <v>0.10703363914373089</v>
      </c>
      <c r="CB223" s="138">
        <v>1</v>
      </c>
      <c r="CC223" s="137">
        <v>0.23582012536574781</v>
      </c>
      <c r="CD223" s="137">
        <f t="shared" si="51"/>
        <v>0.99999999999999989</v>
      </c>
      <c r="CE223" s="138">
        <v>0.23809523809523808</v>
      </c>
      <c r="CF223" s="138">
        <f>SUM(CE$201:CE223)</f>
        <v>1</v>
      </c>
      <c r="CG223" s="139">
        <f>Vergleich!C24</f>
        <v>62345</v>
      </c>
      <c r="CH223" s="137">
        <v>0.12403560830860538</v>
      </c>
      <c r="CI223" s="137">
        <f t="shared" si="52"/>
        <v>1</v>
      </c>
      <c r="CJ223" s="138">
        <v>0.13544668587896258</v>
      </c>
      <c r="CK223" s="138">
        <f>SUM(CJ$201:CJ223)</f>
        <v>1</v>
      </c>
      <c r="CL223" s="139">
        <f>EH225</f>
        <v>0</v>
      </c>
      <c r="CM223" s="137"/>
      <c r="CN223" s="236"/>
      <c r="CO223" s="236"/>
      <c r="CP223" s="236"/>
      <c r="CQ223" s="236"/>
      <c r="CR223" s="236"/>
      <c r="CS223" s="236"/>
      <c r="CT223" s="236"/>
      <c r="CU223" s="236"/>
      <c r="CV223" s="236"/>
      <c r="CW223" s="236"/>
      <c r="CX223" s="236"/>
      <c r="CY223" s="236"/>
      <c r="CZ223" s="236"/>
      <c r="DA223" s="236"/>
      <c r="DB223" s="236"/>
      <c r="DC223" s="236"/>
      <c r="DD223" s="236"/>
      <c r="DE223" s="236"/>
      <c r="DF223" s="236"/>
    </row>
    <row r="224" spans="1:110" s="162" customFormat="1" x14ac:dyDescent="0.3">
      <c r="A224" s="229"/>
      <c r="B224" s="230"/>
      <c r="C224" s="230"/>
      <c r="D224" s="230"/>
      <c r="E224" s="235"/>
      <c r="F224" s="365"/>
      <c r="G224" s="287"/>
      <c r="H224" s="441"/>
      <c r="I224" s="253"/>
      <c r="J224" s="255"/>
      <c r="K224" s="306"/>
      <c r="L224" s="307"/>
      <c r="M224" s="308"/>
      <c r="N224" s="438"/>
      <c r="O224" s="365"/>
      <c r="P224" s="438"/>
      <c r="Q224" s="438"/>
      <c r="R224" s="438"/>
      <c r="S224" s="201"/>
      <c r="T224" s="148"/>
      <c r="U224" s="149"/>
      <c r="V224" s="150"/>
      <c r="W224" s="151"/>
      <c r="X224" s="152"/>
      <c r="Y224" s="153"/>
      <c r="Z224" s="154"/>
      <c r="AA224" s="154"/>
      <c r="AB224" s="157"/>
      <c r="AC224" s="180"/>
      <c r="AD224" s="210"/>
      <c r="AE224" s="157"/>
      <c r="AF224" s="155"/>
      <c r="AG224" s="156"/>
      <c r="AH224" s="156"/>
      <c r="AI224" s="489"/>
      <c r="AJ224" s="490"/>
      <c r="AK224" s="489"/>
      <c r="AL224" s="490"/>
      <c r="AM224" s="157"/>
      <c r="AN224" s="136"/>
      <c r="AO224" s="158"/>
      <c r="AP224" s="106"/>
      <c r="AQ224" s="157"/>
      <c r="AR224" s="136"/>
      <c r="AS224" s="158"/>
      <c r="AT224" s="106"/>
      <c r="AU224" s="157"/>
      <c r="AV224" s="157"/>
      <c r="AW224" s="157"/>
      <c r="AX224" s="158"/>
      <c r="AY224" s="158"/>
      <c r="AZ224" s="158"/>
      <c r="BA224" s="159"/>
      <c r="BB224" s="159"/>
      <c r="BC224" s="160"/>
      <c r="BD224" s="160"/>
      <c r="BE224" s="157"/>
      <c r="BF224" s="158"/>
      <c r="BG224" s="158"/>
      <c r="BH224" s="158"/>
      <c r="BI224" s="159"/>
      <c r="BJ224" s="159"/>
      <c r="BK224" s="160"/>
      <c r="BL224" s="160"/>
      <c r="BM224" s="157"/>
      <c r="BN224" s="158"/>
      <c r="BO224" s="158"/>
      <c r="BP224" s="158"/>
      <c r="BQ224" s="159"/>
      <c r="BR224" s="159"/>
      <c r="BS224" s="160"/>
      <c r="BT224" s="160"/>
      <c r="BU224" s="159"/>
      <c r="BV224" s="159"/>
      <c r="BW224" s="160"/>
      <c r="BX224" s="160"/>
      <c r="BY224" s="159"/>
      <c r="BZ224" s="159"/>
      <c r="CA224" s="160"/>
      <c r="CB224" s="160"/>
      <c r="CC224" s="159"/>
      <c r="CD224" s="159"/>
      <c r="CE224" s="160"/>
      <c r="CF224" s="160"/>
      <c r="CG224" s="161"/>
      <c r="CH224" s="159"/>
      <c r="CI224" s="159"/>
      <c r="CJ224" s="160"/>
      <c r="CK224" s="160"/>
      <c r="CL224" s="161"/>
      <c r="CM224" s="159"/>
      <c r="CN224" s="230"/>
      <c r="CO224" s="230"/>
      <c r="CP224" s="230"/>
      <c r="CQ224" s="230"/>
      <c r="CR224" s="230"/>
      <c r="CS224" s="230"/>
      <c r="CT224" s="230"/>
      <c r="CU224" s="230"/>
      <c r="CV224" s="230"/>
      <c r="CW224" s="230"/>
      <c r="CX224" s="230"/>
      <c r="CY224" s="230"/>
      <c r="CZ224" s="230"/>
      <c r="DA224" s="230"/>
      <c r="DB224" s="230"/>
      <c r="DC224" s="230"/>
      <c r="DD224" s="230"/>
      <c r="DE224" s="230"/>
      <c r="DF224" s="230"/>
    </row>
    <row r="225" spans="1:110" s="162" customFormat="1" x14ac:dyDescent="0.3">
      <c r="A225" s="230"/>
      <c r="B225" s="258"/>
      <c r="C225" s="230"/>
      <c r="D225" s="230"/>
      <c r="E225" s="240"/>
      <c r="F225" s="343"/>
      <c r="G225" s="240"/>
      <c r="H225" s="437" t="s">
        <v>19</v>
      </c>
      <c r="I225" s="285" t="s">
        <v>19</v>
      </c>
      <c r="J225" s="232" t="s">
        <v>19</v>
      </c>
      <c r="K225" s="300" t="s">
        <v>19</v>
      </c>
      <c r="L225" s="282" t="s">
        <v>19</v>
      </c>
      <c r="M225" s="283" t="s">
        <v>19</v>
      </c>
      <c r="N225" s="284" t="s">
        <v>19</v>
      </c>
      <c r="O225" s="343"/>
      <c r="P225" s="284"/>
      <c r="Q225" s="437" t="s">
        <v>389</v>
      </c>
      <c r="R225" s="437" t="s">
        <v>390</v>
      </c>
      <c r="S225" s="202"/>
      <c r="T225" s="163"/>
      <c r="U225" s="163"/>
      <c r="V225" s="163"/>
      <c r="W225" s="163"/>
      <c r="X225" s="163"/>
      <c r="Y225" s="163"/>
      <c r="Z225" s="148"/>
      <c r="AA225" s="163"/>
      <c r="AB225" s="163"/>
      <c r="AC225" s="164"/>
      <c r="AD225" s="209">
        <f>SUM(AD201:AD223)</f>
        <v>977</v>
      </c>
      <c r="AE225" s="165">
        <f>SUM(AE201:AE223)</f>
        <v>232540</v>
      </c>
      <c r="AF225" s="164"/>
      <c r="AG225" s="166">
        <f t="shared" si="59"/>
        <v>238.014329580348</v>
      </c>
      <c r="AH225" s="166"/>
      <c r="AI225" s="157"/>
      <c r="AJ225" s="339"/>
      <c r="AK225" s="157"/>
      <c r="AL225" s="339"/>
      <c r="AM225" s="164" t="s">
        <v>128</v>
      </c>
      <c r="AN225" s="106"/>
      <c r="AO225" s="167" t="s">
        <v>128</v>
      </c>
      <c r="AP225" s="106"/>
      <c r="AQ225" s="164" t="s">
        <v>129</v>
      </c>
      <c r="AR225" s="64"/>
      <c r="AS225" s="167" t="s">
        <v>129</v>
      </c>
      <c r="AT225" s="106"/>
      <c r="AU225" s="164"/>
      <c r="AV225" s="163"/>
      <c r="AW225" s="163"/>
      <c r="AX225" s="163"/>
      <c r="AY225" s="163"/>
      <c r="AZ225" s="163"/>
      <c r="BA225" s="163"/>
      <c r="BB225" s="163"/>
      <c r="BC225" s="163"/>
      <c r="BD225" s="163"/>
      <c r="BE225" s="163"/>
      <c r="BF225" s="163"/>
      <c r="BG225" s="163"/>
      <c r="BH225" s="163"/>
      <c r="BI225" s="163"/>
      <c r="BJ225" s="163"/>
      <c r="BK225" s="163"/>
      <c r="BL225" s="163"/>
      <c r="BM225" s="163"/>
      <c r="BN225" s="163"/>
      <c r="BO225" s="163"/>
      <c r="BP225" s="163"/>
      <c r="BQ225" s="168">
        <f>AE225/$AB$223</f>
        <v>1</v>
      </c>
      <c r="BR225" s="168"/>
      <c r="BS225" s="169">
        <f t="shared" ref="BS225" si="112">AD225/$AD$225</f>
        <v>1</v>
      </c>
      <c r="BT225" s="170"/>
      <c r="BU225" s="168">
        <f>SUM(BU201:BU223)</f>
        <v>1.0000000000000002</v>
      </c>
      <c r="BV225" s="168"/>
      <c r="BW225" s="169">
        <f>SUM(BW201:BW223)</f>
        <v>1.0040485829959518</v>
      </c>
      <c r="BX225" s="170"/>
      <c r="BY225" s="168">
        <v>1.0000000000000002</v>
      </c>
      <c r="BZ225" s="168"/>
      <c r="CA225" s="169">
        <v>1</v>
      </c>
      <c r="CB225" s="170"/>
      <c r="CC225" s="168">
        <f t="shared" ref="CC225:CE225" si="113">SUM(CC201:CC223)</f>
        <v>0.99999999999999989</v>
      </c>
      <c r="CD225" s="168"/>
      <c r="CE225" s="169">
        <f t="shared" si="113"/>
        <v>1</v>
      </c>
      <c r="CF225" s="170"/>
      <c r="CG225" s="171"/>
      <c r="CH225" s="168">
        <f t="shared" ref="CH225:CJ225" si="114">SUM(CH201:CH223)</f>
        <v>1</v>
      </c>
      <c r="CI225" s="168"/>
      <c r="CJ225" s="169">
        <f t="shared" si="114"/>
        <v>1</v>
      </c>
      <c r="CK225" s="170"/>
      <c r="CL225" s="171">
        <v>285417</v>
      </c>
      <c r="CM225" s="168">
        <f>CL225/$CL$225</f>
        <v>1</v>
      </c>
      <c r="CN225" s="230"/>
      <c r="CO225" s="230"/>
      <c r="CP225" s="230"/>
      <c r="CQ225" s="230"/>
      <c r="CR225" s="230"/>
      <c r="CS225" s="230"/>
      <c r="CT225" s="230"/>
      <c r="CU225" s="230"/>
      <c r="CV225" s="230"/>
      <c r="CW225" s="230"/>
      <c r="CX225" s="230"/>
      <c r="CY225" s="230"/>
      <c r="CZ225" s="230"/>
      <c r="DA225" s="230"/>
      <c r="DB225" s="230"/>
      <c r="DC225" s="230"/>
      <c r="DD225" s="230"/>
      <c r="DE225" s="230"/>
      <c r="DF225" s="230"/>
    </row>
    <row r="226" spans="1:110" s="162" customFormat="1" x14ac:dyDescent="0.3">
      <c r="A226" s="230"/>
      <c r="B226" s="258"/>
      <c r="C226" s="230"/>
      <c r="D226" s="230"/>
      <c r="E226" s="235" t="s">
        <v>36</v>
      </c>
      <c r="F226" s="363"/>
      <c r="G226" s="235" t="s">
        <v>18</v>
      </c>
      <c r="H226" s="437" t="s">
        <v>100</v>
      </c>
      <c r="I226" s="285" t="s">
        <v>98</v>
      </c>
      <c r="J226" s="232" t="s">
        <v>99</v>
      </c>
      <c r="K226" s="300" t="s">
        <v>158</v>
      </c>
      <c r="L226" s="282" t="s">
        <v>181</v>
      </c>
      <c r="M226" s="283" t="s">
        <v>197</v>
      </c>
      <c r="N226" s="284" t="s">
        <v>207</v>
      </c>
      <c r="O226" s="363"/>
      <c r="P226" s="284"/>
      <c r="Q226" s="437" t="s">
        <v>100</v>
      </c>
      <c r="R226" s="437" t="s">
        <v>100</v>
      </c>
      <c r="S226" s="202"/>
      <c r="T226" s="163"/>
      <c r="U226" s="163"/>
      <c r="V226" s="163"/>
      <c r="W226" s="163"/>
      <c r="X226" s="163"/>
      <c r="Y226" s="163"/>
      <c r="Z226" s="148"/>
      <c r="AA226" s="163"/>
      <c r="AB226" s="163"/>
      <c r="AC226" s="164"/>
      <c r="AD226" s="445"/>
      <c r="AE226" s="165"/>
      <c r="AF226" s="164"/>
      <c r="AG226" s="156"/>
      <c r="AH226" s="156"/>
      <c r="AI226" s="157"/>
      <c r="AJ226" s="339"/>
      <c r="AK226" s="157"/>
      <c r="AL226" s="339"/>
      <c r="AM226" s="164"/>
      <c r="AN226" s="106"/>
      <c r="AO226" s="167"/>
      <c r="AP226" s="106"/>
      <c r="AQ226" s="164"/>
      <c r="AR226" s="64"/>
      <c r="AS226" s="167"/>
      <c r="AT226" s="106"/>
      <c r="AU226" s="164"/>
      <c r="AV226" s="163"/>
      <c r="AW226" s="163"/>
      <c r="AX226" s="163"/>
      <c r="AY226" s="163"/>
      <c r="AZ226" s="163"/>
      <c r="BA226" s="163"/>
      <c r="BB226" s="163"/>
      <c r="BC226" s="163"/>
      <c r="BD226" s="163"/>
      <c r="BE226" s="163"/>
      <c r="BF226" s="163"/>
      <c r="BG226" s="163"/>
      <c r="BH226" s="163"/>
      <c r="BI226" s="163"/>
      <c r="BJ226" s="163"/>
      <c r="BK226" s="163"/>
      <c r="BL226" s="163"/>
      <c r="BM226" s="163"/>
      <c r="BN226" s="163"/>
      <c r="BO226" s="163"/>
      <c r="BP226" s="163"/>
      <c r="BQ226" s="163"/>
      <c r="BR226" s="163"/>
      <c r="BS226" s="163"/>
      <c r="BT226" s="163"/>
      <c r="BU226" s="163"/>
      <c r="BV226" s="163"/>
      <c r="BW226" s="163"/>
      <c r="BX226" s="163"/>
      <c r="BY226" s="163"/>
      <c r="BZ226" s="163"/>
      <c r="CA226" s="163"/>
      <c r="CB226" s="163"/>
      <c r="CC226" s="163"/>
      <c r="CD226" s="163"/>
      <c r="CE226" s="163"/>
      <c r="CF226" s="163"/>
      <c r="CG226" s="163"/>
      <c r="CH226" s="163"/>
      <c r="CI226" s="163"/>
      <c r="CJ226" s="163"/>
      <c r="CK226" s="163"/>
      <c r="CL226" s="163"/>
      <c r="CM226" s="163"/>
      <c r="CN226" s="230"/>
      <c r="CO226" s="230"/>
      <c r="CP226" s="230"/>
      <c r="CQ226" s="230"/>
      <c r="CR226" s="230"/>
      <c r="CS226" s="230"/>
      <c r="CT226" s="230"/>
      <c r="CU226" s="230"/>
      <c r="CV226" s="230"/>
      <c r="CW226" s="230"/>
      <c r="CX226" s="230"/>
      <c r="CY226" s="230"/>
      <c r="CZ226" s="230"/>
      <c r="DA226" s="230"/>
      <c r="DB226" s="230"/>
      <c r="DC226" s="230"/>
      <c r="DD226" s="230"/>
      <c r="DE226" s="230"/>
      <c r="DF226" s="230"/>
    </row>
    <row r="227" spans="1:110" s="162" customFormat="1" x14ac:dyDescent="0.3">
      <c r="A227" s="230"/>
      <c r="B227" s="258"/>
      <c r="C227" s="230"/>
      <c r="D227" s="230"/>
      <c r="E227" s="232">
        <v>0</v>
      </c>
      <c r="F227" s="364"/>
      <c r="G227" s="286">
        <f t="shared" ref="G227:G248" si="115">G202</f>
        <v>44881.75</v>
      </c>
      <c r="H227" s="309">
        <f>AC201</f>
        <v>0</v>
      </c>
      <c r="I227" s="309">
        <f>AM226</f>
        <v>0</v>
      </c>
      <c r="J227" s="309">
        <f>AQ226</f>
        <v>0</v>
      </c>
      <c r="K227" s="309">
        <v>0</v>
      </c>
      <c r="L227" s="309">
        <v>0</v>
      </c>
      <c r="M227" s="309">
        <f>BM226</f>
        <v>0</v>
      </c>
      <c r="N227" s="309">
        <v>0</v>
      </c>
      <c r="O227" s="364"/>
      <c r="P227" s="257"/>
      <c r="Q227" s="236">
        <f>AJ201</f>
        <v>0</v>
      </c>
      <c r="R227" s="236">
        <f>AL201</f>
        <v>0</v>
      </c>
      <c r="S227" s="202"/>
      <c r="T227" s="163"/>
      <c r="U227" s="163"/>
      <c r="V227" s="163"/>
      <c r="W227" s="163"/>
      <c r="X227" s="163"/>
      <c r="Y227" s="163"/>
      <c r="Z227" s="148"/>
      <c r="AA227" s="163"/>
      <c r="AB227" s="189" t="s">
        <v>126</v>
      </c>
      <c r="AC227" s="44"/>
      <c r="AD227" s="44"/>
      <c r="AE227" s="44"/>
      <c r="AF227" s="44"/>
      <c r="AG227" s="44"/>
      <c r="AH227" s="44" t="s">
        <v>126</v>
      </c>
      <c r="AI227" s="305"/>
      <c r="AJ227" s="44"/>
      <c r="AK227" s="305"/>
      <c r="AL227" s="44"/>
      <c r="AM227" s="157">
        <f>AM203*Vergleich!BE8</f>
        <v>203819.57550565555</v>
      </c>
      <c r="AN227" s="190"/>
      <c r="AO227" s="73">
        <f>ROUND(AC203*Vergleich!BF8,)</f>
        <v>844</v>
      </c>
      <c r="AP227" s="60"/>
      <c r="AQ227" s="157">
        <f>AQ203*Vergleich!BE9</f>
        <v>358741.17079285486</v>
      </c>
      <c r="AR227" s="136"/>
      <c r="AS227" s="73">
        <f>ROUND(AC203*Vergleich!BF9,)</f>
        <v>1539</v>
      </c>
      <c r="AT227" s="106"/>
      <c r="AU227" s="44"/>
      <c r="AV227" s="44"/>
      <c r="AW227" s="504" t="s">
        <v>353</v>
      </c>
      <c r="AX227" s="505"/>
      <c r="AY227" s="505"/>
      <c r="AZ227" s="505"/>
      <c r="BA227" s="505"/>
      <c r="BB227" s="505"/>
      <c r="BC227" s="505"/>
      <c r="BD227" s="506"/>
      <c r="BE227" s="504" t="s">
        <v>207</v>
      </c>
      <c r="BF227" s="505"/>
      <c r="BG227" s="505"/>
      <c r="BH227" s="505"/>
      <c r="BI227" s="505"/>
      <c r="BJ227" s="505"/>
      <c r="BK227" s="505"/>
      <c r="BL227" s="506"/>
      <c r="BM227" s="504" t="s">
        <v>183</v>
      </c>
      <c r="BN227" s="505"/>
      <c r="BO227" s="505"/>
      <c r="BP227" s="505"/>
      <c r="BQ227" s="505"/>
      <c r="BR227" s="505"/>
      <c r="BS227" s="505"/>
      <c r="BT227" s="506"/>
      <c r="BU227" s="504" t="s">
        <v>122</v>
      </c>
      <c r="BV227" s="505"/>
      <c r="BW227" s="505"/>
      <c r="BX227" s="506"/>
      <c r="BY227" s="504" t="s">
        <v>52</v>
      </c>
      <c r="BZ227" s="505"/>
      <c r="CA227" s="505"/>
      <c r="CB227" s="506"/>
      <c r="CC227" s="504" t="s">
        <v>54</v>
      </c>
      <c r="CD227" s="505"/>
      <c r="CE227" s="505"/>
      <c r="CF227" s="506"/>
      <c r="CG227" s="504" t="s">
        <v>53</v>
      </c>
      <c r="CH227" s="505"/>
      <c r="CI227" s="505"/>
      <c r="CJ227" s="505"/>
      <c r="CK227" s="506"/>
      <c r="CL227" s="504" t="s">
        <v>55</v>
      </c>
      <c r="CM227" s="506"/>
      <c r="CN227" s="230"/>
      <c r="CO227" s="230"/>
      <c r="CP227" s="230"/>
      <c r="CQ227" s="230"/>
      <c r="CR227" s="230"/>
      <c r="CS227" s="230"/>
      <c r="CT227" s="230"/>
      <c r="CU227" s="230"/>
      <c r="CV227" s="230"/>
      <c r="CW227" s="230"/>
      <c r="CX227" s="230"/>
      <c r="CY227" s="230"/>
      <c r="CZ227" s="230"/>
      <c r="DA227" s="230"/>
      <c r="DB227" s="230"/>
      <c r="DC227" s="230"/>
      <c r="DD227" s="230"/>
      <c r="DE227" s="230"/>
      <c r="DF227" s="230"/>
    </row>
    <row r="228" spans="1:110" s="162" customFormat="1" x14ac:dyDescent="0.3">
      <c r="A228" s="230"/>
      <c r="B228" s="258"/>
      <c r="C228" s="230"/>
      <c r="D228" s="230"/>
      <c r="E228" s="232">
        <v>1</v>
      </c>
      <c r="F228" s="364"/>
      <c r="G228" s="286">
        <f t="shared" si="115"/>
        <v>44882.75</v>
      </c>
      <c r="H228" s="309">
        <f t="shared" ref="H228:H248" si="116">AC203</f>
        <v>317</v>
      </c>
      <c r="I228" s="309">
        <f t="shared" ref="I228:I248" si="117">AO203</f>
        <v>317</v>
      </c>
      <c r="J228" s="309">
        <f t="shared" ref="J228:J248" si="118">AS203</f>
        <v>317</v>
      </c>
      <c r="K228" s="309">
        <f>Vergleich!T4</f>
        <v>179</v>
      </c>
      <c r="L228" s="309">
        <f>Vergleich!R4</f>
        <v>500</v>
      </c>
      <c r="M228" s="309">
        <f>Vergleich!AB4</f>
        <v>625</v>
      </c>
      <c r="N228" s="309">
        <f t="shared" ref="N228:N248" si="119">BF202</f>
        <v>291</v>
      </c>
      <c r="O228" s="364"/>
      <c r="P228" s="257"/>
      <c r="Q228" s="492">
        <f>AJ203</f>
        <v>317</v>
      </c>
      <c r="R228" s="492">
        <f>AL203</f>
        <v>317</v>
      </c>
      <c r="S228" s="202"/>
      <c r="T228" s="163"/>
      <c r="U228" s="163"/>
      <c r="V228" s="163"/>
      <c r="W228" s="163"/>
      <c r="X228" s="163"/>
      <c r="Y228" s="163"/>
      <c r="Z228" s="148"/>
      <c r="AA228" s="163"/>
      <c r="AB228" s="44" t="s">
        <v>127</v>
      </c>
      <c r="AC228" s="44"/>
      <c r="AD228" s="44"/>
      <c r="AE228" s="44"/>
      <c r="AF228" s="44"/>
      <c r="AG228" s="44"/>
      <c r="AH228" s="44" t="s">
        <v>127</v>
      </c>
      <c r="AI228" s="305"/>
      <c r="AJ228" s="44"/>
      <c r="AK228" s="305"/>
      <c r="AL228" s="44"/>
      <c r="AM228" s="157">
        <f>AM204*Vergleich!BE13</f>
        <v>210221.83658324782</v>
      </c>
      <c r="AN228" s="190"/>
      <c r="AO228" s="73">
        <f>ROUND(AC204*Vergleich!BF13,)</f>
        <v>879</v>
      </c>
      <c r="AP228" s="60"/>
      <c r="AQ228" s="157">
        <f>AQ204*Vergleich!BE14</f>
        <v>404869.6068848102</v>
      </c>
      <c r="AR228" s="136"/>
      <c r="AS228" s="73">
        <f>ROUND(AC204*Vergleich!BF14,)</f>
        <v>1765</v>
      </c>
      <c r="AT228" s="106"/>
      <c r="AU228" s="44"/>
      <c r="AV228" s="44"/>
      <c r="AW228" s="44"/>
      <c r="AX228" s="44"/>
      <c r="AY228" s="44"/>
      <c r="AZ228" s="44"/>
      <c r="BA228" s="70" t="s">
        <v>357</v>
      </c>
      <c r="BB228" s="172" t="s">
        <v>358</v>
      </c>
      <c r="BC228" s="70" t="s">
        <v>359</v>
      </c>
      <c r="BD228" s="70" t="s">
        <v>360</v>
      </c>
      <c r="BE228" s="44"/>
      <c r="BF228" s="44"/>
      <c r="BG228" s="44"/>
      <c r="BH228" s="44"/>
      <c r="BI228" s="70" t="s">
        <v>201</v>
      </c>
      <c r="BJ228" s="172" t="s">
        <v>354</v>
      </c>
      <c r="BK228" s="70" t="s">
        <v>355</v>
      </c>
      <c r="BL228" s="70" t="s">
        <v>356</v>
      </c>
      <c r="BM228" s="44"/>
      <c r="BN228" s="44"/>
      <c r="BO228" s="44"/>
      <c r="BP228" s="44"/>
      <c r="BQ228" s="70" t="s">
        <v>156</v>
      </c>
      <c r="BR228" s="172" t="s">
        <v>198</v>
      </c>
      <c r="BS228" s="70" t="s">
        <v>199</v>
      </c>
      <c r="BT228" s="70" t="s">
        <v>200</v>
      </c>
      <c r="BU228" s="70" t="s">
        <v>137</v>
      </c>
      <c r="BV228" s="172" t="s">
        <v>141</v>
      </c>
      <c r="BW228" s="70" t="s">
        <v>138</v>
      </c>
      <c r="BX228" s="70" t="s">
        <v>142</v>
      </c>
      <c r="BY228" s="70" t="s">
        <v>84</v>
      </c>
      <c r="BZ228" s="70" t="s">
        <v>143</v>
      </c>
      <c r="CA228" s="70" t="s">
        <v>134</v>
      </c>
      <c r="CB228" s="70" t="s">
        <v>144</v>
      </c>
      <c r="CC228" s="70" t="s">
        <v>135</v>
      </c>
      <c r="CD228" s="173" t="s">
        <v>145</v>
      </c>
      <c r="CE228" s="70" t="s">
        <v>136</v>
      </c>
      <c r="CF228" s="173" t="s">
        <v>146</v>
      </c>
      <c r="CG228" s="44"/>
      <c r="CH228" s="172" t="s">
        <v>139</v>
      </c>
      <c r="CI228" s="172" t="s">
        <v>147</v>
      </c>
      <c r="CJ228" s="172" t="s">
        <v>140</v>
      </c>
      <c r="CK228" s="172" t="s">
        <v>148</v>
      </c>
      <c r="CL228" s="46"/>
      <c r="CM228" s="44"/>
      <c r="CN228" s="230"/>
      <c r="CO228" s="230"/>
      <c r="CP228" s="230"/>
      <c r="CQ228" s="230"/>
      <c r="CR228" s="230"/>
      <c r="CS228" s="230"/>
      <c r="CT228" s="230"/>
      <c r="CU228" s="230"/>
      <c r="CV228" s="230"/>
      <c r="CW228" s="230"/>
      <c r="CX228" s="230"/>
      <c r="CY228" s="230"/>
      <c r="CZ228" s="230"/>
      <c r="DA228" s="230"/>
      <c r="DB228" s="230"/>
      <c r="DC228" s="230"/>
      <c r="DD228" s="230"/>
      <c r="DE228" s="230"/>
      <c r="DF228" s="230"/>
    </row>
    <row r="229" spans="1:110" s="162" customFormat="1" x14ac:dyDescent="0.3">
      <c r="A229" s="230"/>
      <c r="B229" s="258"/>
      <c r="C229" s="230"/>
      <c r="D229" s="230"/>
      <c r="E229" s="232">
        <v>2</v>
      </c>
      <c r="F229" s="364"/>
      <c r="G229" s="286">
        <f t="shared" si="115"/>
        <v>44883.75</v>
      </c>
      <c r="H229" s="309">
        <f t="shared" si="116"/>
        <v>417</v>
      </c>
      <c r="I229" s="309">
        <f t="shared" si="117"/>
        <v>417</v>
      </c>
      <c r="J229" s="309">
        <f t="shared" si="118"/>
        <v>417</v>
      </c>
      <c r="K229" s="309">
        <f>Vergleich!T5</f>
        <v>206</v>
      </c>
      <c r="L229" s="309"/>
      <c r="M229" s="309">
        <f>Vergleich!AB5</f>
        <v>789</v>
      </c>
      <c r="N229" s="309">
        <f t="shared" si="119"/>
        <v>341</v>
      </c>
      <c r="O229" s="364"/>
      <c r="P229" s="257"/>
      <c r="Q229" s="492">
        <f t="shared" ref="Q229:Q249" si="120">AJ204</f>
        <v>417</v>
      </c>
      <c r="R229" s="492">
        <f t="shared" ref="R229:R249" si="121">AL204</f>
        <v>417</v>
      </c>
      <c r="S229" s="202"/>
      <c r="T229" s="163"/>
      <c r="U229" s="163"/>
      <c r="V229" s="163"/>
      <c r="W229" s="163"/>
      <c r="X229" s="163"/>
      <c r="Y229" s="163"/>
      <c r="Z229" s="148"/>
      <c r="AA229" s="163"/>
      <c r="AB229" s="44" t="s">
        <v>149</v>
      </c>
      <c r="AC229" s="44"/>
      <c r="AD229" s="44"/>
      <c r="AE229" s="44"/>
      <c r="AF229" s="45"/>
      <c r="AG229" s="44"/>
      <c r="AH229" s="44" t="s">
        <v>149</v>
      </c>
      <c r="AI229" s="305"/>
      <c r="AJ229" s="44"/>
      <c r="AK229" s="305"/>
      <c r="AL229" s="44"/>
      <c r="AM229" s="157">
        <f>AM205*Vergleich!BE18</f>
        <v>215700.45253389271</v>
      </c>
      <c r="AN229" s="190"/>
      <c r="AO229" s="73">
        <f>ROUND(AC205*Vergleich!BF18,)</f>
        <v>894</v>
      </c>
      <c r="AP229" s="60"/>
      <c r="AQ229" s="157">
        <f>AQ205*Vergleich!BE19</f>
        <v>389746.2011995021</v>
      </c>
      <c r="AR229" s="136"/>
      <c r="AS229" s="73">
        <f>ROUND(AC205*Vergleich!BF19,)</f>
        <v>1766</v>
      </c>
      <c r="AT229" s="106"/>
      <c r="AU229" s="44"/>
      <c r="AV229" s="175">
        <v>4</v>
      </c>
      <c r="AW229" s="175"/>
      <c r="AX229" s="175"/>
      <c r="AY229" s="175"/>
      <c r="AZ229" s="175"/>
      <c r="BA229" s="83">
        <f t="shared" ref="BA229:BA246" si="122">BA206/SUM(BA$206:BA$223)</f>
        <v>5.6017107462393079E-2</v>
      </c>
      <c r="BB229" s="183">
        <f>BA229</f>
        <v>5.6017107462393079E-2</v>
      </c>
      <c r="BC229" s="83">
        <f t="shared" ref="BC229:BC246" si="123">BC206/SUM(BC$206:BC$223)</f>
        <v>5.3949903660886318E-2</v>
      </c>
      <c r="BD229" s="183">
        <f>BC229</f>
        <v>5.3949903660886318E-2</v>
      </c>
      <c r="BE229" s="175"/>
      <c r="BF229" s="175"/>
      <c r="BG229" s="175"/>
      <c r="BH229" s="175"/>
      <c r="BI229" s="83">
        <f t="shared" ref="BI229:BI246" si="124">BI206/SUM(BI$206:BI$223)</f>
        <v>3.1694084768086279E-2</v>
      </c>
      <c r="BJ229" s="183">
        <f>BI229</f>
        <v>3.1694084768086279E-2</v>
      </c>
      <c r="BK229" s="83">
        <f t="shared" ref="BK229:BK246" si="125">BK206/SUM(BK$206:BK$223)</f>
        <v>3.4013605442176874E-2</v>
      </c>
      <c r="BL229" s="183">
        <f>BK229</f>
        <v>3.4013605442176874E-2</v>
      </c>
      <c r="BM229" s="175"/>
      <c r="BN229" s="175"/>
      <c r="BO229" s="175"/>
      <c r="BP229" s="175"/>
      <c r="BQ229" s="83">
        <f t="shared" ref="BQ229:BQ246" si="126">BQ206/SUM(BQ$206:BQ$223)</f>
        <v>4.3584842588862506E-2</v>
      </c>
      <c r="BR229" s="183">
        <f>BQ229</f>
        <v>4.3584842588862506E-2</v>
      </c>
      <c r="BS229" s="83">
        <f t="shared" ref="BS229:BS246" si="127">BS206/SUM(BS$206:BS$223)</f>
        <v>4.8029556650246309E-2</v>
      </c>
      <c r="BT229" s="183">
        <f>BS229</f>
        <v>4.8029556650246309E-2</v>
      </c>
      <c r="BU229" s="176"/>
      <c r="BV229" s="177"/>
      <c r="BW229" s="176"/>
      <c r="BX229" s="176"/>
      <c r="BY229" s="176"/>
      <c r="BZ229" s="176"/>
      <c r="CA229" s="176"/>
      <c r="CB229" s="176"/>
      <c r="CC229" s="83">
        <f t="shared" ref="CC229:CC246" si="128">CC206/SUM(CC$206:CC$223)</f>
        <v>5.1971879286694098E-2</v>
      </c>
      <c r="CD229" s="182">
        <f>CC229</f>
        <v>5.1971879286694098E-2</v>
      </c>
      <c r="CE229" s="83">
        <f t="shared" ref="CE229:CE246" si="129">CE206/SUM(CE$206:CE$223)</f>
        <v>4.3233082706766915E-2</v>
      </c>
      <c r="CF229" s="182">
        <f>CE229</f>
        <v>4.3233082706766915E-2</v>
      </c>
      <c r="CG229" s="175"/>
      <c r="CH229" s="177"/>
      <c r="CI229" s="177"/>
      <c r="CJ229" s="177"/>
      <c r="CK229" s="177"/>
      <c r="CL229" s="178"/>
      <c r="CM229" s="178"/>
      <c r="CN229" s="230"/>
      <c r="CO229" s="230"/>
      <c r="CP229" s="230"/>
      <c r="CQ229" s="230"/>
      <c r="CR229" s="230"/>
      <c r="CS229" s="230"/>
      <c r="CT229" s="230"/>
      <c r="CU229" s="230"/>
      <c r="CV229" s="230"/>
      <c r="CW229" s="230"/>
      <c r="CX229" s="230"/>
      <c r="CY229" s="230"/>
      <c r="CZ229" s="230"/>
      <c r="DA229" s="230"/>
      <c r="DB229" s="230"/>
      <c r="DC229" s="230"/>
      <c r="DD229" s="230"/>
      <c r="DE229" s="230"/>
      <c r="DF229" s="230"/>
    </row>
    <row r="230" spans="1:110" s="162" customFormat="1" x14ac:dyDescent="0.3">
      <c r="A230" s="230"/>
      <c r="B230" s="258"/>
      <c r="C230" s="230"/>
      <c r="D230" s="230"/>
      <c r="E230" s="232">
        <v>3</v>
      </c>
      <c r="F230" s="364"/>
      <c r="G230" s="286">
        <f t="shared" si="115"/>
        <v>44884.75</v>
      </c>
      <c r="H230" s="309">
        <f t="shared" si="116"/>
        <v>458</v>
      </c>
      <c r="I230" s="309">
        <f t="shared" si="117"/>
        <v>458</v>
      </c>
      <c r="J230" s="309">
        <f t="shared" si="118"/>
        <v>458</v>
      </c>
      <c r="K230" s="309">
        <f>Vergleich!T6</f>
        <v>224</v>
      </c>
      <c r="L230" s="309"/>
      <c r="M230" s="309">
        <f>Vergleich!AB6</f>
        <v>852</v>
      </c>
      <c r="N230" s="309">
        <f t="shared" si="119"/>
        <v>404</v>
      </c>
      <c r="O230" s="364"/>
      <c r="P230" s="257"/>
      <c r="Q230" s="492">
        <f t="shared" si="120"/>
        <v>458</v>
      </c>
      <c r="R230" s="492">
        <f t="shared" si="121"/>
        <v>458</v>
      </c>
      <c r="S230" s="202"/>
      <c r="T230" s="163"/>
      <c r="U230" s="163"/>
      <c r="V230" s="163"/>
      <c r="W230" s="163"/>
      <c r="X230" s="163"/>
      <c r="Y230" s="163"/>
      <c r="Z230" s="148"/>
      <c r="AA230" s="163"/>
      <c r="AB230" s="44" t="s">
        <v>150</v>
      </c>
      <c r="AC230" s="179">
        <f>ROUND(AVERAGE(AO232,AS232),)</f>
        <v>1305</v>
      </c>
      <c r="AD230" s="44"/>
      <c r="AE230" s="44"/>
      <c r="AF230" s="45"/>
      <c r="AG230" s="44"/>
      <c r="AH230" s="44" t="s">
        <v>162</v>
      </c>
      <c r="AI230" s="305"/>
      <c r="AJ230" s="44"/>
      <c r="AK230" s="305"/>
      <c r="AL230" s="44"/>
      <c r="AM230" s="136">
        <f>AM206*Vergleich!BE23</f>
        <v>216197.08796657543</v>
      </c>
      <c r="AN230" s="190"/>
      <c r="AO230" s="302">
        <f>ROUND(AC206*Vergleich!BF23,)</f>
        <v>908</v>
      </c>
      <c r="AP230" s="60"/>
      <c r="AQ230" s="136">
        <f>AQ206*Vergleich!BE24</f>
        <v>407197.53299831168</v>
      </c>
      <c r="AR230" s="136"/>
      <c r="AS230" s="302">
        <f>ROUND(AC206*Vergleich!BF24,)</f>
        <v>1775</v>
      </c>
      <c r="AT230" s="106"/>
      <c r="AU230" s="44"/>
      <c r="AV230" s="175">
        <v>5</v>
      </c>
      <c r="AW230" s="175"/>
      <c r="AX230" s="175"/>
      <c r="AY230" s="175"/>
      <c r="AZ230" s="175"/>
      <c r="BA230" s="83">
        <f t="shared" si="122"/>
        <v>2.4931996198341688E-2</v>
      </c>
      <c r="BB230" s="183">
        <f t="shared" ref="BB230:BB246" si="130">BB229+BA230</f>
        <v>8.0949103660734767E-2</v>
      </c>
      <c r="BC230" s="83">
        <f t="shared" si="123"/>
        <v>2.119460500963391E-2</v>
      </c>
      <c r="BD230" s="183">
        <f t="shared" ref="BD230:BD246" si="131">BD229+BC230</f>
        <v>7.5144508670520221E-2</v>
      </c>
      <c r="BE230" s="175"/>
      <c r="BF230" s="175"/>
      <c r="BG230" s="175"/>
      <c r="BH230" s="175"/>
      <c r="BI230" s="83">
        <f t="shared" si="124"/>
        <v>2.9800539240903503E-2</v>
      </c>
      <c r="BJ230" s="183">
        <f t="shared" ref="BJ230:BJ246" si="132">BJ229+BI230</f>
        <v>6.1494624008989779E-2</v>
      </c>
      <c r="BK230" s="83">
        <f t="shared" si="125"/>
        <v>3.7414965986394565E-2</v>
      </c>
      <c r="BL230" s="183">
        <f t="shared" ref="BL230:BL246" si="133">BL229+BK230</f>
        <v>7.1428571428571438E-2</v>
      </c>
      <c r="BM230" s="175"/>
      <c r="BN230" s="175"/>
      <c r="BO230" s="175"/>
      <c r="BP230" s="175"/>
      <c r="BQ230" s="83">
        <f t="shared" si="126"/>
        <v>3.1456513726868321E-2</v>
      </c>
      <c r="BR230" s="183">
        <f t="shared" ref="BR230:BR231" si="134">BR229+BQ230</f>
        <v>7.5041356315730834E-2</v>
      </c>
      <c r="BS230" s="83">
        <f t="shared" si="127"/>
        <v>3.3251231527093604E-2</v>
      </c>
      <c r="BT230" s="183">
        <f t="shared" ref="BT230:BT231" si="135">BT229+BS230</f>
        <v>8.1280788177339913E-2</v>
      </c>
      <c r="BU230" s="176"/>
      <c r="BV230" s="177"/>
      <c r="BW230" s="176"/>
      <c r="BX230" s="176"/>
      <c r="BY230" s="176"/>
      <c r="BZ230" s="176"/>
      <c r="CA230" s="176"/>
      <c r="CB230" s="176"/>
      <c r="CC230" s="83">
        <f t="shared" si="128"/>
        <v>2.7023319615912211E-2</v>
      </c>
      <c r="CD230" s="182">
        <f t="shared" ref="CD230:CD231" si="136">CD229+CC230</f>
        <v>7.8995198902606312E-2</v>
      </c>
      <c r="CE230" s="83">
        <f t="shared" si="129"/>
        <v>3.1954887218045111E-2</v>
      </c>
      <c r="CF230" s="182">
        <f t="shared" ref="CF230:CF231" si="137">CF229+CE230</f>
        <v>7.5187969924812026E-2</v>
      </c>
      <c r="CG230" s="175"/>
      <c r="CH230" s="177"/>
      <c r="CI230" s="177"/>
      <c r="CJ230" s="177"/>
      <c r="CK230" s="177"/>
      <c r="CL230" s="178"/>
      <c r="CM230" s="178"/>
      <c r="CN230" s="230"/>
      <c r="CO230" s="230"/>
      <c r="CP230" s="230"/>
      <c r="CQ230" s="230"/>
      <c r="CR230" s="230"/>
      <c r="CS230" s="230"/>
      <c r="CT230" s="230"/>
      <c r="CU230" s="230"/>
      <c r="CV230" s="230"/>
      <c r="CW230" s="230"/>
      <c r="CX230" s="230"/>
      <c r="CY230" s="230"/>
      <c r="CZ230" s="230"/>
      <c r="DA230" s="230"/>
      <c r="DB230" s="230"/>
      <c r="DC230" s="230"/>
      <c r="DD230" s="230"/>
      <c r="DE230" s="230"/>
      <c r="DF230" s="230"/>
    </row>
    <row r="231" spans="1:110" s="162" customFormat="1" x14ac:dyDescent="0.3">
      <c r="A231" s="230"/>
      <c r="B231" s="258"/>
      <c r="C231" s="230"/>
      <c r="D231" s="230"/>
      <c r="E231" s="232">
        <v>4</v>
      </c>
      <c r="F231" s="364"/>
      <c r="G231" s="286">
        <f t="shared" si="115"/>
        <v>44885.75</v>
      </c>
      <c r="H231" s="309">
        <f t="shared" si="116"/>
        <v>486</v>
      </c>
      <c r="I231" s="309">
        <f t="shared" si="117"/>
        <v>475</v>
      </c>
      <c r="J231" s="309">
        <f t="shared" si="118"/>
        <v>521</v>
      </c>
      <c r="K231" s="309">
        <f>Vergleich!T7</f>
        <v>247</v>
      </c>
      <c r="L231" s="309"/>
      <c r="M231" s="309">
        <f>Vergleich!AB7</f>
        <v>891</v>
      </c>
      <c r="N231" s="309">
        <f t="shared" si="119"/>
        <v>480</v>
      </c>
      <c r="O231" s="364"/>
      <c r="P231" s="257"/>
      <c r="Q231" s="492">
        <f t="shared" si="120"/>
        <v>486</v>
      </c>
      <c r="R231" s="492">
        <f t="shared" si="121"/>
        <v>486</v>
      </c>
      <c r="S231" s="202"/>
      <c r="T231" s="163"/>
      <c r="U231" s="163"/>
      <c r="V231" s="163"/>
      <c r="W231" s="163"/>
      <c r="X231" s="163"/>
      <c r="Y231" s="163"/>
      <c r="Z231" s="148"/>
      <c r="AA231" s="163"/>
      <c r="AB231" s="44"/>
      <c r="AC231" s="39"/>
      <c r="AD231" s="39"/>
      <c r="AE231" s="39"/>
      <c r="AF231" s="39"/>
      <c r="AG231" s="44"/>
      <c r="AH231" s="44" t="s">
        <v>163</v>
      </c>
      <c r="AI231" s="305"/>
      <c r="AJ231" s="44"/>
      <c r="AK231" s="305"/>
      <c r="AL231" s="44"/>
      <c r="AM231" s="136">
        <f>AM207*Vergleich!BE28</f>
        <v>214748.35994163255</v>
      </c>
      <c r="AN231" s="190"/>
      <c r="AO231" s="302">
        <f>ROUND(AC207*Vergleich!BF28,)</f>
        <v>901</v>
      </c>
      <c r="AP231" s="60"/>
      <c r="AQ231" s="136">
        <f>AQ207*Vergleich!BE29</f>
        <v>390936.80301846733</v>
      </c>
      <c r="AR231" s="136"/>
      <c r="AS231" s="302">
        <f>ROUND(AC207*Vergleich!BF29,)</f>
        <v>1554</v>
      </c>
      <c r="AT231" s="106"/>
      <c r="AU231" s="39"/>
      <c r="AV231" s="175">
        <v>6</v>
      </c>
      <c r="AW231" s="175"/>
      <c r="AX231" s="175"/>
      <c r="AY231" s="175"/>
      <c r="AZ231" s="175"/>
      <c r="BA231" s="83">
        <f t="shared" si="122"/>
        <v>2.3186838396748927E-2</v>
      </c>
      <c r="BB231" s="183">
        <f t="shared" si="130"/>
        <v>0.10413594205748369</v>
      </c>
      <c r="BC231" s="83">
        <f t="shared" si="123"/>
        <v>2.119460500963391E-2</v>
      </c>
      <c r="BD231" s="183">
        <f t="shared" si="131"/>
        <v>9.6339113680154131E-2</v>
      </c>
      <c r="BE231" s="175"/>
      <c r="BF231" s="175"/>
      <c r="BG231" s="175"/>
      <c r="BH231" s="175"/>
      <c r="BI231" s="83">
        <f t="shared" si="124"/>
        <v>6.9156368916665753E-2</v>
      </c>
      <c r="BJ231" s="183">
        <f t="shared" si="132"/>
        <v>0.13065099292565552</v>
      </c>
      <c r="BK231" s="83">
        <f t="shared" si="125"/>
        <v>7.4829931972789129E-2</v>
      </c>
      <c r="BL231" s="183">
        <f t="shared" si="133"/>
        <v>0.14625850340136057</v>
      </c>
      <c r="BM231" s="175"/>
      <c r="BN231" s="175"/>
      <c r="BO231" s="175"/>
      <c r="BP231" s="175"/>
      <c r="BQ231" s="83">
        <f t="shared" si="126"/>
        <v>3.7019259614807704E-2</v>
      </c>
      <c r="BR231" s="183">
        <f t="shared" si="134"/>
        <v>0.11206061593053854</v>
      </c>
      <c r="BS231" s="83">
        <f t="shared" si="127"/>
        <v>4.3103448275862079E-2</v>
      </c>
      <c r="BT231" s="183">
        <f t="shared" si="135"/>
        <v>0.12438423645320199</v>
      </c>
      <c r="BU231" s="176"/>
      <c r="BV231" s="177"/>
      <c r="BW231" s="176"/>
      <c r="BX231" s="176"/>
      <c r="BY231" s="176"/>
      <c r="BZ231" s="176"/>
      <c r="CA231" s="176"/>
      <c r="CB231" s="176"/>
      <c r="CC231" s="83">
        <f t="shared" si="128"/>
        <v>1.7429698216735255E-2</v>
      </c>
      <c r="CD231" s="182">
        <f t="shared" si="136"/>
        <v>9.6424897119341574E-2</v>
      </c>
      <c r="CE231" s="83">
        <f t="shared" si="129"/>
        <v>1.8796992481203006E-2</v>
      </c>
      <c r="CF231" s="182">
        <f t="shared" si="137"/>
        <v>9.3984962406015032E-2</v>
      </c>
      <c r="CG231" s="175"/>
      <c r="CH231" s="177"/>
      <c r="CI231" s="177"/>
      <c r="CJ231" s="177"/>
      <c r="CK231" s="177"/>
      <c r="CL231" s="178"/>
      <c r="CM231" s="178"/>
      <c r="CN231" s="230"/>
      <c r="CO231" s="230"/>
      <c r="CP231" s="230"/>
      <c r="CQ231" s="230"/>
      <c r="CR231" s="230"/>
      <c r="CS231" s="230"/>
      <c r="CT231" s="230"/>
      <c r="CU231" s="230"/>
      <c r="CV231" s="230"/>
      <c r="CW231" s="230"/>
      <c r="CX231" s="230"/>
      <c r="CY231" s="230"/>
      <c r="CZ231" s="230"/>
      <c r="DA231" s="230"/>
      <c r="DB231" s="230"/>
      <c r="DC231" s="230"/>
      <c r="DD231" s="230"/>
      <c r="DE231" s="230"/>
      <c r="DF231" s="230"/>
    </row>
    <row r="232" spans="1:110" s="141" customFormat="1" x14ac:dyDescent="0.3">
      <c r="A232" s="236"/>
      <c r="B232" s="483"/>
      <c r="C232" s="236"/>
      <c r="D232" s="236"/>
      <c r="E232" s="232">
        <v>5</v>
      </c>
      <c r="F232" s="364"/>
      <c r="G232" s="286">
        <f t="shared" si="115"/>
        <v>44886.75</v>
      </c>
      <c r="H232" s="309">
        <f t="shared" si="116"/>
        <v>497</v>
      </c>
      <c r="I232" s="309">
        <f t="shared" si="117"/>
        <v>487</v>
      </c>
      <c r="J232" s="309">
        <f t="shared" si="118"/>
        <v>564</v>
      </c>
      <c r="K232" s="309">
        <f>Vergleich!T8</f>
        <v>264</v>
      </c>
      <c r="L232" s="309"/>
      <c r="M232" s="309">
        <f>Vergleich!AB8</f>
        <v>918</v>
      </c>
      <c r="N232" s="309">
        <f t="shared" si="119"/>
        <v>520</v>
      </c>
      <c r="O232" s="364"/>
      <c r="P232" s="257"/>
      <c r="Q232" s="492">
        <f t="shared" si="120"/>
        <v>497</v>
      </c>
      <c r="R232" s="492">
        <f t="shared" si="121"/>
        <v>497</v>
      </c>
      <c r="S232" s="484"/>
      <c r="T232" s="303"/>
      <c r="U232" s="303"/>
      <c r="V232" s="303"/>
      <c r="W232" s="303"/>
      <c r="X232" s="303"/>
      <c r="Y232" s="303"/>
      <c r="Z232" s="89"/>
      <c r="AA232" s="303"/>
      <c r="AB232" s="44"/>
      <c r="AC232" s="39"/>
      <c r="AD232" s="39"/>
      <c r="AE232" s="39"/>
      <c r="AF232" s="39"/>
      <c r="AG232" s="44"/>
      <c r="AH232" s="440" t="s">
        <v>364</v>
      </c>
      <c r="AI232" s="481"/>
      <c r="AJ232" s="440"/>
      <c r="AK232" s="481"/>
      <c r="AL232" s="440"/>
      <c r="AM232" s="165">
        <f>MIN(AM227:AM229)</f>
        <v>203819.57550565555</v>
      </c>
      <c r="AN232" s="60"/>
      <c r="AO232" s="180">
        <f>MIN(AO227:AO229)</f>
        <v>844</v>
      </c>
      <c r="AP232" s="60"/>
      <c r="AQ232" s="165">
        <f>MAX(AQ227:AQ229)</f>
        <v>404869.6068848102</v>
      </c>
      <c r="AR232" s="60"/>
      <c r="AS232" s="180">
        <f>MAX(AS227:AS229)</f>
        <v>1766</v>
      </c>
      <c r="AT232" s="94"/>
      <c r="AU232" s="39"/>
      <c r="AV232" s="44">
        <v>7</v>
      </c>
      <c r="AW232" s="44"/>
      <c r="AX232" s="44"/>
      <c r="AY232" s="44"/>
      <c r="AZ232" s="44"/>
      <c r="BA232" s="83">
        <f t="shared" si="122"/>
        <v>2.879920034083833E-2</v>
      </c>
      <c r="BB232" s="183">
        <f t="shared" si="130"/>
        <v>0.13293514239832202</v>
      </c>
      <c r="BC232" s="83">
        <f t="shared" si="123"/>
        <v>2.8901734104046239E-2</v>
      </c>
      <c r="BD232" s="183">
        <f t="shared" si="131"/>
        <v>0.12524084778420036</v>
      </c>
      <c r="BE232" s="44"/>
      <c r="BF232" s="44"/>
      <c r="BG232" s="44"/>
      <c r="BH232" s="44"/>
      <c r="BI232" s="83">
        <f t="shared" si="124"/>
        <v>4.937812170499363E-2</v>
      </c>
      <c r="BJ232" s="183">
        <f t="shared" si="132"/>
        <v>0.18002911463064913</v>
      </c>
      <c r="BK232" s="83">
        <f t="shared" si="125"/>
        <v>4.8469387755102046E-2</v>
      </c>
      <c r="BL232" s="183">
        <f t="shared" si="133"/>
        <v>0.19472789115646261</v>
      </c>
      <c r="BM232" s="44"/>
      <c r="BN232" s="44"/>
      <c r="BO232" s="44"/>
      <c r="BP232" s="44"/>
      <c r="BQ232" s="83">
        <f t="shared" si="126"/>
        <v>0.1003179936401272</v>
      </c>
      <c r="BR232" s="183">
        <f t="shared" ref="BR232:BR246" si="138">BR231+BQ232</f>
        <v>0.21237860957066573</v>
      </c>
      <c r="BS232" s="83">
        <f t="shared" si="127"/>
        <v>0.1120689655172414</v>
      </c>
      <c r="BT232" s="183">
        <f t="shared" ref="BT232:BT246" si="139">BT231+BS232</f>
        <v>0.23645320197044339</v>
      </c>
      <c r="BU232" s="83">
        <f t="shared" ref="BU232:BU246" si="140">BU209/SUM(BU$209:BU$223)</f>
        <v>5.2208682406702213E-2</v>
      </c>
      <c r="BV232" s="181">
        <f t="shared" ref="BV232:CF246" si="141">BV231+BU232</f>
        <v>5.2208682406702213E-2</v>
      </c>
      <c r="BW232" s="83">
        <f t="shared" ref="BW232:BW246" si="142">BW209/SUM(BW$209:BW$223)</f>
        <v>5.7971014492753631E-2</v>
      </c>
      <c r="BX232" s="83">
        <f t="shared" si="141"/>
        <v>5.7971014492753631E-2</v>
      </c>
      <c r="BY232" s="83">
        <f t="shared" ref="BY232:BY246" si="143">BY209/SUM(BY$209:BY$223)</f>
        <v>3.0958683392795495E-2</v>
      </c>
      <c r="BZ232" s="83">
        <f t="shared" si="141"/>
        <v>3.0958683392795495E-2</v>
      </c>
      <c r="CA232" s="83">
        <f t="shared" ref="CA232:CA246" si="144">CA209/SUM(CA$209:CA$223)</f>
        <v>3.8888888888888883E-2</v>
      </c>
      <c r="CB232" s="83">
        <f t="shared" si="141"/>
        <v>3.8888888888888883E-2</v>
      </c>
      <c r="CC232" s="83">
        <f t="shared" si="128"/>
        <v>3.8365912208504799E-2</v>
      </c>
      <c r="CD232" s="182">
        <f t="shared" si="141"/>
        <v>0.13479080932784637</v>
      </c>
      <c r="CE232" s="83">
        <f t="shared" si="129"/>
        <v>3.9473684210526314E-2</v>
      </c>
      <c r="CF232" s="182">
        <f t="shared" si="141"/>
        <v>0.13345864661654133</v>
      </c>
      <c r="CG232" s="44"/>
      <c r="CH232" s="181">
        <f t="shared" ref="CH232:CH246" si="145">CH209/SUM(CH$209:CH$223)</f>
        <v>4.0453562628852975E-2</v>
      </c>
      <c r="CI232" s="181">
        <f t="shared" ref="CI232:CI246" si="146">CI231+CH232</f>
        <v>4.0453562628852975E-2</v>
      </c>
      <c r="CJ232" s="181">
        <f t="shared" ref="CJ232:CJ246" si="147">CJ209/SUM(CJ$209:CJ$223)</f>
        <v>3.8793103448275877E-2</v>
      </c>
      <c r="CK232" s="181">
        <f t="shared" ref="CK232:CK246" si="148">CK231+CJ232</f>
        <v>3.8793103448275877E-2</v>
      </c>
      <c r="CL232" s="46"/>
      <c r="CM232" s="83">
        <f t="shared" ref="CM232:CM246" si="149">CM208/SUM($BU$205:$BU$223)</f>
        <v>0</v>
      </c>
      <c r="CN232" s="236"/>
      <c r="CO232" s="236"/>
      <c r="CP232" s="236"/>
      <c r="CQ232" s="236"/>
      <c r="CR232" s="236"/>
      <c r="CS232" s="236"/>
      <c r="CT232" s="236"/>
      <c r="CU232" s="236"/>
      <c r="CV232" s="236"/>
      <c r="CW232" s="236"/>
      <c r="CX232" s="236"/>
      <c r="CY232" s="236"/>
      <c r="CZ232" s="236"/>
      <c r="DA232" s="236"/>
      <c r="DB232" s="236"/>
      <c r="DC232" s="236"/>
      <c r="DD232" s="236"/>
      <c r="DE232" s="236"/>
      <c r="DF232" s="236"/>
    </row>
    <row r="233" spans="1:110" s="141" customFormat="1" x14ac:dyDescent="0.3">
      <c r="A233" s="236"/>
      <c r="B233" s="483"/>
      <c r="C233" s="236"/>
      <c r="D233" s="236"/>
      <c r="E233" s="232">
        <v>6</v>
      </c>
      <c r="F233" s="364"/>
      <c r="G233" s="286">
        <f t="shared" si="115"/>
        <v>44887.75</v>
      </c>
      <c r="H233" s="309">
        <f t="shared" si="116"/>
        <v>508</v>
      </c>
      <c r="I233" s="309">
        <f t="shared" si="117"/>
        <v>494</v>
      </c>
      <c r="J233" s="309">
        <f t="shared" si="118"/>
        <v>620</v>
      </c>
      <c r="K233" s="309">
        <f>Vergleich!T9</f>
        <v>274</v>
      </c>
      <c r="L233" s="309"/>
      <c r="M233" s="309">
        <f>Vergleich!AB9</f>
        <v>953</v>
      </c>
      <c r="N233" s="309">
        <f t="shared" si="119"/>
        <v>564</v>
      </c>
      <c r="O233" s="364"/>
      <c r="P233" s="257"/>
      <c r="Q233" s="492">
        <f t="shared" si="120"/>
        <v>508</v>
      </c>
      <c r="R233" s="492">
        <f t="shared" si="121"/>
        <v>508</v>
      </c>
      <c r="S233" s="484"/>
      <c r="T233" s="303"/>
      <c r="U233" s="303"/>
      <c r="V233" s="303"/>
      <c r="W233" s="303"/>
      <c r="X233" s="303"/>
      <c r="Y233" s="303"/>
      <c r="Z233" s="89"/>
      <c r="AA233" s="303"/>
      <c r="AB233" s="44"/>
      <c r="AC233" s="39"/>
      <c r="AD233" s="39"/>
      <c r="AE233" s="39"/>
      <c r="AF233" s="39"/>
      <c r="AG233" s="44"/>
      <c r="AH233" s="44"/>
      <c r="AI233" s="305"/>
      <c r="AJ233" s="44"/>
      <c r="AK233" s="305"/>
      <c r="AL233" s="44"/>
      <c r="AM233" s="305">
        <f>AM232/AO232</f>
        <v>241.49238803987623</v>
      </c>
      <c r="AN233" s="60"/>
      <c r="AO233" s="44"/>
      <c r="AP233" s="60"/>
      <c r="AQ233" s="305">
        <f>AQ232/AS232</f>
        <v>229.2579880434939</v>
      </c>
      <c r="AR233" s="58"/>
      <c r="AS233" s="44"/>
      <c r="AT233" s="94"/>
      <c r="AU233" s="39"/>
      <c r="AV233" s="44">
        <v>8</v>
      </c>
      <c r="AW233" s="44"/>
      <c r="AX233" s="44"/>
      <c r="AY233" s="44"/>
      <c r="AZ233" s="44"/>
      <c r="BA233" s="83">
        <f t="shared" si="122"/>
        <v>2.7340805558286631E-2</v>
      </c>
      <c r="BB233" s="183">
        <f t="shared" si="130"/>
        <v>0.16027594795660866</v>
      </c>
      <c r="BC233" s="83">
        <f t="shared" si="123"/>
        <v>3.0828516377649325E-2</v>
      </c>
      <c r="BD233" s="183">
        <f t="shared" si="131"/>
        <v>0.15606936416184969</v>
      </c>
      <c r="BE233" s="44"/>
      <c r="BF233" s="44"/>
      <c r="BG233" s="44"/>
      <c r="BH233" s="44"/>
      <c r="BI233" s="83">
        <f t="shared" si="124"/>
        <v>6.7011080342516474E-2</v>
      </c>
      <c r="BJ233" s="183">
        <f t="shared" si="132"/>
        <v>0.24704019497316559</v>
      </c>
      <c r="BK233" s="83">
        <f t="shared" si="125"/>
        <v>7.0578231292517016E-2</v>
      </c>
      <c r="BL233" s="183">
        <f t="shared" si="133"/>
        <v>0.26530612244897961</v>
      </c>
      <c r="BM233" s="44"/>
      <c r="BN233" s="44"/>
      <c r="BO233" s="44"/>
      <c r="BP233" s="44"/>
      <c r="BQ233" s="83">
        <f t="shared" si="126"/>
        <v>5.8773110252080672E-2</v>
      </c>
      <c r="BR233" s="183">
        <f t="shared" si="138"/>
        <v>0.27115171982274638</v>
      </c>
      <c r="BS233" s="83">
        <f t="shared" si="127"/>
        <v>4.9261083743842374E-2</v>
      </c>
      <c r="BT233" s="183">
        <f t="shared" si="139"/>
        <v>0.28571428571428575</v>
      </c>
      <c r="BU233" s="83">
        <f t="shared" si="140"/>
        <v>6.7460015232292461E-2</v>
      </c>
      <c r="BV233" s="181">
        <f t="shared" si="141"/>
        <v>0.11966869763899468</v>
      </c>
      <c r="BW233" s="83">
        <f t="shared" si="142"/>
        <v>6.1594202898550728E-2</v>
      </c>
      <c r="BX233" s="83">
        <f t="shared" si="141"/>
        <v>0.11956521739130435</v>
      </c>
      <c r="BY233" s="83">
        <f t="shared" si="143"/>
        <v>4.0482218897456561E-2</v>
      </c>
      <c r="BZ233" s="83">
        <f t="shared" si="141"/>
        <v>7.1440902290252059E-2</v>
      </c>
      <c r="CA233" s="83">
        <f t="shared" si="144"/>
        <v>4.7222222222222221E-2</v>
      </c>
      <c r="CB233" s="83">
        <f t="shared" si="141"/>
        <v>8.611111111111111E-2</v>
      </c>
      <c r="CC233" s="83">
        <f t="shared" si="128"/>
        <v>2.709190672153635E-2</v>
      </c>
      <c r="CD233" s="182">
        <f t="shared" si="141"/>
        <v>0.16188271604938273</v>
      </c>
      <c r="CE233" s="83">
        <f t="shared" si="129"/>
        <v>2.4436090225563908E-2</v>
      </c>
      <c r="CF233" s="182">
        <f t="shared" si="141"/>
        <v>0.15789473684210525</v>
      </c>
      <c r="CG233" s="44"/>
      <c r="CH233" s="181">
        <f t="shared" si="145"/>
        <v>6.2829989440337908E-2</v>
      </c>
      <c r="CI233" s="181">
        <f t="shared" si="146"/>
        <v>0.10328355206919088</v>
      </c>
      <c r="CJ233" s="181">
        <f t="shared" si="147"/>
        <v>5.1724137931034468E-2</v>
      </c>
      <c r="CK233" s="181">
        <f t="shared" si="148"/>
        <v>9.0517241379310345E-2</v>
      </c>
      <c r="CL233" s="46"/>
      <c r="CM233" s="83">
        <f t="shared" si="149"/>
        <v>0</v>
      </c>
      <c r="CN233" s="236"/>
      <c r="CO233" s="236"/>
      <c r="CP233" s="236"/>
      <c r="CQ233" s="236"/>
      <c r="CR233" s="236"/>
      <c r="CS233" s="236"/>
      <c r="CT233" s="236"/>
      <c r="CU233" s="236"/>
      <c r="CV233" s="236"/>
      <c r="CW233" s="236"/>
      <c r="CX233" s="236"/>
      <c r="CY233" s="236"/>
      <c r="CZ233" s="236"/>
      <c r="DA233" s="236"/>
      <c r="DB233" s="236"/>
      <c r="DC233" s="236"/>
      <c r="DD233" s="236"/>
      <c r="DE233" s="236"/>
      <c r="DF233" s="236"/>
    </row>
    <row r="234" spans="1:110" s="141" customFormat="1" x14ac:dyDescent="0.3">
      <c r="A234" s="236"/>
      <c r="B234" s="483"/>
      <c r="C234" s="236"/>
      <c r="D234" s="236"/>
      <c r="E234" s="232">
        <v>7</v>
      </c>
      <c r="F234" s="364"/>
      <c r="G234" s="286">
        <f t="shared" si="115"/>
        <v>44888.75</v>
      </c>
      <c r="H234" s="309">
        <f t="shared" si="116"/>
        <v>523</v>
      </c>
      <c r="I234" s="309">
        <f t="shared" si="117"/>
        <v>509</v>
      </c>
      <c r="J234" s="309">
        <f t="shared" si="118"/>
        <v>767</v>
      </c>
      <c r="K234" s="309">
        <f>Vergleich!T10</f>
        <v>295</v>
      </c>
      <c r="L234" s="309"/>
      <c r="M234" s="309">
        <f>Vergleich!AB10</f>
        <v>1044</v>
      </c>
      <c r="N234" s="309">
        <f t="shared" si="119"/>
        <v>652</v>
      </c>
      <c r="O234" s="364"/>
      <c r="P234" s="257"/>
      <c r="Q234" s="492">
        <f t="shared" si="120"/>
        <v>523</v>
      </c>
      <c r="R234" s="492">
        <f t="shared" si="121"/>
        <v>523</v>
      </c>
      <c r="S234" s="484"/>
      <c r="T234" s="303"/>
      <c r="U234" s="303"/>
      <c r="V234" s="303"/>
      <c r="W234" s="303"/>
      <c r="X234" s="303"/>
      <c r="Y234" s="303"/>
      <c r="Z234" s="89"/>
      <c r="AA234" s="303"/>
      <c r="AB234" s="303"/>
      <c r="AC234" s="485"/>
      <c r="AD234" s="486"/>
      <c r="AE234" s="487"/>
      <c r="AF234" s="485"/>
      <c r="AG234" s="135"/>
      <c r="AH234" s="135"/>
      <c r="AI234" s="133"/>
      <c r="AJ234" s="94"/>
      <c r="AK234" s="133"/>
      <c r="AL234" s="94"/>
      <c r="AM234" s="485"/>
      <c r="AN234" s="94"/>
      <c r="AO234" s="488"/>
      <c r="AP234" s="94"/>
      <c r="AQ234" s="485"/>
      <c r="AR234" s="304"/>
      <c r="AS234" s="488"/>
      <c r="AT234" s="94"/>
      <c r="AU234" s="44"/>
      <c r="AV234" s="44">
        <v>9</v>
      </c>
      <c r="AW234" s="44"/>
      <c r="AX234" s="44"/>
      <c r="AY234" s="44"/>
      <c r="AZ234" s="44"/>
      <c r="BA234" s="83">
        <f t="shared" si="122"/>
        <v>2.5931570150427689E-2</v>
      </c>
      <c r="BB234" s="183">
        <f t="shared" si="130"/>
        <v>0.18620751810703634</v>
      </c>
      <c r="BC234" s="83">
        <f t="shared" si="123"/>
        <v>2.3121387283236993E-2</v>
      </c>
      <c r="BD234" s="183">
        <f t="shared" si="131"/>
        <v>0.17919075144508667</v>
      </c>
      <c r="BE234" s="44"/>
      <c r="BF234" s="44"/>
      <c r="BG234" s="44"/>
      <c r="BH234" s="44"/>
      <c r="BI234" s="83">
        <f t="shared" si="124"/>
        <v>4.4299479366191268E-2</v>
      </c>
      <c r="BJ234" s="183">
        <f t="shared" si="132"/>
        <v>0.29133967433935687</v>
      </c>
      <c r="BK234" s="83">
        <f t="shared" si="125"/>
        <v>5.0170068027210885E-2</v>
      </c>
      <c r="BL234" s="183">
        <f t="shared" si="133"/>
        <v>0.31547619047619047</v>
      </c>
      <c r="BM234" s="44"/>
      <c r="BN234" s="44"/>
      <c r="BO234" s="44"/>
      <c r="BP234" s="44"/>
      <c r="BQ234" s="83">
        <f t="shared" si="126"/>
        <v>3.8467802072529977E-2</v>
      </c>
      <c r="BR234" s="183">
        <f t="shared" si="138"/>
        <v>0.30961952189527636</v>
      </c>
      <c r="BS234" s="83">
        <f t="shared" si="127"/>
        <v>3.4482758620689662E-2</v>
      </c>
      <c r="BT234" s="183">
        <f t="shared" si="139"/>
        <v>0.32019704433497542</v>
      </c>
      <c r="BU234" s="83">
        <f t="shared" si="140"/>
        <v>4.1984006092916984E-2</v>
      </c>
      <c r="BV234" s="181">
        <f t="shared" si="141"/>
        <v>0.16165270373191165</v>
      </c>
      <c r="BW234" s="83">
        <f t="shared" si="142"/>
        <v>5.0724637681159424E-2</v>
      </c>
      <c r="BX234" s="83">
        <f t="shared" si="141"/>
        <v>0.17028985507246377</v>
      </c>
      <c r="BY234" s="83">
        <f t="shared" si="143"/>
        <v>6.4808953849695025E-2</v>
      </c>
      <c r="BZ234" s="83">
        <f t="shared" si="141"/>
        <v>0.13624985613994708</v>
      </c>
      <c r="CA234" s="83">
        <f t="shared" si="144"/>
        <v>6.9444444444444434E-2</v>
      </c>
      <c r="CB234" s="83">
        <f t="shared" si="141"/>
        <v>0.15555555555555556</v>
      </c>
      <c r="CC234" s="83">
        <f t="shared" si="128"/>
        <v>3.2698902606310011E-2</v>
      </c>
      <c r="CD234" s="182">
        <f t="shared" si="141"/>
        <v>0.19458161865569273</v>
      </c>
      <c r="CE234" s="83">
        <f t="shared" si="129"/>
        <v>3.9473684210526314E-2</v>
      </c>
      <c r="CF234" s="182">
        <f t="shared" si="141"/>
        <v>0.19736842105263158</v>
      </c>
      <c r="CG234" s="44"/>
      <c r="CH234" s="181">
        <f t="shared" si="145"/>
        <v>2.9893900538039992E-2</v>
      </c>
      <c r="CI234" s="181">
        <f t="shared" si="146"/>
        <v>0.13317745260723088</v>
      </c>
      <c r="CJ234" s="181">
        <f t="shared" si="147"/>
        <v>2.5862068965517276E-2</v>
      </c>
      <c r="CK234" s="181">
        <f t="shared" si="148"/>
        <v>0.11637931034482762</v>
      </c>
      <c r="CL234" s="46"/>
      <c r="CM234" s="83">
        <f t="shared" si="149"/>
        <v>0</v>
      </c>
      <c r="CN234" s="236"/>
      <c r="CO234" s="236"/>
      <c r="CP234" s="236"/>
      <c r="CQ234" s="236"/>
      <c r="CR234" s="236"/>
      <c r="CS234" s="236"/>
      <c r="CT234" s="236"/>
      <c r="CU234" s="236"/>
      <c r="CV234" s="236"/>
      <c r="CW234" s="236"/>
      <c r="CX234" s="236"/>
      <c r="CY234" s="236"/>
      <c r="CZ234" s="236"/>
      <c r="DA234" s="236"/>
      <c r="DB234" s="236"/>
      <c r="DC234" s="236"/>
      <c r="DD234" s="236"/>
      <c r="DE234" s="236"/>
      <c r="DF234" s="236"/>
    </row>
    <row r="235" spans="1:110" s="141" customFormat="1" x14ac:dyDescent="0.3">
      <c r="A235" s="236"/>
      <c r="B235" s="483"/>
      <c r="C235" s="236"/>
      <c r="D235" s="236"/>
      <c r="E235" s="232">
        <v>8</v>
      </c>
      <c r="F235" s="364"/>
      <c r="G235" s="286">
        <f t="shared" si="115"/>
        <v>44889.75</v>
      </c>
      <c r="H235" s="309">
        <f t="shared" si="116"/>
        <v>539</v>
      </c>
      <c r="I235" s="309">
        <f t="shared" si="117"/>
        <v>518</v>
      </c>
      <c r="J235" s="309">
        <f t="shared" si="118"/>
        <v>831</v>
      </c>
      <c r="K235" s="309">
        <f>Vergleich!T11</f>
        <v>308</v>
      </c>
      <c r="L235" s="309"/>
      <c r="M235" s="309">
        <f>Vergleich!AB11</f>
        <v>1084</v>
      </c>
      <c r="N235" s="309">
        <f t="shared" si="119"/>
        <v>709</v>
      </c>
      <c r="O235" s="364"/>
      <c r="P235" s="257"/>
      <c r="Q235" s="492">
        <f t="shared" si="120"/>
        <v>539</v>
      </c>
      <c r="R235" s="492">
        <f t="shared" si="121"/>
        <v>539</v>
      </c>
      <c r="S235" s="484"/>
      <c r="T235" s="303"/>
      <c r="U235" s="303"/>
      <c r="V235" s="303"/>
      <c r="W235" s="303"/>
      <c r="X235" s="303"/>
      <c r="Y235" s="303"/>
      <c r="Z235" s="89"/>
      <c r="AA235" s="303"/>
      <c r="AB235" s="303"/>
      <c r="AC235" s="485"/>
      <c r="AD235" s="486"/>
      <c r="AE235" s="487"/>
      <c r="AF235" s="485"/>
      <c r="AG235" s="135"/>
      <c r="AH235" s="135"/>
      <c r="AI235" s="133"/>
      <c r="AJ235" s="94"/>
      <c r="AK235" s="133"/>
      <c r="AL235" s="94"/>
      <c r="AM235" s="485"/>
      <c r="AN235" s="94"/>
      <c r="AO235" s="488"/>
      <c r="AP235" s="94"/>
      <c r="AQ235" s="485"/>
      <c r="AR235" s="304"/>
      <c r="AS235" s="488"/>
      <c r="AT235" s="94"/>
      <c r="AU235" s="44"/>
      <c r="AV235" s="44">
        <v>10</v>
      </c>
      <c r="AW235" s="44"/>
      <c r="AX235" s="44"/>
      <c r="AY235" s="44"/>
      <c r="AZ235" s="44"/>
      <c r="BA235" s="83">
        <f t="shared" si="122"/>
        <v>2.8676301904106447E-2</v>
      </c>
      <c r="BB235" s="183">
        <f t="shared" si="130"/>
        <v>0.21488382001114278</v>
      </c>
      <c r="BC235" s="83">
        <f t="shared" si="123"/>
        <v>2.6974951830443159E-2</v>
      </c>
      <c r="BD235" s="183">
        <f t="shared" si="131"/>
        <v>0.20616570327552983</v>
      </c>
      <c r="BE235" s="44"/>
      <c r="BF235" s="44"/>
      <c r="BG235" s="44"/>
      <c r="BH235" s="44"/>
      <c r="BI235" s="83">
        <f t="shared" si="124"/>
        <v>3.2387290259733151E-2</v>
      </c>
      <c r="BJ235" s="183">
        <f t="shared" si="132"/>
        <v>0.32372696459909001</v>
      </c>
      <c r="BK235" s="83">
        <f t="shared" si="125"/>
        <v>3.5714285714285719E-2</v>
      </c>
      <c r="BL235" s="183">
        <f t="shared" si="133"/>
        <v>0.35119047619047616</v>
      </c>
      <c r="BM235" s="44"/>
      <c r="BN235" s="44"/>
      <c r="BO235" s="44"/>
      <c r="BP235" s="44"/>
      <c r="BQ235" s="83">
        <f t="shared" si="126"/>
        <v>3.9016362529892261E-2</v>
      </c>
      <c r="BR235" s="183">
        <f t="shared" si="138"/>
        <v>0.34863588442516863</v>
      </c>
      <c r="BS235" s="83">
        <f t="shared" si="127"/>
        <v>3.4482758620689662E-2</v>
      </c>
      <c r="BT235" s="183">
        <f t="shared" si="139"/>
        <v>0.35467980295566509</v>
      </c>
      <c r="BU235" s="83">
        <f t="shared" si="140"/>
        <v>5.4874333587204879E-2</v>
      </c>
      <c r="BV235" s="181">
        <f t="shared" si="141"/>
        <v>0.21652703731911654</v>
      </c>
      <c r="BW235" s="83">
        <f t="shared" si="142"/>
        <v>5.4347826086956527E-2</v>
      </c>
      <c r="BX235" s="83">
        <f t="shared" si="141"/>
        <v>0.22463768115942029</v>
      </c>
      <c r="BY235" s="83">
        <f t="shared" si="143"/>
        <v>4.8193117735067327E-2</v>
      </c>
      <c r="BZ235" s="83">
        <f t="shared" si="141"/>
        <v>0.1844429738750144</v>
      </c>
      <c r="CA235" s="83">
        <f t="shared" si="144"/>
        <v>5.2777777777777778E-2</v>
      </c>
      <c r="CB235" s="83">
        <f t="shared" si="141"/>
        <v>0.20833333333333334</v>
      </c>
      <c r="CC235" s="83">
        <f t="shared" si="128"/>
        <v>4.0552126200274347E-2</v>
      </c>
      <c r="CD235" s="182">
        <f t="shared" si="141"/>
        <v>0.23513374485596708</v>
      </c>
      <c r="CE235" s="83">
        <f t="shared" si="129"/>
        <v>3.9473684210526314E-2</v>
      </c>
      <c r="CF235" s="182">
        <f t="shared" si="141"/>
        <v>0.23684210526315791</v>
      </c>
      <c r="CG235" s="44"/>
      <c r="CH235" s="181">
        <f t="shared" si="145"/>
        <v>9.3503293608890273E-2</v>
      </c>
      <c r="CI235" s="181">
        <f t="shared" si="146"/>
        <v>0.22668074621612117</v>
      </c>
      <c r="CJ235" s="181">
        <f t="shared" si="147"/>
        <v>8.1896551724137859E-2</v>
      </c>
      <c r="CK235" s="181">
        <f t="shared" si="148"/>
        <v>0.19827586206896547</v>
      </c>
      <c r="CL235" s="46"/>
      <c r="CM235" s="83">
        <f t="shared" si="149"/>
        <v>0</v>
      </c>
      <c r="CN235" s="236"/>
      <c r="CO235" s="236"/>
      <c r="CP235" s="236"/>
      <c r="CQ235" s="236"/>
      <c r="CR235" s="236"/>
      <c r="CS235" s="236"/>
      <c r="CT235" s="236"/>
      <c r="CU235" s="236"/>
      <c r="CV235" s="236"/>
      <c r="CW235" s="236"/>
      <c r="CX235" s="236"/>
      <c r="CY235" s="236"/>
      <c r="CZ235" s="236"/>
      <c r="DA235" s="236"/>
      <c r="DB235" s="236"/>
      <c r="DC235" s="236"/>
      <c r="DD235" s="236"/>
      <c r="DE235" s="236"/>
      <c r="DF235" s="236"/>
    </row>
    <row r="236" spans="1:110" s="141" customFormat="1" x14ac:dyDescent="0.3">
      <c r="A236" s="236"/>
      <c r="B236" s="483"/>
      <c r="C236" s="236"/>
      <c r="D236" s="236"/>
      <c r="E236" s="232">
        <v>9</v>
      </c>
      <c r="F236" s="364"/>
      <c r="G236" s="286">
        <f t="shared" si="115"/>
        <v>44890.75</v>
      </c>
      <c r="H236" s="309">
        <f t="shared" si="116"/>
        <v>551</v>
      </c>
      <c r="I236" s="309">
        <f t="shared" si="117"/>
        <v>533</v>
      </c>
      <c r="J236" s="309">
        <f t="shared" si="118"/>
        <v>876</v>
      </c>
      <c r="K236" s="309">
        <f>Vergleich!T12</f>
        <v>329</v>
      </c>
      <c r="L236" s="309"/>
      <c r="M236" s="309">
        <f>Vergleich!AB12</f>
        <v>1112</v>
      </c>
      <c r="N236" s="309">
        <f t="shared" si="119"/>
        <v>792</v>
      </c>
      <c r="O236" s="364"/>
      <c r="P236" s="257"/>
      <c r="Q236" s="492">
        <f t="shared" si="120"/>
        <v>551</v>
      </c>
      <c r="R236" s="492">
        <f t="shared" si="121"/>
        <v>551</v>
      </c>
      <c r="S236" s="484"/>
      <c r="T236" s="303"/>
      <c r="U236" s="303"/>
      <c r="V236" s="303"/>
      <c r="W236" s="303"/>
      <c r="X236" s="303"/>
      <c r="Y236" s="303"/>
      <c r="Z236" s="89"/>
      <c r="AA236" s="303"/>
      <c r="AB236" s="303"/>
      <c r="AC236" s="485"/>
      <c r="AD236" s="486"/>
      <c r="AE236" s="487"/>
      <c r="AF236" s="485"/>
      <c r="AG236" s="135"/>
      <c r="AH236" s="135"/>
      <c r="AI236" s="133"/>
      <c r="AJ236" s="94"/>
      <c r="AK236" s="133"/>
      <c r="AL236" s="94"/>
      <c r="AM236" s="485"/>
      <c r="AN236" s="94"/>
      <c r="AO236" s="488"/>
      <c r="AP236" s="94"/>
      <c r="AQ236" s="485"/>
      <c r="AR236" s="304"/>
      <c r="AS236" s="488"/>
      <c r="AT236" s="94"/>
      <c r="AU236" s="44"/>
      <c r="AV236" s="44">
        <v>11</v>
      </c>
      <c r="AW236" s="44"/>
      <c r="AX236" s="44"/>
      <c r="AY236" s="44"/>
      <c r="AZ236" s="44"/>
      <c r="BA236" s="83">
        <f t="shared" si="122"/>
        <v>2.4210992036181298E-2</v>
      </c>
      <c r="BB236" s="183">
        <f t="shared" si="130"/>
        <v>0.23909481204732408</v>
      </c>
      <c r="BC236" s="83">
        <f t="shared" si="123"/>
        <v>3.2755298651252408E-2</v>
      </c>
      <c r="BD236" s="183">
        <f t="shared" si="131"/>
        <v>0.23892100192678223</v>
      </c>
      <c r="BE236" s="44"/>
      <c r="BF236" s="44"/>
      <c r="BG236" s="44"/>
      <c r="BH236" s="44"/>
      <c r="BI236" s="83">
        <f t="shared" si="124"/>
        <v>3.2533228257974597E-2</v>
      </c>
      <c r="BJ236" s="183">
        <f t="shared" si="132"/>
        <v>0.35626019285706462</v>
      </c>
      <c r="BK236" s="83">
        <f t="shared" si="125"/>
        <v>3.5714285714285719E-2</v>
      </c>
      <c r="BL236" s="183">
        <f t="shared" si="133"/>
        <v>0.38690476190476186</v>
      </c>
      <c r="BM236" s="44"/>
      <c r="BN236" s="44"/>
      <c r="BO236" s="44"/>
      <c r="BP236" s="44"/>
      <c r="BQ236" s="83">
        <f t="shared" si="126"/>
        <v>2.752230669672321E-2</v>
      </c>
      <c r="BR236" s="183">
        <f t="shared" si="138"/>
        <v>0.37615819112189186</v>
      </c>
      <c r="BS236" s="83">
        <f t="shared" si="127"/>
        <v>2.8325123152709363E-2</v>
      </c>
      <c r="BT236" s="183">
        <f t="shared" si="139"/>
        <v>0.38300492610837444</v>
      </c>
      <c r="BU236" s="83">
        <f t="shared" si="140"/>
        <v>2.7246763137852247E-2</v>
      </c>
      <c r="BV236" s="181">
        <f t="shared" si="141"/>
        <v>0.24377380045696878</v>
      </c>
      <c r="BW236" s="83">
        <f t="shared" si="142"/>
        <v>3.2608695652173912E-2</v>
      </c>
      <c r="BX236" s="83">
        <f t="shared" si="141"/>
        <v>0.25724637681159418</v>
      </c>
      <c r="BY236" s="83">
        <f t="shared" si="143"/>
        <v>4.3416963977442748E-2</v>
      </c>
      <c r="BZ236" s="83">
        <f t="shared" si="141"/>
        <v>0.22785993785245715</v>
      </c>
      <c r="CA236" s="83">
        <f t="shared" si="144"/>
        <v>4.7222222222222221E-2</v>
      </c>
      <c r="CB236" s="83">
        <f t="shared" si="141"/>
        <v>0.25555555555555554</v>
      </c>
      <c r="CC236" s="83">
        <f t="shared" si="128"/>
        <v>1.4874828532235939E-2</v>
      </c>
      <c r="CD236" s="182">
        <f t="shared" si="141"/>
        <v>0.25000857338820304</v>
      </c>
      <c r="CE236" s="83">
        <f t="shared" si="129"/>
        <v>1.1278195488721804E-2</v>
      </c>
      <c r="CF236" s="182">
        <f t="shared" si="141"/>
        <v>0.24812030075187971</v>
      </c>
      <c r="CG236" s="44"/>
      <c r="CH236" s="181">
        <f t="shared" si="145"/>
        <v>7.8342635892794193E-2</v>
      </c>
      <c r="CI236" s="181">
        <f t="shared" si="146"/>
        <v>0.30502338210891533</v>
      </c>
      <c r="CJ236" s="181">
        <f t="shared" si="147"/>
        <v>7.3275862068965553E-2</v>
      </c>
      <c r="CK236" s="181">
        <f t="shared" si="148"/>
        <v>0.27155172413793105</v>
      </c>
      <c r="CL236" s="46"/>
      <c r="CM236" s="83">
        <f t="shared" si="149"/>
        <v>0</v>
      </c>
      <c r="CN236" s="236"/>
      <c r="CO236" s="236"/>
      <c r="CP236" s="236"/>
      <c r="CQ236" s="236"/>
      <c r="CR236" s="236"/>
      <c r="CS236" s="236"/>
      <c r="CT236" s="236"/>
      <c r="CU236" s="236"/>
      <c r="CV236" s="236"/>
      <c r="CW236" s="236"/>
      <c r="CX236" s="236"/>
      <c r="CY236" s="236"/>
      <c r="CZ236" s="236"/>
      <c r="DA236" s="236"/>
      <c r="DB236" s="236"/>
      <c r="DC236" s="236"/>
      <c r="DD236" s="236"/>
      <c r="DE236" s="236"/>
      <c r="DF236" s="236"/>
    </row>
    <row r="237" spans="1:110" s="141" customFormat="1" x14ac:dyDescent="0.3">
      <c r="A237" s="236"/>
      <c r="B237" s="483"/>
      <c r="C237" s="236"/>
      <c r="D237" s="236"/>
      <c r="E237" s="232">
        <v>10</v>
      </c>
      <c r="F237" s="364"/>
      <c r="G237" s="286">
        <f t="shared" si="115"/>
        <v>44891.75</v>
      </c>
      <c r="H237" s="309">
        <f t="shared" si="116"/>
        <v>565</v>
      </c>
      <c r="I237" s="309">
        <f t="shared" si="117"/>
        <v>548</v>
      </c>
      <c r="J237" s="309">
        <f t="shared" si="118"/>
        <v>921</v>
      </c>
      <c r="K237" s="309">
        <f>Vergleich!T13</f>
        <v>350</v>
      </c>
      <c r="L237" s="309"/>
      <c r="M237" s="309">
        <f>Vergleich!AB13</f>
        <v>1140</v>
      </c>
      <c r="N237" s="309">
        <f t="shared" si="119"/>
        <v>851</v>
      </c>
      <c r="O237" s="364"/>
      <c r="P237" s="257"/>
      <c r="Q237" s="492">
        <f t="shared" si="120"/>
        <v>565</v>
      </c>
      <c r="R237" s="492">
        <f t="shared" si="121"/>
        <v>565</v>
      </c>
      <c r="S237" s="484"/>
      <c r="T237" s="303"/>
      <c r="U237" s="303"/>
      <c r="V237" s="303"/>
      <c r="W237" s="303"/>
      <c r="X237" s="303"/>
      <c r="Y237" s="303"/>
      <c r="Z237" s="89"/>
      <c r="AA237" s="303"/>
      <c r="AB237" s="303"/>
      <c r="AC237" s="485"/>
      <c r="AD237" s="486"/>
      <c r="AE237" s="487"/>
      <c r="AF237" s="485"/>
      <c r="AG237" s="135"/>
      <c r="AH237" s="135"/>
      <c r="AI237" s="133"/>
      <c r="AJ237" s="94"/>
      <c r="AK237" s="133"/>
      <c r="AL237" s="94"/>
      <c r="AM237" s="485"/>
      <c r="AN237" s="94"/>
      <c r="AO237" s="488"/>
      <c r="AP237" s="94"/>
      <c r="AQ237" s="485"/>
      <c r="AR237" s="304"/>
      <c r="AS237" s="488"/>
      <c r="AT237" s="94"/>
      <c r="AU237" s="44"/>
      <c r="AV237" s="44">
        <v>12</v>
      </c>
      <c r="AW237" s="44"/>
      <c r="AX237" s="44"/>
      <c r="AY237" s="44"/>
      <c r="AZ237" s="44"/>
      <c r="BA237" s="83">
        <f t="shared" si="122"/>
        <v>2.7750467014059581E-2</v>
      </c>
      <c r="BB237" s="183">
        <f t="shared" si="130"/>
        <v>0.26684527906138367</v>
      </c>
      <c r="BC237" s="83">
        <f t="shared" si="123"/>
        <v>3.0828516377649325E-2</v>
      </c>
      <c r="BD237" s="183">
        <f t="shared" si="131"/>
        <v>0.26974951830443156</v>
      </c>
      <c r="BE237" s="44"/>
      <c r="BF237" s="44"/>
      <c r="BG237" s="44"/>
      <c r="BH237" s="44"/>
      <c r="BI237" s="83">
        <f t="shared" si="124"/>
        <v>3.3091441101248134E-2</v>
      </c>
      <c r="BJ237" s="183">
        <f t="shared" si="132"/>
        <v>0.38935163395831274</v>
      </c>
      <c r="BK237" s="83">
        <f t="shared" si="125"/>
        <v>3.4863945578231297E-2</v>
      </c>
      <c r="BL237" s="183">
        <f t="shared" si="133"/>
        <v>0.42176870748299317</v>
      </c>
      <c r="BM237" s="44"/>
      <c r="BN237" s="44"/>
      <c r="BO237" s="44"/>
      <c r="BP237" s="44"/>
      <c r="BQ237" s="83">
        <f t="shared" si="126"/>
        <v>2.8927992868714055E-2</v>
      </c>
      <c r="BR237" s="183">
        <f t="shared" si="138"/>
        <v>0.40508618399060592</v>
      </c>
      <c r="BS237" s="83">
        <f t="shared" si="127"/>
        <v>3.2019704433497539E-2</v>
      </c>
      <c r="BT237" s="183">
        <f t="shared" si="139"/>
        <v>0.415024630541872</v>
      </c>
      <c r="BU237" s="83">
        <f t="shared" si="140"/>
        <v>7.4904798172124906E-2</v>
      </c>
      <c r="BV237" s="181">
        <f t="shared" si="141"/>
        <v>0.3186785986290937</v>
      </c>
      <c r="BW237" s="83">
        <f t="shared" si="142"/>
        <v>7.2463768115942032E-2</v>
      </c>
      <c r="BX237" s="83">
        <f t="shared" si="141"/>
        <v>0.3297101449275362</v>
      </c>
      <c r="BY237" s="83">
        <f t="shared" si="143"/>
        <v>2.3276556565772818E-2</v>
      </c>
      <c r="BZ237" s="83">
        <f t="shared" si="141"/>
        <v>0.25113649441822994</v>
      </c>
      <c r="CA237" s="83">
        <f t="shared" si="144"/>
        <v>2.5000000000000001E-2</v>
      </c>
      <c r="CB237" s="83">
        <f t="shared" si="141"/>
        <v>0.28055555555555556</v>
      </c>
      <c r="CC237" s="83">
        <f t="shared" si="128"/>
        <v>2.650891632373114E-2</v>
      </c>
      <c r="CD237" s="182">
        <f t="shared" si="141"/>
        <v>0.27651748971193418</v>
      </c>
      <c r="CE237" s="83">
        <f t="shared" si="129"/>
        <v>2.819548872180451E-2</v>
      </c>
      <c r="CF237" s="182">
        <f t="shared" si="141"/>
        <v>0.27631578947368424</v>
      </c>
      <c r="CG237" s="44"/>
      <c r="CH237" s="181">
        <f t="shared" si="145"/>
        <v>5.7399306079348449E-2</v>
      </c>
      <c r="CI237" s="181">
        <f t="shared" si="146"/>
        <v>0.36242268818826379</v>
      </c>
      <c r="CJ237" s="181">
        <f t="shared" si="147"/>
        <v>6.4655172413793066E-2</v>
      </c>
      <c r="CK237" s="181">
        <f t="shared" si="148"/>
        <v>0.33620689655172409</v>
      </c>
      <c r="CL237" s="46"/>
      <c r="CM237" s="83">
        <f t="shared" si="149"/>
        <v>0</v>
      </c>
      <c r="CN237" s="236"/>
      <c r="CO237" s="236"/>
      <c r="CP237" s="236"/>
      <c r="CQ237" s="236"/>
      <c r="CR237" s="236"/>
      <c r="CS237" s="236"/>
      <c r="CT237" s="236"/>
      <c r="CU237" s="236"/>
      <c r="CV237" s="236"/>
      <c r="CW237" s="236"/>
      <c r="CX237" s="236"/>
      <c r="CY237" s="236"/>
      <c r="CZ237" s="236"/>
      <c r="DA237" s="236"/>
      <c r="DB237" s="236"/>
      <c r="DC237" s="236"/>
      <c r="DD237" s="236"/>
      <c r="DE237" s="236"/>
      <c r="DF237" s="236"/>
    </row>
    <row r="238" spans="1:110" s="141" customFormat="1" x14ac:dyDescent="0.3">
      <c r="A238" s="236"/>
      <c r="B238" s="483"/>
      <c r="C238" s="236"/>
      <c r="D238" s="236"/>
      <c r="E238" s="232">
        <v>11</v>
      </c>
      <c r="F238" s="364"/>
      <c r="G238" s="286">
        <f t="shared" si="115"/>
        <v>44892.75</v>
      </c>
      <c r="H238" s="309">
        <f t="shared" si="116"/>
        <v>582</v>
      </c>
      <c r="I238" s="309">
        <f t="shared" si="117"/>
        <v>552</v>
      </c>
      <c r="J238" s="309">
        <f t="shared" si="118"/>
        <v>958</v>
      </c>
      <c r="K238" s="309">
        <f>Vergleich!T14</f>
        <v>356</v>
      </c>
      <c r="L238" s="309">
        <f>Vergleich!R14</f>
        <v>900</v>
      </c>
      <c r="M238" s="309">
        <f>Vergleich!AB14</f>
        <v>1163</v>
      </c>
      <c r="N238" s="309">
        <f t="shared" si="119"/>
        <v>893</v>
      </c>
      <c r="O238" s="364"/>
      <c r="P238" s="257"/>
      <c r="Q238" s="492">
        <f t="shared" si="120"/>
        <v>582</v>
      </c>
      <c r="R238" s="492">
        <f t="shared" si="121"/>
        <v>582</v>
      </c>
      <c r="S238" s="484"/>
      <c r="T238" s="303"/>
      <c r="U238" s="303"/>
      <c r="V238" s="303"/>
      <c r="W238" s="303"/>
      <c r="X238" s="303"/>
      <c r="Y238" s="303"/>
      <c r="Z238" s="89"/>
      <c r="AA238" s="303"/>
      <c r="AB238" s="303"/>
      <c r="AC238" s="485"/>
      <c r="AD238" s="486"/>
      <c r="AE238" s="487"/>
      <c r="AF238" s="485"/>
      <c r="AG238" s="135"/>
      <c r="AH238" s="135"/>
      <c r="AI238" s="133"/>
      <c r="AJ238" s="94"/>
      <c r="AK238" s="133"/>
      <c r="AL238" s="94"/>
      <c r="AM238" s="485"/>
      <c r="AN238" s="94"/>
      <c r="AO238" s="488"/>
      <c r="AP238" s="94"/>
      <c r="AQ238" s="485"/>
      <c r="AR238" s="304"/>
      <c r="AS238" s="488"/>
      <c r="AT238" s="94"/>
      <c r="AU238" s="44"/>
      <c r="AV238" s="44">
        <v>13</v>
      </c>
      <c r="AW238" s="44"/>
      <c r="AX238" s="44"/>
      <c r="AY238" s="44"/>
      <c r="AZ238" s="44"/>
      <c r="BA238" s="83">
        <f t="shared" si="122"/>
        <v>5.4788123095074227E-2</v>
      </c>
      <c r="BB238" s="183">
        <f t="shared" si="130"/>
        <v>0.32163340215645791</v>
      </c>
      <c r="BC238" s="83">
        <f t="shared" si="123"/>
        <v>5.0096339113680152E-2</v>
      </c>
      <c r="BD238" s="183">
        <f t="shared" si="131"/>
        <v>0.31984585741811172</v>
      </c>
      <c r="BE238" s="44"/>
      <c r="BF238" s="44"/>
      <c r="BG238" s="44"/>
      <c r="BH238" s="44"/>
      <c r="BI238" s="83">
        <f t="shared" si="124"/>
        <v>2.8592902305455529E-2</v>
      </c>
      <c r="BJ238" s="183">
        <f t="shared" si="132"/>
        <v>0.41794453626376826</v>
      </c>
      <c r="BK238" s="83">
        <f t="shared" si="125"/>
        <v>2.9761904761904764E-2</v>
      </c>
      <c r="BL238" s="183">
        <f t="shared" si="133"/>
        <v>0.45153061224489793</v>
      </c>
      <c r="BM238" s="44"/>
      <c r="BN238" s="44"/>
      <c r="BO238" s="44"/>
      <c r="BP238" s="44"/>
      <c r="BQ238" s="83">
        <f t="shared" si="126"/>
        <v>2.2765258980534678E-2</v>
      </c>
      <c r="BR238" s="183">
        <f t="shared" si="138"/>
        <v>0.42785144297114058</v>
      </c>
      <c r="BS238" s="83">
        <f t="shared" si="127"/>
        <v>1.970443349753695E-2</v>
      </c>
      <c r="BT238" s="183">
        <f t="shared" si="139"/>
        <v>0.43472906403940892</v>
      </c>
      <c r="BU238" s="83">
        <f t="shared" si="140"/>
        <v>2.6028179741051028E-2</v>
      </c>
      <c r="BV238" s="181">
        <f t="shared" si="141"/>
        <v>0.34470677837014474</v>
      </c>
      <c r="BW238" s="83">
        <f t="shared" si="142"/>
        <v>2.8985507246376815E-2</v>
      </c>
      <c r="BX238" s="83">
        <f t="shared" si="141"/>
        <v>0.35869565217391303</v>
      </c>
      <c r="BY238" s="83">
        <f t="shared" si="143"/>
        <v>4.0180112786281509E-2</v>
      </c>
      <c r="BZ238" s="83">
        <f t="shared" si="141"/>
        <v>0.29131660720451147</v>
      </c>
      <c r="CA238" s="83">
        <f t="shared" si="144"/>
        <v>4.1666666666666664E-2</v>
      </c>
      <c r="CB238" s="83">
        <f t="shared" si="141"/>
        <v>0.32222222222222224</v>
      </c>
      <c r="CC238" s="83">
        <f t="shared" si="128"/>
        <v>2.4931412894375858E-2</v>
      </c>
      <c r="CD238" s="182">
        <f t="shared" si="141"/>
        <v>0.30144890260631002</v>
      </c>
      <c r="CE238" s="83">
        <f t="shared" si="129"/>
        <v>2.819548872180451E-2</v>
      </c>
      <c r="CF238" s="182">
        <f t="shared" si="141"/>
        <v>0.30451127819548873</v>
      </c>
      <c r="CG238" s="44"/>
      <c r="CH238" s="181">
        <f t="shared" si="145"/>
        <v>1.8051993764770864E-2</v>
      </c>
      <c r="CI238" s="181">
        <f t="shared" si="146"/>
        <v>0.38047468195303463</v>
      </c>
      <c r="CJ238" s="181">
        <f t="shared" si="147"/>
        <v>1.7241379310344796E-2</v>
      </c>
      <c r="CK238" s="181">
        <f t="shared" si="148"/>
        <v>0.35344827586206889</v>
      </c>
      <c r="CL238" s="46"/>
      <c r="CM238" s="83">
        <f t="shared" si="149"/>
        <v>0.6020628131872241</v>
      </c>
      <c r="CN238" s="236"/>
      <c r="CO238" s="236"/>
      <c r="CP238" s="236"/>
      <c r="CQ238" s="236"/>
      <c r="CR238" s="236"/>
      <c r="CS238" s="236"/>
      <c r="CT238" s="236"/>
      <c r="CU238" s="236"/>
      <c r="CV238" s="236"/>
      <c r="CW238" s="236"/>
      <c r="CX238" s="236"/>
      <c r="CY238" s="236"/>
      <c r="CZ238" s="236"/>
      <c r="DA238" s="236"/>
      <c r="DB238" s="236"/>
      <c r="DC238" s="236"/>
      <c r="DD238" s="236"/>
      <c r="DE238" s="236"/>
      <c r="DF238" s="236"/>
    </row>
    <row r="239" spans="1:110" s="141" customFormat="1" x14ac:dyDescent="0.3">
      <c r="A239" s="236"/>
      <c r="B239" s="483"/>
      <c r="C239" s="236"/>
      <c r="D239" s="236"/>
      <c r="E239" s="232">
        <v>12</v>
      </c>
      <c r="F239" s="364"/>
      <c r="G239" s="286">
        <f t="shared" si="115"/>
        <v>44893.75</v>
      </c>
      <c r="H239" s="309">
        <f t="shared" si="116"/>
        <v>598</v>
      </c>
      <c r="I239" s="309">
        <f t="shared" si="117"/>
        <v>563</v>
      </c>
      <c r="J239" s="309">
        <f t="shared" si="118"/>
        <v>1000</v>
      </c>
      <c r="K239" s="309">
        <f>Vergleich!T15</f>
        <v>371</v>
      </c>
      <c r="L239" s="309"/>
      <c r="M239" s="309">
        <f>Vergleich!AB15</f>
        <v>1189</v>
      </c>
      <c r="N239" s="309">
        <f t="shared" si="119"/>
        <v>935</v>
      </c>
      <c r="O239" s="364"/>
      <c r="P239" s="257"/>
      <c r="Q239" s="492">
        <f t="shared" si="120"/>
        <v>598</v>
      </c>
      <c r="R239" s="492">
        <f t="shared" si="121"/>
        <v>598</v>
      </c>
      <c r="S239" s="484"/>
      <c r="T239" s="303"/>
      <c r="U239" s="303"/>
      <c r="V239" s="303"/>
      <c r="W239" s="303"/>
      <c r="X239" s="303"/>
      <c r="Y239" s="303"/>
      <c r="Z239" s="89"/>
      <c r="AA239" s="303"/>
      <c r="AB239" s="303"/>
      <c r="AC239" s="485"/>
      <c r="AD239" s="486"/>
      <c r="AE239" s="487"/>
      <c r="AF239" s="485"/>
      <c r="AG239" s="135"/>
      <c r="AH239" s="135"/>
      <c r="AI239" s="133"/>
      <c r="AJ239" s="94"/>
      <c r="AK239" s="133"/>
      <c r="AL239" s="94"/>
      <c r="AM239" s="485"/>
      <c r="AN239" s="94"/>
      <c r="AO239" s="488"/>
      <c r="AP239" s="94"/>
      <c r="AQ239" s="485"/>
      <c r="AR239" s="304"/>
      <c r="AS239" s="488"/>
      <c r="AT239" s="94"/>
      <c r="AU239" s="44"/>
      <c r="AV239" s="44">
        <v>14</v>
      </c>
      <c r="AW239" s="44"/>
      <c r="AX239" s="44"/>
      <c r="AY239" s="44"/>
      <c r="AZ239" s="44"/>
      <c r="BA239" s="83">
        <f t="shared" si="122"/>
        <v>5.1092976764002228E-2</v>
      </c>
      <c r="BB239" s="183">
        <f t="shared" si="130"/>
        <v>0.37272637892046012</v>
      </c>
      <c r="BC239" s="83">
        <f t="shared" si="123"/>
        <v>5.0096339113680152E-2</v>
      </c>
      <c r="BD239" s="183">
        <f t="shared" si="131"/>
        <v>0.36994219653179189</v>
      </c>
      <c r="BE239" s="44"/>
      <c r="BF239" s="44"/>
      <c r="BG239" s="44"/>
      <c r="BH239" s="44"/>
      <c r="BI239" s="83">
        <f t="shared" si="124"/>
        <v>4.0461310012441215E-2</v>
      </c>
      <c r="BJ239" s="183">
        <f t="shared" si="132"/>
        <v>0.45840584627620951</v>
      </c>
      <c r="BK239" s="83">
        <f t="shared" si="125"/>
        <v>4.1666666666666671E-2</v>
      </c>
      <c r="BL239" s="183">
        <f t="shared" si="133"/>
        <v>0.49319727891156462</v>
      </c>
      <c r="BM239" s="44"/>
      <c r="BN239" s="44"/>
      <c r="BO239" s="44"/>
      <c r="BP239" s="44"/>
      <c r="BQ239" s="83">
        <f t="shared" si="126"/>
        <v>3.5939281214375715E-2</v>
      </c>
      <c r="BR239" s="183">
        <f t="shared" si="138"/>
        <v>0.46379072418551631</v>
      </c>
      <c r="BS239" s="83">
        <f t="shared" si="127"/>
        <v>3.3251231527093604E-2</v>
      </c>
      <c r="BT239" s="183">
        <f t="shared" si="139"/>
        <v>0.4679802955665025</v>
      </c>
      <c r="BU239" s="83">
        <f t="shared" si="140"/>
        <v>3.9470677837014474E-2</v>
      </c>
      <c r="BV239" s="181">
        <f t="shared" si="141"/>
        <v>0.38417745620715921</v>
      </c>
      <c r="BW239" s="83">
        <f t="shared" si="142"/>
        <v>3.9855072463768119E-2</v>
      </c>
      <c r="BX239" s="83">
        <f t="shared" si="141"/>
        <v>0.39855072463768115</v>
      </c>
      <c r="BY239" s="83">
        <f t="shared" si="143"/>
        <v>1.9162159051674531E-2</v>
      </c>
      <c r="BZ239" s="83">
        <f t="shared" si="141"/>
        <v>0.31047876625618598</v>
      </c>
      <c r="CA239" s="83">
        <f t="shared" si="144"/>
        <v>1.9444444444444441E-2</v>
      </c>
      <c r="CB239" s="83">
        <f t="shared" si="141"/>
        <v>0.34166666666666667</v>
      </c>
      <c r="CC239" s="83">
        <f t="shared" si="128"/>
        <v>3.4696502057613168E-2</v>
      </c>
      <c r="CD239" s="182">
        <f t="shared" si="141"/>
        <v>0.33614540466392318</v>
      </c>
      <c r="CE239" s="83">
        <f t="shared" si="129"/>
        <v>3.1954887218045111E-2</v>
      </c>
      <c r="CF239" s="182">
        <f t="shared" si="141"/>
        <v>0.33646616541353386</v>
      </c>
      <c r="CG239" s="44"/>
      <c r="CH239" s="181">
        <f t="shared" si="145"/>
        <v>2.1043898023834617E-2</v>
      </c>
      <c r="CI239" s="181">
        <f t="shared" si="146"/>
        <v>0.40151857997686924</v>
      </c>
      <c r="CJ239" s="181">
        <f t="shared" si="147"/>
        <v>3.4482758620689759E-2</v>
      </c>
      <c r="CK239" s="181">
        <f t="shared" si="148"/>
        <v>0.38793103448275867</v>
      </c>
      <c r="CL239" s="46"/>
      <c r="CM239" s="83">
        <f t="shared" si="149"/>
        <v>0</v>
      </c>
      <c r="CN239" s="236"/>
      <c r="CO239" s="236"/>
      <c r="CP239" s="236"/>
      <c r="CQ239" s="236"/>
      <c r="CR239" s="236"/>
      <c r="CS239" s="236"/>
      <c r="CT239" s="236"/>
      <c r="CU239" s="236"/>
      <c r="CV239" s="236"/>
      <c r="CW239" s="236"/>
      <c r="CX239" s="236"/>
      <c r="CY239" s="236"/>
      <c r="CZ239" s="236"/>
      <c r="DA239" s="236"/>
      <c r="DB239" s="236"/>
      <c r="DC239" s="236"/>
      <c r="DD239" s="236"/>
      <c r="DE239" s="236"/>
      <c r="DF239" s="236"/>
    </row>
    <row r="240" spans="1:110" s="141" customFormat="1" x14ac:dyDescent="0.3">
      <c r="A240" s="236"/>
      <c r="B240" s="483"/>
      <c r="C240" s="236"/>
      <c r="D240" s="236"/>
      <c r="E240" s="232">
        <v>13</v>
      </c>
      <c r="F240" s="364"/>
      <c r="G240" s="286">
        <f t="shared" si="115"/>
        <v>44894.75</v>
      </c>
      <c r="H240" s="309">
        <f t="shared" si="116"/>
        <v>624</v>
      </c>
      <c r="I240" s="309">
        <f t="shared" si="117"/>
        <v>574</v>
      </c>
      <c r="J240" s="309">
        <f t="shared" si="118"/>
        <v>1026</v>
      </c>
      <c r="K240" s="309">
        <f>Vergleich!T16</f>
        <v>386</v>
      </c>
      <c r="L240" s="309"/>
      <c r="M240" s="309">
        <f>Vergleich!AB16</f>
        <v>1205</v>
      </c>
      <c r="N240" s="309">
        <f t="shared" si="119"/>
        <v>976</v>
      </c>
      <c r="O240" s="364"/>
      <c r="P240" s="257"/>
      <c r="Q240" s="492">
        <f t="shared" si="120"/>
        <v>624</v>
      </c>
      <c r="R240" s="492">
        <f t="shared" si="121"/>
        <v>624</v>
      </c>
      <c r="S240" s="484"/>
      <c r="T240" s="303"/>
      <c r="U240" s="303"/>
      <c r="V240" s="303"/>
      <c r="W240" s="303"/>
      <c r="X240" s="303"/>
      <c r="Y240" s="303"/>
      <c r="Z240" s="89"/>
      <c r="AA240" s="303"/>
      <c r="AB240" s="303"/>
      <c r="AC240" s="485"/>
      <c r="AD240" s="486"/>
      <c r="AE240" s="487"/>
      <c r="AF240" s="485"/>
      <c r="AG240" s="135"/>
      <c r="AH240" s="135"/>
      <c r="AI240" s="133"/>
      <c r="AJ240" s="94"/>
      <c r="AK240" s="133"/>
      <c r="AL240" s="94"/>
      <c r="AM240" s="485"/>
      <c r="AN240" s="94"/>
      <c r="AO240" s="488"/>
      <c r="AP240" s="94"/>
      <c r="AQ240" s="485"/>
      <c r="AR240" s="304"/>
      <c r="AS240" s="488"/>
      <c r="AT240" s="94"/>
      <c r="AU240" s="44"/>
      <c r="AV240" s="44">
        <v>15</v>
      </c>
      <c r="AW240" s="44"/>
      <c r="AX240" s="44"/>
      <c r="AY240" s="44"/>
      <c r="AZ240" s="44"/>
      <c r="BA240" s="83">
        <f t="shared" si="122"/>
        <v>7.5148297446989809E-2</v>
      </c>
      <c r="BB240" s="183">
        <f t="shared" si="130"/>
        <v>0.44787467636744993</v>
      </c>
      <c r="BC240" s="83">
        <f t="shared" si="123"/>
        <v>7.7071290944123308E-2</v>
      </c>
      <c r="BD240" s="183">
        <f t="shared" si="131"/>
        <v>0.44701348747591518</v>
      </c>
      <c r="BE240" s="44"/>
      <c r="BF240" s="44"/>
      <c r="BG240" s="44"/>
      <c r="BH240" s="44"/>
      <c r="BI240" s="83">
        <f t="shared" si="124"/>
        <v>2.9950125689100982E-2</v>
      </c>
      <c r="BJ240" s="183">
        <f t="shared" si="132"/>
        <v>0.4883559719653105</v>
      </c>
      <c r="BK240" s="83">
        <f t="shared" si="125"/>
        <v>3.0612244897959186E-2</v>
      </c>
      <c r="BL240" s="183">
        <f t="shared" si="133"/>
        <v>0.52380952380952384</v>
      </c>
      <c r="BM240" s="44"/>
      <c r="BN240" s="44"/>
      <c r="BO240" s="44"/>
      <c r="BP240" s="44"/>
      <c r="BQ240" s="83">
        <f t="shared" si="126"/>
        <v>9.9803718211350062E-2</v>
      </c>
      <c r="BR240" s="183">
        <f t="shared" si="138"/>
        <v>0.5635944423968664</v>
      </c>
      <c r="BS240" s="83">
        <f t="shared" si="127"/>
        <v>9.9753694581280805E-2</v>
      </c>
      <c r="BT240" s="183">
        <f t="shared" si="139"/>
        <v>0.56773399014778336</v>
      </c>
      <c r="BU240" s="83">
        <f t="shared" si="140"/>
        <v>2.8484386900228486E-2</v>
      </c>
      <c r="BV240" s="181">
        <f t="shared" si="141"/>
        <v>0.41266184310738768</v>
      </c>
      <c r="BW240" s="83">
        <f t="shared" si="142"/>
        <v>2.5362318840579712E-2</v>
      </c>
      <c r="BX240" s="83">
        <f t="shared" si="141"/>
        <v>0.42391304347826086</v>
      </c>
      <c r="BY240" s="83">
        <f t="shared" si="143"/>
        <v>2.3089538496950168E-2</v>
      </c>
      <c r="BZ240" s="83">
        <f t="shared" si="141"/>
        <v>0.33356830475313615</v>
      </c>
      <c r="CA240" s="83">
        <f t="shared" si="144"/>
        <v>2.7777777777777776E-2</v>
      </c>
      <c r="CB240" s="83">
        <f t="shared" si="141"/>
        <v>0.36944444444444446</v>
      </c>
      <c r="CC240" s="83">
        <f t="shared" si="128"/>
        <v>3.7354252400548696E-2</v>
      </c>
      <c r="CD240" s="182">
        <f t="shared" si="141"/>
        <v>0.37349965706447186</v>
      </c>
      <c r="CE240" s="83">
        <f t="shared" si="129"/>
        <v>3.5714285714285712E-2</v>
      </c>
      <c r="CF240" s="182">
        <f t="shared" si="141"/>
        <v>0.37218045112781956</v>
      </c>
      <c r="CG240" s="44"/>
      <c r="CH240" s="181">
        <f t="shared" si="145"/>
        <v>4.6764217830743762E-2</v>
      </c>
      <c r="CI240" s="181">
        <f t="shared" si="146"/>
        <v>0.44828279780761299</v>
      </c>
      <c r="CJ240" s="181">
        <f t="shared" si="147"/>
        <v>3.8793103448275877E-2</v>
      </c>
      <c r="CK240" s="181">
        <f t="shared" si="148"/>
        <v>0.42672413793103453</v>
      </c>
      <c r="CL240" s="46"/>
      <c r="CM240" s="83">
        <f t="shared" si="149"/>
        <v>0</v>
      </c>
      <c r="CN240" s="236"/>
      <c r="CO240" s="236"/>
      <c r="CP240" s="236"/>
      <c r="CQ240" s="236"/>
      <c r="CR240" s="236"/>
      <c r="CS240" s="236"/>
      <c r="CT240" s="236"/>
      <c r="CU240" s="236"/>
      <c r="CV240" s="236"/>
      <c r="CW240" s="236"/>
      <c r="CX240" s="236"/>
      <c r="CY240" s="236"/>
      <c r="CZ240" s="236"/>
      <c r="DA240" s="236"/>
      <c r="DB240" s="236"/>
      <c r="DC240" s="236"/>
      <c r="DD240" s="236"/>
      <c r="DE240" s="236"/>
      <c r="DF240" s="236"/>
    </row>
    <row r="241" spans="1:110" s="141" customFormat="1" x14ac:dyDescent="0.3">
      <c r="A241" s="236"/>
      <c r="B241" s="483"/>
      <c r="C241" s="236"/>
      <c r="D241" s="236"/>
      <c r="E241" s="232">
        <v>14</v>
      </c>
      <c r="F241" s="364"/>
      <c r="G241" s="286">
        <f t="shared" si="115"/>
        <v>44895.75</v>
      </c>
      <c r="H241" s="309">
        <f t="shared" si="116"/>
        <v>650</v>
      </c>
      <c r="I241" s="309">
        <f t="shared" si="117"/>
        <v>586</v>
      </c>
      <c r="J241" s="309">
        <f t="shared" si="118"/>
        <v>1069</v>
      </c>
      <c r="K241" s="309">
        <f>Vergleich!T17</f>
        <v>403</v>
      </c>
      <c r="L241" s="309"/>
      <c r="M241" s="309">
        <f>Vergleich!AB17</f>
        <v>1232</v>
      </c>
      <c r="N241" s="309">
        <f t="shared" si="119"/>
        <v>1011</v>
      </c>
      <c r="O241" s="364"/>
      <c r="P241" s="257"/>
      <c r="Q241" s="492">
        <f t="shared" si="120"/>
        <v>650</v>
      </c>
      <c r="R241" s="492">
        <f t="shared" si="121"/>
        <v>650</v>
      </c>
      <c r="S241" s="484"/>
      <c r="T241" s="303"/>
      <c r="U241" s="303"/>
      <c r="V241" s="303"/>
      <c r="W241" s="303"/>
      <c r="X241" s="303"/>
      <c r="Y241" s="303"/>
      <c r="Z241" s="89"/>
      <c r="AA241" s="303"/>
      <c r="AB241" s="303"/>
      <c r="AC241" s="485"/>
      <c r="AD241" s="486"/>
      <c r="AE241" s="487"/>
      <c r="AF241" s="485"/>
      <c r="AG241" s="135"/>
      <c r="AH241" s="135"/>
      <c r="AI241" s="133"/>
      <c r="AJ241" s="94"/>
      <c r="AK241" s="133"/>
      <c r="AL241" s="94"/>
      <c r="AM241" s="485"/>
      <c r="AN241" s="94"/>
      <c r="AO241" s="488"/>
      <c r="AP241" s="94"/>
      <c r="AQ241" s="485"/>
      <c r="AR241" s="304"/>
      <c r="AS241" s="488"/>
      <c r="AT241" s="94"/>
      <c r="AU241" s="44"/>
      <c r="AV241" s="44">
        <v>16</v>
      </c>
      <c r="AW241" s="44"/>
      <c r="AX241" s="44"/>
      <c r="AY241" s="44"/>
      <c r="AZ241" s="44"/>
      <c r="BA241" s="83">
        <f t="shared" si="122"/>
        <v>7.3157342771933281E-2</v>
      </c>
      <c r="BB241" s="183">
        <f t="shared" si="130"/>
        <v>0.52103201913938324</v>
      </c>
      <c r="BC241" s="83">
        <f t="shared" si="123"/>
        <v>7.5144508670520221E-2</v>
      </c>
      <c r="BD241" s="183">
        <f t="shared" si="131"/>
        <v>0.52215799614643543</v>
      </c>
      <c r="BE241" s="44"/>
      <c r="BF241" s="44"/>
      <c r="BG241" s="44"/>
      <c r="BH241" s="44"/>
      <c r="BI241" s="83">
        <f t="shared" si="124"/>
        <v>3.1617467319009517E-2</v>
      </c>
      <c r="BJ241" s="183">
        <f t="shared" si="132"/>
        <v>0.51997343928432005</v>
      </c>
      <c r="BK241" s="83">
        <f t="shared" si="125"/>
        <v>3.2312925170068035E-2</v>
      </c>
      <c r="BL241" s="183">
        <f t="shared" si="133"/>
        <v>0.55612244897959184</v>
      </c>
      <c r="BM241" s="44"/>
      <c r="BN241" s="44"/>
      <c r="BO241" s="44"/>
      <c r="BP241" s="44"/>
      <c r="BQ241" s="83">
        <f t="shared" si="126"/>
        <v>4.2779144417111663E-2</v>
      </c>
      <c r="BR241" s="183">
        <f t="shared" si="138"/>
        <v>0.60637358681397802</v>
      </c>
      <c r="BS241" s="83">
        <f t="shared" si="127"/>
        <v>4.5566502463054194E-2</v>
      </c>
      <c r="BT241" s="183">
        <f t="shared" si="139"/>
        <v>0.61330049261083752</v>
      </c>
      <c r="BU241" s="83">
        <f t="shared" si="140"/>
        <v>5.1180502665651183E-2</v>
      </c>
      <c r="BV241" s="181">
        <f t="shared" si="141"/>
        <v>0.46384234577303884</v>
      </c>
      <c r="BW241" s="83">
        <f t="shared" si="142"/>
        <v>4.3478260869565223E-2</v>
      </c>
      <c r="BX241" s="83">
        <f t="shared" si="141"/>
        <v>0.46739130434782611</v>
      </c>
      <c r="BY241" s="83">
        <f t="shared" si="143"/>
        <v>4.3632754056853497E-2</v>
      </c>
      <c r="BZ241" s="83">
        <f t="shared" si="141"/>
        <v>0.37720105880998966</v>
      </c>
      <c r="CA241" s="83">
        <f t="shared" si="144"/>
        <v>4.7222222222222221E-2</v>
      </c>
      <c r="CB241" s="83">
        <f t="shared" si="141"/>
        <v>0.41666666666666669</v>
      </c>
      <c r="CC241" s="83">
        <f t="shared" si="128"/>
        <v>5.1320301783264743E-2</v>
      </c>
      <c r="CD241" s="182">
        <f t="shared" si="141"/>
        <v>0.4248199588477366</v>
      </c>
      <c r="CE241" s="83">
        <f t="shared" si="129"/>
        <v>4.3233082706766915E-2</v>
      </c>
      <c r="CF241" s="182">
        <f t="shared" si="141"/>
        <v>0.41541353383458646</v>
      </c>
      <c r="CG241" s="44"/>
      <c r="CH241" s="181">
        <f t="shared" si="145"/>
        <v>4.7166490672298576E-2</v>
      </c>
      <c r="CI241" s="181">
        <f t="shared" si="146"/>
        <v>0.49544928847991154</v>
      </c>
      <c r="CJ241" s="181">
        <f t="shared" si="147"/>
        <v>4.3103448275861989E-2</v>
      </c>
      <c r="CK241" s="181">
        <f t="shared" si="148"/>
        <v>0.46982758620689652</v>
      </c>
      <c r="CL241" s="46"/>
      <c r="CM241" s="83">
        <f t="shared" si="149"/>
        <v>0</v>
      </c>
      <c r="CN241" s="236"/>
      <c r="CO241" s="236"/>
      <c r="CP241" s="236"/>
      <c r="CQ241" s="236"/>
      <c r="CR241" s="236"/>
      <c r="CS241" s="236"/>
      <c r="CT241" s="236"/>
      <c r="CU241" s="236"/>
      <c r="CV241" s="236"/>
      <c r="CW241" s="236"/>
      <c r="CX241" s="236"/>
      <c r="CY241" s="236"/>
      <c r="CZ241" s="236"/>
      <c r="DA241" s="236"/>
      <c r="DB241" s="236"/>
      <c r="DC241" s="236"/>
      <c r="DD241" s="236"/>
      <c r="DE241" s="236"/>
      <c r="DF241" s="236"/>
    </row>
    <row r="242" spans="1:110" s="141" customFormat="1" x14ac:dyDescent="0.3">
      <c r="A242" s="236"/>
      <c r="B242" s="483"/>
      <c r="C242" s="236"/>
      <c r="D242" s="236"/>
      <c r="E242" s="232">
        <v>15</v>
      </c>
      <c r="F242" s="364"/>
      <c r="G242" s="286">
        <f t="shared" si="115"/>
        <v>44896.75</v>
      </c>
      <c r="H242" s="309">
        <f t="shared" si="116"/>
        <v>690</v>
      </c>
      <c r="I242" s="309">
        <f t="shared" si="117"/>
        <v>600</v>
      </c>
      <c r="J242" s="309">
        <f t="shared" si="118"/>
        <v>1199</v>
      </c>
      <c r="K242" s="309">
        <f>Vergleich!T18</f>
        <v>422</v>
      </c>
      <c r="L242" s="309"/>
      <c r="M242" s="309">
        <f>Vergleich!AB18</f>
        <v>1313</v>
      </c>
      <c r="N242" s="309">
        <f t="shared" si="119"/>
        <v>1060</v>
      </c>
      <c r="O242" s="364"/>
      <c r="P242" s="257"/>
      <c r="Q242" s="492">
        <f t="shared" si="120"/>
        <v>690</v>
      </c>
      <c r="R242" s="492">
        <f t="shared" si="121"/>
        <v>690</v>
      </c>
      <c r="S242" s="484"/>
      <c r="T242" s="303"/>
      <c r="U242" s="303"/>
      <c r="V242" s="303"/>
      <c r="W242" s="303"/>
      <c r="X242" s="303"/>
      <c r="Y242" s="303"/>
      <c r="Z242" s="89"/>
      <c r="AA242" s="303"/>
      <c r="AB242" s="303"/>
      <c r="AC242" s="485"/>
      <c r="AD242" s="486"/>
      <c r="AE242" s="487"/>
      <c r="AF242" s="485"/>
      <c r="AG242" s="135"/>
      <c r="AH242" s="135"/>
      <c r="AI242" s="133"/>
      <c r="AJ242" s="94"/>
      <c r="AK242" s="133"/>
      <c r="AL242" s="94"/>
      <c r="AM242" s="485"/>
      <c r="AN242" s="94"/>
      <c r="AO242" s="488"/>
      <c r="AP242" s="94"/>
      <c r="AQ242" s="485"/>
      <c r="AR242" s="304"/>
      <c r="AS242" s="488"/>
      <c r="AT242" s="94"/>
      <c r="AU242" s="44"/>
      <c r="AV242" s="44">
        <v>17</v>
      </c>
      <c r="AW242" s="44"/>
      <c r="AX242" s="44"/>
      <c r="AY242" s="44"/>
      <c r="AZ242" s="44"/>
      <c r="BA242" s="83">
        <f t="shared" si="122"/>
        <v>5.7131386622095499E-2</v>
      </c>
      <c r="BB242" s="183">
        <f t="shared" si="130"/>
        <v>0.57816340576147873</v>
      </c>
      <c r="BC242" s="83">
        <f t="shared" si="123"/>
        <v>5.3949903660886318E-2</v>
      </c>
      <c r="BD242" s="183">
        <f t="shared" si="131"/>
        <v>0.5761078998073218</v>
      </c>
      <c r="BE242" s="44"/>
      <c r="BF242" s="44"/>
      <c r="BG242" s="44"/>
      <c r="BH242" s="44"/>
      <c r="BI242" s="83">
        <f t="shared" si="124"/>
        <v>4.0964796106374206E-2</v>
      </c>
      <c r="BJ242" s="183">
        <f t="shared" si="132"/>
        <v>0.56093823539069421</v>
      </c>
      <c r="BK242" s="83">
        <f t="shared" si="125"/>
        <v>2.210884353741497E-2</v>
      </c>
      <c r="BL242" s="183">
        <f t="shared" si="133"/>
        <v>0.57823129251700678</v>
      </c>
      <c r="BM242" s="44"/>
      <c r="BN242" s="44"/>
      <c r="BO242" s="44"/>
      <c r="BP242" s="44"/>
      <c r="BQ242" s="83">
        <f t="shared" si="126"/>
        <v>4.2830571959989377E-2</v>
      </c>
      <c r="BR242" s="183">
        <f t="shared" si="138"/>
        <v>0.64920415877396742</v>
      </c>
      <c r="BS242" s="83">
        <f t="shared" si="127"/>
        <v>4.1871921182266014E-2</v>
      </c>
      <c r="BT242" s="183">
        <f t="shared" si="139"/>
        <v>0.65517241379310354</v>
      </c>
      <c r="BU242" s="83">
        <f t="shared" si="140"/>
        <v>4.6001523229246007E-2</v>
      </c>
      <c r="BV242" s="181">
        <f t="shared" si="141"/>
        <v>0.50984386900228484</v>
      </c>
      <c r="BW242" s="83">
        <f t="shared" si="142"/>
        <v>5.0724637681159424E-2</v>
      </c>
      <c r="BX242" s="83">
        <f t="shared" si="141"/>
        <v>0.51811594202898559</v>
      </c>
      <c r="BY242" s="83">
        <f t="shared" si="143"/>
        <v>9.7594659914834861E-2</v>
      </c>
      <c r="BZ242" s="83">
        <f t="shared" si="141"/>
        <v>0.47479571872482451</v>
      </c>
      <c r="CA242" s="83">
        <f t="shared" si="144"/>
        <v>0.11944444444444444</v>
      </c>
      <c r="CB242" s="83">
        <f t="shared" si="141"/>
        <v>0.53611111111111109</v>
      </c>
      <c r="CC242" s="83">
        <f t="shared" si="128"/>
        <v>5.2254801097393687E-2</v>
      </c>
      <c r="CD242" s="182">
        <f t="shared" si="141"/>
        <v>0.47707475994513027</v>
      </c>
      <c r="CE242" s="83">
        <f t="shared" si="129"/>
        <v>4.8872180451127817E-2</v>
      </c>
      <c r="CF242" s="182">
        <f t="shared" si="141"/>
        <v>0.4642857142857143</v>
      </c>
      <c r="CG242" s="44"/>
      <c r="CH242" s="181">
        <f t="shared" si="145"/>
        <v>4.4300296676220534E-2</v>
      </c>
      <c r="CI242" s="181">
        <f t="shared" si="146"/>
        <v>0.53974958515613203</v>
      </c>
      <c r="CJ242" s="181">
        <f t="shared" si="147"/>
        <v>3.8793103448275877E-2</v>
      </c>
      <c r="CK242" s="181">
        <f t="shared" si="148"/>
        <v>0.50862068965517238</v>
      </c>
      <c r="CL242" s="46"/>
      <c r="CM242" s="83">
        <f t="shared" si="149"/>
        <v>0</v>
      </c>
      <c r="CN242" s="236"/>
      <c r="CO242" s="236"/>
      <c r="CP242" s="236"/>
      <c r="CQ242" s="236"/>
      <c r="CR242" s="236"/>
      <c r="CS242" s="236"/>
      <c r="CT242" s="236"/>
      <c r="CU242" s="236"/>
      <c r="CV242" s="236"/>
      <c r="CW242" s="236"/>
      <c r="CX242" s="236"/>
      <c r="CY242" s="236"/>
      <c r="CZ242" s="236"/>
      <c r="DA242" s="236"/>
      <c r="DB242" s="236"/>
      <c r="DC242" s="236"/>
      <c r="DD242" s="236"/>
      <c r="DE242" s="236"/>
      <c r="DF242" s="236"/>
    </row>
    <row r="243" spans="1:110" s="141" customFormat="1" x14ac:dyDescent="0.3">
      <c r="A243" s="236"/>
      <c r="B243" s="483"/>
      <c r="C243" s="236"/>
      <c r="D243" s="236"/>
      <c r="E243" s="232">
        <v>16</v>
      </c>
      <c r="F243" s="364"/>
      <c r="G243" s="286">
        <f t="shared" si="115"/>
        <v>44897.75</v>
      </c>
      <c r="H243" s="309">
        <f t="shared" si="116"/>
        <v>729</v>
      </c>
      <c r="I243" s="309">
        <f t="shared" si="117"/>
        <v>617</v>
      </c>
      <c r="J243" s="309">
        <f t="shared" si="118"/>
        <v>1259</v>
      </c>
      <c r="K243" s="309">
        <f>Vergleich!T19</f>
        <v>445</v>
      </c>
      <c r="L243" s="309"/>
      <c r="M243" s="309">
        <f>Vergleich!AB19</f>
        <v>1350</v>
      </c>
      <c r="N243" s="309">
        <f t="shared" si="119"/>
        <v>1096</v>
      </c>
      <c r="O243" s="364"/>
      <c r="P243" s="257"/>
      <c r="Q243" s="492">
        <f t="shared" si="120"/>
        <v>729</v>
      </c>
      <c r="R243" s="492">
        <f t="shared" si="121"/>
        <v>729</v>
      </c>
      <c r="S243" s="484"/>
      <c r="T243" s="303"/>
      <c r="U243" s="303"/>
      <c r="V243" s="303"/>
      <c r="W243" s="303"/>
      <c r="X243" s="303"/>
      <c r="Y243" s="303"/>
      <c r="Z243" s="89"/>
      <c r="AA243" s="303"/>
      <c r="AB243" s="303"/>
      <c r="AC243" s="485"/>
      <c r="AD243" s="486"/>
      <c r="AE243" s="487"/>
      <c r="AF243" s="485"/>
      <c r="AG243" s="135"/>
      <c r="AH243" s="135"/>
      <c r="AI243" s="133"/>
      <c r="AJ243" s="94"/>
      <c r="AK243" s="133"/>
      <c r="AL243" s="94"/>
      <c r="AM243" s="485"/>
      <c r="AN243" s="94"/>
      <c r="AO243" s="488"/>
      <c r="AP243" s="94"/>
      <c r="AQ243" s="485"/>
      <c r="AR243" s="304"/>
      <c r="AS243" s="488"/>
      <c r="AT243" s="94"/>
      <c r="AU243" s="44"/>
      <c r="AV243" s="44">
        <v>18</v>
      </c>
      <c r="AW243" s="44"/>
      <c r="AX243" s="44"/>
      <c r="AY243" s="44"/>
      <c r="AZ243" s="44"/>
      <c r="BA243" s="83">
        <f t="shared" si="122"/>
        <v>5.3034772064366006E-2</v>
      </c>
      <c r="BB243" s="183">
        <f t="shared" si="130"/>
        <v>0.63119817782584475</v>
      </c>
      <c r="BC243" s="83">
        <f t="shared" si="123"/>
        <v>4.6242774566473986E-2</v>
      </c>
      <c r="BD243" s="183">
        <f t="shared" si="131"/>
        <v>0.62235067437379576</v>
      </c>
      <c r="BE243" s="44"/>
      <c r="BF243" s="44"/>
      <c r="BG243" s="44"/>
      <c r="BH243" s="44"/>
      <c r="BI243" s="83">
        <f t="shared" si="124"/>
        <v>4.355519557515989E-2</v>
      </c>
      <c r="BJ243" s="183">
        <f t="shared" si="132"/>
        <v>0.60449343096585406</v>
      </c>
      <c r="BK243" s="83">
        <f t="shared" si="125"/>
        <v>4.2517006802721094E-2</v>
      </c>
      <c r="BL243" s="183">
        <f t="shared" si="133"/>
        <v>0.62074829931972786</v>
      </c>
      <c r="BM243" s="44"/>
      <c r="BN243" s="44"/>
      <c r="BO243" s="44"/>
      <c r="BP243" s="44"/>
      <c r="BQ243" s="83">
        <f t="shared" si="126"/>
        <v>4.163916721665567E-2</v>
      </c>
      <c r="BR243" s="183">
        <f t="shared" si="138"/>
        <v>0.69084332599062304</v>
      </c>
      <c r="BS243" s="83">
        <f t="shared" si="127"/>
        <v>4.3103448275862079E-2</v>
      </c>
      <c r="BT243" s="183">
        <f t="shared" si="139"/>
        <v>0.69827586206896564</v>
      </c>
      <c r="BU243" s="83">
        <f t="shared" si="140"/>
        <v>4.7429550647372427E-2</v>
      </c>
      <c r="BV243" s="181">
        <f t="shared" si="141"/>
        <v>0.55727341964965726</v>
      </c>
      <c r="BW243" s="83">
        <f t="shared" si="142"/>
        <v>5.0724637681159424E-2</v>
      </c>
      <c r="BX243" s="83">
        <f t="shared" si="141"/>
        <v>0.56884057971014501</v>
      </c>
      <c r="BY243" s="83">
        <f t="shared" si="143"/>
        <v>7.3958453216710782E-2</v>
      </c>
      <c r="BZ243" s="83">
        <f t="shared" si="141"/>
        <v>0.54875417194153531</v>
      </c>
      <c r="CA243" s="83">
        <f t="shared" si="144"/>
        <v>7.4999999999999997E-2</v>
      </c>
      <c r="CB243" s="83">
        <f t="shared" si="141"/>
        <v>0.61111111111111105</v>
      </c>
      <c r="CC243" s="83">
        <f t="shared" si="128"/>
        <v>5.0351508916323728E-2</v>
      </c>
      <c r="CD243" s="182">
        <f t="shared" si="141"/>
        <v>0.52742626886145394</v>
      </c>
      <c r="CE243" s="83">
        <f t="shared" si="129"/>
        <v>5.6390977443609019E-2</v>
      </c>
      <c r="CF243" s="182">
        <f t="shared" si="141"/>
        <v>0.52067669172932329</v>
      </c>
      <c r="CG243" s="44"/>
      <c r="CH243" s="181">
        <f t="shared" si="145"/>
        <v>6.592246190979037E-2</v>
      </c>
      <c r="CI243" s="181">
        <f t="shared" si="146"/>
        <v>0.60567204706592237</v>
      </c>
      <c r="CJ243" s="181">
        <f t="shared" si="147"/>
        <v>7.3275862068965469E-2</v>
      </c>
      <c r="CK243" s="181">
        <f t="shared" si="148"/>
        <v>0.5818965517241379</v>
      </c>
      <c r="CL243" s="46"/>
      <c r="CM243" s="83">
        <f t="shared" si="149"/>
        <v>0</v>
      </c>
      <c r="CN243" s="236"/>
      <c r="CO243" s="236"/>
      <c r="CP243" s="236"/>
      <c r="CQ243" s="236"/>
      <c r="CR243" s="236"/>
      <c r="CS243" s="236"/>
      <c r="CT243" s="236"/>
      <c r="CU243" s="236"/>
      <c r="CV243" s="236"/>
      <c r="CW243" s="236"/>
      <c r="CX243" s="236"/>
      <c r="CY243" s="236"/>
      <c r="CZ243" s="236"/>
      <c r="DA243" s="236"/>
      <c r="DB243" s="236"/>
      <c r="DC243" s="236"/>
      <c r="DD243" s="236"/>
      <c r="DE243" s="236"/>
      <c r="DF243" s="236"/>
    </row>
    <row r="244" spans="1:110" s="141" customFormat="1" x14ac:dyDescent="0.3">
      <c r="A244" s="236"/>
      <c r="B244" s="483"/>
      <c r="C244" s="236"/>
      <c r="D244" s="236"/>
      <c r="E244" s="232">
        <v>17</v>
      </c>
      <c r="F244" s="364"/>
      <c r="G244" s="286">
        <f t="shared" si="115"/>
        <v>44898.75</v>
      </c>
      <c r="H244" s="309">
        <f t="shared" si="116"/>
        <v>757</v>
      </c>
      <c r="I244" s="309">
        <f t="shared" si="117"/>
        <v>636</v>
      </c>
      <c r="J244" s="309">
        <f t="shared" si="118"/>
        <v>1314</v>
      </c>
      <c r="K244" s="309">
        <f>Vergleich!T20</f>
        <v>471</v>
      </c>
      <c r="L244" s="309"/>
      <c r="M244" s="309">
        <f>Vergleich!AB20</f>
        <v>1384</v>
      </c>
      <c r="N244" s="309">
        <f t="shared" si="119"/>
        <v>1134</v>
      </c>
      <c r="O244" s="364"/>
      <c r="P244" s="257"/>
      <c r="Q244" s="492">
        <f t="shared" si="120"/>
        <v>757</v>
      </c>
      <c r="R244" s="492">
        <f t="shared" si="121"/>
        <v>757</v>
      </c>
      <c r="S244" s="484"/>
      <c r="T244" s="303"/>
      <c r="U244" s="303"/>
      <c r="V244" s="303"/>
      <c r="W244" s="303"/>
      <c r="X244" s="303"/>
      <c r="Y244" s="303"/>
      <c r="Z244" s="89"/>
      <c r="AA244" s="303"/>
      <c r="AB244" s="303"/>
      <c r="AC244" s="485"/>
      <c r="AD244" s="486"/>
      <c r="AE244" s="487"/>
      <c r="AF244" s="485"/>
      <c r="AG244" s="135"/>
      <c r="AH244" s="135"/>
      <c r="AI244" s="133"/>
      <c r="AJ244" s="94"/>
      <c r="AK244" s="133"/>
      <c r="AL244" s="94"/>
      <c r="AM244" s="485"/>
      <c r="AN244" s="94"/>
      <c r="AO244" s="488"/>
      <c r="AP244" s="94"/>
      <c r="AQ244" s="485"/>
      <c r="AR244" s="304"/>
      <c r="AS244" s="488"/>
      <c r="AT244" s="94"/>
      <c r="AU244" s="303"/>
      <c r="AV244" s="303">
        <v>19</v>
      </c>
      <c r="AW244" s="303"/>
      <c r="AX244" s="303"/>
      <c r="AY244" s="303"/>
      <c r="AZ244" s="303"/>
      <c r="BA244" s="183">
        <f t="shared" si="122"/>
        <v>8.3349719791564261E-2</v>
      </c>
      <c r="BB244" s="183">
        <f t="shared" si="130"/>
        <v>0.714547897617409</v>
      </c>
      <c r="BC244" s="183">
        <f t="shared" si="123"/>
        <v>8.8631984585741799E-2</v>
      </c>
      <c r="BD244" s="183">
        <f t="shared" si="131"/>
        <v>0.71098265895953761</v>
      </c>
      <c r="BE244" s="303"/>
      <c r="BF244" s="303"/>
      <c r="BG244" s="303"/>
      <c r="BH244" s="303"/>
      <c r="BI244" s="183">
        <f t="shared" si="124"/>
        <v>6.8623695223084466E-2</v>
      </c>
      <c r="BJ244" s="183">
        <f t="shared" si="132"/>
        <v>0.67311712618893849</v>
      </c>
      <c r="BK244" s="183">
        <f t="shared" si="125"/>
        <v>6.8027210884353748E-2</v>
      </c>
      <c r="BL244" s="183">
        <f t="shared" si="133"/>
        <v>0.68877551020408156</v>
      </c>
      <c r="BM244" s="303"/>
      <c r="BN244" s="303"/>
      <c r="BO244" s="303"/>
      <c r="BP244" s="303"/>
      <c r="BQ244" s="183">
        <f t="shared" si="126"/>
        <v>7.7715588545371958E-2</v>
      </c>
      <c r="BR244" s="183">
        <f t="shared" si="138"/>
        <v>0.76855891453599501</v>
      </c>
      <c r="BS244" s="183">
        <f t="shared" si="127"/>
        <v>7.8817733990147798E-2</v>
      </c>
      <c r="BT244" s="183">
        <f t="shared" si="139"/>
        <v>0.77709359605911343</v>
      </c>
      <c r="BU244" s="183">
        <f t="shared" si="140"/>
        <v>8.9185072353389183E-2</v>
      </c>
      <c r="BV244" s="183">
        <f t="shared" si="141"/>
        <v>0.6464584920030465</v>
      </c>
      <c r="BW244" s="183">
        <f t="shared" si="142"/>
        <v>8.6956521739130446E-2</v>
      </c>
      <c r="BX244" s="183">
        <f t="shared" si="141"/>
        <v>0.6557971014492755</v>
      </c>
      <c r="BY244" s="183">
        <f t="shared" si="143"/>
        <v>0.13229370468408333</v>
      </c>
      <c r="BZ244" s="183">
        <f t="shared" si="141"/>
        <v>0.68104787662561861</v>
      </c>
      <c r="CA244" s="183">
        <f t="shared" si="144"/>
        <v>9.7222222222222224E-2</v>
      </c>
      <c r="CB244" s="183">
        <f t="shared" si="141"/>
        <v>0.70833333333333326</v>
      </c>
      <c r="CC244" s="183">
        <f t="shared" si="128"/>
        <v>6.9633058984910845E-2</v>
      </c>
      <c r="CD244" s="183">
        <f t="shared" si="141"/>
        <v>0.59705932784636473</v>
      </c>
      <c r="CE244" s="183">
        <f t="shared" si="129"/>
        <v>6.7669172932330823E-2</v>
      </c>
      <c r="CF244" s="183">
        <f t="shared" si="141"/>
        <v>0.58834586466165417</v>
      </c>
      <c r="CG244" s="303"/>
      <c r="CH244" s="183">
        <f t="shared" si="145"/>
        <v>7.3289083320762366E-2</v>
      </c>
      <c r="CI244" s="183">
        <f t="shared" si="146"/>
        <v>0.67896113038668471</v>
      </c>
      <c r="CJ244" s="183">
        <f t="shared" si="147"/>
        <v>7.3275862068965469E-2</v>
      </c>
      <c r="CK244" s="183">
        <f t="shared" si="148"/>
        <v>0.65517241379310343</v>
      </c>
      <c r="CL244" s="494"/>
      <c r="CM244" s="183">
        <f t="shared" si="149"/>
        <v>0</v>
      </c>
      <c r="CN244" s="236"/>
      <c r="CO244" s="236"/>
      <c r="CP244" s="236"/>
      <c r="CQ244" s="236"/>
      <c r="CR244" s="236"/>
      <c r="CS244" s="236"/>
      <c r="CT244" s="236"/>
      <c r="CU244" s="236"/>
      <c r="CV244" s="236"/>
      <c r="CW244" s="236"/>
      <c r="CX244" s="236"/>
      <c r="CY244" s="236"/>
      <c r="CZ244" s="236"/>
      <c r="DA244" s="236"/>
      <c r="DB244" s="236"/>
      <c r="DC244" s="236"/>
      <c r="DD244" s="236"/>
      <c r="DE244" s="236"/>
      <c r="DF244" s="236"/>
    </row>
    <row r="245" spans="1:110" s="141" customFormat="1" x14ac:dyDescent="0.3">
      <c r="A245" s="236"/>
      <c r="B245" s="483"/>
      <c r="C245" s="236"/>
      <c r="D245" s="236"/>
      <c r="E245" s="232">
        <v>18</v>
      </c>
      <c r="F245" s="364"/>
      <c r="G245" s="286">
        <f t="shared" si="115"/>
        <v>44899.75</v>
      </c>
      <c r="H245" s="309">
        <f t="shared" si="116"/>
        <v>781</v>
      </c>
      <c r="I245" s="309">
        <f t="shared" si="117"/>
        <v>658</v>
      </c>
      <c r="J245" s="309">
        <f t="shared" si="118"/>
        <v>1370</v>
      </c>
      <c r="K245" s="309">
        <f>Vergleich!T21</f>
        <v>501</v>
      </c>
      <c r="L245" s="309"/>
      <c r="M245" s="309">
        <f>Vergleich!AB21</f>
        <v>1419</v>
      </c>
      <c r="N245" s="309">
        <f t="shared" si="119"/>
        <v>1160</v>
      </c>
      <c r="O245" s="364"/>
      <c r="P245" s="257"/>
      <c r="Q245" s="492">
        <f t="shared" si="120"/>
        <v>781</v>
      </c>
      <c r="R245" s="492">
        <f t="shared" si="121"/>
        <v>781</v>
      </c>
      <c r="S245" s="484"/>
      <c r="T245" s="303"/>
      <c r="U245" s="303"/>
      <c r="V245" s="303"/>
      <c r="W245" s="303"/>
      <c r="X245" s="303"/>
      <c r="Y245" s="303"/>
      <c r="Z245" s="89"/>
      <c r="AA245" s="303"/>
      <c r="AB245" s="303"/>
      <c r="AC245" s="485"/>
      <c r="AD245" s="486"/>
      <c r="AE245" s="487"/>
      <c r="AF245" s="485"/>
      <c r="AG245" s="135"/>
      <c r="AH245" s="135"/>
      <c r="AI245" s="133"/>
      <c r="AJ245" s="94"/>
      <c r="AK245" s="133"/>
      <c r="AL245" s="94"/>
      <c r="AM245" s="485"/>
      <c r="AN245" s="94"/>
      <c r="AO245" s="488"/>
      <c r="AP245" s="94"/>
      <c r="AQ245" s="485"/>
      <c r="AR245" s="304"/>
      <c r="AS245" s="488"/>
      <c r="AT245" s="94"/>
      <c r="AU245" s="303"/>
      <c r="AV245" s="303">
        <v>20</v>
      </c>
      <c r="AW245" s="303"/>
      <c r="AX245" s="303"/>
      <c r="AY245" s="303"/>
      <c r="AZ245" s="303"/>
      <c r="BA245" s="183">
        <f t="shared" si="122"/>
        <v>6.7733425097499439E-2</v>
      </c>
      <c r="BB245" s="183">
        <f t="shared" si="130"/>
        <v>0.78228132271490847</v>
      </c>
      <c r="BC245" s="183">
        <f t="shared" si="123"/>
        <v>6.9364161849710976E-2</v>
      </c>
      <c r="BD245" s="183">
        <f t="shared" si="131"/>
        <v>0.78034682080924855</v>
      </c>
      <c r="BE245" s="303"/>
      <c r="BF245" s="303"/>
      <c r="BG245" s="303"/>
      <c r="BH245" s="303"/>
      <c r="BI245" s="183">
        <f t="shared" si="124"/>
        <v>0.11381339637854856</v>
      </c>
      <c r="BJ245" s="183">
        <f t="shared" si="132"/>
        <v>0.78693052256748708</v>
      </c>
      <c r="BK245" s="183">
        <f t="shared" si="125"/>
        <v>0.11139455782312926</v>
      </c>
      <c r="BL245" s="183">
        <f t="shared" si="133"/>
        <v>0.8001700680272108</v>
      </c>
      <c r="BM245" s="303"/>
      <c r="BN245" s="303"/>
      <c r="BO245" s="303"/>
      <c r="BP245" s="303"/>
      <c r="BQ245" s="183">
        <f t="shared" si="126"/>
        <v>7.4664221001294259E-2</v>
      </c>
      <c r="BR245" s="183">
        <f t="shared" si="138"/>
        <v>0.84322313553728923</v>
      </c>
      <c r="BS245" s="183">
        <f t="shared" si="127"/>
        <v>7.6354679802955669E-2</v>
      </c>
      <c r="BT245" s="183">
        <f t="shared" si="139"/>
        <v>0.85344827586206906</v>
      </c>
      <c r="BU245" s="183">
        <f t="shared" si="140"/>
        <v>0.14394516374714394</v>
      </c>
      <c r="BV245" s="183">
        <f t="shared" si="141"/>
        <v>0.79040365575019045</v>
      </c>
      <c r="BW245" s="183">
        <f t="shared" si="142"/>
        <v>0.14130434782608697</v>
      </c>
      <c r="BX245" s="183">
        <f t="shared" si="141"/>
        <v>0.79710144927536253</v>
      </c>
      <c r="BY245" s="183">
        <f t="shared" si="143"/>
        <v>0.11065715272183221</v>
      </c>
      <c r="BZ245" s="183">
        <f t="shared" si="141"/>
        <v>0.79170502934745079</v>
      </c>
      <c r="CA245" s="183">
        <f t="shared" si="144"/>
        <v>9.7222222222222224E-2</v>
      </c>
      <c r="CB245" s="183">
        <f t="shared" si="141"/>
        <v>0.80555555555555547</v>
      </c>
      <c r="CC245" s="183">
        <f t="shared" si="128"/>
        <v>5.8144718792866944E-2</v>
      </c>
      <c r="CD245" s="183">
        <f t="shared" si="141"/>
        <v>0.65520404663923171</v>
      </c>
      <c r="CE245" s="183">
        <f t="shared" si="129"/>
        <v>7.3308270676691725E-2</v>
      </c>
      <c r="CF245" s="183">
        <f t="shared" si="141"/>
        <v>0.66165413533834594</v>
      </c>
      <c r="CG245" s="303"/>
      <c r="CH245" s="183">
        <f t="shared" si="145"/>
        <v>0.12661537687936833</v>
      </c>
      <c r="CI245" s="183">
        <f t="shared" si="146"/>
        <v>0.80557650726605301</v>
      </c>
      <c r="CJ245" s="183">
        <f t="shared" si="147"/>
        <v>0.14224137931034481</v>
      </c>
      <c r="CK245" s="183">
        <f t="shared" si="148"/>
        <v>0.79741379310344818</v>
      </c>
      <c r="CL245" s="494"/>
      <c r="CM245" s="183">
        <f t="shared" si="149"/>
        <v>0</v>
      </c>
      <c r="CN245" s="236"/>
      <c r="CO245" s="236"/>
      <c r="CP245" s="236"/>
      <c r="CQ245" s="236"/>
      <c r="CR245" s="236"/>
      <c r="CS245" s="236"/>
      <c r="CT245" s="236"/>
      <c r="CU245" s="236"/>
      <c r="CV245" s="236"/>
      <c r="CW245" s="236"/>
      <c r="CX245" s="236"/>
      <c r="CY245" s="236"/>
      <c r="CZ245" s="236"/>
      <c r="DA245" s="236"/>
      <c r="DB245" s="236"/>
      <c r="DC245" s="236"/>
      <c r="DD245" s="236"/>
      <c r="DE245" s="236"/>
      <c r="DF245" s="236"/>
    </row>
    <row r="246" spans="1:110" s="141" customFormat="1" x14ac:dyDescent="0.3">
      <c r="A246" s="236"/>
      <c r="B246" s="483"/>
      <c r="C246" s="236"/>
      <c r="D246" s="236"/>
      <c r="E246" s="232">
        <v>19</v>
      </c>
      <c r="F246" s="364"/>
      <c r="G246" s="286">
        <f t="shared" si="115"/>
        <v>44900.75</v>
      </c>
      <c r="H246" s="309">
        <f t="shared" si="116"/>
        <v>827</v>
      </c>
      <c r="I246" s="309">
        <f t="shared" si="117"/>
        <v>684</v>
      </c>
      <c r="J246" s="309">
        <f t="shared" si="118"/>
        <v>1473</v>
      </c>
      <c r="K246" s="309">
        <f>Vergleich!T22</f>
        <v>537</v>
      </c>
      <c r="L246" s="309"/>
      <c r="M246" s="309">
        <f>Vergleich!AB22</f>
        <v>1483</v>
      </c>
      <c r="N246" s="309">
        <f t="shared" si="119"/>
        <v>1210</v>
      </c>
      <c r="O246" s="364"/>
      <c r="P246" s="257"/>
      <c r="Q246" s="492">
        <f t="shared" si="120"/>
        <v>827</v>
      </c>
      <c r="R246" s="492">
        <f t="shared" si="121"/>
        <v>827</v>
      </c>
      <c r="S246" s="484"/>
      <c r="T246" s="303"/>
      <c r="U246" s="303"/>
      <c r="V246" s="303"/>
      <c r="W246" s="303"/>
      <c r="X246" s="303"/>
      <c r="Y246" s="303"/>
      <c r="Z246" s="89"/>
      <c r="AA246" s="303"/>
      <c r="AB246" s="303"/>
      <c r="AC246" s="485"/>
      <c r="AD246" s="486"/>
      <c r="AE246" s="487"/>
      <c r="AF246" s="485"/>
      <c r="AG246" s="135"/>
      <c r="AH246" s="135"/>
      <c r="AI246" s="133"/>
      <c r="AJ246" s="94"/>
      <c r="AK246" s="133"/>
      <c r="AL246" s="94"/>
      <c r="AM246" s="485"/>
      <c r="AN246" s="94"/>
      <c r="AO246" s="488"/>
      <c r="AP246" s="94"/>
      <c r="AQ246" s="485"/>
      <c r="AR246" s="304"/>
      <c r="AS246" s="488"/>
      <c r="AT246" s="94"/>
      <c r="AU246" s="303"/>
      <c r="AV246" s="303">
        <v>21</v>
      </c>
      <c r="AW246" s="303"/>
      <c r="AX246" s="303"/>
      <c r="AY246" s="303"/>
      <c r="AZ246" s="303"/>
      <c r="BA246" s="183">
        <f t="shared" si="122"/>
        <v>0.21771867728509159</v>
      </c>
      <c r="BB246" s="183">
        <f t="shared" si="130"/>
        <v>1</v>
      </c>
      <c r="BC246" s="183">
        <f t="shared" si="123"/>
        <v>0.21965317919075145</v>
      </c>
      <c r="BD246" s="183">
        <f t="shared" si="131"/>
        <v>1</v>
      </c>
      <c r="BE246" s="303"/>
      <c r="BF246" s="303"/>
      <c r="BG246" s="303"/>
      <c r="BH246" s="303"/>
      <c r="BI246" s="183">
        <f t="shared" si="124"/>
        <v>0.21306947743251278</v>
      </c>
      <c r="BJ246" s="183">
        <f t="shared" si="132"/>
        <v>0.99999999999999989</v>
      </c>
      <c r="BK246" s="183">
        <f t="shared" si="125"/>
        <v>0.19982993197278912</v>
      </c>
      <c r="BL246" s="183">
        <f t="shared" si="133"/>
        <v>0.99999999999999989</v>
      </c>
      <c r="BM246" s="303"/>
      <c r="BN246" s="303"/>
      <c r="BO246" s="303"/>
      <c r="BP246" s="303"/>
      <c r="BQ246" s="183">
        <f t="shared" si="126"/>
        <v>0.15677686446271077</v>
      </c>
      <c r="BR246" s="183">
        <f t="shared" si="138"/>
        <v>1</v>
      </c>
      <c r="BS246" s="183">
        <f t="shared" si="127"/>
        <v>0.14655172413793105</v>
      </c>
      <c r="BT246" s="183">
        <f t="shared" si="139"/>
        <v>1</v>
      </c>
      <c r="BU246" s="183">
        <f t="shared" si="140"/>
        <v>0.20959634424980961</v>
      </c>
      <c r="BV246" s="183">
        <f t="shared" si="141"/>
        <v>1</v>
      </c>
      <c r="BW246" s="183">
        <f t="shared" si="142"/>
        <v>0.20289855072463769</v>
      </c>
      <c r="BX246" s="183">
        <f t="shared" si="141"/>
        <v>1.0000000000000002</v>
      </c>
      <c r="BY246" s="183">
        <f t="shared" si="143"/>
        <v>0.20829497065254921</v>
      </c>
      <c r="BZ246" s="183">
        <f t="shared" si="141"/>
        <v>1</v>
      </c>
      <c r="CA246" s="183">
        <f t="shared" si="144"/>
        <v>0.19444444444444445</v>
      </c>
      <c r="CB246" s="183">
        <f t="shared" si="141"/>
        <v>0.99999999999999989</v>
      </c>
      <c r="CC246" s="183">
        <f t="shared" si="128"/>
        <v>0.34479595336076813</v>
      </c>
      <c r="CD246" s="183">
        <f t="shared" si="141"/>
        <v>0.99999999999999978</v>
      </c>
      <c r="CE246" s="183">
        <f t="shared" si="129"/>
        <v>0.33834586466165412</v>
      </c>
      <c r="CF246" s="183">
        <f t="shared" si="141"/>
        <v>1</v>
      </c>
      <c r="CG246" s="303"/>
      <c r="CH246" s="183">
        <f t="shared" si="145"/>
        <v>0.19442349273394688</v>
      </c>
      <c r="CI246" s="183">
        <f t="shared" si="146"/>
        <v>0.99999999999999989</v>
      </c>
      <c r="CJ246" s="183">
        <f t="shared" si="147"/>
        <v>0.20258620689655177</v>
      </c>
      <c r="CK246" s="183">
        <f t="shared" si="148"/>
        <v>1</v>
      </c>
      <c r="CL246" s="494"/>
      <c r="CM246" s="183">
        <f t="shared" si="149"/>
        <v>0</v>
      </c>
      <c r="CN246" s="236"/>
      <c r="CO246" s="236"/>
      <c r="CP246" s="236"/>
      <c r="CQ246" s="236"/>
      <c r="CR246" s="236"/>
      <c r="CS246" s="236"/>
      <c r="CT246" s="236"/>
      <c r="CU246" s="236"/>
      <c r="CV246" s="236"/>
      <c r="CW246" s="236"/>
      <c r="CX246" s="236"/>
      <c r="CY246" s="236"/>
      <c r="CZ246" s="236"/>
      <c r="DA246" s="236"/>
      <c r="DB246" s="236"/>
      <c r="DC246" s="236"/>
      <c r="DD246" s="236"/>
      <c r="DE246" s="236"/>
      <c r="DF246" s="236"/>
    </row>
    <row r="247" spans="1:110" s="141" customFormat="1" x14ac:dyDescent="0.3">
      <c r="A247" s="236"/>
      <c r="B247" s="483"/>
      <c r="C247" s="236"/>
      <c r="D247" s="236"/>
      <c r="E247" s="232">
        <v>20</v>
      </c>
      <c r="F247" s="364"/>
      <c r="G247" s="286">
        <f t="shared" si="115"/>
        <v>44901.75</v>
      </c>
      <c r="H247" s="309">
        <f t="shared" si="116"/>
        <v>863</v>
      </c>
      <c r="I247" s="309">
        <f t="shared" si="117"/>
        <v>712</v>
      </c>
      <c r="J247" s="309">
        <f t="shared" si="118"/>
        <v>1573</v>
      </c>
      <c r="K247" s="309">
        <f>Vergleich!T23</f>
        <v>576</v>
      </c>
      <c r="L247" s="309"/>
      <c r="M247" s="309">
        <f>Vergleich!AB23</f>
        <v>1545</v>
      </c>
      <c r="N247" s="309">
        <f t="shared" si="119"/>
        <v>1290</v>
      </c>
      <c r="O247" s="364"/>
      <c r="P247" s="257"/>
      <c r="Q247" s="492">
        <f t="shared" si="120"/>
        <v>863</v>
      </c>
      <c r="R247" s="492">
        <f t="shared" si="121"/>
        <v>863</v>
      </c>
      <c r="S247" s="484"/>
      <c r="T247" s="303"/>
      <c r="U247" s="303"/>
      <c r="V247" s="303"/>
      <c r="W247" s="303"/>
      <c r="X247" s="303"/>
      <c r="Y247" s="303"/>
      <c r="Z247" s="89"/>
      <c r="AA247" s="303"/>
      <c r="AB247" s="303"/>
      <c r="AC247" s="485"/>
      <c r="AD247" s="486"/>
      <c r="AE247" s="487"/>
      <c r="AF247" s="485"/>
      <c r="AG247" s="135"/>
      <c r="AH247" s="135"/>
      <c r="AI247" s="133"/>
      <c r="AJ247" s="94"/>
      <c r="AK247" s="133"/>
      <c r="AL247" s="94"/>
      <c r="AM247" s="485"/>
      <c r="AN247" s="94"/>
      <c r="AO247" s="488"/>
      <c r="AP247" s="94"/>
      <c r="AQ247" s="485"/>
      <c r="AR247" s="304"/>
      <c r="AS247" s="488"/>
      <c r="AT247" s="94"/>
      <c r="AU247" s="303"/>
      <c r="AV247" s="303"/>
      <c r="AW247" s="303"/>
      <c r="AX247" s="303"/>
      <c r="AY247" s="303"/>
      <c r="AZ247" s="303"/>
      <c r="BA247" s="183">
        <f>SUM(BA232:BA234)</f>
        <v>8.2071576049552647E-2</v>
      </c>
      <c r="BB247" s="303"/>
      <c r="BC247" s="183">
        <f>SUM(BC232:BC234)</f>
        <v>8.2851637764932554E-2</v>
      </c>
      <c r="BD247" s="304"/>
      <c r="BE247" s="303"/>
      <c r="BF247" s="303"/>
      <c r="BG247" s="303"/>
      <c r="BH247" s="303"/>
      <c r="BI247" s="183">
        <f>SUM(BI232:BI234)</f>
        <v>0.16068868141370138</v>
      </c>
      <c r="BJ247" s="303"/>
      <c r="BK247" s="183">
        <f>SUM(BK232:BK234)</f>
        <v>0.16921768707482995</v>
      </c>
      <c r="BL247" s="304"/>
      <c r="BM247" s="303"/>
      <c r="BN247" s="303"/>
      <c r="BO247" s="303"/>
      <c r="BP247" s="303"/>
      <c r="BQ247" s="183">
        <f>SUM(BQ232:BQ234)</f>
        <v>0.19755890596473785</v>
      </c>
      <c r="BR247" s="303"/>
      <c r="BS247" s="183">
        <f>SUM(BS232:BS234)</f>
        <v>0.19581280788177344</v>
      </c>
      <c r="BT247" s="304"/>
      <c r="BU247" s="183">
        <f>SUM(BU232:BU234)</f>
        <v>0.16165270373191165</v>
      </c>
      <c r="BV247" s="303"/>
      <c r="BW247" s="183">
        <f>SUM(BW232:BW234)</f>
        <v>0.17028985507246377</v>
      </c>
      <c r="BX247" s="304"/>
      <c r="BY247" s="183">
        <f>SUM(BY232:BY234)</f>
        <v>0.13624985613994708</v>
      </c>
      <c r="BZ247" s="303"/>
      <c r="CA247" s="183">
        <f>SUM(CA232:CA234)</f>
        <v>0.15555555555555556</v>
      </c>
      <c r="CB247" s="304"/>
      <c r="CC247" s="183">
        <f>SUM(CC232:CC234)</f>
        <v>9.815672153635116E-2</v>
      </c>
      <c r="CD247" s="303"/>
      <c r="CE247" s="183">
        <f>SUM(CE232:CE234)</f>
        <v>0.10338345864661654</v>
      </c>
      <c r="CF247" s="304"/>
      <c r="CG247" s="303"/>
      <c r="CH247" s="183">
        <f>SUM(CH232:CH234)</f>
        <v>0.13317745260723088</v>
      </c>
      <c r="CI247" s="303"/>
      <c r="CJ247" s="183">
        <f>SUM(CJ232:CJ234)</f>
        <v>0.11637931034482762</v>
      </c>
      <c r="CK247" s="304"/>
      <c r="CL247" s="494"/>
      <c r="CM247" s="303"/>
      <c r="CN247" s="236"/>
      <c r="CO247" s="236"/>
      <c r="CP247" s="236"/>
      <c r="CQ247" s="236"/>
      <c r="CR247" s="236"/>
      <c r="CS247" s="236"/>
      <c r="CT247" s="236"/>
      <c r="CU247" s="236"/>
      <c r="CV247" s="236"/>
      <c r="CW247" s="236"/>
      <c r="CX247" s="236"/>
      <c r="CY247" s="236"/>
      <c r="CZ247" s="236"/>
      <c r="DA247" s="236"/>
      <c r="DB247" s="236"/>
      <c r="DC247" s="236"/>
      <c r="DD247" s="236"/>
      <c r="DE247" s="236"/>
      <c r="DF247" s="236"/>
    </row>
    <row r="248" spans="1:110" s="141" customFormat="1" x14ac:dyDescent="0.3">
      <c r="A248" s="236"/>
      <c r="B248" s="236"/>
      <c r="C248" s="236"/>
      <c r="D248" s="236"/>
      <c r="E248" s="232">
        <v>21</v>
      </c>
      <c r="F248" s="364"/>
      <c r="G248" s="286">
        <f t="shared" si="115"/>
        <v>44902.75</v>
      </c>
      <c r="H248" s="442">
        <f t="shared" si="116"/>
        <v>977</v>
      </c>
      <c r="I248" s="446">
        <f t="shared" si="117"/>
        <v>843</v>
      </c>
      <c r="J248" s="309">
        <f t="shared" si="118"/>
        <v>1765</v>
      </c>
      <c r="K248" s="447">
        <f>Vergleich!T24</f>
        <v>756</v>
      </c>
      <c r="L248" s="448">
        <f>Vergleich!R24</f>
        <v>1572</v>
      </c>
      <c r="M248" s="449">
        <f>Vergleich!AB24</f>
        <v>1664</v>
      </c>
      <c r="N248" s="450">
        <f t="shared" si="119"/>
        <v>1421</v>
      </c>
      <c r="O248" s="502"/>
      <c r="P248" s="503"/>
      <c r="Q248" s="493">
        <f t="shared" si="120"/>
        <v>977</v>
      </c>
      <c r="R248" s="493">
        <f t="shared" si="121"/>
        <v>977</v>
      </c>
      <c r="S248" s="484"/>
      <c r="T248" s="303"/>
      <c r="U248" s="303"/>
      <c r="V248" s="303"/>
      <c r="W248" s="303"/>
      <c r="X248" s="303"/>
      <c r="Y248" s="303"/>
      <c r="Z248" s="303"/>
      <c r="AA248" s="487"/>
      <c r="AB248" s="303"/>
      <c r="AC248" s="485"/>
      <c r="AD248" s="486"/>
      <c r="AE248" s="487"/>
      <c r="AF248" s="485"/>
      <c r="AG248" s="135"/>
      <c r="AH248" s="135"/>
      <c r="AI248" s="133"/>
      <c r="AJ248" s="94"/>
      <c r="AK248" s="133"/>
      <c r="AL248" s="94"/>
      <c r="AM248" s="485"/>
      <c r="AN248" s="94"/>
      <c r="AO248" s="488"/>
      <c r="AP248" s="94"/>
      <c r="AQ248" s="485"/>
      <c r="AR248" s="304"/>
      <c r="AS248" s="488"/>
      <c r="AT248" s="303"/>
      <c r="AU248" s="303"/>
      <c r="AV248" s="303"/>
      <c r="AW248" s="303"/>
      <c r="AX248" s="303"/>
      <c r="AY248" s="303"/>
      <c r="AZ248" s="303"/>
      <c r="BA248" s="303"/>
      <c r="BB248" s="303"/>
      <c r="BC248" s="304"/>
      <c r="BD248" s="304"/>
      <c r="BE248" s="303"/>
      <c r="BF248" s="303"/>
      <c r="BG248" s="303"/>
      <c r="BH248" s="303"/>
      <c r="BI248" s="303"/>
      <c r="BJ248" s="303"/>
      <c r="BK248" s="304"/>
      <c r="BL248" s="304"/>
      <c r="BM248" s="303"/>
      <c r="BN248" s="303"/>
      <c r="BO248" s="303"/>
      <c r="BP248" s="303"/>
      <c r="BQ248" s="303"/>
      <c r="BR248" s="303"/>
      <c r="BS248" s="304"/>
      <c r="BT248" s="304"/>
      <c r="BU248" s="303"/>
      <c r="BV248" s="303"/>
      <c r="BW248" s="304"/>
      <c r="BX248" s="304"/>
      <c r="BY248" s="303"/>
      <c r="BZ248" s="303"/>
      <c r="CA248" s="304"/>
      <c r="CB248" s="304"/>
      <c r="CC248" s="303"/>
      <c r="CD248" s="303"/>
      <c r="CE248" s="304"/>
      <c r="CF248" s="304"/>
      <c r="CG248" s="303"/>
      <c r="CH248" s="303"/>
      <c r="CI248" s="303"/>
      <c r="CJ248" s="304"/>
      <c r="CK248" s="304"/>
      <c r="CL248" s="494"/>
      <c r="CM248" s="303"/>
      <c r="CN248" s="236"/>
      <c r="CO248" s="236"/>
      <c r="CP248" s="236"/>
      <c r="CQ248" s="236"/>
      <c r="CR248" s="236"/>
      <c r="CS248" s="236"/>
      <c r="CT248" s="236"/>
      <c r="CU248" s="236"/>
      <c r="CV248" s="236"/>
      <c r="CW248" s="236"/>
      <c r="CX248" s="236"/>
      <c r="CY248" s="236"/>
      <c r="CZ248" s="236"/>
      <c r="DA248" s="236"/>
      <c r="DB248" s="236"/>
      <c r="DC248" s="236"/>
      <c r="DD248" s="236"/>
      <c r="DE248" s="236"/>
      <c r="DF248" s="236"/>
    </row>
    <row r="249" spans="1:110" s="2" customFormat="1" x14ac:dyDescent="0.3">
      <c r="A249" s="211"/>
      <c r="B249" s="211"/>
      <c r="C249" s="211"/>
      <c r="D249" s="211"/>
      <c r="E249" s="211"/>
      <c r="F249" s="343"/>
      <c r="G249" s="211"/>
      <c r="H249" s="211"/>
      <c r="I249" s="211"/>
      <c r="J249" s="211"/>
      <c r="K249" s="211"/>
      <c r="L249" s="211"/>
      <c r="M249" s="250"/>
      <c r="N249" s="211"/>
      <c r="O249" s="343"/>
      <c r="P249" s="211"/>
      <c r="Q249" s="236">
        <f t="shared" si="120"/>
        <v>0</v>
      </c>
      <c r="R249" s="236">
        <f t="shared" si="121"/>
        <v>0</v>
      </c>
      <c r="S249" s="197"/>
      <c r="T249" s="44"/>
      <c r="U249" s="44"/>
      <c r="V249" s="44"/>
      <c r="W249" s="44"/>
      <c r="X249" s="44"/>
      <c r="Y249" s="44"/>
      <c r="Z249" s="44"/>
      <c r="AA249" s="44"/>
      <c r="AB249" s="163"/>
      <c r="AC249" s="164"/>
      <c r="AD249" s="445"/>
      <c r="AE249" s="165"/>
      <c r="AF249" s="164"/>
      <c r="AG249" s="156"/>
      <c r="AH249" s="156"/>
      <c r="AI249" s="157"/>
      <c r="AJ249" s="339"/>
      <c r="AK249" s="157"/>
      <c r="AL249" s="339"/>
      <c r="AM249" s="164"/>
      <c r="AN249" s="106"/>
      <c r="AO249" s="167"/>
      <c r="AP249" s="106"/>
      <c r="AQ249" s="164"/>
      <c r="AR249" s="64"/>
      <c r="AS249" s="167"/>
      <c r="AT249" s="60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5"/>
      <c r="BX249" s="45"/>
      <c r="BY249" s="44"/>
      <c r="BZ249" s="44"/>
      <c r="CA249" s="45"/>
      <c r="CB249" s="45"/>
      <c r="CC249" s="44"/>
      <c r="CD249" s="44"/>
      <c r="CE249" s="45"/>
      <c r="CF249" s="45"/>
      <c r="CG249" s="44"/>
      <c r="CH249" s="44"/>
      <c r="CI249" s="44"/>
      <c r="CJ249" s="45"/>
      <c r="CK249" s="45"/>
      <c r="CL249" s="46"/>
      <c r="CM249" s="44"/>
      <c r="CN249" s="211"/>
      <c r="CO249" s="211"/>
      <c r="CP249" s="211"/>
      <c r="CQ249" s="211"/>
      <c r="CR249" s="211"/>
      <c r="CS249" s="211"/>
      <c r="CT249" s="211"/>
      <c r="CU249" s="211"/>
      <c r="CV249" s="211"/>
      <c r="CW249" s="211"/>
      <c r="CX249" s="211"/>
      <c r="CY249" s="211"/>
      <c r="CZ249" s="211"/>
      <c r="DA249" s="211"/>
      <c r="DB249" s="211"/>
      <c r="DC249" s="211"/>
      <c r="DD249" s="211"/>
      <c r="DE249" s="211"/>
      <c r="DF249" s="211"/>
    </row>
    <row r="250" spans="1:110" s="2" customFormat="1" x14ac:dyDescent="0.3">
      <c r="A250" s="211"/>
      <c r="B250" s="211"/>
      <c r="C250" s="211"/>
      <c r="D250" s="211"/>
      <c r="E250" s="211"/>
      <c r="F250" s="343"/>
      <c r="G250" s="211"/>
      <c r="H250" s="211"/>
      <c r="I250" s="211"/>
      <c r="J250" s="211"/>
      <c r="K250" s="211"/>
      <c r="L250" s="211"/>
      <c r="M250" s="250"/>
      <c r="N250" s="211"/>
      <c r="O250" s="343"/>
      <c r="P250" s="211"/>
      <c r="Q250" s="211"/>
      <c r="R250" s="211"/>
      <c r="S250" s="197"/>
      <c r="T250" s="44"/>
      <c r="U250" s="44"/>
      <c r="V250" s="44"/>
      <c r="W250" s="44"/>
      <c r="X250" s="44"/>
      <c r="Y250" s="44"/>
      <c r="Z250" s="44"/>
      <c r="AA250" s="44"/>
      <c r="AB250" s="163"/>
      <c r="AC250" s="164"/>
      <c r="AD250" s="445"/>
      <c r="AE250" s="165"/>
      <c r="AF250" s="164"/>
      <c r="AG250" s="156"/>
      <c r="AH250" s="156"/>
      <c r="AI250" s="157"/>
      <c r="AJ250" s="339"/>
      <c r="AK250" s="157"/>
      <c r="AL250" s="339"/>
      <c r="AM250" s="164"/>
      <c r="AN250" s="106"/>
      <c r="AO250" s="167"/>
      <c r="AP250" s="106"/>
      <c r="AQ250" s="164"/>
      <c r="AR250" s="64"/>
      <c r="AS250" s="167"/>
      <c r="AT250" s="60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5"/>
      <c r="BX250" s="45"/>
      <c r="BY250" s="44"/>
      <c r="BZ250" s="44"/>
      <c r="CA250" s="45"/>
      <c r="CB250" s="45"/>
      <c r="CC250" s="44"/>
      <c r="CD250" s="44"/>
      <c r="CE250" s="45"/>
      <c r="CF250" s="45"/>
      <c r="CG250" s="44"/>
      <c r="CH250" s="44"/>
      <c r="CI250" s="44"/>
      <c r="CJ250" s="45"/>
      <c r="CK250" s="45"/>
      <c r="CL250" s="46"/>
      <c r="CM250" s="44"/>
      <c r="CN250" s="211"/>
      <c r="CO250" s="211"/>
      <c r="CP250" s="211"/>
      <c r="CQ250" s="211"/>
      <c r="CR250" s="211"/>
      <c r="CS250" s="211"/>
      <c r="CT250" s="211"/>
      <c r="CU250" s="211"/>
      <c r="CV250" s="211"/>
      <c r="CW250" s="211"/>
      <c r="CX250" s="211"/>
      <c r="CY250" s="211"/>
      <c r="CZ250" s="211"/>
      <c r="DA250" s="211"/>
      <c r="DB250" s="211"/>
      <c r="DC250" s="211"/>
      <c r="DD250" s="211"/>
      <c r="DE250" s="211"/>
      <c r="DF250" s="211"/>
    </row>
    <row r="251" spans="1:110" s="2" customFormat="1" x14ac:dyDescent="0.3">
      <c r="A251" s="211"/>
      <c r="B251" s="211"/>
      <c r="C251" s="211"/>
      <c r="D251" s="211"/>
      <c r="E251" s="211"/>
      <c r="F251" s="343"/>
      <c r="G251" s="211"/>
      <c r="H251" s="211"/>
      <c r="I251" s="211"/>
      <c r="J251" s="211"/>
      <c r="K251" s="211"/>
      <c r="L251" s="211"/>
      <c r="M251" s="250"/>
      <c r="N251" s="211"/>
      <c r="O251" s="343"/>
      <c r="P251" s="211"/>
      <c r="Q251" s="211"/>
      <c r="R251" s="211"/>
      <c r="S251" s="197"/>
      <c r="T251" s="44"/>
      <c r="U251" s="44"/>
      <c r="V251" s="44"/>
      <c r="W251" s="44"/>
      <c r="X251" s="44"/>
      <c r="Y251" s="44"/>
      <c r="Z251" s="44"/>
      <c r="AA251" s="44"/>
      <c r="AB251" s="163"/>
      <c r="AC251" s="164"/>
      <c r="AD251" s="445"/>
      <c r="AE251" s="165"/>
      <c r="AF251" s="164"/>
      <c r="AG251" s="156"/>
      <c r="AH251" s="156"/>
      <c r="AI251" s="157"/>
      <c r="AJ251" s="339"/>
      <c r="AK251" s="157"/>
      <c r="AL251" s="339"/>
      <c r="AM251" s="164"/>
      <c r="AN251" s="106"/>
      <c r="AO251" s="167"/>
      <c r="AP251" s="106"/>
      <c r="AQ251" s="164"/>
      <c r="AR251" s="64"/>
      <c r="AS251" s="167"/>
      <c r="AT251" s="60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5"/>
      <c r="BX251" s="45"/>
      <c r="BY251" s="44"/>
      <c r="BZ251" s="44"/>
      <c r="CA251" s="45"/>
      <c r="CB251" s="45"/>
      <c r="CC251" s="44"/>
      <c r="CD251" s="44"/>
      <c r="CE251" s="45"/>
      <c r="CF251" s="45"/>
      <c r="CG251" s="44"/>
      <c r="CH251" s="44"/>
      <c r="CI251" s="44"/>
      <c r="CJ251" s="45"/>
      <c r="CK251" s="45"/>
      <c r="CL251" s="46"/>
      <c r="CM251" s="44"/>
      <c r="CN251" s="211"/>
      <c r="CO251" s="211"/>
      <c r="CP251" s="211"/>
      <c r="CQ251" s="211"/>
      <c r="CR251" s="211"/>
      <c r="CS251" s="211"/>
      <c r="CT251" s="211"/>
      <c r="CU251" s="211"/>
      <c r="CV251" s="211"/>
      <c r="CW251" s="211"/>
      <c r="CX251" s="211"/>
      <c r="CY251" s="211"/>
      <c r="CZ251" s="211"/>
      <c r="DA251" s="211"/>
      <c r="DB251" s="211"/>
      <c r="DC251" s="211"/>
      <c r="DD251" s="211"/>
      <c r="DE251" s="211"/>
      <c r="DF251" s="211"/>
    </row>
    <row r="252" spans="1:110" s="2" customFormat="1" x14ac:dyDescent="0.3">
      <c r="A252" s="211"/>
      <c r="B252" s="211"/>
      <c r="C252" s="211"/>
      <c r="D252" s="211"/>
      <c r="E252" s="211"/>
      <c r="F252" s="343"/>
      <c r="G252" s="211"/>
      <c r="H252" s="211"/>
      <c r="I252" s="211"/>
      <c r="J252" s="211"/>
      <c r="K252" s="211"/>
      <c r="L252" s="211"/>
      <c r="M252" s="250"/>
      <c r="N252" s="211"/>
      <c r="O252" s="343"/>
      <c r="P252" s="211"/>
      <c r="Q252" s="211"/>
      <c r="R252" s="211"/>
      <c r="S252" s="197"/>
      <c r="T252" s="44"/>
      <c r="U252" s="44"/>
      <c r="V252" s="44"/>
      <c r="W252" s="44"/>
      <c r="X252" s="44"/>
      <c r="Y252" s="44"/>
      <c r="Z252" s="44"/>
      <c r="AA252" s="44"/>
      <c r="AB252" s="163"/>
      <c r="AC252" s="164"/>
      <c r="AD252" s="445"/>
      <c r="AE252" s="165"/>
      <c r="AF252" s="164"/>
      <c r="AG252" s="156"/>
      <c r="AH252" s="156"/>
      <c r="AI252" s="157"/>
      <c r="AJ252" s="339"/>
      <c r="AK252" s="157"/>
      <c r="AL252" s="339"/>
      <c r="AM252" s="164"/>
      <c r="AN252" s="106"/>
      <c r="AO252" s="167"/>
      <c r="AP252" s="106"/>
      <c r="AQ252" s="164"/>
      <c r="AR252" s="64"/>
      <c r="AS252" s="167"/>
      <c r="AT252" s="60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5"/>
      <c r="BX252" s="45"/>
      <c r="BY252" s="44"/>
      <c r="BZ252" s="44"/>
      <c r="CA252" s="45"/>
      <c r="CB252" s="45"/>
      <c r="CC252" s="44"/>
      <c r="CD252" s="44"/>
      <c r="CE252" s="45"/>
      <c r="CF252" s="45"/>
      <c r="CG252" s="44"/>
      <c r="CH252" s="44"/>
      <c r="CI252" s="44"/>
      <c r="CJ252" s="45"/>
      <c r="CK252" s="45"/>
      <c r="CL252" s="46"/>
      <c r="CM252" s="44"/>
      <c r="CN252" s="211"/>
      <c r="CO252" s="211"/>
      <c r="CP252" s="211"/>
      <c r="CQ252" s="211"/>
      <c r="CR252" s="211"/>
      <c r="CS252" s="211"/>
      <c r="CT252" s="211"/>
      <c r="CU252" s="211"/>
      <c r="CV252" s="211"/>
      <c r="CW252" s="211"/>
      <c r="CX252" s="211"/>
      <c r="CY252" s="211"/>
      <c r="CZ252" s="211"/>
      <c r="DA252" s="211"/>
      <c r="DB252" s="211"/>
      <c r="DC252" s="211"/>
      <c r="DD252" s="211"/>
      <c r="DE252" s="211"/>
      <c r="DF252" s="211"/>
    </row>
    <row r="253" spans="1:110" s="2" customFormat="1" x14ac:dyDescent="0.3">
      <c r="A253" s="211"/>
      <c r="B253" s="211"/>
      <c r="C253" s="211"/>
      <c r="D253" s="211"/>
      <c r="E253" s="211"/>
      <c r="F253" s="343"/>
      <c r="G253" s="211"/>
      <c r="H253" s="211"/>
      <c r="I253" s="211"/>
      <c r="J253" s="211"/>
      <c r="K253" s="211"/>
      <c r="L253" s="211"/>
      <c r="M253" s="250"/>
      <c r="N253" s="211"/>
      <c r="O253" s="343"/>
      <c r="P253" s="211"/>
      <c r="Q253" s="211"/>
      <c r="R253" s="211"/>
      <c r="S253" s="197"/>
      <c r="T253" s="44"/>
      <c r="U253" s="44"/>
      <c r="V253" s="44"/>
      <c r="W253" s="44"/>
      <c r="X253" s="44"/>
      <c r="Y253" s="44"/>
      <c r="Z253" s="44"/>
      <c r="AA253" s="44"/>
      <c r="AB253" s="163"/>
      <c r="AC253" s="164"/>
      <c r="AD253" s="445"/>
      <c r="AE253" s="165"/>
      <c r="AF253" s="164"/>
      <c r="AG253" s="156"/>
      <c r="AH253" s="156"/>
      <c r="AI253" s="157"/>
      <c r="AJ253" s="339"/>
      <c r="AK253" s="157"/>
      <c r="AL253" s="339"/>
      <c r="AM253" s="164"/>
      <c r="AN253" s="106"/>
      <c r="AO253" s="167"/>
      <c r="AP253" s="106"/>
      <c r="AQ253" s="164"/>
      <c r="AR253" s="64"/>
      <c r="AS253" s="167"/>
      <c r="AT253" s="60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5"/>
      <c r="BX253" s="45"/>
      <c r="BY253" s="44"/>
      <c r="BZ253" s="44"/>
      <c r="CA253" s="45"/>
      <c r="CB253" s="45"/>
      <c r="CC253" s="44"/>
      <c r="CD253" s="44"/>
      <c r="CE253" s="45"/>
      <c r="CF253" s="45"/>
      <c r="CG253" s="44"/>
      <c r="CH253" s="44"/>
      <c r="CI253" s="44"/>
      <c r="CJ253" s="45"/>
      <c r="CK253" s="45"/>
      <c r="CL253" s="46"/>
      <c r="CM253" s="44"/>
      <c r="CN253" s="211"/>
      <c r="CO253" s="211"/>
      <c r="CP253" s="211"/>
      <c r="CQ253" s="211"/>
      <c r="CR253" s="211"/>
      <c r="CS253" s="211"/>
      <c r="CT253" s="211"/>
      <c r="CU253" s="211"/>
      <c r="CV253" s="211"/>
      <c r="CW253" s="211"/>
      <c r="CX253" s="211"/>
      <c r="CY253" s="211"/>
      <c r="CZ253" s="211"/>
      <c r="DA253" s="211"/>
      <c r="DB253" s="211"/>
      <c r="DC253" s="211"/>
      <c r="DD253" s="211"/>
      <c r="DE253" s="211"/>
      <c r="DF253" s="211"/>
    </row>
    <row r="254" spans="1:110" s="2" customFormat="1" x14ac:dyDescent="0.3">
      <c r="A254" s="211"/>
      <c r="B254" s="211"/>
      <c r="C254" s="211"/>
      <c r="D254" s="211"/>
      <c r="E254" s="211"/>
      <c r="F254" s="343"/>
      <c r="G254" s="211"/>
      <c r="H254" s="211"/>
      <c r="I254" s="211"/>
      <c r="J254" s="211"/>
      <c r="K254" s="211"/>
      <c r="L254" s="211"/>
      <c r="M254" s="250"/>
      <c r="N254" s="211"/>
      <c r="O254" s="343"/>
      <c r="P254" s="211"/>
      <c r="Q254" s="211"/>
      <c r="R254" s="211"/>
      <c r="S254" s="197"/>
      <c r="T254" s="44"/>
      <c r="U254" s="44"/>
      <c r="V254" s="44"/>
      <c r="W254" s="44"/>
      <c r="X254" s="44"/>
      <c r="Y254" s="44"/>
      <c r="Z254" s="44"/>
      <c r="AA254" s="44"/>
      <c r="AB254" s="163"/>
      <c r="AC254" s="164"/>
      <c r="AD254" s="445"/>
      <c r="AE254" s="165"/>
      <c r="AF254" s="164"/>
      <c r="AG254" s="156"/>
      <c r="AH254" s="156"/>
      <c r="AI254" s="157"/>
      <c r="AJ254" s="339"/>
      <c r="AK254" s="157"/>
      <c r="AL254" s="339"/>
      <c r="AM254" s="164"/>
      <c r="AN254" s="106"/>
      <c r="AO254" s="167"/>
      <c r="AP254" s="106"/>
      <c r="AQ254" s="164"/>
      <c r="AR254" s="64"/>
      <c r="AS254" s="167"/>
      <c r="AT254" s="60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5"/>
      <c r="BX254" s="45"/>
      <c r="BY254" s="44"/>
      <c r="BZ254" s="44"/>
      <c r="CA254" s="45"/>
      <c r="CB254" s="45"/>
      <c r="CC254" s="44"/>
      <c r="CD254" s="44"/>
      <c r="CE254" s="45"/>
      <c r="CF254" s="45"/>
      <c r="CG254" s="44"/>
      <c r="CH254" s="44"/>
      <c r="CI254" s="44"/>
      <c r="CJ254" s="45"/>
      <c r="CK254" s="45"/>
      <c r="CL254" s="46"/>
      <c r="CM254" s="44"/>
      <c r="CN254" s="211"/>
      <c r="CO254" s="211"/>
      <c r="CP254" s="211"/>
      <c r="CQ254" s="211"/>
      <c r="CR254" s="211"/>
      <c r="CS254" s="211"/>
      <c r="CT254" s="211"/>
      <c r="CU254" s="211"/>
      <c r="CV254" s="211"/>
      <c r="CW254" s="211"/>
      <c r="CX254" s="211"/>
      <c r="CY254" s="211"/>
      <c r="CZ254" s="211"/>
      <c r="DA254" s="211"/>
      <c r="DB254" s="211"/>
      <c r="DC254" s="211"/>
      <c r="DD254" s="211"/>
      <c r="DE254" s="211"/>
      <c r="DF254" s="211"/>
    </row>
    <row r="255" spans="1:110" s="2" customFormat="1" x14ac:dyDescent="0.3">
      <c r="A255" s="211"/>
      <c r="B255" s="211"/>
      <c r="C255" s="211"/>
      <c r="D255" s="211"/>
      <c r="E255" s="211"/>
      <c r="F255" s="343"/>
      <c r="G255" s="211"/>
      <c r="H255" s="211"/>
      <c r="I255" s="211"/>
      <c r="J255" s="211"/>
      <c r="K255" s="211"/>
      <c r="L255" s="211"/>
      <c r="M255" s="250"/>
      <c r="N255" s="211"/>
      <c r="O255" s="343"/>
      <c r="P255" s="211"/>
      <c r="Q255" s="211"/>
      <c r="R255" s="211"/>
      <c r="S255" s="197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305"/>
      <c r="AJ255" s="44"/>
      <c r="AK255" s="305"/>
      <c r="AL255" s="44"/>
      <c r="AM255" s="44"/>
      <c r="AN255" s="60"/>
      <c r="AO255" s="44"/>
      <c r="AP255" s="60"/>
      <c r="AQ255" s="44"/>
      <c r="AR255" s="60"/>
      <c r="AS255" s="44"/>
      <c r="AT255" s="60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5"/>
      <c r="BX255" s="45"/>
      <c r="BY255" s="44"/>
      <c r="BZ255" s="44"/>
      <c r="CA255" s="45"/>
      <c r="CB255" s="45"/>
      <c r="CC255" s="44"/>
      <c r="CD255" s="44"/>
      <c r="CE255" s="45"/>
      <c r="CF255" s="45"/>
      <c r="CG255" s="44"/>
      <c r="CH255" s="44"/>
      <c r="CI255" s="44"/>
      <c r="CJ255" s="45"/>
      <c r="CK255" s="45"/>
      <c r="CL255" s="46"/>
      <c r="CM255" s="44"/>
      <c r="CN255" s="211"/>
      <c r="CO255" s="211"/>
      <c r="CP255" s="211"/>
      <c r="CQ255" s="211"/>
      <c r="CR255" s="211"/>
      <c r="CS255" s="211"/>
      <c r="CT255" s="211"/>
      <c r="CU255" s="211"/>
      <c r="CV255" s="211"/>
      <c r="CW255" s="211"/>
      <c r="CX255" s="211"/>
      <c r="CY255" s="211"/>
      <c r="CZ255" s="211"/>
      <c r="DA255" s="211"/>
      <c r="DB255" s="211"/>
      <c r="DC255" s="211"/>
      <c r="DD255" s="211"/>
      <c r="DE255" s="211"/>
      <c r="DF255" s="211"/>
    </row>
    <row r="256" spans="1:110" s="2" customFormat="1" ht="18.75" hidden="1" customHeight="1" outlineLevel="1" x14ac:dyDescent="0.3">
      <c r="A256" s="211"/>
      <c r="B256" s="252"/>
      <c r="C256" s="211"/>
      <c r="D256" s="211"/>
      <c r="E256" s="240"/>
      <c r="F256" s="354"/>
      <c r="G256" s="240"/>
      <c r="H256" s="240"/>
      <c r="I256" s="240"/>
      <c r="J256" s="240"/>
      <c r="K256" s="240"/>
      <c r="L256" s="240"/>
      <c r="M256" s="233"/>
      <c r="N256" s="234"/>
      <c r="O256" s="368"/>
      <c r="P256" s="211"/>
      <c r="Q256" s="211"/>
      <c r="R256" s="211"/>
      <c r="S256" s="197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5"/>
      <c r="AG256" s="44"/>
      <c r="AH256" s="44"/>
      <c r="AI256" s="305"/>
      <c r="AJ256" s="44"/>
      <c r="AK256" s="305"/>
      <c r="AL256" s="44"/>
      <c r="AM256" s="44"/>
      <c r="AN256" s="60"/>
      <c r="AO256" s="60"/>
      <c r="AP256" s="60"/>
      <c r="AQ256" s="44"/>
      <c r="AR256" s="60"/>
      <c r="AS256" s="60"/>
      <c r="AT256" s="60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5"/>
      <c r="BX256" s="45"/>
      <c r="BY256" s="44"/>
      <c r="BZ256" s="44"/>
      <c r="CA256" s="45"/>
      <c r="CB256" s="45"/>
      <c r="CC256" s="44"/>
      <c r="CD256" s="44"/>
      <c r="CE256" s="45"/>
      <c r="CF256" s="45"/>
      <c r="CG256" s="44"/>
      <c r="CH256" s="44"/>
      <c r="CI256" s="44"/>
      <c r="CJ256" s="45"/>
      <c r="CK256" s="45"/>
      <c r="CL256" s="46"/>
      <c r="CM256" s="44"/>
      <c r="CN256" s="211"/>
      <c r="CO256" s="211"/>
      <c r="CP256" s="211"/>
      <c r="CQ256" s="211"/>
      <c r="CR256" s="211"/>
      <c r="CS256" s="211"/>
      <c r="CT256" s="211"/>
      <c r="CU256" s="211"/>
      <c r="CV256" s="211"/>
      <c r="CW256" s="211"/>
      <c r="CX256" s="211"/>
      <c r="CY256" s="211"/>
      <c r="CZ256" s="211"/>
      <c r="DA256" s="211"/>
      <c r="DB256" s="211"/>
      <c r="DC256" s="211"/>
      <c r="DD256" s="211"/>
      <c r="DE256" s="211"/>
      <c r="DF256" s="211"/>
    </row>
    <row r="257" spans="1:110" s="2" customFormat="1" ht="19.5" hidden="1" customHeight="1" outlineLevel="1" thickBot="1" x14ac:dyDescent="0.35">
      <c r="A257" s="211"/>
      <c r="B257" s="226"/>
      <c r="C257" s="211"/>
      <c r="D257" s="211"/>
      <c r="E257" s="240"/>
      <c r="F257" s="354"/>
      <c r="G257" s="240"/>
      <c r="H257" s="240"/>
      <c r="I257" s="240"/>
      <c r="J257" s="240"/>
      <c r="K257" s="240"/>
      <c r="L257" s="240"/>
      <c r="M257" s="233"/>
      <c r="N257" s="234"/>
      <c r="O257" s="368"/>
      <c r="P257" s="211"/>
      <c r="Q257" s="211"/>
      <c r="R257" s="211"/>
      <c r="S257" s="197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5"/>
      <c r="AG257" s="44"/>
      <c r="AH257" s="44"/>
      <c r="AI257" s="305"/>
      <c r="AJ257" s="44"/>
      <c r="AK257" s="305"/>
      <c r="AL257" s="44"/>
      <c r="AM257" s="44"/>
      <c r="AN257" s="60"/>
      <c r="AO257" s="60"/>
      <c r="AP257" s="60"/>
      <c r="AQ257" s="44"/>
      <c r="AR257" s="60"/>
      <c r="AS257" s="60"/>
      <c r="AT257" s="60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5"/>
      <c r="BX257" s="45"/>
      <c r="BY257" s="44"/>
      <c r="BZ257" s="44"/>
      <c r="CA257" s="45"/>
      <c r="CB257" s="45"/>
      <c r="CC257" s="44"/>
      <c r="CD257" s="44"/>
      <c r="CE257" s="45"/>
      <c r="CF257" s="45"/>
      <c r="CG257" s="44"/>
      <c r="CH257" s="44"/>
      <c r="CI257" s="44"/>
      <c r="CJ257" s="45"/>
      <c r="CK257" s="45"/>
      <c r="CL257" s="46"/>
      <c r="CM257" s="44"/>
      <c r="CN257" s="211"/>
      <c r="CO257" s="211"/>
      <c r="CP257" s="211"/>
      <c r="CQ257" s="211"/>
      <c r="CR257" s="211"/>
      <c r="CS257" s="211"/>
      <c r="CT257" s="211"/>
      <c r="CU257" s="211"/>
      <c r="CV257" s="211"/>
      <c r="CW257" s="211"/>
      <c r="CX257" s="211"/>
      <c r="CY257" s="211"/>
      <c r="CZ257" s="211"/>
      <c r="DA257" s="211"/>
      <c r="DB257" s="211"/>
      <c r="DC257" s="211"/>
      <c r="DD257" s="211"/>
      <c r="DE257" s="211"/>
      <c r="DF257" s="211"/>
    </row>
    <row r="258" spans="1:110" s="2" customFormat="1" ht="19.5" hidden="1" customHeight="1" outlineLevel="1" thickBot="1" x14ac:dyDescent="0.35">
      <c r="A258" s="211"/>
      <c r="B258" s="259" t="s">
        <v>12</v>
      </c>
      <c r="C258" s="211"/>
      <c r="D258" s="211"/>
      <c r="E258" s="240"/>
      <c r="F258" s="354"/>
      <c r="G258" s="240"/>
      <c r="H258" s="240"/>
      <c r="I258" s="240"/>
      <c r="J258" s="240"/>
      <c r="K258" s="240"/>
      <c r="L258" s="240"/>
      <c r="M258" s="233"/>
      <c r="N258" s="234"/>
      <c r="O258" s="368"/>
      <c r="P258" s="211"/>
      <c r="Q258" s="211"/>
      <c r="R258" s="211"/>
      <c r="S258" s="197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5"/>
      <c r="AG258" s="44"/>
      <c r="AH258" s="44"/>
      <c r="AI258" s="305"/>
      <c r="AJ258" s="44"/>
      <c r="AK258" s="305"/>
      <c r="AL258" s="44"/>
      <c r="AM258" s="44"/>
      <c r="AN258" s="60"/>
      <c r="AO258" s="60"/>
      <c r="AP258" s="60"/>
      <c r="AQ258" s="44"/>
      <c r="AR258" s="60"/>
      <c r="AS258" s="60"/>
      <c r="AT258" s="60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5"/>
      <c r="BX258" s="45"/>
      <c r="BY258" s="44"/>
      <c r="BZ258" s="44"/>
      <c r="CA258" s="45"/>
      <c r="CB258" s="45"/>
      <c r="CC258" s="44"/>
      <c r="CD258" s="44"/>
      <c r="CE258" s="45"/>
      <c r="CF258" s="45"/>
      <c r="CG258" s="44"/>
      <c r="CH258" s="44"/>
      <c r="CI258" s="44"/>
      <c r="CJ258" s="45"/>
      <c r="CK258" s="45"/>
      <c r="CL258" s="46"/>
      <c r="CM258" s="44"/>
      <c r="CN258" s="211"/>
      <c r="CO258" s="211"/>
      <c r="CP258" s="211"/>
      <c r="CQ258" s="211"/>
      <c r="CR258" s="211"/>
      <c r="CS258" s="211"/>
      <c r="CT258" s="211"/>
      <c r="CU258" s="211"/>
      <c r="CV258" s="211"/>
      <c r="CW258" s="211"/>
      <c r="CX258" s="211"/>
      <c r="CY258" s="211"/>
      <c r="CZ258" s="211"/>
      <c r="DA258" s="211"/>
      <c r="DB258" s="211"/>
      <c r="DC258" s="211"/>
      <c r="DD258" s="211"/>
      <c r="DE258" s="211"/>
      <c r="DF258" s="211"/>
    </row>
    <row r="259" spans="1:110" s="2" customFormat="1" ht="19.5" hidden="1" customHeight="1" outlineLevel="1" thickBot="1" x14ac:dyDescent="0.35">
      <c r="A259" s="211"/>
      <c r="B259" s="259"/>
      <c r="C259" s="211"/>
      <c r="D259" s="211"/>
      <c r="E259" s="240"/>
      <c r="F259" s="354"/>
      <c r="G259" s="240"/>
      <c r="H259" s="240"/>
      <c r="I259" s="240"/>
      <c r="J259" s="240"/>
      <c r="K259" s="240"/>
      <c r="L259" s="240"/>
      <c r="M259" s="233"/>
      <c r="N259" s="234"/>
      <c r="O259" s="368"/>
      <c r="P259" s="211"/>
      <c r="Q259" s="211"/>
      <c r="R259" s="211"/>
      <c r="S259" s="197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5"/>
      <c r="AG259" s="44"/>
      <c r="AH259" s="44"/>
      <c r="AI259" s="305"/>
      <c r="AJ259" s="44"/>
      <c r="AK259" s="305"/>
      <c r="AL259" s="44"/>
      <c r="AM259" s="44"/>
      <c r="AN259" s="60"/>
      <c r="AO259" s="60"/>
      <c r="AP259" s="60"/>
      <c r="AQ259" s="44"/>
      <c r="AR259" s="60"/>
      <c r="AS259" s="60"/>
      <c r="AT259" s="60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5"/>
      <c r="BX259" s="45"/>
      <c r="BY259" s="44"/>
      <c r="BZ259" s="44"/>
      <c r="CA259" s="45"/>
      <c r="CB259" s="45"/>
      <c r="CC259" s="44"/>
      <c r="CD259" s="44"/>
      <c r="CE259" s="45"/>
      <c r="CF259" s="45"/>
      <c r="CG259" s="44"/>
      <c r="CH259" s="44"/>
      <c r="CI259" s="44"/>
      <c r="CJ259" s="45"/>
      <c r="CK259" s="45"/>
      <c r="CL259" s="46"/>
      <c r="CM259" s="44"/>
      <c r="CN259" s="211"/>
      <c r="CO259" s="211"/>
      <c r="CP259" s="211"/>
      <c r="CQ259" s="211"/>
      <c r="CR259" s="211"/>
      <c r="CS259" s="211"/>
      <c r="CT259" s="211"/>
      <c r="CU259" s="211"/>
      <c r="CV259" s="211"/>
      <c r="CW259" s="211"/>
      <c r="CX259" s="211"/>
      <c r="CY259" s="211"/>
      <c r="CZ259" s="211"/>
      <c r="DA259" s="211"/>
      <c r="DB259" s="211"/>
      <c r="DC259" s="211"/>
      <c r="DD259" s="211"/>
      <c r="DE259" s="211"/>
      <c r="DF259" s="211"/>
    </row>
    <row r="260" spans="1:110" s="2" customFormat="1" collapsed="1" x14ac:dyDescent="0.3">
      <c r="A260" s="211"/>
      <c r="B260" s="226"/>
      <c r="C260" s="211"/>
      <c r="D260" s="211"/>
      <c r="E260" s="240"/>
      <c r="F260" s="354"/>
      <c r="G260" s="240"/>
      <c r="H260" s="240"/>
      <c r="I260" s="240"/>
      <c r="J260" s="240"/>
      <c r="K260" s="240"/>
      <c r="L260" s="240"/>
      <c r="M260" s="233"/>
      <c r="N260" s="234"/>
      <c r="O260" s="368"/>
      <c r="P260" s="211"/>
      <c r="Q260" s="211"/>
      <c r="R260" s="211"/>
      <c r="S260" s="197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5"/>
      <c r="AG260" s="44"/>
      <c r="AH260" s="44"/>
      <c r="AI260" s="305"/>
      <c r="AJ260" s="44"/>
      <c r="AK260" s="305"/>
      <c r="AL260" s="44"/>
      <c r="AM260" s="164"/>
      <c r="AN260" s="106"/>
      <c r="AO260" s="167"/>
      <c r="AP260" s="60"/>
      <c r="AQ260" s="44"/>
      <c r="AR260" s="60"/>
      <c r="AS260" s="60"/>
      <c r="AT260" s="60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5"/>
      <c r="BX260" s="45"/>
      <c r="BY260" s="44"/>
      <c r="BZ260" s="44"/>
      <c r="CA260" s="45"/>
      <c r="CB260" s="45"/>
      <c r="CC260" s="44"/>
      <c r="CD260" s="44"/>
      <c r="CE260" s="45"/>
      <c r="CF260" s="45"/>
      <c r="CG260" s="44"/>
      <c r="CH260" s="44"/>
      <c r="CI260" s="44"/>
      <c r="CJ260" s="45"/>
      <c r="CK260" s="45"/>
      <c r="CL260" s="46"/>
      <c r="CM260" s="44"/>
      <c r="CN260" s="211"/>
      <c r="CO260" s="211"/>
      <c r="CP260" s="211"/>
      <c r="CQ260" s="211"/>
      <c r="CR260" s="211"/>
      <c r="CS260" s="211"/>
      <c r="CT260" s="211"/>
      <c r="CU260" s="211"/>
      <c r="CV260" s="211"/>
      <c r="CW260" s="211"/>
      <c r="CX260" s="211"/>
      <c r="CY260" s="211"/>
      <c r="CZ260" s="211"/>
      <c r="DA260" s="211"/>
      <c r="DB260" s="211"/>
      <c r="DC260" s="211"/>
      <c r="DD260" s="211"/>
      <c r="DE260" s="211"/>
      <c r="DF260" s="211"/>
    </row>
    <row r="261" spans="1:110" s="2" customFormat="1" x14ac:dyDescent="0.3">
      <c r="A261" s="211"/>
      <c r="B261" s="226"/>
      <c r="C261" s="211"/>
      <c r="D261" s="211"/>
      <c r="E261" s="240"/>
      <c r="F261" s="354"/>
      <c r="G261" s="240"/>
      <c r="H261" s="240"/>
      <c r="I261" s="240"/>
      <c r="J261" s="240"/>
      <c r="K261" s="240"/>
      <c r="L261" s="240"/>
      <c r="M261" s="233"/>
      <c r="N261" s="234"/>
      <c r="O261" s="368"/>
      <c r="P261" s="211"/>
      <c r="Q261" s="211"/>
      <c r="R261" s="211"/>
      <c r="S261" s="197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5"/>
      <c r="AG261" s="44"/>
      <c r="AH261" s="44"/>
      <c r="AI261" s="305"/>
      <c r="AJ261" s="44"/>
      <c r="AK261" s="305"/>
      <c r="AL261" s="44"/>
      <c r="AM261" s="157"/>
      <c r="AN261" s="190"/>
      <c r="AO261" s="73"/>
      <c r="AP261" s="60"/>
      <c r="AQ261" s="44"/>
      <c r="AR261" s="60"/>
      <c r="AS261" s="60"/>
      <c r="AT261" s="60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5"/>
      <c r="BX261" s="45"/>
      <c r="BY261" s="44"/>
      <c r="BZ261" s="44"/>
      <c r="CA261" s="45"/>
      <c r="CB261" s="45"/>
      <c r="CC261" s="44"/>
      <c r="CD261" s="44"/>
      <c r="CE261" s="45"/>
      <c r="CF261" s="45"/>
      <c r="CG261" s="44"/>
      <c r="CH261" s="44"/>
      <c r="CI261" s="44"/>
      <c r="CJ261" s="45"/>
      <c r="CK261" s="45"/>
      <c r="CL261" s="46"/>
      <c r="CM261" s="44"/>
      <c r="CN261" s="211"/>
      <c r="CO261" s="211"/>
      <c r="CP261" s="211"/>
      <c r="CQ261" s="211"/>
      <c r="CR261" s="211"/>
      <c r="CS261" s="211"/>
      <c r="CT261" s="211"/>
      <c r="CU261" s="211"/>
      <c r="CV261" s="211"/>
      <c r="CW261" s="211"/>
      <c r="CX261" s="211"/>
      <c r="CY261" s="211"/>
      <c r="CZ261" s="211"/>
      <c r="DA261" s="211"/>
      <c r="DB261" s="211"/>
      <c r="DC261" s="211"/>
      <c r="DD261" s="211"/>
      <c r="DE261" s="211"/>
      <c r="DF261" s="211"/>
    </row>
    <row r="262" spans="1:110" s="2" customFormat="1" x14ac:dyDescent="0.3">
      <c r="A262" s="211"/>
      <c r="B262" s="226"/>
      <c r="C262" s="211"/>
      <c r="D262" s="211"/>
      <c r="E262" s="240"/>
      <c r="F262" s="354"/>
      <c r="G262" s="240"/>
      <c r="H262" s="240"/>
      <c r="I262" s="240"/>
      <c r="J262" s="240"/>
      <c r="K262" s="240"/>
      <c r="L262" s="240"/>
      <c r="M262" s="233"/>
      <c r="N262" s="234"/>
      <c r="O262" s="368"/>
      <c r="P262" s="211"/>
      <c r="Q262" s="211"/>
      <c r="R262" s="211"/>
      <c r="S262" s="197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5"/>
      <c r="AG262" s="44"/>
      <c r="AH262" s="44"/>
      <c r="AI262" s="305"/>
      <c r="AJ262" s="44"/>
      <c r="AK262" s="305"/>
      <c r="AL262" s="44"/>
      <c r="AM262" s="157"/>
      <c r="AN262" s="190"/>
      <c r="AO262" s="73"/>
      <c r="AP262" s="60"/>
      <c r="AQ262" s="44"/>
      <c r="AR262" s="60"/>
      <c r="AS262" s="60"/>
      <c r="AT262" s="60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5"/>
      <c r="BX262" s="45"/>
      <c r="BY262" s="44"/>
      <c r="BZ262" s="44"/>
      <c r="CA262" s="45"/>
      <c r="CB262" s="45"/>
      <c r="CC262" s="44"/>
      <c r="CD262" s="44"/>
      <c r="CE262" s="45"/>
      <c r="CF262" s="45"/>
      <c r="CG262" s="44"/>
      <c r="CH262" s="44"/>
      <c r="CI262" s="44"/>
      <c r="CJ262" s="45"/>
      <c r="CK262" s="45"/>
      <c r="CL262" s="46"/>
      <c r="CM262" s="44"/>
      <c r="CN262" s="211"/>
      <c r="CO262" s="211"/>
      <c r="CP262" s="211"/>
      <c r="CQ262" s="211"/>
      <c r="CR262" s="211"/>
      <c r="CS262" s="211"/>
      <c r="CT262" s="211"/>
      <c r="CU262" s="211"/>
      <c r="CV262" s="211"/>
      <c r="CW262" s="211"/>
      <c r="CX262" s="211"/>
      <c r="CY262" s="211"/>
      <c r="CZ262" s="211"/>
      <c r="DA262" s="211"/>
      <c r="DB262" s="211"/>
      <c r="DC262" s="211"/>
      <c r="DD262" s="211"/>
      <c r="DE262" s="211"/>
      <c r="DF262" s="211"/>
    </row>
    <row r="263" spans="1:110" s="2" customFormat="1" x14ac:dyDescent="0.3">
      <c r="A263" s="211"/>
      <c r="B263" s="226"/>
      <c r="C263" s="211"/>
      <c r="D263" s="211"/>
      <c r="E263" s="240"/>
      <c r="F263" s="354"/>
      <c r="G263" s="240"/>
      <c r="H263" s="240"/>
      <c r="I263" s="240"/>
      <c r="J263" s="240"/>
      <c r="K263" s="240"/>
      <c r="L263" s="240"/>
      <c r="M263" s="233"/>
      <c r="N263" s="234"/>
      <c r="O263" s="368"/>
      <c r="P263" s="211"/>
      <c r="Q263" s="211"/>
      <c r="R263" s="211"/>
      <c r="S263" s="197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5"/>
      <c r="AG263" s="44"/>
      <c r="AH263" s="44"/>
      <c r="AI263" s="305"/>
      <c r="AJ263" s="44"/>
      <c r="AK263" s="305"/>
      <c r="AL263" s="44"/>
      <c r="AM263" s="157"/>
      <c r="AN263" s="190"/>
      <c r="AO263" s="73"/>
      <c r="AP263" s="60"/>
      <c r="AQ263" s="44"/>
      <c r="AR263" s="60"/>
      <c r="AS263" s="60"/>
      <c r="AT263" s="60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5"/>
      <c r="BX263" s="45"/>
      <c r="BY263" s="44"/>
      <c r="BZ263" s="44"/>
      <c r="CA263" s="45"/>
      <c r="CB263" s="45"/>
      <c r="CC263" s="44"/>
      <c r="CD263" s="44"/>
      <c r="CE263" s="45"/>
      <c r="CF263" s="45"/>
      <c r="CG263" s="44"/>
      <c r="CH263" s="44"/>
      <c r="CI263" s="44"/>
      <c r="CJ263" s="45"/>
      <c r="CK263" s="45"/>
      <c r="CL263" s="46"/>
      <c r="CM263" s="44"/>
      <c r="CN263" s="211"/>
      <c r="CO263" s="211"/>
      <c r="CP263" s="211"/>
      <c r="CQ263" s="211"/>
      <c r="CR263" s="211"/>
      <c r="CS263" s="211"/>
      <c r="CT263" s="211"/>
      <c r="CU263" s="211"/>
      <c r="CV263" s="211"/>
      <c r="CW263" s="211"/>
      <c r="CX263" s="211"/>
      <c r="CY263" s="211"/>
      <c r="CZ263" s="211"/>
      <c r="DA263" s="211"/>
      <c r="DB263" s="211"/>
      <c r="DC263" s="211"/>
      <c r="DD263" s="211"/>
      <c r="DE263" s="211"/>
      <c r="DF263" s="211"/>
    </row>
    <row r="264" spans="1:110" s="2" customFormat="1" x14ac:dyDescent="0.3">
      <c r="A264" s="211"/>
      <c r="B264" s="226"/>
      <c r="C264" s="211"/>
      <c r="D264" s="211"/>
      <c r="E264" s="240"/>
      <c r="F264" s="354"/>
      <c r="G264" s="240"/>
      <c r="H264" s="240"/>
      <c r="I264" s="240"/>
      <c r="J264" s="240"/>
      <c r="K264" s="240"/>
      <c r="L264" s="240"/>
      <c r="M264" s="233"/>
      <c r="N264" s="234"/>
      <c r="O264" s="368"/>
      <c r="P264" s="211"/>
      <c r="Q264" s="211"/>
      <c r="R264" s="211"/>
      <c r="S264" s="197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5"/>
      <c r="AG264" s="44"/>
      <c r="AH264" s="44"/>
      <c r="AI264" s="305"/>
      <c r="AJ264" s="44"/>
      <c r="AK264" s="305"/>
      <c r="AL264" s="44"/>
      <c r="AM264" s="157"/>
      <c r="AN264" s="190"/>
      <c r="AO264" s="73"/>
      <c r="AP264" s="60"/>
      <c r="AQ264" s="44"/>
      <c r="AR264" s="60"/>
      <c r="AS264" s="60"/>
      <c r="AT264" s="60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5"/>
      <c r="BX264" s="45"/>
      <c r="BY264" s="44"/>
      <c r="BZ264" s="44"/>
      <c r="CA264" s="45"/>
      <c r="CB264" s="45"/>
      <c r="CC264" s="44"/>
      <c r="CD264" s="44"/>
      <c r="CE264" s="45"/>
      <c r="CF264" s="45"/>
      <c r="CG264" s="44"/>
      <c r="CH264" s="44"/>
      <c r="CI264" s="44"/>
      <c r="CJ264" s="45"/>
      <c r="CK264" s="45"/>
      <c r="CL264" s="46"/>
      <c r="CM264" s="44"/>
      <c r="CN264" s="211"/>
      <c r="CO264" s="211"/>
      <c r="CP264" s="211"/>
      <c r="CQ264" s="211"/>
      <c r="CR264" s="211"/>
      <c r="CS264" s="211"/>
      <c r="CT264" s="211"/>
      <c r="CU264" s="211"/>
      <c r="CV264" s="211"/>
      <c r="CW264" s="211"/>
      <c r="CX264" s="211"/>
      <c r="CY264" s="211"/>
      <c r="CZ264" s="211"/>
      <c r="DA264" s="211"/>
      <c r="DB264" s="211"/>
      <c r="DC264" s="211"/>
      <c r="DD264" s="211"/>
      <c r="DE264" s="211"/>
      <c r="DF264" s="211"/>
    </row>
    <row r="265" spans="1:110" s="2" customFormat="1" x14ac:dyDescent="0.3">
      <c r="A265" s="211"/>
      <c r="B265" s="226"/>
      <c r="C265" s="211"/>
      <c r="D265" s="211"/>
      <c r="E265" s="240"/>
      <c r="F265" s="354"/>
      <c r="G265" s="240"/>
      <c r="H265" s="240"/>
      <c r="I265" s="240"/>
      <c r="J265" s="240"/>
      <c r="K265" s="240"/>
      <c r="L265" s="240"/>
      <c r="M265" s="233"/>
      <c r="N265" s="234"/>
      <c r="O265" s="368"/>
      <c r="P265" s="211"/>
      <c r="Q265" s="211"/>
      <c r="R265" s="211"/>
      <c r="S265" s="197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5"/>
      <c r="AG265" s="44"/>
      <c r="AH265" s="44"/>
      <c r="AI265" s="305"/>
      <c r="AJ265" s="44"/>
      <c r="AK265" s="305"/>
      <c r="AL265" s="44"/>
      <c r="AM265" s="157">
        <f>AM220*Vergleich!BE41</f>
        <v>0</v>
      </c>
      <c r="AN265" s="190"/>
      <c r="AO265" s="73">
        <f>ROUND(AC220*Vergleich!BF41,)</f>
        <v>0</v>
      </c>
      <c r="AP265" s="60"/>
      <c r="AQ265" s="44"/>
      <c r="AR265" s="60"/>
      <c r="AS265" s="60"/>
      <c r="AT265" s="60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5"/>
      <c r="BX265" s="45"/>
      <c r="BY265" s="44"/>
      <c r="BZ265" s="44"/>
      <c r="CA265" s="45"/>
      <c r="CB265" s="45"/>
      <c r="CC265" s="44"/>
      <c r="CD265" s="44"/>
      <c r="CE265" s="45"/>
      <c r="CF265" s="45"/>
      <c r="CG265" s="44"/>
      <c r="CH265" s="44"/>
      <c r="CI265" s="44"/>
      <c r="CJ265" s="45"/>
      <c r="CK265" s="45"/>
      <c r="CL265" s="46"/>
      <c r="CM265" s="44"/>
      <c r="CN265" s="211"/>
      <c r="CO265" s="211"/>
      <c r="CP265" s="211"/>
      <c r="CQ265" s="211"/>
      <c r="CR265" s="211"/>
      <c r="CS265" s="211"/>
      <c r="CT265" s="211"/>
      <c r="CU265" s="211"/>
      <c r="CV265" s="211"/>
      <c r="CW265" s="211"/>
      <c r="CX265" s="211"/>
      <c r="CY265" s="211"/>
      <c r="CZ265" s="211"/>
      <c r="DA265" s="211"/>
      <c r="DB265" s="211"/>
      <c r="DC265" s="211"/>
      <c r="DD265" s="211"/>
      <c r="DE265" s="211"/>
      <c r="DF265" s="211"/>
    </row>
    <row r="266" spans="1:110" s="2" customFormat="1" x14ac:dyDescent="0.3">
      <c r="A266" s="211"/>
      <c r="B266" s="226"/>
      <c r="C266" s="211"/>
      <c r="D266" s="211"/>
      <c r="E266" s="240"/>
      <c r="F266" s="354"/>
      <c r="G266" s="240"/>
      <c r="H266" s="240"/>
      <c r="I266" s="240"/>
      <c r="J266" s="240"/>
      <c r="K266" s="240"/>
      <c r="L266" s="240"/>
      <c r="M266" s="233"/>
      <c r="N266" s="234"/>
      <c r="O266" s="368"/>
      <c r="P266" s="211"/>
      <c r="Q266" s="211"/>
      <c r="R266" s="211"/>
      <c r="S266" s="197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5"/>
      <c r="AG266" s="44"/>
      <c r="AH266" s="44"/>
      <c r="AI266" s="305"/>
      <c r="AJ266" s="44"/>
      <c r="AK266" s="305"/>
      <c r="AL266" s="44"/>
      <c r="AM266" s="165">
        <f>MIN(AM261:AM265)</f>
        <v>0</v>
      </c>
      <c r="AN266" s="60"/>
      <c r="AO266" s="180">
        <f>MIN(AO261:AO265)</f>
        <v>0</v>
      </c>
      <c r="AP266" s="60"/>
      <c r="AQ266" s="44"/>
      <c r="AR266" s="60"/>
      <c r="AS266" s="60"/>
      <c r="AT266" s="60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5"/>
      <c r="BX266" s="45"/>
      <c r="BY266" s="44"/>
      <c r="BZ266" s="44"/>
      <c r="CA266" s="45"/>
      <c r="CB266" s="45"/>
      <c r="CC266" s="44"/>
      <c r="CD266" s="44"/>
      <c r="CE266" s="45"/>
      <c r="CF266" s="45"/>
      <c r="CG266" s="44"/>
      <c r="CH266" s="44"/>
      <c r="CI266" s="44"/>
      <c r="CJ266" s="45"/>
      <c r="CK266" s="45"/>
      <c r="CL266" s="46"/>
      <c r="CM266" s="44"/>
      <c r="CN266" s="211"/>
      <c r="CO266" s="211"/>
      <c r="CP266" s="211"/>
      <c r="CQ266" s="211"/>
      <c r="CR266" s="211"/>
      <c r="CS266" s="211"/>
      <c r="CT266" s="211"/>
      <c r="CU266" s="211"/>
      <c r="CV266" s="211"/>
      <c r="CW266" s="211"/>
      <c r="CX266" s="211"/>
      <c r="CY266" s="211"/>
      <c r="CZ266" s="211"/>
      <c r="DA266" s="211"/>
      <c r="DB266" s="211"/>
      <c r="DC266" s="211"/>
      <c r="DD266" s="211"/>
      <c r="DE266" s="211"/>
      <c r="DF266" s="211"/>
    </row>
    <row r="267" spans="1:110" s="2" customFormat="1" x14ac:dyDescent="0.3">
      <c r="A267" s="211"/>
      <c r="B267" s="226"/>
      <c r="C267" s="211"/>
      <c r="D267" s="211"/>
      <c r="E267" s="240"/>
      <c r="F267" s="354"/>
      <c r="G267" s="240"/>
      <c r="H267" s="240"/>
      <c r="I267" s="240"/>
      <c r="J267" s="240"/>
      <c r="K267" s="240"/>
      <c r="L267" s="240"/>
      <c r="M267" s="233"/>
      <c r="N267" s="234"/>
      <c r="O267" s="368"/>
      <c r="P267" s="211"/>
      <c r="Q267" s="211"/>
      <c r="R267" s="211"/>
      <c r="S267" s="197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5"/>
      <c r="AG267" s="44"/>
      <c r="AH267" s="44"/>
      <c r="AI267" s="305"/>
      <c r="AJ267" s="44"/>
      <c r="AK267" s="305"/>
      <c r="AL267" s="44"/>
      <c r="AM267" s="44"/>
      <c r="AN267" s="60"/>
      <c r="AO267" s="60"/>
      <c r="AP267" s="60"/>
      <c r="AQ267" s="44"/>
      <c r="AR267" s="60"/>
      <c r="AS267" s="60"/>
      <c r="AT267" s="60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5"/>
      <c r="BX267" s="45"/>
      <c r="BY267" s="44"/>
      <c r="BZ267" s="44"/>
      <c r="CA267" s="45"/>
      <c r="CB267" s="45"/>
      <c r="CC267" s="44"/>
      <c r="CD267" s="44"/>
      <c r="CE267" s="45"/>
      <c r="CF267" s="45"/>
      <c r="CG267" s="44"/>
      <c r="CH267" s="44"/>
      <c r="CI267" s="44"/>
      <c r="CJ267" s="45"/>
      <c r="CK267" s="45"/>
      <c r="CL267" s="46"/>
      <c r="CM267" s="44"/>
      <c r="CN267" s="211"/>
      <c r="CO267" s="211"/>
      <c r="CP267" s="211"/>
      <c r="CQ267" s="211"/>
      <c r="CR267" s="211"/>
      <c r="CS267" s="211"/>
      <c r="CT267" s="211"/>
      <c r="CU267" s="211"/>
      <c r="CV267" s="211"/>
      <c r="CW267" s="211"/>
      <c r="CX267" s="211"/>
      <c r="CY267" s="211"/>
      <c r="CZ267" s="211"/>
      <c r="DA267" s="211"/>
      <c r="DB267" s="211"/>
      <c r="DC267" s="211"/>
      <c r="DD267" s="211"/>
      <c r="DE267" s="211"/>
      <c r="DF267" s="211"/>
    </row>
    <row r="268" spans="1:110" s="2" customFormat="1" x14ac:dyDescent="0.3">
      <c r="A268" s="211"/>
      <c r="B268" s="226"/>
      <c r="C268" s="211"/>
      <c r="D268" s="211"/>
      <c r="E268" s="240"/>
      <c r="F268" s="354"/>
      <c r="G268" s="240"/>
      <c r="H268" s="240"/>
      <c r="I268" s="240"/>
      <c r="J268" s="240"/>
      <c r="K268" s="240"/>
      <c r="L268" s="240"/>
      <c r="M268" s="233"/>
      <c r="N268" s="234"/>
      <c r="O268" s="368"/>
      <c r="P268" s="211"/>
      <c r="Q268" s="211"/>
      <c r="R268" s="211"/>
      <c r="S268" s="197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5"/>
      <c r="AG268" s="44"/>
      <c r="AH268" s="44"/>
      <c r="AI268" s="305"/>
      <c r="AJ268" s="44"/>
      <c r="AK268" s="305"/>
      <c r="AL268" s="44"/>
      <c r="AM268" s="44"/>
      <c r="AN268" s="60"/>
      <c r="AO268" s="60"/>
      <c r="AP268" s="60"/>
      <c r="AQ268" s="44"/>
      <c r="AR268" s="60"/>
      <c r="AS268" s="60"/>
      <c r="AT268" s="60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5"/>
      <c r="BX268" s="45"/>
      <c r="BY268" s="44"/>
      <c r="BZ268" s="44"/>
      <c r="CA268" s="45"/>
      <c r="CB268" s="45"/>
      <c r="CC268" s="44"/>
      <c r="CD268" s="44"/>
      <c r="CE268" s="45"/>
      <c r="CF268" s="45"/>
      <c r="CG268" s="44"/>
      <c r="CH268" s="44"/>
      <c r="CI268" s="44"/>
      <c r="CJ268" s="45"/>
      <c r="CK268" s="45"/>
      <c r="CL268" s="46"/>
      <c r="CM268" s="44"/>
      <c r="CN268" s="211"/>
      <c r="CO268" s="211"/>
      <c r="CP268" s="211"/>
      <c r="CQ268" s="211"/>
      <c r="CR268" s="211"/>
      <c r="CS268" s="211"/>
      <c r="CT268" s="211"/>
      <c r="CU268" s="211"/>
      <c r="CV268" s="211"/>
      <c r="CW268" s="211"/>
      <c r="CX268" s="211"/>
      <c r="CY268" s="211"/>
      <c r="CZ268" s="211"/>
      <c r="DA268" s="211"/>
      <c r="DB268" s="211"/>
      <c r="DC268" s="211"/>
      <c r="DD268" s="211"/>
      <c r="DE268" s="211"/>
      <c r="DF268" s="211"/>
    </row>
    <row r="269" spans="1:110" s="2" customFormat="1" x14ac:dyDescent="0.3">
      <c r="A269" s="211"/>
      <c r="B269" s="226"/>
      <c r="C269" s="211"/>
      <c r="D269" s="211"/>
      <c r="E269" s="240"/>
      <c r="F269" s="354"/>
      <c r="G269" s="240"/>
      <c r="H269" s="240"/>
      <c r="I269" s="240"/>
      <c r="J269" s="240"/>
      <c r="K269" s="240"/>
      <c r="L269" s="240"/>
      <c r="M269" s="233"/>
      <c r="N269" s="234"/>
      <c r="O269" s="368"/>
      <c r="P269" s="211"/>
      <c r="Q269" s="211"/>
      <c r="R269" s="211"/>
      <c r="S269" s="197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5"/>
      <c r="AG269" s="44"/>
      <c r="AH269" s="44"/>
      <c r="AI269" s="305"/>
      <c r="AJ269" s="44"/>
      <c r="AK269" s="305"/>
      <c r="AL269" s="44"/>
      <c r="AM269" s="44"/>
      <c r="AN269" s="60"/>
      <c r="AO269" s="60"/>
      <c r="AP269" s="60"/>
      <c r="AQ269" s="44"/>
      <c r="AR269" s="60"/>
      <c r="AS269" s="60"/>
      <c r="AT269" s="60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5"/>
      <c r="BX269" s="45"/>
      <c r="BY269" s="44"/>
      <c r="BZ269" s="44"/>
      <c r="CA269" s="45"/>
      <c r="CB269" s="45"/>
      <c r="CC269" s="44"/>
      <c r="CD269" s="44"/>
      <c r="CE269" s="45"/>
      <c r="CF269" s="45"/>
      <c r="CG269" s="44"/>
      <c r="CH269" s="44"/>
      <c r="CI269" s="44"/>
      <c r="CJ269" s="45"/>
      <c r="CK269" s="45"/>
      <c r="CL269" s="46"/>
      <c r="CM269" s="44"/>
      <c r="CN269" s="211"/>
      <c r="CO269" s="211"/>
      <c r="CP269" s="211"/>
      <c r="CQ269" s="211"/>
      <c r="CR269" s="211"/>
      <c r="CS269" s="211"/>
      <c r="CT269" s="211"/>
      <c r="CU269" s="211"/>
      <c r="CV269" s="211"/>
      <c r="CW269" s="211"/>
      <c r="CX269" s="211"/>
      <c r="CY269" s="211"/>
      <c r="CZ269" s="211"/>
      <c r="DA269" s="211"/>
      <c r="DB269" s="211"/>
      <c r="DC269" s="211"/>
      <c r="DD269" s="211"/>
      <c r="DE269" s="211"/>
      <c r="DF269" s="211"/>
    </row>
    <row r="270" spans="1:110" s="2" customFormat="1" x14ac:dyDescent="0.3">
      <c r="A270" s="211"/>
      <c r="B270" s="226"/>
      <c r="C270" s="211"/>
      <c r="D270" s="211"/>
      <c r="E270" s="240"/>
      <c r="F270" s="354"/>
      <c r="G270" s="240"/>
      <c r="H270" s="240"/>
      <c r="I270" s="240"/>
      <c r="J270" s="240"/>
      <c r="K270" s="240"/>
      <c r="L270" s="240"/>
      <c r="M270" s="233"/>
      <c r="N270" s="234"/>
      <c r="O270" s="368"/>
      <c r="P270" s="211"/>
      <c r="Q270" s="211"/>
      <c r="R270" s="211"/>
      <c r="S270" s="197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5"/>
      <c r="AG270" s="44"/>
      <c r="AH270" s="44"/>
      <c r="AI270" s="305"/>
      <c r="AJ270" s="44"/>
      <c r="AK270" s="305"/>
      <c r="AL270" s="44"/>
      <c r="AM270" s="44"/>
      <c r="AN270" s="60"/>
      <c r="AO270" s="60"/>
      <c r="AP270" s="60"/>
      <c r="AQ270" s="44"/>
      <c r="AR270" s="60"/>
      <c r="AS270" s="60"/>
      <c r="AT270" s="60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5"/>
      <c r="BX270" s="45"/>
      <c r="BY270" s="44"/>
      <c r="BZ270" s="44"/>
      <c r="CA270" s="45"/>
      <c r="CB270" s="45"/>
      <c r="CC270" s="44"/>
      <c r="CD270" s="44"/>
      <c r="CE270" s="45"/>
      <c r="CF270" s="45"/>
      <c r="CG270" s="44"/>
      <c r="CH270" s="44"/>
      <c r="CI270" s="44"/>
      <c r="CJ270" s="45"/>
      <c r="CK270" s="45"/>
      <c r="CL270" s="46"/>
      <c r="CM270" s="44"/>
      <c r="CN270" s="211"/>
      <c r="CO270" s="211"/>
      <c r="CP270" s="211"/>
      <c r="CQ270" s="211"/>
      <c r="CR270" s="211"/>
      <c r="CS270" s="211"/>
      <c r="CT270" s="211"/>
      <c r="CU270" s="211"/>
      <c r="CV270" s="211"/>
      <c r="CW270" s="211"/>
      <c r="CX270" s="211"/>
      <c r="CY270" s="211"/>
      <c r="CZ270" s="211"/>
      <c r="DA270" s="211"/>
      <c r="DB270" s="211"/>
      <c r="DC270" s="211"/>
      <c r="DD270" s="211"/>
      <c r="DE270" s="211"/>
      <c r="DF270" s="211"/>
    </row>
    <row r="271" spans="1:110" s="2" customFormat="1" x14ac:dyDescent="0.3">
      <c r="A271" s="211"/>
      <c r="B271" s="226"/>
      <c r="C271" s="211"/>
      <c r="D271" s="211"/>
      <c r="E271" s="240"/>
      <c r="F271" s="354"/>
      <c r="G271" s="240"/>
      <c r="H271" s="240"/>
      <c r="I271" s="240"/>
      <c r="J271" s="240"/>
      <c r="K271" s="240"/>
      <c r="L271" s="240"/>
      <c r="M271" s="233"/>
      <c r="N271" s="234"/>
      <c r="O271" s="368"/>
      <c r="P271" s="211"/>
      <c r="Q271" s="211"/>
      <c r="R271" s="211"/>
      <c r="S271" s="197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5"/>
      <c r="AG271" s="44"/>
      <c r="AH271" s="44"/>
      <c r="AI271" s="305"/>
      <c r="AJ271" s="44"/>
      <c r="AK271" s="305"/>
      <c r="AL271" s="44"/>
      <c r="AM271" s="44"/>
      <c r="AN271" s="60"/>
      <c r="AO271" s="60"/>
      <c r="AP271" s="60"/>
      <c r="AQ271" s="44"/>
      <c r="AR271" s="60"/>
      <c r="AS271" s="60"/>
      <c r="AT271" s="60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  <c r="BH271" s="44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5"/>
      <c r="BX271" s="45"/>
      <c r="BY271" s="44"/>
      <c r="BZ271" s="44"/>
      <c r="CA271" s="45"/>
      <c r="CB271" s="45"/>
      <c r="CC271" s="44"/>
      <c r="CD271" s="44"/>
      <c r="CE271" s="45"/>
      <c r="CF271" s="45"/>
      <c r="CG271" s="44"/>
      <c r="CH271" s="44"/>
      <c r="CI271" s="44"/>
      <c r="CJ271" s="45"/>
      <c r="CK271" s="45"/>
      <c r="CL271" s="46"/>
      <c r="CM271" s="44"/>
      <c r="CN271" s="211"/>
      <c r="CO271" s="211"/>
      <c r="CP271" s="211"/>
      <c r="CQ271" s="211"/>
      <c r="CR271" s="211"/>
      <c r="CS271" s="211"/>
      <c r="CT271" s="211"/>
      <c r="CU271" s="211"/>
      <c r="CV271" s="211"/>
      <c r="CW271" s="211"/>
      <c r="CX271" s="211"/>
      <c r="CY271" s="211"/>
      <c r="CZ271" s="211"/>
      <c r="DA271" s="211"/>
      <c r="DB271" s="211"/>
      <c r="DC271" s="211"/>
      <c r="DD271" s="211"/>
      <c r="DE271" s="211"/>
      <c r="DF271" s="211"/>
    </row>
    <row r="272" spans="1:110" s="2" customFormat="1" x14ac:dyDescent="0.3">
      <c r="A272" s="211"/>
      <c r="B272" s="226"/>
      <c r="C272" s="211"/>
      <c r="D272" s="211"/>
      <c r="E272" s="240"/>
      <c r="F272" s="354"/>
      <c r="G272" s="240"/>
      <c r="H272" s="240"/>
      <c r="I272" s="240"/>
      <c r="J272" s="240"/>
      <c r="K272" s="240"/>
      <c r="L272" s="240"/>
      <c r="M272" s="233"/>
      <c r="N272" s="234"/>
      <c r="O272" s="368"/>
      <c r="P272" s="211"/>
      <c r="Q272" s="211"/>
      <c r="R272" s="211"/>
      <c r="S272" s="197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5"/>
      <c r="AG272" s="44"/>
      <c r="AH272" s="44"/>
      <c r="AI272" s="305"/>
      <c r="AJ272" s="44"/>
      <c r="AK272" s="305"/>
      <c r="AL272" s="44"/>
      <c r="AM272" s="44"/>
      <c r="AN272" s="60"/>
      <c r="AO272" s="60"/>
      <c r="AP272" s="60"/>
      <c r="AQ272" s="44"/>
      <c r="AR272" s="60"/>
      <c r="AS272" s="60"/>
      <c r="AT272" s="60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5"/>
      <c r="BX272" s="45"/>
      <c r="BY272" s="44"/>
      <c r="BZ272" s="44"/>
      <c r="CA272" s="45"/>
      <c r="CB272" s="45"/>
      <c r="CC272" s="44"/>
      <c r="CD272" s="44"/>
      <c r="CE272" s="45"/>
      <c r="CF272" s="45"/>
      <c r="CG272" s="44"/>
      <c r="CH272" s="44"/>
      <c r="CI272" s="44"/>
      <c r="CJ272" s="45"/>
      <c r="CK272" s="45"/>
      <c r="CL272" s="46"/>
      <c r="CM272" s="44"/>
      <c r="CN272" s="211"/>
      <c r="CO272" s="211"/>
      <c r="CP272" s="211"/>
      <c r="CQ272" s="211"/>
      <c r="CR272" s="211"/>
      <c r="CS272" s="211"/>
      <c r="CT272" s="211"/>
      <c r="CU272" s="211"/>
      <c r="CV272" s="211"/>
      <c r="CW272" s="211"/>
      <c r="CX272" s="211"/>
      <c r="CY272" s="211"/>
      <c r="CZ272" s="211"/>
      <c r="DA272" s="211"/>
      <c r="DB272" s="211"/>
      <c r="DC272" s="211"/>
      <c r="DD272" s="211"/>
      <c r="DE272" s="211"/>
      <c r="DF272" s="211"/>
    </row>
    <row r="273" spans="1:110" s="2" customFormat="1" x14ac:dyDescent="0.3">
      <c r="A273" s="211"/>
      <c r="B273" s="226"/>
      <c r="C273" s="211"/>
      <c r="D273" s="211"/>
      <c r="E273" s="240"/>
      <c r="F273" s="354"/>
      <c r="G273" s="240"/>
      <c r="H273" s="240"/>
      <c r="I273" s="240"/>
      <c r="J273" s="240"/>
      <c r="K273" s="240"/>
      <c r="L273" s="240"/>
      <c r="M273" s="233"/>
      <c r="N273" s="234"/>
      <c r="O273" s="368"/>
      <c r="P273" s="211"/>
      <c r="Q273" s="211"/>
      <c r="R273" s="211"/>
      <c r="S273" s="197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5"/>
      <c r="AG273" s="44"/>
      <c r="AH273" s="44"/>
      <c r="AI273" s="305"/>
      <c r="AJ273" s="44"/>
      <c r="AK273" s="305"/>
      <c r="AL273" s="44"/>
      <c r="AM273" s="44"/>
      <c r="AN273" s="60"/>
      <c r="AO273" s="60"/>
      <c r="AP273" s="60"/>
      <c r="AQ273" s="44"/>
      <c r="AR273" s="60"/>
      <c r="AS273" s="60"/>
      <c r="AT273" s="60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5"/>
      <c r="BX273" s="45"/>
      <c r="BY273" s="44"/>
      <c r="BZ273" s="44"/>
      <c r="CA273" s="45"/>
      <c r="CB273" s="45"/>
      <c r="CC273" s="44"/>
      <c r="CD273" s="44"/>
      <c r="CE273" s="45"/>
      <c r="CF273" s="45"/>
      <c r="CG273" s="44"/>
      <c r="CH273" s="44"/>
      <c r="CI273" s="44"/>
      <c r="CJ273" s="45"/>
      <c r="CK273" s="45"/>
      <c r="CL273" s="46"/>
      <c r="CM273" s="44"/>
      <c r="CN273" s="211"/>
      <c r="CO273" s="211"/>
      <c r="CP273" s="211"/>
      <c r="CQ273" s="211"/>
      <c r="CR273" s="211"/>
      <c r="CS273" s="211"/>
      <c r="CT273" s="211"/>
      <c r="CU273" s="211"/>
      <c r="CV273" s="211"/>
      <c r="CW273" s="211"/>
      <c r="CX273" s="211"/>
      <c r="CY273" s="211"/>
      <c r="CZ273" s="211"/>
      <c r="DA273" s="211"/>
      <c r="DB273" s="211"/>
      <c r="DC273" s="211"/>
      <c r="DD273" s="211"/>
      <c r="DE273" s="211"/>
      <c r="DF273" s="211"/>
    </row>
    <row r="274" spans="1:110" s="2" customFormat="1" x14ac:dyDescent="0.3">
      <c r="A274" s="211"/>
      <c r="B274" s="226"/>
      <c r="C274" s="211"/>
      <c r="D274" s="211"/>
      <c r="E274" s="240"/>
      <c r="F274" s="354"/>
      <c r="G274" s="240"/>
      <c r="H274" s="240"/>
      <c r="I274" s="240"/>
      <c r="J274" s="240"/>
      <c r="K274" s="240"/>
      <c r="L274" s="240"/>
      <c r="M274" s="233"/>
      <c r="N274" s="234"/>
      <c r="O274" s="368"/>
      <c r="P274" s="211"/>
      <c r="Q274" s="211"/>
      <c r="R274" s="211"/>
      <c r="S274" s="197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5"/>
      <c r="AG274" s="44"/>
      <c r="AH274" s="44"/>
      <c r="AI274" s="305"/>
      <c r="AJ274" s="44"/>
      <c r="AK274" s="305"/>
      <c r="AL274" s="44"/>
      <c r="AM274" s="44"/>
      <c r="AN274" s="60"/>
      <c r="AO274" s="60"/>
      <c r="AP274" s="60"/>
      <c r="AQ274" s="44"/>
      <c r="AR274" s="60"/>
      <c r="AS274" s="60"/>
      <c r="AT274" s="60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  <c r="BH274" s="44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5"/>
      <c r="BX274" s="45"/>
      <c r="BY274" s="44"/>
      <c r="BZ274" s="44"/>
      <c r="CA274" s="45"/>
      <c r="CB274" s="45"/>
      <c r="CC274" s="44"/>
      <c r="CD274" s="44"/>
      <c r="CE274" s="45"/>
      <c r="CF274" s="45"/>
      <c r="CG274" s="44"/>
      <c r="CH274" s="44"/>
      <c r="CI274" s="44"/>
      <c r="CJ274" s="45"/>
      <c r="CK274" s="45"/>
      <c r="CL274" s="46"/>
      <c r="CM274" s="44"/>
      <c r="CN274" s="211"/>
      <c r="CO274" s="211"/>
      <c r="CP274" s="211"/>
      <c r="CQ274" s="211"/>
      <c r="CR274" s="211"/>
      <c r="CS274" s="211"/>
      <c r="CT274" s="211"/>
      <c r="CU274" s="211"/>
      <c r="CV274" s="211"/>
      <c r="CW274" s="211"/>
      <c r="CX274" s="211"/>
      <c r="CY274" s="211"/>
      <c r="CZ274" s="211"/>
      <c r="DA274" s="211"/>
      <c r="DB274" s="211"/>
      <c r="DC274" s="211"/>
      <c r="DD274" s="211"/>
      <c r="DE274" s="211"/>
      <c r="DF274" s="211"/>
    </row>
    <row r="275" spans="1:110" s="2" customFormat="1" x14ac:dyDescent="0.3">
      <c r="A275" s="211"/>
      <c r="B275" s="226"/>
      <c r="C275" s="211"/>
      <c r="D275" s="211"/>
      <c r="E275" s="240"/>
      <c r="F275" s="354"/>
      <c r="G275" s="240"/>
      <c r="H275" s="240"/>
      <c r="I275" s="240"/>
      <c r="J275" s="240"/>
      <c r="K275" s="240"/>
      <c r="L275" s="240"/>
      <c r="M275" s="233"/>
      <c r="N275" s="234"/>
      <c r="O275" s="368"/>
      <c r="P275" s="211"/>
      <c r="Q275" s="211"/>
      <c r="R275" s="211"/>
      <c r="S275" s="197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5"/>
      <c r="AG275" s="44"/>
      <c r="AH275" s="44"/>
      <c r="AI275" s="305"/>
      <c r="AJ275" s="44"/>
      <c r="AK275" s="305"/>
      <c r="AL275" s="44"/>
      <c r="AM275" s="44"/>
      <c r="AN275" s="60"/>
      <c r="AO275" s="60"/>
      <c r="AP275" s="60"/>
      <c r="AQ275" s="44"/>
      <c r="AR275" s="60"/>
      <c r="AS275" s="60"/>
      <c r="AT275" s="60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  <c r="BH275" s="44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5"/>
      <c r="BX275" s="45"/>
      <c r="BY275" s="44"/>
      <c r="BZ275" s="44"/>
      <c r="CA275" s="45"/>
      <c r="CB275" s="45"/>
      <c r="CC275" s="44"/>
      <c r="CD275" s="44"/>
      <c r="CE275" s="45"/>
      <c r="CF275" s="45"/>
      <c r="CG275" s="44"/>
      <c r="CH275" s="44"/>
      <c r="CI275" s="44"/>
      <c r="CJ275" s="45"/>
      <c r="CK275" s="45"/>
      <c r="CL275" s="46"/>
      <c r="CM275" s="44"/>
      <c r="CN275" s="211"/>
      <c r="CO275" s="211"/>
      <c r="CP275" s="211"/>
      <c r="CQ275" s="211"/>
      <c r="CR275" s="211"/>
      <c r="CS275" s="211"/>
      <c r="CT275" s="211"/>
      <c r="CU275" s="211"/>
      <c r="CV275" s="211"/>
      <c r="CW275" s="211"/>
      <c r="CX275" s="211"/>
      <c r="CY275" s="211"/>
      <c r="CZ275" s="211"/>
      <c r="DA275" s="211"/>
      <c r="DB275" s="211"/>
      <c r="DC275" s="211"/>
      <c r="DD275" s="211"/>
      <c r="DE275" s="211"/>
      <c r="DF275" s="211"/>
    </row>
    <row r="276" spans="1:110" s="2" customFormat="1" x14ac:dyDescent="0.3">
      <c r="A276" s="211"/>
      <c r="B276" s="226"/>
      <c r="C276" s="211"/>
      <c r="D276" s="211"/>
      <c r="E276" s="240"/>
      <c r="F276" s="354"/>
      <c r="G276" s="240"/>
      <c r="H276" s="240"/>
      <c r="I276" s="240"/>
      <c r="J276" s="240"/>
      <c r="K276" s="240"/>
      <c r="L276" s="240"/>
      <c r="M276" s="233"/>
      <c r="N276" s="234"/>
      <c r="O276" s="368"/>
      <c r="P276" s="211"/>
      <c r="Q276" s="211"/>
      <c r="R276" s="211"/>
      <c r="S276" s="197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5"/>
      <c r="AG276" s="44"/>
      <c r="AH276" s="44"/>
      <c r="AI276" s="305"/>
      <c r="AJ276" s="44"/>
      <c r="AK276" s="305"/>
      <c r="AL276" s="44"/>
      <c r="AM276" s="44"/>
      <c r="AN276" s="60"/>
      <c r="AO276" s="60"/>
      <c r="AP276" s="60"/>
      <c r="AQ276" s="44"/>
      <c r="AR276" s="60"/>
      <c r="AS276" s="60"/>
      <c r="AT276" s="60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  <c r="BH276" s="44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5"/>
      <c r="BX276" s="45"/>
      <c r="BY276" s="44"/>
      <c r="BZ276" s="44"/>
      <c r="CA276" s="45"/>
      <c r="CB276" s="45"/>
      <c r="CC276" s="44"/>
      <c r="CD276" s="44"/>
      <c r="CE276" s="45"/>
      <c r="CF276" s="45"/>
      <c r="CG276" s="44"/>
      <c r="CH276" s="44"/>
      <c r="CI276" s="44"/>
      <c r="CJ276" s="45"/>
      <c r="CK276" s="45"/>
      <c r="CL276" s="46"/>
      <c r="CM276" s="44"/>
      <c r="CN276" s="211"/>
      <c r="CO276" s="211"/>
      <c r="CP276" s="211"/>
      <c r="CQ276" s="211"/>
      <c r="CR276" s="211"/>
      <c r="CS276" s="211"/>
      <c r="CT276" s="211"/>
      <c r="CU276" s="211"/>
      <c r="CV276" s="211"/>
      <c r="CW276" s="211"/>
      <c r="CX276" s="211"/>
      <c r="CY276" s="211"/>
      <c r="CZ276" s="211"/>
      <c r="DA276" s="211"/>
      <c r="DB276" s="211"/>
      <c r="DC276" s="211"/>
      <c r="DD276" s="211"/>
      <c r="DE276" s="211"/>
      <c r="DF276" s="211"/>
    </row>
    <row r="277" spans="1:110" s="2" customFormat="1" x14ac:dyDescent="0.3">
      <c r="A277" s="211"/>
      <c r="B277" s="226"/>
      <c r="C277" s="211"/>
      <c r="D277" s="211"/>
      <c r="E277" s="240"/>
      <c r="F277" s="354"/>
      <c r="G277" s="240"/>
      <c r="H277" s="240"/>
      <c r="I277" s="240"/>
      <c r="J277" s="240"/>
      <c r="K277" s="240"/>
      <c r="L277" s="240"/>
      <c r="M277" s="233"/>
      <c r="N277" s="234"/>
      <c r="O277" s="368"/>
      <c r="P277" s="211"/>
      <c r="Q277" s="211"/>
      <c r="R277" s="211"/>
      <c r="S277" s="197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5"/>
      <c r="AG277" s="44"/>
      <c r="AH277" s="44"/>
      <c r="AI277" s="305"/>
      <c r="AJ277" s="44"/>
      <c r="AK277" s="305"/>
      <c r="AL277" s="44"/>
      <c r="AM277" s="44"/>
      <c r="AN277" s="60"/>
      <c r="AO277" s="60"/>
      <c r="AP277" s="60"/>
      <c r="AQ277" s="44"/>
      <c r="AR277" s="60"/>
      <c r="AS277" s="60"/>
      <c r="AT277" s="60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5"/>
      <c r="BX277" s="45"/>
      <c r="BY277" s="44"/>
      <c r="BZ277" s="44"/>
      <c r="CA277" s="45"/>
      <c r="CB277" s="45"/>
      <c r="CC277" s="44"/>
      <c r="CD277" s="44"/>
      <c r="CE277" s="45"/>
      <c r="CF277" s="45"/>
      <c r="CG277" s="44"/>
      <c r="CH277" s="44"/>
      <c r="CI277" s="44"/>
      <c r="CJ277" s="45"/>
      <c r="CK277" s="45"/>
      <c r="CL277" s="46"/>
      <c r="CM277" s="44"/>
      <c r="CN277" s="211"/>
      <c r="CO277" s="211"/>
      <c r="CP277" s="211"/>
      <c r="CQ277" s="211"/>
      <c r="CR277" s="211"/>
      <c r="CS277" s="211"/>
      <c r="CT277" s="211"/>
      <c r="CU277" s="211"/>
      <c r="CV277" s="211"/>
      <c r="CW277" s="211"/>
      <c r="CX277" s="211"/>
      <c r="CY277" s="211"/>
      <c r="CZ277" s="211"/>
      <c r="DA277" s="211"/>
      <c r="DB277" s="211"/>
      <c r="DC277" s="211"/>
      <c r="DD277" s="211"/>
      <c r="DE277" s="211"/>
      <c r="DF277" s="211"/>
    </row>
    <row r="278" spans="1:110" s="2" customFormat="1" x14ac:dyDescent="0.3">
      <c r="A278" s="211"/>
      <c r="B278" s="226"/>
      <c r="C278" s="211"/>
      <c r="D278" s="211"/>
      <c r="E278" s="240"/>
      <c r="F278" s="354"/>
      <c r="G278" s="240"/>
      <c r="H278" s="240"/>
      <c r="I278" s="240"/>
      <c r="J278" s="240"/>
      <c r="K278" s="240"/>
      <c r="L278" s="240"/>
      <c r="M278" s="233"/>
      <c r="N278" s="234"/>
      <c r="O278" s="368"/>
      <c r="P278" s="211"/>
      <c r="Q278" s="211"/>
      <c r="R278" s="211"/>
      <c r="S278" s="197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5"/>
      <c r="AG278" s="44"/>
      <c r="AH278" s="44"/>
      <c r="AI278" s="305"/>
      <c r="AJ278" s="44"/>
      <c r="AK278" s="305"/>
      <c r="AL278" s="44"/>
      <c r="AM278" s="44"/>
      <c r="AN278" s="60"/>
      <c r="AO278" s="60"/>
      <c r="AP278" s="60"/>
      <c r="AQ278" s="44"/>
      <c r="AR278" s="60"/>
      <c r="AS278" s="60"/>
      <c r="AT278" s="60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5"/>
      <c r="BX278" s="45"/>
      <c r="BY278" s="44"/>
      <c r="BZ278" s="44"/>
      <c r="CA278" s="45"/>
      <c r="CB278" s="45"/>
      <c r="CC278" s="44"/>
      <c r="CD278" s="44"/>
      <c r="CE278" s="45"/>
      <c r="CF278" s="45"/>
      <c r="CG278" s="44"/>
      <c r="CH278" s="44"/>
      <c r="CI278" s="44"/>
      <c r="CJ278" s="45"/>
      <c r="CK278" s="45"/>
      <c r="CL278" s="46"/>
      <c r="CM278" s="44"/>
      <c r="CN278" s="211"/>
      <c r="CO278" s="211"/>
      <c r="CP278" s="211"/>
      <c r="CQ278" s="211"/>
      <c r="CR278" s="211"/>
      <c r="CS278" s="211"/>
      <c r="CT278" s="211"/>
      <c r="CU278" s="211"/>
      <c r="CV278" s="211"/>
      <c r="CW278" s="211"/>
      <c r="CX278" s="211"/>
      <c r="CY278" s="211"/>
      <c r="CZ278" s="211"/>
      <c r="DA278" s="211"/>
      <c r="DB278" s="211"/>
      <c r="DC278" s="211"/>
      <c r="DD278" s="211"/>
      <c r="DE278" s="211"/>
      <c r="DF278" s="211"/>
    </row>
    <row r="279" spans="1:110" s="2" customFormat="1" x14ac:dyDescent="0.3">
      <c r="A279" s="211"/>
      <c r="B279" s="226"/>
      <c r="C279" s="211"/>
      <c r="D279" s="211"/>
      <c r="E279" s="240"/>
      <c r="F279" s="354"/>
      <c r="G279" s="240"/>
      <c r="H279" s="240"/>
      <c r="I279" s="240"/>
      <c r="J279" s="240"/>
      <c r="K279" s="240"/>
      <c r="L279" s="240"/>
      <c r="M279" s="233"/>
      <c r="N279" s="234"/>
      <c r="O279" s="368"/>
      <c r="P279" s="211"/>
      <c r="Q279" s="211"/>
      <c r="R279" s="211"/>
      <c r="S279" s="197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5"/>
      <c r="AG279" s="44"/>
      <c r="AH279" s="44"/>
      <c r="AI279" s="305"/>
      <c r="AJ279" s="44"/>
      <c r="AK279" s="305"/>
      <c r="AL279" s="44"/>
      <c r="AM279" s="44"/>
      <c r="AN279" s="60"/>
      <c r="AO279" s="60"/>
      <c r="AP279" s="60"/>
      <c r="AQ279" s="44"/>
      <c r="AR279" s="60"/>
      <c r="AS279" s="60"/>
      <c r="AT279" s="60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5"/>
      <c r="BX279" s="45"/>
      <c r="BY279" s="44"/>
      <c r="BZ279" s="44"/>
      <c r="CA279" s="45"/>
      <c r="CB279" s="45"/>
      <c r="CC279" s="44"/>
      <c r="CD279" s="44"/>
      <c r="CE279" s="45"/>
      <c r="CF279" s="45"/>
      <c r="CG279" s="44"/>
      <c r="CH279" s="44"/>
      <c r="CI279" s="44"/>
      <c r="CJ279" s="45"/>
      <c r="CK279" s="45"/>
      <c r="CL279" s="46"/>
      <c r="CM279" s="44"/>
      <c r="CN279" s="211"/>
      <c r="CO279" s="211"/>
      <c r="CP279" s="211"/>
      <c r="CQ279" s="211"/>
      <c r="CR279" s="211"/>
      <c r="CS279" s="211"/>
      <c r="CT279" s="211"/>
      <c r="CU279" s="211"/>
      <c r="CV279" s="211"/>
      <c r="CW279" s="211"/>
      <c r="CX279" s="211"/>
      <c r="CY279" s="211"/>
      <c r="CZ279" s="211"/>
      <c r="DA279" s="211"/>
      <c r="DB279" s="211"/>
      <c r="DC279" s="211"/>
      <c r="DD279" s="211"/>
      <c r="DE279" s="211"/>
      <c r="DF279" s="211"/>
    </row>
    <row r="280" spans="1:110" s="2" customFormat="1" x14ac:dyDescent="0.3">
      <c r="A280" s="211"/>
      <c r="B280" s="226"/>
      <c r="C280" s="211"/>
      <c r="D280" s="211"/>
      <c r="E280" s="240"/>
      <c r="F280" s="354"/>
      <c r="G280" s="240"/>
      <c r="H280" s="240"/>
      <c r="I280" s="240"/>
      <c r="J280" s="240"/>
      <c r="K280" s="240"/>
      <c r="L280" s="240"/>
      <c r="M280" s="233"/>
      <c r="N280" s="234"/>
      <c r="O280" s="368"/>
      <c r="P280" s="211"/>
      <c r="Q280" s="211"/>
      <c r="R280" s="211"/>
      <c r="S280" s="197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5"/>
      <c r="AG280" s="44"/>
      <c r="AH280" s="44"/>
      <c r="AI280" s="305"/>
      <c r="AJ280" s="44"/>
      <c r="AK280" s="305"/>
      <c r="AL280" s="44"/>
      <c r="AM280" s="44"/>
      <c r="AN280" s="60"/>
      <c r="AO280" s="60"/>
      <c r="AP280" s="60"/>
      <c r="AQ280" s="44"/>
      <c r="AR280" s="60"/>
      <c r="AS280" s="60"/>
      <c r="AT280" s="60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  <c r="BH280" s="44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5"/>
      <c r="BX280" s="45"/>
      <c r="BY280" s="44"/>
      <c r="BZ280" s="44"/>
      <c r="CA280" s="45"/>
      <c r="CB280" s="45"/>
      <c r="CC280" s="44"/>
      <c r="CD280" s="44"/>
      <c r="CE280" s="45"/>
      <c r="CF280" s="45"/>
      <c r="CG280" s="44"/>
      <c r="CH280" s="44"/>
      <c r="CI280" s="44"/>
      <c r="CJ280" s="45"/>
      <c r="CK280" s="45"/>
      <c r="CL280" s="46"/>
      <c r="CM280" s="44"/>
      <c r="CN280" s="211"/>
      <c r="CO280" s="211"/>
      <c r="CP280" s="211"/>
      <c r="CQ280" s="211"/>
      <c r="CR280" s="211"/>
      <c r="CS280" s="211"/>
      <c r="CT280" s="211"/>
      <c r="CU280" s="211"/>
      <c r="CV280" s="211"/>
      <c r="CW280" s="211"/>
      <c r="CX280" s="211"/>
      <c r="CY280" s="211"/>
      <c r="CZ280" s="211"/>
      <c r="DA280" s="211"/>
      <c r="DB280" s="211"/>
      <c r="DC280" s="211"/>
      <c r="DD280" s="211"/>
      <c r="DE280" s="211"/>
      <c r="DF280" s="211"/>
    </row>
    <row r="281" spans="1:110" s="2" customFormat="1" x14ac:dyDescent="0.3">
      <c r="A281" s="211"/>
      <c r="B281" s="226"/>
      <c r="C281" s="211"/>
      <c r="D281" s="211"/>
      <c r="E281" s="240"/>
      <c r="F281" s="354"/>
      <c r="G281" s="240"/>
      <c r="H281" s="240"/>
      <c r="I281" s="240"/>
      <c r="J281" s="240"/>
      <c r="K281" s="240"/>
      <c r="L281" s="240"/>
      <c r="M281" s="233"/>
      <c r="N281" s="234"/>
      <c r="O281" s="368"/>
      <c r="P281" s="211"/>
      <c r="Q281" s="211"/>
      <c r="R281" s="211"/>
      <c r="S281" s="197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5"/>
      <c r="AG281" s="44"/>
      <c r="AH281" s="44"/>
      <c r="AI281" s="305"/>
      <c r="AJ281" s="44"/>
      <c r="AK281" s="305"/>
      <c r="AL281" s="44"/>
      <c r="AM281" s="44"/>
      <c r="AN281" s="60"/>
      <c r="AO281" s="60"/>
      <c r="AP281" s="60"/>
      <c r="AQ281" s="44"/>
      <c r="AR281" s="60"/>
      <c r="AS281" s="60"/>
      <c r="AT281" s="60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  <c r="BH281" s="44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5"/>
      <c r="BX281" s="45"/>
      <c r="BY281" s="44"/>
      <c r="BZ281" s="44"/>
      <c r="CA281" s="45"/>
      <c r="CB281" s="45"/>
      <c r="CC281" s="44"/>
      <c r="CD281" s="44"/>
      <c r="CE281" s="45"/>
      <c r="CF281" s="45"/>
      <c r="CG281" s="44"/>
      <c r="CH281" s="44"/>
      <c r="CI281" s="44"/>
      <c r="CJ281" s="45"/>
      <c r="CK281" s="45"/>
      <c r="CL281" s="46"/>
      <c r="CM281" s="44"/>
      <c r="CN281" s="211"/>
      <c r="CO281" s="211"/>
      <c r="CP281" s="211"/>
      <c r="CQ281" s="211"/>
      <c r="CR281" s="211"/>
      <c r="CS281" s="211"/>
      <c r="CT281" s="211"/>
      <c r="CU281" s="211"/>
      <c r="CV281" s="211"/>
      <c r="CW281" s="211"/>
      <c r="CX281" s="211"/>
      <c r="CY281" s="211"/>
      <c r="CZ281" s="211"/>
      <c r="DA281" s="211"/>
      <c r="DB281" s="211"/>
      <c r="DC281" s="211"/>
      <c r="DD281" s="211"/>
      <c r="DE281" s="211"/>
      <c r="DF281" s="211"/>
    </row>
    <row r="282" spans="1:110" s="2" customFormat="1" x14ac:dyDescent="0.3">
      <c r="A282" s="211"/>
      <c r="B282" s="226"/>
      <c r="C282" s="211"/>
      <c r="D282" s="211"/>
      <c r="E282" s="240"/>
      <c r="F282" s="354"/>
      <c r="G282" s="240"/>
      <c r="H282" s="240"/>
      <c r="I282" s="240"/>
      <c r="J282" s="240"/>
      <c r="K282" s="240"/>
      <c r="L282" s="240"/>
      <c r="M282" s="233"/>
      <c r="N282" s="234"/>
      <c r="O282" s="368"/>
      <c r="P282" s="211"/>
      <c r="Q282" s="211"/>
      <c r="R282" s="211"/>
      <c r="S282" s="197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5"/>
      <c r="AG282" s="44"/>
      <c r="AH282" s="44"/>
      <c r="AI282" s="305"/>
      <c r="AJ282" s="44"/>
      <c r="AK282" s="305"/>
      <c r="AL282" s="44"/>
      <c r="AM282" s="44"/>
      <c r="AN282" s="60"/>
      <c r="AO282" s="60"/>
      <c r="AP282" s="60"/>
      <c r="AQ282" s="44"/>
      <c r="AR282" s="60"/>
      <c r="AS282" s="60"/>
      <c r="AT282" s="60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  <c r="BH282" s="44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5"/>
      <c r="BX282" s="45"/>
      <c r="BY282" s="44"/>
      <c r="BZ282" s="44"/>
      <c r="CA282" s="45"/>
      <c r="CB282" s="45"/>
      <c r="CC282" s="44"/>
      <c r="CD282" s="44"/>
      <c r="CE282" s="45"/>
      <c r="CF282" s="45"/>
      <c r="CG282" s="44"/>
      <c r="CH282" s="44"/>
      <c r="CI282" s="44"/>
      <c r="CJ282" s="45"/>
      <c r="CK282" s="45"/>
      <c r="CL282" s="46"/>
      <c r="CM282" s="44"/>
      <c r="CN282" s="211"/>
      <c r="CO282" s="211"/>
      <c r="CP282" s="211"/>
      <c r="CQ282" s="211"/>
      <c r="CR282" s="211"/>
      <c r="CS282" s="211"/>
      <c r="CT282" s="211"/>
      <c r="CU282" s="211"/>
      <c r="CV282" s="211"/>
      <c r="CW282" s="211"/>
      <c r="CX282" s="211"/>
      <c r="CY282" s="211"/>
      <c r="CZ282" s="211"/>
      <c r="DA282" s="211"/>
      <c r="DB282" s="211"/>
      <c r="DC282" s="211"/>
      <c r="DD282" s="211"/>
      <c r="DE282" s="211"/>
      <c r="DF282" s="211"/>
    </row>
    <row r="283" spans="1:110" s="2" customFormat="1" x14ac:dyDescent="0.3">
      <c r="A283" s="211"/>
      <c r="B283" s="226"/>
      <c r="C283" s="211"/>
      <c r="D283" s="211"/>
      <c r="E283" s="240"/>
      <c r="F283" s="354"/>
      <c r="G283" s="240"/>
      <c r="H283" s="240"/>
      <c r="I283" s="240"/>
      <c r="J283" s="240"/>
      <c r="K283" s="240"/>
      <c r="L283" s="240"/>
      <c r="M283" s="233"/>
      <c r="N283" s="234"/>
      <c r="O283" s="368"/>
      <c r="P283" s="211"/>
      <c r="Q283" s="211"/>
      <c r="R283" s="211"/>
      <c r="S283" s="197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5"/>
      <c r="AG283" s="44"/>
      <c r="AH283" s="44"/>
      <c r="AI283" s="305"/>
      <c r="AJ283" s="44"/>
      <c r="AK283" s="305"/>
      <c r="AL283" s="44"/>
      <c r="AM283" s="44"/>
      <c r="AN283" s="60"/>
      <c r="AO283" s="60"/>
      <c r="AP283" s="60"/>
      <c r="AQ283" s="44"/>
      <c r="AR283" s="60"/>
      <c r="AS283" s="60"/>
      <c r="AT283" s="60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  <c r="BH283" s="44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5"/>
      <c r="BX283" s="45"/>
      <c r="BY283" s="44"/>
      <c r="BZ283" s="44"/>
      <c r="CA283" s="45"/>
      <c r="CB283" s="45"/>
      <c r="CC283" s="44"/>
      <c r="CD283" s="44"/>
      <c r="CE283" s="45"/>
      <c r="CF283" s="45"/>
      <c r="CG283" s="44"/>
      <c r="CH283" s="44"/>
      <c r="CI283" s="44"/>
      <c r="CJ283" s="45"/>
      <c r="CK283" s="45"/>
      <c r="CL283" s="46"/>
      <c r="CM283" s="44"/>
      <c r="CN283" s="211"/>
      <c r="CO283" s="211"/>
      <c r="CP283" s="211"/>
      <c r="CQ283" s="211"/>
      <c r="CR283" s="211"/>
      <c r="CS283" s="211"/>
      <c r="CT283" s="211"/>
      <c r="CU283" s="211"/>
      <c r="CV283" s="211"/>
      <c r="CW283" s="211"/>
      <c r="CX283" s="211"/>
      <c r="CY283" s="211"/>
      <c r="CZ283" s="211"/>
      <c r="DA283" s="211"/>
      <c r="DB283" s="211"/>
      <c r="DC283" s="211"/>
      <c r="DD283" s="211"/>
      <c r="DE283" s="211"/>
      <c r="DF283" s="211"/>
    </row>
    <row r="284" spans="1:110" s="2" customFormat="1" x14ac:dyDescent="0.3">
      <c r="A284" s="211"/>
      <c r="B284" s="226"/>
      <c r="C284" s="211"/>
      <c r="D284" s="211"/>
      <c r="E284" s="240"/>
      <c r="F284" s="354"/>
      <c r="G284" s="240"/>
      <c r="H284" s="240"/>
      <c r="I284" s="240"/>
      <c r="J284" s="240"/>
      <c r="K284" s="240"/>
      <c r="L284" s="240"/>
      <c r="M284" s="233"/>
      <c r="N284" s="234"/>
      <c r="O284" s="368"/>
      <c r="P284" s="211"/>
      <c r="Q284" s="211"/>
      <c r="R284" s="211"/>
      <c r="S284" s="197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5"/>
      <c r="AG284" s="44"/>
      <c r="AH284" s="44"/>
      <c r="AI284" s="305"/>
      <c r="AJ284" s="44"/>
      <c r="AK284" s="305"/>
      <c r="AL284" s="44"/>
      <c r="AM284" s="44"/>
      <c r="AN284" s="60"/>
      <c r="AO284" s="60"/>
      <c r="AP284" s="60"/>
      <c r="AQ284" s="44"/>
      <c r="AR284" s="60"/>
      <c r="AS284" s="60"/>
      <c r="AT284" s="60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5"/>
      <c r="BX284" s="45"/>
      <c r="BY284" s="44"/>
      <c r="BZ284" s="44"/>
      <c r="CA284" s="45"/>
      <c r="CB284" s="45"/>
      <c r="CC284" s="44"/>
      <c r="CD284" s="44"/>
      <c r="CE284" s="45"/>
      <c r="CF284" s="45"/>
      <c r="CG284" s="44"/>
      <c r="CH284" s="44"/>
      <c r="CI284" s="44"/>
      <c r="CJ284" s="45"/>
      <c r="CK284" s="45"/>
      <c r="CL284" s="46"/>
      <c r="CM284" s="44"/>
      <c r="CN284" s="211"/>
      <c r="CO284" s="211"/>
      <c r="CP284" s="211"/>
      <c r="CQ284" s="211"/>
      <c r="CR284" s="211"/>
      <c r="CS284" s="211"/>
      <c r="CT284" s="211"/>
      <c r="CU284" s="211"/>
      <c r="CV284" s="211"/>
      <c r="CW284" s="211"/>
      <c r="CX284" s="211"/>
      <c r="CY284" s="211"/>
      <c r="CZ284" s="211"/>
      <c r="DA284" s="211"/>
      <c r="DB284" s="211"/>
      <c r="DC284" s="211"/>
      <c r="DD284" s="211"/>
      <c r="DE284" s="211"/>
      <c r="DF284" s="211"/>
    </row>
    <row r="285" spans="1:110" s="2" customFormat="1" x14ac:dyDescent="0.3">
      <c r="A285" s="211"/>
      <c r="B285" s="226"/>
      <c r="C285" s="211"/>
      <c r="D285" s="211"/>
      <c r="E285" s="240"/>
      <c r="F285" s="354"/>
      <c r="G285" s="240"/>
      <c r="H285" s="240"/>
      <c r="I285" s="240"/>
      <c r="J285" s="240"/>
      <c r="K285" s="240"/>
      <c r="L285" s="240"/>
      <c r="M285" s="233"/>
      <c r="N285" s="234"/>
      <c r="O285" s="368"/>
      <c r="P285" s="211"/>
      <c r="Q285" s="211"/>
      <c r="R285" s="211"/>
      <c r="S285" s="197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5"/>
      <c r="AG285" s="44"/>
      <c r="AH285" s="44"/>
      <c r="AI285" s="305"/>
      <c r="AJ285" s="44"/>
      <c r="AK285" s="305"/>
      <c r="AL285" s="44"/>
      <c r="AM285" s="44"/>
      <c r="AN285" s="60"/>
      <c r="AO285" s="60"/>
      <c r="AP285" s="60"/>
      <c r="AQ285" s="44"/>
      <c r="AR285" s="60"/>
      <c r="AS285" s="60"/>
      <c r="AT285" s="60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  <c r="BH285" s="44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5"/>
      <c r="BX285" s="45"/>
      <c r="BY285" s="44"/>
      <c r="BZ285" s="44"/>
      <c r="CA285" s="45"/>
      <c r="CB285" s="45"/>
      <c r="CC285" s="44"/>
      <c r="CD285" s="44"/>
      <c r="CE285" s="45"/>
      <c r="CF285" s="45"/>
      <c r="CG285" s="44"/>
      <c r="CH285" s="44"/>
      <c r="CI285" s="44"/>
      <c r="CJ285" s="45"/>
      <c r="CK285" s="45"/>
      <c r="CL285" s="46"/>
      <c r="CM285" s="44"/>
      <c r="CN285" s="211"/>
      <c r="CO285" s="211"/>
      <c r="CP285" s="211"/>
      <c r="CQ285" s="211"/>
      <c r="CR285" s="211"/>
      <c r="CS285" s="211"/>
      <c r="CT285" s="211"/>
      <c r="CU285" s="211"/>
      <c r="CV285" s="211"/>
      <c r="CW285" s="211"/>
      <c r="CX285" s="211"/>
      <c r="CY285" s="211"/>
      <c r="CZ285" s="211"/>
      <c r="DA285" s="211"/>
      <c r="DB285" s="211"/>
      <c r="DC285" s="211"/>
      <c r="DD285" s="211"/>
      <c r="DE285" s="211"/>
      <c r="DF285" s="211"/>
    </row>
    <row r="286" spans="1:110" s="2" customFormat="1" x14ac:dyDescent="0.3">
      <c r="A286" s="211"/>
      <c r="B286" s="226"/>
      <c r="C286" s="211"/>
      <c r="D286" s="211"/>
      <c r="E286" s="240"/>
      <c r="F286" s="354"/>
      <c r="G286" s="240"/>
      <c r="H286" s="240"/>
      <c r="I286" s="240"/>
      <c r="J286" s="240"/>
      <c r="K286" s="240"/>
      <c r="L286" s="240"/>
      <c r="M286" s="233"/>
      <c r="N286" s="234"/>
      <c r="O286" s="368"/>
      <c r="P286" s="211"/>
      <c r="Q286" s="211"/>
      <c r="R286" s="211"/>
      <c r="S286" s="197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5"/>
      <c r="AG286" s="44"/>
      <c r="AH286" s="44"/>
      <c r="AI286" s="305"/>
      <c r="AJ286" s="44"/>
      <c r="AK286" s="305"/>
      <c r="AL286" s="44"/>
      <c r="AM286" s="44"/>
      <c r="AN286" s="60"/>
      <c r="AO286" s="60"/>
      <c r="AP286" s="60"/>
      <c r="AQ286" s="44"/>
      <c r="AR286" s="60"/>
      <c r="AS286" s="60"/>
      <c r="AT286" s="60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5"/>
      <c r="BX286" s="45"/>
      <c r="BY286" s="44"/>
      <c r="BZ286" s="44"/>
      <c r="CA286" s="45"/>
      <c r="CB286" s="45"/>
      <c r="CC286" s="44"/>
      <c r="CD286" s="44"/>
      <c r="CE286" s="45"/>
      <c r="CF286" s="45"/>
      <c r="CG286" s="44"/>
      <c r="CH286" s="44"/>
      <c r="CI286" s="44"/>
      <c r="CJ286" s="45"/>
      <c r="CK286" s="45"/>
      <c r="CL286" s="46"/>
      <c r="CM286" s="44"/>
      <c r="CN286" s="211"/>
      <c r="CO286" s="211"/>
      <c r="CP286" s="211"/>
      <c r="CQ286" s="211"/>
      <c r="CR286" s="211"/>
      <c r="CS286" s="211"/>
      <c r="CT286" s="211"/>
      <c r="CU286" s="211"/>
      <c r="CV286" s="211"/>
      <c r="CW286" s="211"/>
      <c r="CX286" s="211"/>
      <c r="CY286" s="211"/>
      <c r="CZ286" s="211"/>
      <c r="DA286" s="211"/>
      <c r="DB286" s="211"/>
      <c r="DC286" s="211"/>
      <c r="DD286" s="211"/>
      <c r="DE286" s="211"/>
      <c r="DF286" s="211"/>
    </row>
    <row r="287" spans="1:110" s="2" customFormat="1" x14ac:dyDescent="0.3">
      <c r="A287" s="211"/>
      <c r="B287" s="226"/>
      <c r="C287" s="211"/>
      <c r="D287" s="211"/>
      <c r="E287" s="240"/>
      <c r="F287" s="354"/>
      <c r="G287" s="240"/>
      <c r="H287" s="240"/>
      <c r="I287" s="240"/>
      <c r="J287" s="240"/>
      <c r="K287" s="240"/>
      <c r="L287" s="240"/>
      <c r="M287" s="233"/>
      <c r="N287" s="234"/>
      <c r="O287" s="368"/>
      <c r="P287" s="211"/>
      <c r="Q287" s="211"/>
      <c r="R287" s="211"/>
      <c r="S287" s="197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5"/>
      <c r="AG287" s="44"/>
      <c r="AH287" s="44"/>
      <c r="AI287" s="305"/>
      <c r="AJ287" s="44"/>
      <c r="AK287" s="305"/>
      <c r="AL287" s="44"/>
      <c r="AM287" s="44"/>
      <c r="AN287" s="60"/>
      <c r="AO287" s="60"/>
      <c r="AP287" s="60"/>
      <c r="AQ287" s="44"/>
      <c r="AR287" s="60"/>
      <c r="AS287" s="60"/>
      <c r="AT287" s="60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  <c r="BH287" s="44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5"/>
      <c r="BX287" s="45"/>
      <c r="BY287" s="44"/>
      <c r="BZ287" s="44"/>
      <c r="CA287" s="45"/>
      <c r="CB287" s="45"/>
      <c r="CC287" s="44"/>
      <c r="CD287" s="44"/>
      <c r="CE287" s="45"/>
      <c r="CF287" s="45"/>
      <c r="CG287" s="44"/>
      <c r="CH287" s="44"/>
      <c r="CI287" s="44"/>
      <c r="CJ287" s="45"/>
      <c r="CK287" s="45"/>
      <c r="CL287" s="46"/>
      <c r="CM287" s="44"/>
      <c r="CN287" s="211"/>
      <c r="CO287" s="211"/>
      <c r="CP287" s="211"/>
      <c r="CQ287" s="211"/>
      <c r="CR287" s="211"/>
      <c r="CS287" s="211"/>
      <c r="CT287" s="211"/>
      <c r="CU287" s="211"/>
      <c r="CV287" s="211"/>
      <c r="CW287" s="211"/>
      <c r="CX287" s="211"/>
      <c r="CY287" s="211"/>
      <c r="CZ287" s="211"/>
      <c r="DA287" s="211"/>
      <c r="DB287" s="211"/>
      <c r="DC287" s="211"/>
      <c r="DD287" s="211"/>
      <c r="DE287" s="211"/>
      <c r="DF287" s="211"/>
    </row>
    <row r="288" spans="1:110" s="2" customFormat="1" x14ac:dyDescent="0.3">
      <c r="A288" s="211"/>
      <c r="B288" s="226"/>
      <c r="C288" s="211"/>
      <c r="D288" s="211"/>
      <c r="E288" s="240"/>
      <c r="F288" s="354"/>
      <c r="G288" s="240"/>
      <c r="H288" s="240"/>
      <c r="I288" s="240"/>
      <c r="J288" s="240"/>
      <c r="K288" s="240"/>
      <c r="L288" s="240"/>
      <c r="M288" s="233"/>
      <c r="N288" s="234"/>
      <c r="O288" s="368"/>
      <c r="P288" s="211"/>
      <c r="Q288" s="211"/>
      <c r="R288" s="211"/>
      <c r="S288" s="197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5"/>
      <c r="AG288" s="44"/>
      <c r="AH288" s="44"/>
      <c r="AI288" s="305"/>
      <c r="AJ288" s="44"/>
      <c r="AK288" s="305"/>
      <c r="AL288" s="44"/>
      <c r="AM288" s="44"/>
      <c r="AN288" s="60"/>
      <c r="AO288" s="60"/>
      <c r="AP288" s="60"/>
      <c r="AQ288" s="44"/>
      <c r="AR288" s="60"/>
      <c r="AS288" s="60"/>
      <c r="AT288" s="60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5"/>
      <c r="BX288" s="45"/>
      <c r="BY288" s="44"/>
      <c r="BZ288" s="44"/>
      <c r="CA288" s="45"/>
      <c r="CB288" s="45"/>
      <c r="CC288" s="44"/>
      <c r="CD288" s="44"/>
      <c r="CE288" s="45"/>
      <c r="CF288" s="45"/>
      <c r="CG288" s="44"/>
      <c r="CH288" s="44"/>
      <c r="CI288" s="44"/>
      <c r="CJ288" s="45"/>
      <c r="CK288" s="45"/>
      <c r="CL288" s="46"/>
      <c r="CM288" s="44"/>
      <c r="CN288" s="211"/>
      <c r="CO288" s="211"/>
      <c r="CP288" s="211"/>
      <c r="CQ288" s="211"/>
      <c r="CR288" s="211"/>
      <c r="CS288" s="211"/>
      <c r="CT288" s="211"/>
      <c r="CU288" s="211"/>
      <c r="CV288" s="211"/>
      <c r="CW288" s="211"/>
      <c r="CX288" s="211"/>
      <c r="CY288" s="211"/>
      <c r="CZ288" s="211"/>
      <c r="DA288" s="211"/>
      <c r="DB288" s="211"/>
      <c r="DC288" s="211"/>
      <c r="DD288" s="211"/>
      <c r="DE288" s="211"/>
      <c r="DF288" s="211"/>
    </row>
    <row r="289" spans="1:110" s="2" customFormat="1" x14ac:dyDescent="0.3">
      <c r="A289" s="211"/>
      <c r="B289" s="226"/>
      <c r="C289" s="211"/>
      <c r="D289" s="211"/>
      <c r="E289" s="240"/>
      <c r="F289" s="354"/>
      <c r="G289" s="240"/>
      <c r="H289" s="240"/>
      <c r="I289" s="240"/>
      <c r="J289" s="240"/>
      <c r="K289" s="240"/>
      <c r="L289" s="240"/>
      <c r="M289" s="233"/>
      <c r="N289" s="234"/>
      <c r="O289" s="368"/>
      <c r="P289" s="211"/>
      <c r="Q289" s="211"/>
      <c r="R289" s="211"/>
      <c r="S289" s="197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5"/>
      <c r="AG289" s="44"/>
      <c r="AH289" s="44"/>
      <c r="AI289" s="305"/>
      <c r="AJ289" s="44"/>
      <c r="AK289" s="305"/>
      <c r="AL289" s="44"/>
      <c r="AM289" s="44"/>
      <c r="AN289" s="60"/>
      <c r="AO289" s="60"/>
      <c r="AP289" s="60"/>
      <c r="AQ289" s="44"/>
      <c r="AR289" s="60"/>
      <c r="AS289" s="60"/>
      <c r="AT289" s="60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  <c r="BE289" s="44"/>
      <c r="BF289" s="44"/>
      <c r="BG289" s="44"/>
      <c r="BH289" s="44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5"/>
      <c r="BX289" s="45"/>
      <c r="BY289" s="44"/>
      <c r="BZ289" s="44"/>
      <c r="CA289" s="45"/>
      <c r="CB289" s="45"/>
      <c r="CC289" s="44"/>
      <c r="CD289" s="44"/>
      <c r="CE289" s="45"/>
      <c r="CF289" s="45"/>
      <c r="CG289" s="44"/>
      <c r="CH289" s="44"/>
      <c r="CI289" s="44"/>
      <c r="CJ289" s="45"/>
      <c r="CK289" s="45"/>
      <c r="CL289" s="46"/>
      <c r="CM289" s="44"/>
      <c r="CN289" s="211"/>
      <c r="CO289" s="211"/>
      <c r="CP289" s="211"/>
      <c r="CQ289" s="211"/>
      <c r="CR289" s="211"/>
      <c r="CS289" s="211"/>
      <c r="CT289" s="211"/>
      <c r="CU289" s="211"/>
      <c r="CV289" s="211"/>
      <c r="CW289" s="211"/>
      <c r="CX289" s="211"/>
      <c r="CY289" s="211"/>
      <c r="CZ289" s="211"/>
      <c r="DA289" s="211"/>
      <c r="DB289" s="211"/>
      <c r="DC289" s="211"/>
      <c r="DD289" s="211"/>
      <c r="DE289" s="211"/>
      <c r="DF289" s="211"/>
    </row>
    <row r="290" spans="1:110" s="2" customFormat="1" x14ac:dyDescent="0.3">
      <c r="A290" s="211"/>
      <c r="B290" s="226"/>
      <c r="C290" s="211"/>
      <c r="D290" s="211"/>
      <c r="E290" s="240"/>
      <c r="F290" s="354"/>
      <c r="G290" s="240"/>
      <c r="H290" s="240"/>
      <c r="I290" s="240"/>
      <c r="J290" s="240"/>
      <c r="K290" s="240"/>
      <c r="L290" s="240"/>
      <c r="M290" s="233"/>
      <c r="N290" s="234"/>
      <c r="O290" s="368"/>
      <c r="P290" s="211"/>
      <c r="Q290" s="211"/>
      <c r="R290" s="211"/>
      <c r="S290" s="197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5"/>
      <c r="AG290" s="44"/>
      <c r="AH290" s="44"/>
      <c r="AI290" s="305"/>
      <c r="AJ290" s="44"/>
      <c r="AK290" s="305"/>
      <c r="AL290" s="44"/>
      <c r="AM290" s="44"/>
      <c r="AN290" s="60"/>
      <c r="AO290" s="60"/>
      <c r="AP290" s="60"/>
      <c r="AQ290" s="44"/>
      <c r="AR290" s="60"/>
      <c r="AS290" s="60"/>
      <c r="AT290" s="60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5"/>
      <c r="BX290" s="45"/>
      <c r="BY290" s="44"/>
      <c r="BZ290" s="44"/>
      <c r="CA290" s="45"/>
      <c r="CB290" s="45"/>
      <c r="CC290" s="44"/>
      <c r="CD290" s="44"/>
      <c r="CE290" s="45"/>
      <c r="CF290" s="45"/>
      <c r="CG290" s="44"/>
      <c r="CH290" s="44"/>
      <c r="CI290" s="44"/>
      <c r="CJ290" s="45"/>
      <c r="CK290" s="45"/>
      <c r="CL290" s="46"/>
      <c r="CM290" s="44"/>
      <c r="CN290" s="211"/>
      <c r="CO290" s="211"/>
      <c r="CP290" s="211"/>
      <c r="CQ290" s="211"/>
      <c r="CR290" s="211"/>
      <c r="CS290" s="211"/>
      <c r="CT290" s="211"/>
      <c r="CU290" s="211"/>
      <c r="CV290" s="211"/>
      <c r="CW290" s="211"/>
      <c r="CX290" s="211"/>
      <c r="CY290" s="211"/>
      <c r="CZ290" s="211"/>
      <c r="DA290" s="211"/>
      <c r="DB290" s="211"/>
      <c r="DC290" s="211"/>
      <c r="DD290" s="211"/>
      <c r="DE290" s="211"/>
      <c r="DF290" s="211"/>
    </row>
    <row r="291" spans="1:110" s="2" customFormat="1" x14ac:dyDescent="0.3">
      <c r="A291" s="211"/>
      <c r="B291" s="226"/>
      <c r="C291" s="211"/>
      <c r="D291" s="211"/>
      <c r="E291" s="240"/>
      <c r="F291" s="354"/>
      <c r="G291" s="240"/>
      <c r="H291" s="240"/>
      <c r="I291" s="240"/>
      <c r="J291" s="240"/>
      <c r="K291" s="240"/>
      <c r="L291" s="240"/>
      <c r="M291" s="233"/>
      <c r="N291" s="234"/>
      <c r="O291" s="368"/>
      <c r="P291" s="211"/>
      <c r="Q291" s="211"/>
      <c r="R291" s="211"/>
      <c r="S291" s="197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5"/>
      <c r="AG291" s="44"/>
      <c r="AH291" s="44"/>
      <c r="AI291" s="305"/>
      <c r="AJ291" s="44"/>
      <c r="AK291" s="305"/>
      <c r="AL291" s="44"/>
      <c r="AM291" s="44"/>
      <c r="AN291" s="60"/>
      <c r="AO291" s="60"/>
      <c r="AP291" s="60"/>
      <c r="AQ291" s="44"/>
      <c r="AR291" s="60"/>
      <c r="AS291" s="60"/>
      <c r="AT291" s="60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  <c r="BE291" s="44"/>
      <c r="BF291" s="44"/>
      <c r="BG291" s="44"/>
      <c r="BH291" s="44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5"/>
      <c r="BX291" s="45"/>
      <c r="BY291" s="44"/>
      <c r="BZ291" s="44"/>
      <c r="CA291" s="45"/>
      <c r="CB291" s="45"/>
      <c r="CC291" s="44"/>
      <c r="CD291" s="44"/>
      <c r="CE291" s="45"/>
      <c r="CF291" s="45"/>
      <c r="CG291" s="44"/>
      <c r="CH291" s="44"/>
      <c r="CI291" s="44"/>
      <c r="CJ291" s="45"/>
      <c r="CK291" s="45"/>
      <c r="CL291" s="46"/>
      <c r="CM291" s="44"/>
      <c r="CN291" s="211"/>
      <c r="CO291" s="211"/>
      <c r="CP291" s="211"/>
      <c r="CQ291" s="211"/>
      <c r="CR291" s="211"/>
      <c r="CS291" s="211"/>
      <c r="CT291" s="211"/>
      <c r="CU291" s="211"/>
      <c r="CV291" s="211"/>
      <c r="CW291" s="211"/>
      <c r="CX291" s="211"/>
      <c r="CY291" s="211"/>
      <c r="CZ291" s="211"/>
      <c r="DA291" s="211"/>
      <c r="DB291" s="211"/>
      <c r="DC291" s="211"/>
      <c r="DD291" s="211"/>
      <c r="DE291" s="211"/>
      <c r="DF291" s="211"/>
    </row>
    <row r="292" spans="1:110" s="2" customFormat="1" x14ac:dyDescent="0.3">
      <c r="A292" s="211"/>
      <c r="B292" s="226"/>
      <c r="C292" s="211"/>
      <c r="D292" s="211"/>
      <c r="E292" s="240"/>
      <c r="F292" s="354"/>
      <c r="G292" s="240"/>
      <c r="H292" s="240"/>
      <c r="I292" s="240"/>
      <c r="J292" s="240"/>
      <c r="K292" s="240"/>
      <c r="L292" s="240"/>
      <c r="M292" s="233"/>
      <c r="N292" s="234"/>
      <c r="O292" s="368"/>
      <c r="P292" s="211"/>
      <c r="Q292" s="211"/>
      <c r="R292" s="211"/>
      <c r="S292" s="197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5"/>
      <c r="AG292" s="44"/>
      <c r="AH292" s="44"/>
      <c r="AI292" s="305"/>
      <c r="AJ292" s="44"/>
      <c r="AK292" s="305"/>
      <c r="AL292" s="44"/>
      <c r="AM292" s="44"/>
      <c r="AN292" s="60"/>
      <c r="AO292" s="60"/>
      <c r="AP292" s="60"/>
      <c r="AQ292" s="44"/>
      <c r="AR292" s="60"/>
      <c r="AS292" s="60"/>
      <c r="AT292" s="60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  <c r="BE292" s="44"/>
      <c r="BF292" s="44"/>
      <c r="BG292" s="44"/>
      <c r="BH292" s="44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5"/>
      <c r="BX292" s="45"/>
      <c r="BY292" s="44"/>
      <c r="BZ292" s="44"/>
      <c r="CA292" s="45"/>
      <c r="CB292" s="45"/>
      <c r="CC292" s="44"/>
      <c r="CD292" s="44"/>
      <c r="CE292" s="45"/>
      <c r="CF292" s="45"/>
      <c r="CG292" s="44"/>
      <c r="CH292" s="44"/>
      <c r="CI292" s="44"/>
      <c r="CJ292" s="45"/>
      <c r="CK292" s="45"/>
      <c r="CL292" s="46"/>
      <c r="CM292" s="44"/>
      <c r="CN292" s="211"/>
      <c r="CO292" s="211"/>
      <c r="CP292" s="211"/>
      <c r="CQ292" s="211"/>
      <c r="CR292" s="211"/>
      <c r="CS292" s="211"/>
      <c r="CT292" s="211"/>
      <c r="CU292" s="211"/>
      <c r="CV292" s="211"/>
      <c r="CW292" s="211"/>
      <c r="CX292" s="211"/>
      <c r="CY292" s="211"/>
      <c r="CZ292" s="211"/>
      <c r="DA292" s="211"/>
      <c r="DB292" s="211"/>
      <c r="DC292" s="211"/>
      <c r="DD292" s="211"/>
      <c r="DE292" s="211"/>
      <c r="DF292" s="211"/>
    </row>
    <row r="293" spans="1:110" x14ac:dyDescent="0.3">
      <c r="B293" s="226"/>
      <c r="C293" s="211"/>
      <c r="D293" s="211"/>
      <c r="E293" s="240"/>
      <c r="G293" s="240"/>
      <c r="H293" s="240"/>
      <c r="I293" s="240"/>
      <c r="J293" s="240"/>
      <c r="K293" s="240"/>
      <c r="L293" s="240"/>
      <c r="M293" s="233"/>
      <c r="N293" s="234"/>
      <c r="P293" s="211"/>
      <c r="Q293" s="211"/>
      <c r="R293" s="211"/>
    </row>
  </sheetData>
  <sheetProtection algorithmName="SHA-512" hashValue="Lfucj/s6dEJjOD65xQmovPpuI3F9M/VHaLa6KLMA7Edm91/hIRpq5a/r4myyGVstcFUqurFODqdcWUGPd6Cs9w==" saltValue="WzbiEqyGhgLK5XANqz0ZRw==" spinCount="100000" sheet="1" objects="1" scenarios="1"/>
  <protectedRanges>
    <protectedRange sqref="B73 B87:B139 B164 B42:B54 B143:B153" name="Auswahlfelder"/>
  </protectedRanges>
  <mergeCells count="37">
    <mergeCell ref="BU227:BX227"/>
    <mergeCell ref="BY227:CB227"/>
    <mergeCell ref="CC227:CF227"/>
    <mergeCell ref="CG227:CK227"/>
    <mergeCell ref="CL227:CM227"/>
    <mergeCell ref="M7:P7"/>
    <mergeCell ref="C5:D5"/>
    <mergeCell ref="C6:D6"/>
    <mergeCell ref="C7:D7"/>
    <mergeCell ref="M6:P6"/>
    <mergeCell ref="M5:P5"/>
    <mergeCell ref="CL199:CM199"/>
    <mergeCell ref="BU199:BX199"/>
    <mergeCell ref="CC199:CF199"/>
    <mergeCell ref="BY199:CB199"/>
    <mergeCell ref="CG199:CK199"/>
    <mergeCell ref="E11:E12"/>
    <mergeCell ref="E5:L5"/>
    <mergeCell ref="E6:L6"/>
    <mergeCell ref="E7:L7"/>
    <mergeCell ref="E8:L8"/>
    <mergeCell ref="E9:L9"/>
    <mergeCell ref="BM227:BT227"/>
    <mergeCell ref="AW199:BD199"/>
    <mergeCell ref="AW227:BD227"/>
    <mergeCell ref="B190:B192"/>
    <mergeCell ref="B194:B195"/>
    <mergeCell ref="B196:B197"/>
    <mergeCell ref="AM199:AP199"/>
    <mergeCell ref="AQ199:AT199"/>
    <mergeCell ref="AB199:AC199"/>
    <mergeCell ref="E190:L190"/>
    <mergeCell ref="BM199:BT199"/>
    <mergeCell ref="BE199:BL199"/>
    <mergeCell ref="BE227:BL227"/>
    <mergeCell ref="AI199:AJ199"/>
    <mergeCell ref="AK199:AL199"/>
  </mergeCells>
  <phoneticPr fontId="5" type="noConversion"/>
  <conditionalFormatting sqref="E196:L196">
    <cfRule type="colorScale" priority="9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203:AE224">
    <cfRule type="colorScale" priority="9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2 E188:K188 E187:J187 L187 E186:I186 K186:L186 E185:H185 J185:L185 E184:G184 I184:L184 E183:F183 H183:L183 G182:L182">
    <cfRule type="cellIs" dxfId="53" priority="230" operator="greaterThan">
      <formula>0</formula>
    </cfRule>
  </conditionalFormatting>
  <conditionalFormatting sqref="H17:H37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7:I37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7:J37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1:L181">
    <cfRule type="top10" dxfId="52" priority="186" bottom="1" rank="1"/>
    <cfRule type="colorScale" priority="1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191:L191">
    <cfRule type="colorScale" priority="567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51" priority="910" operator="lessThan">
      <formula>0</formula>
    </cfRule>
  </conditionalFormatting>
  <conditionalFormatting sqref="E192:L192">
    <cfRule type="colorScale" priority="923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50" priority="925" operator="lessThan">
      <formula>0</formula>
    </cfRule>
  </conditionalFormatting>
  <conditionalFormatting sqref="E197:L197">
    <cfRule type="colorScale" priority="947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49" priority="948" operator="lessThan">
      <formula>0</formula>
    </cfRule>
  </conditionalFormatting>
  <conditionalFormatting sqref="E42:L177">
    <cfRule type="expression" dxfId="48" priority="76">
      <formula>OR(AND($B42="x",E42="µ"),AND($B42="x",E42="enthalten"))</formula>
    </cfRule>
    <cfRule type="expression" dxfId="47" priority="77">
      <formula>OR(AND($B42="x",E42="Zusatzprodukt"),AND($B42="x",E42="Kauf nach CF"))</formula>
    </cfRule>
    <cfRule type="expression" dxfId="46" priority="185">
      <formula>AND($B42="x",E42="enthalten")</formula>
    </cfRule>
  </conditionalFormatting>
  <dataValidations count="1">
    <dataValidation type="list" allowBlank="1" showInputMessage="1" showErrorMessage="1" sqref="B73 B42:B54 B87:B139 B164 B143:B153" xr:uid="{D30EEA0A-86A0-48D5-A10D-3ABC9F2C4A3A}">
      <formula1>$B$258:$B$259</formula1>
    </dataValidation>
  </dataValidations>
  <hyperlinks>
    <hyperlink ref="M7" r:id="rId1" xr:uid="{F6FD11AA-304E-4AFD-B624-56EDA608C84C}"/>
    <hyperlink ref="E7" r:id="rId2" xr:uid="{258F6FF8-9B4F-4F08-9226-7DB580773B75}"/>
    <hyperlink ref="M7:P7" r:id="rId3" display="https://hinterdemauge.blogspot.com" xr:uid="{A6529F6F-A76C-406F-95FB-95A6C338D1A1}"/>
  </hyperlinks>
  <pageMargins left="0.15748031496062992" right="7.874015748031496E-2" top="0.55000000000000004" bottom="0.13" header="0.31496062992125984" footer="0.09"/>
  <pageSetup paperSize="9" scale="50" fitToHeight="0" orientation="landscape" r:id="rId4"/>
  <rowBreaks count="4" manualBreakCount="4">
    <brk id="100" max="15" man="1"/>
    <brk id="141" max="15" man="1"/>
    <brk id="189" max="15" man="1"/>
    <brk id="224" max="15" man="1"/>
  </rowBreaks>
  <drawing r:id="rId5"/>
  <legacyDrawing r:id="rId6"/>
  <tableParts count="1">
    <tablePart r:id="rId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66489-48CB-4CB3-A14C-D94BAC65D341}">
  <dimension ref="B1:BG52"/>
  <sheetViews>
    <sheetView showGridLines="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K28" sqref="AK28"/>
    </sheetView>
  </sheetViews>
  <sheetFormatPr baseColWidth="10" defaultRowHeight="15" x14ac:dyDescent="0.25"/>
  <cols>
    <col min="3" max="3" width="14.7109375" style="3" customWidth="1"/>
    <col min="4" max="4" width="19.5703125" style="3" customWidth="1"/>
    <col min="5" max="5" width="13.140625" style="4" customWidth="1"/>
    <col min="6" max="6" width="18" style="4" customWidth="1"/>
    <col min="7" max="7" width="15.140625" style="4" customWidth="1"/>
    <col min="8" max="12" width="20" style="4" customWidth="1"/>
    <col min="13" max="16" width="11" style="4" customWidth="1"/>
    <col min="17" max="32" width="11.42578125" style="21"/>
    <col min="42" max="42" width="11.42578125" style="5"/>
    <col min="43" max="43" width="11.42578125" style="6"/>
    <col min="44" max="44" width="11.42578125" style="5"/>
    <col min="45" max="45" width="11.42578125" style="6"/>
    <col min="46" max="46" width="11.42578125" style="19"/>
    <col min="47" max="47" width="11.42578125" style="22"/>
    <col min="48" max="48" width="11.42578125" style="5"/>
    <col min="49" max="49" width="11.42578125" style="6"/>
    <col min="50" max="50" width="11.42578125" style="5"/>
    <col min="51" max="51" width="11.42578125" style="6"/>
    <col min="52" max="52" width="11.42578125" style="5"/>
    <col min="53" max="53" width="11.42578125" style="6"/>
    <col min="54" max="54" width="11.42578125" style="5"/>
    <col min="55" max="55" width="11.42578125" style="6"/>
    <col min="56" max="56" width="5.28515625" bestFit="1" customWidth="1"/>
    <col min="57" max="58" width="4.5703125" bestFit="1" customWidth="1"/>
  </cols>
  <sheetData>
    <row r="1" spans="2:58" x14ac:dyDescent="0.25">
      <c r="C1" s="3" t="s">
        <v>57</v>
      </c>
      <c r="D1" s="3" t="s">
        <v>57</v>
      </c>
      <c r="E1" s="4" t="s">
        <v>58</v>
      </c>
      <c r="F1" s="4" t="s">
        <v>58</v>
      </c>
      <c r="G1" s="4" t="s">
        <v>58</v>
      </c>
      <c r="H1" s="4" t="s">
        <v>58</v>
      </c>
      <c r="I1" s="4" t="s">
        <v>58</v>
      </c>
      <c r="J1" s="4" t="s">
        <v>58</v>
      </c>
      <c r="K1" s="4" t="s">
        <v>58</v>
      </c>
      <c r="L1" s="4" t="s">
        <v>58</v>
      </c>
      <c r="M1" s="4" t="s">
        <v>58</v>
      </c>
      <c r="N1" s="4" t="s">
        <v>58</v>
      </c>
      <c r="O1" s="4" t="s">
        <v>58</v>
      </c>
      <c r="P1" s="4" t="s">
        <v>58</v>
      </c>
      <c r="Q1" s="3" t="s">
        <v>57</v>
      </c>
      <c r="R1" s="3" t="s">
        <v>57</v>
      </c>
      <c r="S1" s="3" t="s">
        <v>57</v>
      </c>
      <c r="T1" s="3" t="s">
        <v>57</v>
      </c>
      <c r="U1" s="3" t="s">
        <v>57</v>
      </c>
      <c r="V1" s="3" t="s">
        <v>57</v>
      </c>
      <c r="W1" s="3"/>
      <c r="X1" s="3"/>
      <c r="Y1" s="3" t="s">
        <v>57</v>
      </c>
      <c r="Z1" s="3" t="s">
        <v>57</v>
      </c>
      <c r="AA1" s="3"/>
      <c r="AB1" s="3"/>
      <c r="AC1" s="3"/>
      <c r="AD1" s="3"/>
      <c r="AE1" s="3"/>
      <c r="AF1" s="3"/>
    </row>
    <row r="2" spans="2:58" x14ac:dyDescent="0.25">
      <c r="B2" t="s">
        <v>36</v>
      </c>
      <c r="C2" s="3" t="s">
        <v>116</v>
      </c>
      <c r="D2" s="3" t="s">
        <v>117</v>
      </c>
      <c r="E2" s="4" t="s">
        <v>60</v>
      </c>
      <c r="F2" s="4" t="s">
        <v>61</v>
      </c>
      <c r="G2" s="4" t="s">
        <v>62</v>
      </c>
      <c r="H2" s="4" t="s">
        <v>63</v>
      </c>
      <c r="I2" s="4" t="s">
        <v>64</v>
      </c>
      <c r="J2" s="4" t="s">
        <v>65</v>
      </c>
      <c r="K2" s="4" t="s">
        <v>86</v>
      </c>
      <c r="L2" s="4" t="s">
        <v>87</v>
      </c>
      <c r="M2" s="3" t="s">
        <v>120</v>
      </c>
      <c r="N2" s="3" t="s">
        <v>121</v>
      </c>
      <c r="O2" s="3" t="s">
        <v>203</v>
      </c>
      <c r="P2" s="3" t="s">
        <v>204</v>
      </c>
      <c r="Q2" s="3" t="s">
        <v>66</v>
      </c>
      <c r="R2" s="3" t="s">
        <v>67</v>
      </c>
      <c r="S2" s="3" t="s">
        <v>68</v>
      </c>
      <c r="T2" s="3" t="s">
        <v>69</v>
      </c>
      <c r="U2" s="3" t="s">
        <v>70</v>
      </c>
      <c r="V2" s="3" t="s">
        <v>71</v>
      </c>
      <c r="W2" s="3" t="s">
        <v>84</v>
      </c>
      <c r="X2" s="3" t="s">
        <v>85</v>
      </c>
      <c r="Y2" s="3" t="s">
        <v>118</v>
      </c>
      <c r="Z2" s="3" t="s">
        <v>119</v>
      </c>
      <c r="AA2" s="3" t="s">
        <v>156</v>
      </c>
      <c r="AB2" s="3" t="s">
        <v>157</v>
      </c>
      <c r="AC2" s="3" t="s">
        <v>201</v>
      </c>
      <c r="AD2" s="3" t="s">
        <v>202</v>
      </c>
      <c r="AE2" s="3" t="s">
        <v>357</v>
      </c>
      <c r="AF2" s="3" t="s">
        <v>363</v>
      </c>
      <c r="AG2" s="7" t="s">
        <v>72</v>
      </c>
      <c r="AH2" s="7" t="s">
        <v>73</v>
      </c>
      <c r="AI2" s="7" t="s">
        <v>74</v>
      </c>
      <c r="AJ2" s="7" t="s">
        <v>75</v>
      </c>
      <c r="AK2" s="7" t="s">
        <v>76</v>
      </c>
      <c r="AL2" s="7" t="s">
        <v>77</v>
      </c>
      <c r="AM2" s="7" t="s">
        <v>78</v>
      </c>
      <c r="AN2" s="7" t="s">
        <v>79</v>
      </c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2:58" x14ac:dyDescent="0.25">
      <c r="B3">
        <v>0</v>
      </c>
      <c r="C3" s="3">
        <v>0</v>
      </c>
      <c r="D3" s="3">
        <v>0</v>
      </c>
      <c r="E3" s="4">
        <v>0</v>
      </c>
      <c r="F3" s="4">
        <v>0</v>
      </c>
      <c r="G3" s="4">
        <v>0</v>
      </c>
      <c r="H3" s="4">
        <v>0</v>
      </c>
      <c r="I3" s="4">
        <v>0</v>
      </c>
      <c r="J3" s="4">
        <v>0</v>
      </c>
      <c r="K3" s="4">
        <v>0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3">
        <v>0</v>
      </c>
      <c r="R3" s="3">
        <v>0</v>
      </c>
      <c r="S3" s="3">
        <v>0</v>
      </c>
      <c r="T3" s="3">
        <v>0</v>
      </c>
      <c r="U3" s="3">
        <v>0</v>
      </c>
      <c r="V3" s="3">
        <v>0</v>
      </c>
      <c r="W3" s="3">
        <v>0</v>
      </c>
      <c r="X3" s="3">
        <v>0</v>
      </c>
      <c r="Y3" s="3">
        <v>0</v>
      </c>
      <c r="Z3" s="3">
        <v>0</v>
      </c>
      <c r="AA3" s="3">
        <v>0</v>
      </c>
      <c r="AB3" s="3">
        <v>0</v>
      </c>
      <c r="AC3" s="439">
        <v>0</v>
      </c>
      <c r="AD3" s="439">
        <v>0</v>
      </c>
      <c r="AE3" s="439">
        <v>0</v>
      </c>
      <c r="AF3" s="439">
        <v>0</v>
      </c>
      <c r="AG3" s="9">
        <f>Tabelle3[[#This Row],[Nedime (€)]]/C$24</f>
        <v>0</v>
      </c>
      <c r="AH3" s="9">
        <f>Tabelle3[[#This Row],[Nedime (Backer)]]/D$24</f>
        <v>0</v>
      </c>
      <c r="AI3" s="9">
        <f>Tabelle3[[#This Row],[Thorwal (€)]]/Q$24</f>
        <v>0</v>
      </c>
      <c r="AJ3" s="9">
        <f>Tabelle3[[#This Row],[Thorwal (Backer)]]/R$24</f>
        <v>0</v>
      </c>
      <c r="AK3" s="9">
        <f>Tabelle3[[#This Row],[Werkzeuge (€)]]/S$24</f>
        <v>0</v>
      </c>
      <c r="AL3" s="9">
        <f>Tabelle3[[#This Row],[Werkzeuge (Backer)]]/T$24</f>
        <v>0</v>
      </c>
      <c r="AM3" s="9">
        <f>Tabelle3[[#This Row],[Mythos (€)]]/U$24</f>
        <v>0</v>
      </c>
      <c r="AN3" s="9">
        <f>Tabelle3[[#This Row],[Mythos (Backer)]]/V$24</f>
        <v>0</v>
      </c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2:58" x14ac:dyDescent="0.25">
      <c r="B4">
        <v>1</v>
      </c>
      <c r="C4" s="3">
        <v>14771</v>
      </c>
      <c r="D4" s="3">
        <v>73</v>
      </c>
      <c r="E4" s="4">
        <f>Tabelle3[[#This Row],[Thorwal (€)]]/Q24*E24</f>
        <v>15220.890095815445</v>
      </c>
      <c r="F4" s="4">
        <f>Tabelle3[[#This Row],[Thorwal (Backer)]]/R24*F24</f>
        <v>110.36895674300254</v>
      </c>
      <c r="G4" s="4">
        <f>Tabelle3[[#This Row],[Werkzeuge (€)]]/$S$24*$G$24</f>
        <v>15879.347283058034</v>
      </c>
      <c r="H4" s="4">
        <f>Tabelle3[[#This Row],[Werkzeuge (Backer)]]/$T$24*$H$24</f>
        <v>82.160052910052912</v>
      </c>
      <c r="I4" s="11">
        <f>Tabelle3[[#This Row],[Mythos (€)]]/$U$24*$I$24</f>
        <v>8008.0810450070085</v>
      </c>
      <c r="J4" s="11">
        <f>Tabelle3[[#This Row],[Mythos (Backer)]]/$V$24*$J$24</f>
        <v>48.804500703234879</v>
      </c>
      <c r="K4" s="4">
        <f>Tabelle3[[#This Row],[DSK (€)]]/$W$24*$I$24</f>
        <v>18321.783592211064</v>
      </c>
      <c r="L4" s="4">
        <f>Tabelle3[[#This Row],[DSK (Backer)]]/$X$24*$L$24</f>
        <v>103.14786585365853</v>
      </c>
      <c r="M4" s="4">
        <f>Tabelle3[[#This Row],[Mythen (€)]]/$Y$24*$M$24</f>
        <v>13585.517272030311</v>
      </c>
      <c r="N4" s="4">
        <f>Tabelle3[[#This Row],[Mythen (Backer)]]/$Z$24*$N$24</f>
        <v>80.453629032258064</v>
      </c>
      <c r="O4" s="4">
        <f>Tabelle3[[#This Row],[SOK (€)]]/$AA$24*$M$24</f>
        <v>23389.670781979032</v>
      </c>
      <c r="P4" s="4">
        <f>Tabelle3[[#This Row],[SOK (Backer)]]/$AB$24*$N$24</f>
        <v>130.33353365384616</v>
      </c>
      <c r="Q4" s="3">
        <v>65000</v>
      </c>
      <c r="R4" s="3">
        <v>500</v>
      </c>
      <c r="S4" s="3">
        <v>43437</v>
      </c>
      <c r="T4" s="3">
        <v>179</v>
      </c>
      <c r="U4" s="10">
        <f>U3+($U$6-$U$3)/3</f>
        <v>15333.333333333334</v>
      </c>
      <c r="V4" s="10">
        <f>V3+($V$6-$V$3)/3</f>
        <v>100</v>
      </c>
      <c r="W4" s="3">
        <v>36402</v>
      </c>
      <c r="X4" s="3">
        <v>195</v>
      </c>
      <c r="Y4" s="3">
        <v>19612</v>
      </c>
      <c r="Z4" s="3">
        <v>115</v>
      </c>
      <c r="AA4" s="3">
        <v>89735</v>
      </c>
      <c r="AB4" s="3">
        <v>625</v>
      </c>
      <c r="AC4" s="439">
        <f>'Gunst der Göttin'!BE203</f>
        <v>82966</v>
      </c>
      <c r="AD4" s="439">
        <f>'Gunst der Göttin'!BF203</f>
        <v>341</v>
      </c>
      <c r="AE4" s="439">
        <f>'Gunst der Göttin'!AB203</f>
        <v>76466</v>
      </c>
      <c r="AF4" s="439">
        <f>'Gunst der Göttin'!AC203</f>
        <v>317</v>
      </c>
      <c r="AG4" s="9">
        <f>Tabelle3[[#This Row],[Nedime (€)]]/C$24</f>
        <v>0.23692357045472773</v>
      </c>
      <c r="AH4" s="9">
        <f>Tabelle3[[#This Row],[Nedime (Backer)]]/D$24</f>
        <v>0.21037463976945245</v>
      </c>
      <c r="AI4" s="9">
        <f>Tabelle3[[#This Row],[Thorwal (€)]]/Q$24</f>
        <v>0.24413970800890922</v>
      </c>
      <c r="AJ4" s="9">
        <f>Tabelle3[[#This Row],[Thorwal (Backer)]]/R$24</f>
        <v>0.31806615776081426</v>
      </c>
      <c r="AK4" s="9">
        <f>Tabelle3[[#This Row],[Werkzeuge (€)]]/S$24</f>
        <v>0.25470121554347636</v>
      </c>
      <c r="AL4" s="9">
        <f>Tabelle3[[#This Row],[Werkzeuge (Backer)]]/T$24</f>
        <v>0.23677248677248677</v>
      </c>
      <c r="AM4" s="9"/>
      <c r="AN4" s="9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2:58" x14ac:dyDescent="0.25">
      <c r="B5">
        <v>2</v>
      </c>
      <c r="C5" s="3">
        <v>16764</v>
      </c>
      <c r="D5" s="3">
        <v>82</v>
      </c>
      <c r="E5" s="11">
        <f t="shared" ref="E5:E13" si="0">E4+($E$14-$E$4)/10</f>
        <v>16625.895335429177</v>
      </c>
      <c r="F5" s="11">
        <f>F4+($F$14-$F$4)/10</f>
        <v>119.19847328244275</v>
      </c>
      <c r="G5" s="4">
        <f>Tabelle3[[#This Row],[Werkzeuge (€)]]/$S$24*$G$24</f>
        <v>18103.852387402443</v>
      </c>
      <c r="H5" s="4">
        <f>Tabelle3[[#This Row],[Werkzeuge (Backer)]]/$T$24*$H$24</f>
        <v>94.55291005291005</v>
      </c>
      <c r="I5" s="11">
        <f>Tabelle3[[#This Row],[Mythos (€)]]/$U$24*$I$24</f>
        <v>16016.162090014017</v>
      </c>
      <c r="J5" s="11">
        <f>Tabelle3[[#This Row],[Mythos (Backer)]]/$V$24*$J$24</f>
        <v>97.609001406469758</v>
      </c>
      <c r="K5" s="4">
        <f>Tabelle3[[#This Row],[DSK (€)]]/$W$24*$I$24</f>
        <v>21471.044620079439</v>
      </c>
      <c r="L5" s="4">
        <f>Tabelle3[[#This Row],[DSK (Backer)]]/$X$24*$L$24</f>
        <v>123.24847560975608</v>
      </c>
      <c r="M5" s="4">
        <f>Tabelle3[[#This Row],[Mythen (€)]]/$Y$24*$M$24</f>
        <v>16993.672736969591</v>
      </c>
      <c r="N5" s="4">
        <f>Tabelle3[[#This Row],[Mythen (Backer)]]/$Z$24*$N$24</f>
        <v>101.44153225806453</v>
      </c>
      <c r="O5" s="4">
        <f>Tabelle3[[#This Row],[SOK (€)]]/$AA$24*$M$24</f>
        <v>29715.190707727812</v>
      </c>
      <c r="P5" s="4">
        <f>Tabelle3[[#This Row],[SOK (Backer)]]/$AB$24*$N$24</f>
        <v>164.53305288461539</v>
      </c>
      <c r="Q5" s="10">
        <f>Q4+($Q$14-$Q$4)/10</f>
        <v>71000</v>
      </c>
      <c r="R5" s="10">
        <f>R4+($R$14-$R$4)/10</f>
        <v>540</v>
      </c>
      <c r="S5" s="3">
        <v>49522</v>
      </c>
      <c r="T5" s="3">
        <v>206</v>
      </c>
      <c r="U5" s="10">
        <f>U4+($U$6-$U$3)/3</f>
        <v>30666.666666666668</v>
      </c>
      <c r="V5" s="10">
        <f>V4+($V$6-$V$3)/3</f>
        <v>200</v>
      </c>
      <c r="W5" s="3">
        <v>42659</v>
      </c>
      <c r="X5" s="3">
        <v>233</v>
      </c>
      <c r="Y5" s="3">
        <v>24532</v>
      </c>
      <c r="Z5" s="3">
        <v>145</v>
      </c>
      <c r="AA5" s="3">
        <v>114003</v>
      </c>
      <c r="AB5" s="3">
        <v>789</v>
      </c>
      <c r="AC5" s="439">
        <f>'Gunst der Göttin'!BE204</f>
        <v>96328</v>
      </c>
      <c r="AD5" s="439">
        <f>'Gunst der Göttin'!BF204</f>
        <v>404</v>
      </c>
      <c r="AE5" s="439">
        <f>'Gunst der Göttin'!AB204</f>
        <v>100197</v>
      </c>
      <c r="AF5" s="439">
        <f>'Gunst der Göttin'!AC204</f>
        <v>417</v>
      </c>
      <c r="AG5" s="9">
        <f>Tabelle3[[#This Row],[Nedime (€)]]/C$24</f>
        <v>0.2688908493062796</v>
      </c>
      <c r="AH5" s="9">
        <f>Tabelle3[[#This Row],[Nedime (Backer)]]/D$24</f>
        <v>0.23631123919308358</v>
      </c>
      <c r="AI5" s="9"/>
      <c r="AJ5" s="9"/>
      <c r="AK5" s="9">
        <f>Tabelle3[[#This Row],[Werkzeuge (€)]]/S$24</f>
        <v>0.29038178502530182</v>
      </c>
      <c r="AL5" s="9">
        <f>Tabelle3[[#This Row],[Werkzeuge (Backer)]]/T$24</f>
        <v>0.2724867724867725</v>
      </c>
      <c r="AM5" s="9"/>
      <c r="AN5" s="9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2:58" ht="15.75" thickBot="1" x14ac:dyDescent="0.3">
      <c r="B6">
        <v>3</v>
      </c>
      <c r="C6" s="3">
        <v>17674</v>
      </c>
      <c r="D6" s="3">
        <v>90</v>
      </c>
      <c r="E6" s="11">
        <f t="shared" si="0"/>
        <v>18030.90057504291</v>
      </c>
      <c r="F6" s="11">
        <f t="shared" ref="F6:F13" si="1">F5+($F$14-$F$4)/10</f>
        <v>128.02798982188295</v>
      </c>
      <c r="G6" s="4">
        <f>Tabelle3[[#This Row],[Werkzeuge (€)]]/$S$24*$G$24</f>
        <v>19704.691804316852</v>
      </c>
      <c r="H6" s="4">
        <f>Tabelle3[[#This Row],[Werkzeuge (Backer)]]/$T$24*$H$24</f>
        <v>102.81481481481481</v>
      </c>
      <c r="I6" s="4">
        <f>Tabelle3[[#This Row],[Mythos (€)]]/$U$24*$I$24</f>
        <v>24024.243135021028</v>
      </c>
      <c r="J6" s="4">
        <f>Tabelle3[[#This Row],[Mythos (Backer)]]/$V$24*$J$24</f>
        <v>146.41350210970464</v>
      </c>
      <c r="K6" s="4">
        <f>Tabelle3[[#This Row],[DSK (€)]]/$W$24*$I$24</f>
        <v>22786.717998191623</v>
      </c>
      <c r="L6" s="4">
        <f>Tabelle3[[#This Row],[DSK (Backer)]]/$X$24*$L$24</f>
        <v>131.1829268292683</v>
      </c>
      <c r="M6" s="4">
        <f>Tabelle3[[#This Row],[Mythen (€)]]/$Y$24*$M$24</f>
        <v>19168.103632181865</v>
      </c>
      <c r="N6" s="4">
        <f>Tabelle3[[#This Row],[Mythen (Backer)]]/$Z$24*$N$24</f>
        <v>113.33467741935483</v>
      </c>
      <c r="O6" s="4">
        <f>Tabelle3[[#This Row],[SOK (€)]]/$AA$24*$M$24</f>
        <v>31934.909171864809</v>
      </c>
      <c r="P6" s="4">
        <f>Tabelle3[[#This Row],[SOK (Backer)]]/$AB$24*$N$24</f>
        <v>177.67067307692307</v>
      </c>
      <c r="Q6" s="10">
        <f t="shared" ref="Q6:Q13" si="2">Q5+($Q$14-$Q$4)/10</f>
        <v>77000</v>
      </c>
      <c r="R6" s="10">
        <f t="shared" ref="R6:R13" si="3">R5+($R$14-$R$4)/10</f>
        <v>580</v>
      </c>
      <c r="S6" s="3">
        <v>53901</v>
      </c>
      <c r="T6" s="3">
        <v>224</v>
      </c>
      <c r="U6" s="3">
        <v>46000</v>
      </c>
      <c r="V6" s="3">
        <v>300</v>
      </c>
      <c r="W6" s="3">
        <v>45273</v>
      </c>
      <c r="X6" s="3">
        <v>248</v>
      </c>
      <c r="Y6" s="3">
        <v>27671</v>
      </c>
      <c r="Z6" s="3">
        <v>162</v>
      </c>
      <c r="AA6" s="3">
        <v>122519</v>
      </c>
      <c r="AB6" s="3">
        <v>852</v>
      </c>
      <c r="AC6" s="439">
        <f>'Gunst der Göttin'!BE205</f>
        <v>115147</v>
      </c>
      <c r="AD6" s="439">
        <f>'Gunst der Göttin'!BF205</f>
        <v>480</v>
      </c>
      <c r="AE6" s="439">
        <f>'Gunst der Göttin'!AB205</f>
        <v>110488</v>
      </c>
      <c r="AF6" s="439">
        <f>'Gunst der Göttin'!AC205</f>
        <v>458</v>
      </c>
      <c r="AG6" s="9">
        <f>Tabelle3[[#This Row],[Nedime (€)]]/C$24</f>
        <v>0.2834870478787393</v>
      </c>
      <c r="AH6" s="9">
        <f>Tabelle3[[#This Row],[Nedime (Backer)]]/D$24</f>
        <v>0.25936599423631124</v>
      </c>
      <c r="AI6" s="9"/>
      <c r="AJ6" s="9"/>
      <c r="AK6" s="9">
        <f>Tabelle3[[#This Row],[Werkzeuge (€)]]/S$24</f>
        <v>0.31605889492849226</v>
      </c>
      <c r="AL6" s="9">
        <f>Tabelle3[[#This Row],[Werkzeuge (Backer)]]/T$24</f>
        <v>0.29629629629629628</v>
      </c>
      <c r="AM6" s="9">
        <f>Tabelle3[[#This Row],[Mythos (€)]]/U$24</f>
        <v>0.38534354214485567</v>
      </c>
      <c r="AN6" s="9">
        <f>Tabelle3[[#This Row],[Mythos (Backer)]]/V$24</f>
        <v>0.4219409282700422</v>
      </c>
      <c r="AQ6" s="8"/>
      <c r="AS6" s="8"/>
      <c r="AU6" s="20"/>
      <c r="AW6" s="8"/>
      <c r="AY6" s="8"/>
      <c r="BA6" s="8"/>
      <c r="BC6" s="8"/>
    </row>
    <row r="7" spans="2:58" x14ac:dyDescent="0.25">
      <c r="B7">
        <v>4</v>
      </c>
      <c r="C7" s="3">
        <v>18881</v>
      </c>
      <c r="D7" s="3">
        <v>95</v>
      </c>
      <c r="E7" s="11">
        <f t="shared" si="0"/>
        <v>19435.905814656642</v>
      </c>
      <c r="F7" s="11">
        <f t="shared" si="1"/>
        <v>136.85750636132315</v>
      </c>
      <c r="G7" s="4">
        <f>Tabelle3[[#This Row],[Werkzeuge (€)]]/$S$24*$G$24</f>
        <v>21920.78875461033</v>
      </c>
      <c r="H7" s="4">
        <f>Tabelle3[[#This Row],[Werkzeuge (Backer)]]/$T$24*$H$24</f>
        <v>113.37169312169313</v>
      </c>
      <c r="I7" s="11">
        <f>Tabelle3[[#This Row],[Mythos (€)]]/$U$24*$I$24</f>
        <v>26153.174071964302</v>
      </c>
      <c r="J7" s="11">
        <f>Tabelle3[[#This Row],[Mythos (Backer)]]/$V$24*$J$24</f>
        <v>157.55719643694326</v>
      </c>
      <c r="K7" s="4">
        <f>Tabelle3[[#This Row],[DSK (€)]]/$W$24*$I$24</f>
        <v>24137.623639680951</v>
      </c>
      <c r="L7" s="4">
        <f>Tabelle3[[#This Row],[DSK (Backer)]]/$X$24*$L$24</f>
        <v>139.64634146341464</v>
      </c>
      <c r="M7" s="4">
        <f>Tabelle3[[#This Row],[Mythen (€)]]/$Y$24*$M$24</f>
        <v>21005.875268052576</v>
      </c>
      <c r="N7" s="4">
        <f>Tabelle3[[#This Row],[Mythen (Backer)]]/$Z$24*$N$24</f>
        <v>124.52822580645162</v>
      </c>
      <c r="O7" s="4">
        <f>Tabelle3[[#This Row],[SOK (€)]]/$AA$24*$M$24</f>
        <v>33260.328193722096</v>
      </c>
      <c r="P7" s="4">
        <f>Tabelle3[[#This Row],[SOK (Backer)]]/$AB$24*$N$24</f>
        <v>185.80348557692307</v>
      </c>
      <c r="Q7" s="10">
        <f t="shared" si="2"/>
        <v>83000</v>
      </c>
      <c r="R7" s="10">
        <f t="shared" si="3"/>
        <v>620</v>
      </c>
      <c r="S7" s="3">
        <v>59963</v>
      </c>
      <c r="T7" s="3">
        <v>247</v>
      </c>
      <c r="U7" s="10">
        <f>U6+($U$24-$U$6)/18</f>
        <v>50076.333333333336</v>
      </c>
      <c r="V7" s="10">
        <f>V6+($V$24-$V$6)/18</f>
        <v>322.83333333333331</v>
      </c>
      <c r="W7" s="3">
        <v>47957</v>
      </c>
      <c r="X7" s="3">
        <v>264</v>
      </c>
      <c r="Y7" s="3">
        <v>30324</v>
      </c>
      <c r="Z7" s="3">
        <v>178</v>
      </c>
      <c r="AA7" s="3">
        <v>127604</v>
      </c>
      <c r="AB7" s="3">
        <v>891</v>
      </c>
      <c r="AC7" s="439">
        <f>'Gunst der Göttin'!BE206</f>
        <v>123834</v>
      </c>
      <c r="AD7" s="439">
        <f>'Gunst der Göttin'!BF206</f>
        <v>520</v>
      </c>
      <c r="AE7" s="439">
        <f>'Gunst der Göttin'!AB206</f>
        <v>117325</v>
      </c>
      <c r="AF7" s="439">
        <f>'Gunst der Göttin'!AC206</f>
        <v>486</v>
      </c>
      <c r="AG7" s="9">
        <f>Tabelle3[[#This Row],[Nedime (€)]]/C$24</f>
        <v>0.30284706071056222</v>
      </c>
      <c r="AH7" s="9">
        <f>Tabelle3[[#This Row],[Nedime (Backer)]]/D$24</f>
        <v>0.2737752161383285</v>
      </c>
      <c r="AI7" s="9"/>
      <c r="AJ7" s="9"/>
      <c r="AK7" s="9">
        <f>Tabelle3[[#This Row],[Werkzeuge (€)]]/S$24</f>
        <v>0.35160459948047684</v>
      </c>
      <c r="AL7" s="9">
        <f>Tabelle3[[#This Row],[Werkzeuge (Backer)]]/T$24</f>
        <v>0.32671957671957674</v>
      </c>
      <c r="AM7" s="9"/>
      <c r="AN7" s="9"/>
      <c r="AP7" s="25" t="s">
        <v>59</v>
      </c>
      <c r="AQ7" s="31" t="s">
        <v>59</v>
      </c>
      <c r="AR7" s="32" t="s">
        <v>59</v>
      </c>
      <c r="AS7" s="31" t="s">
        <v>59</v>
      </c>
      <c r="AT7" s="32" t="s">
        <v>59</v>
      </c>
      <c r="AU7" s="31" t="s">
        <v>59</v>
      </c>
      <c r="AV7" s="32" t="s">
        <v>59</v>
      </c>
      <c r="AW7" s="26" t="s">
        <v>59</v>
      </c>
      <c r="AX7" s="32" t="s">
        <v>59</v>
      </c>
      <c r="AY7" s="26" t="s">
        <v>59</v>
      </c>
      <c r="AZ7" s="32" t="s">
        <v>59</v>
      </c>
      <c r="BA7" s="26" t="s">
        <v>59</v>
      </c>
      <c r="BB7" s="32" t="s">
        <v>59</v>
      </c>
      <c r="BC7" s="26" t="s">
        <v>59</v>
      </c>
      <c r="BE7" t="s">
        <v>20</v>
      </c>
      <c r="BF7" t="s">
        <v>93</v>
      </c>
    </row>
    <row r="8" spans="2:58" x14ac:dyDescent="0.25">
      <c r="B8">
        <v>5</v>
      </c>
      <c r="C8" s="3">
        <v>21886</v>
      </c>
      <c r="D8" s="3">
        <v>111</v>
      </c>
      <c r="E8" s="11">
        <f t="shared" si="0"/>
        <v>20840.911054270375</v>
      </c>
      <c r="F8" s="11">
        <f t="shared" si="1"/>
        <v>145.68702290076334</v>
      </c>
      <c r="G8" s="4">
        <f>Tabelle3[[#This Row],[Werkzeuge (€)]]/$S$24*$G$24</f>
        <v>23073.071431503275</v>
      </c>
      <c r="H8" s="4">
        <f>Tabelle3[[#This Row],[Werkzeuge (Backer)]]/$T$24*$H$24</f>
        <v>121.17460317460316</v>
      </c>
      <c r="I8" s="11">
        <f>Tabelle3[[#This Row],[Mythos (€)]]/$U$24*$I$24</f>
        <v>28282.10500890758</v>
      </c>
      <c r="J8" s="11">
        <f>Tabelle3[[#This Row],[Mythos (Backer)]]/$V$24*$J$24</f>
        <v>168.70089076418188</v>
      </c>
      <c r="K8" s="4">
        <f>Tabelle3[[#This Row],[DSK (€)]]/$W$24*$I$24</f>
        <v>25549.934083056156</v>
      </c>
      <c r="L8" s="4">
        <f>Tabelle3[[#This Row],[DSK (Backer)]]/$X$24*$L$24</f>
        <v>148.10975609756096</v>
      </c>
      <c r="M8" s="4">
        <f>Tabelle3[[#This Row],[Mythen (€)]]/$Y$24*$M$24</f>
        <v>22597.040532882966</v>
      </c>
      <c r="N8" s="4">
        <f>Tabelle3[[#This Row],[Mythen (Backer)]]/$Z$24*$N$24</f>
        <v>133.62298387096774</v>
      </c>
      <c r="O8" s="4">
        <f>Tabelle3[[#This Row],[SOK (€)]]/$AA$24*$M$24</f>
        <v>34216.923633292638</v>
      </c>
      <c r="P8" s="4">
        <f>Tabelle3[[#This Row],[SOK (Backer)]]/$AB$24*$N$24</f>
        <v>191.43389423076923</v>
      </c>
      <c r="Q8" s="10">
        <f t="shared" si="2"/>
        <v>89000</v>
      </c>
      <c r="R8" s="10">
        <f t="shared" si="3"/>
        <v>660</v>
      </c>
      <c r="S8" s="3">
        <v>63115</v>
      </c>
      <c r="T8" s="3">
        <v>264</v>
      </c>
      <c r="U8" s="10">
        <f t="shared" ref="U8:U23" si="4">U7+($U$24-$U$6)/18</f>
        <v>54152.666666666672</v>
      </c>
      <c r="V8" s="10">
        <f t="shared" ref="V8:V23" si="5">V7+($V$24-$V$6)/18</f>
        <v>345.66666666666663</v>
      </c>
      <c r="W8" s="3">
        <v>50763</v>
      </c>
      <c r="X8" s="3">
        <v>280</v>
      </c>
      <c r="Y8" s="3">
        <v>32621</v>
      </c>
      <c r="Z8" s="3">
        <v>191</v>
      </c>
      <c r="AA8" s="3">
        <v>131274</v>
      </c>
      <c r="AB8" s="3">
        <v>918</v>
      </c>
      <c r="AC8" s="439">
        <f>'Gunst der Göttin'!BE207</f>
        <v>132002</v>
      </c>
      <c r="AD8" s="439">
        <f>'Gunst der Göttin'!BF207</f>
        <v>564</v>
      </c>
      <c r="AE8" s="439">
        <f>'Gunst der Göttin'!AB207</f>
        <v>120368</v>
      </c>
      <c r="AF8" s="439">
        <f>'Gunst der Göttin'!AC207</f>
        <v>497</v>
      </c>
      <c r="AG8" s="9">
        <f>Tabelle3[[#This Row],[Nedime (€)]]/C$24</f>
        <v>0.35104659555698131</v>
      </c>
      <c r="AH8" s="9">
        <f>Tabelle3[[#This Row],[Nedime (Backer)]]/D$24</f>
        <v>0.31988472622478387</v>
      </c>
      <c r="AI8" s="9"/>
      <c r="AJ8" s="9"/>
      <c r="AK8" s="9">
        <f>Tabelle3[[#This Row],[Werkzeuge (€)]]/S$24</f>
        <v>0.37008695856128437</v>
      </c>
      <c r="AL8" s="9">
        <f>Tabelle3[[#This Row],[Werkzeuge (Backer)]]/T$24</f>
        <v>0.34920634920634919</v>
      </c>
      <c r="AM8" s="9"/>
      <c r="AN8" s="9"/>
      <c r="AP8" s="27" t="s">
        <v>82</v>
      </c>
      <c r="AQ8" s="8" t="s">
        <v>83</v>
      </c>
      <c r="AR8" s="5" t="s">
        <v>80</v>
      </c>
      <c r="AS8" s="8" t="s">
        <v>81</v>
      </c>
      <c r="AT8" s="5" t="s">
        <v>124</v>
      </c>
      <c r="AU8" s="8" t="s">
        <v>125</v>
      </c>
      <c r="AV8" s="5" t="s">
        <v>88</v>
      </c>
      <c r="AW8" s="28" t="s">
        <v>89</v>
      </c>
      <c r="AX8" s="5" t="s">
        <v>154</v>
      </c>
      <c r="AY8" s="28" t="s">
        <v>155</v>
      </c>
      <c r="AZ8" s="5" t="s">
        <v>205</v>
      </c>
      <c r="BA8" s="28" t="s">
        <v>206</v>
      </c>
      <c r="BB8" s="5" t="s">
        <v>361</v>
      </c>
      <c r="BC8" s="28" t="s">
        <v>362</v>
      </c>
      <c r="BD8" s="16" t="s">
        <v>91</v>
      </c>
      <c r="BE8" s="23">
        <f>MIN(AP9,AR9,AT9,AV9,AX9,AZ9,BB9)</f>
        <v>2.6654928400289744</v>
      </c>
      <c r="BF8" s="23">
        <f>MIN(AQ9,AS9,AU9,AW9,AY9,BA9,BC9)</f>
        <v>2.6623999999999999</v>
      </c>
    </row>
    <row r="9" spans="2:58" x14ac:dyDescent="0.25">
      <c r="B9">
        <v>6</v>
      </c>
      <c r="C9" s="3">
        <v>22571</v>
      </c>
      <c r="D9" s="3">
        <v>114.99999999999999</v>
      </c>
      <c r="E9" s="11">
        <f t="shared" si="0"/>
        <v>22245.916293884107</v>
      </c>
      <c r="F9" s="11">
        <f t="shared" si="1"/>
        <v>154.51653944020353</v>
      </c>
      <c r="G9" s="4">
        <f>Tabelle3[[#This Row],[Werkzeuge (€)]]/$S$24*$G$24</f>
        <v>23816.279135222616</v>
      </c>
      <c r="H9" s="4">
        <f>Tabelle3[[#This Row],[Werkzeuge (Backer)]]/$T$24*$H$24</f>
        <v>125.76455026455027</v>
      </c>
      <c r="I9" s="11">
        <f>Tabelle3[[#This Row],[Mythos (€)]]/$U$24*$I$24</f>
        <v>30411.035945850857</v>
      </c>
      <c r="J9" s="11">
        <f>Tabelle3[[#This Row],[Mythos (Backer)]]/$V$24*$J$24</f>
        <v>179.84458509142053</v>
      </c>
      <c r="K9" s="4">
        <f>Tabelle3[[#This Row],[DSK (€)]]/$W$24*$I$24</f>
        <v>27093.107218975038</v>
      </c>
      <c r="L9" s="4">
        <f>Tabelle3[[#This Row],[DSK (Backer)]]/$X$24*$L$24</f>
        <v>155.51524390243904</v>
      </c>
      <c r="M9" s="4">
        <f>Tabelle3[[#This Row],[Mythen (€)]]/$Y$24*$M$24</f>
        <v>25963.633126298595</v>
      </c>
      <c r="N9" s="4">
        <f>Tabelle3[[#This Row],[Mythen (Backer)]]/$Z$24*$N$24</f>
        <v>153.91129032258064</v>
      </c>
      <c r="O9" s="4">
        <f>Tabelle3[[#This Row],[SOK (€)]]/$AA$24*$M$24</f>
        <v>35342.682680569254</v>
      </c>
      <c r="P9" s="4">
        <f>Tabelle3[[#This Row],[SOK (Backer)]]/$AB$24*$N$24</f>
        <v>198.73257211538461</v>
      </c>
      <c r="Q9" s="10">
        <f t="shared" si="2"/>
        <v>95000</v>
      </c>
      <c r="R9" s="10">
        <f t="shared" si="3"/>
        <v>700</v>
      </c>
      <c r="S9" s="3">
        <v>65148</v>
      </c>
      <c r="T9" s="3">
        <v>274</v>
      </c>
      <c r="U9" s="10">
        <f t="shared" si="4"/>
        <v>58229.000000000007</v>
      </c>
      <c r="V9" s="10">
        <f t="shared" si="5"/>
        <v>368.49999999999994</v>
      </c>
      <c r="W9" s="3">
        <v>53829</v>
      </c>
      <c r="X9" s="3">
        <v>294</v>
      </c>
      <c r="Y9" s="3">
        <v>37481</v>
      </c>
      <c r="Z9" s="3">
        <v>220</v>
      </c>
      <c r="AA9" s="3">
        <v>135593</v>
      </c>
      <c r="AB9" s="3">
        <v>953</v>
      </c>
      <c r="AC9" s="439">
        <f>'Gunst der Göttin'!BE208</f>
        <v>150957</v>
      </c>
      <c r="AD9" s="439">
        <f>'Gunst der Göttin'!BF208</f>
        <v>652</v>
      </c>
      <c r="AE9" s="439">
        <f>'Gunst der Göttin'!AB208</f>
        <v>123198</v>
      </c>
      <c r="AF9" s="439">
        <f>'Gunst der Göttin'!AC208</f>
        <v>508</v>
      </c>
      <c r="AG9" s="9">
        <f>Tabelle3[[#This Row],[Nedime (€)]]/C$24</f>
        <v>0.36203384393295374</v>
      </c>
      <c r="AH9" s="9">
        <f>Tabelle3[[#This Row],[Nedime (Backer)]]/D$24</f>
        <v>0.33141210374639768</v>
      </c>
      <c r="AI9" s="9"/>
      <c r="AJ9" s="9"/>
      <c r="AK9" s="9">
        <f>Tabelle3[[#This Row],[Werkzeuge (€)]]/S$24</f>
        <v>0.38200784562070117</v>
      </c>
      <c r="AL9" s="9">
        <f>Tabelle3[[#This Row],[Werkzeuge (Backer)]]/T$24</f>
        <v>0.36243386243386244</v>
      </c>
      <c r="AM9" s="9"/>
      <c r="AN9" s="9"/>
      <c r="AP9" s="27">
        <f>C24/C4</f>
        <v>4.2207704285424139</v>
      </c>
      <c r="AQ9" s="8">
        <f>D24/D4</f>
        <v>4.7534246575342465</v>
      </c>
      <c r="AR9" s="5">
        <f>Q24/Q4</f>
        <v>4.0960153846153844</v>
      </c>
      <c r="AS9" s="8">
        <f>R24/R4</f>
        <v>3.1440000000000001</v>
      </c>
      <c r="AT9" s="5">
        <f>S24/S4</f>
        <v>3.9261689343186683</v>
      </c>
      <c r="AU9" s="8">
        <f>T24/T4</f>
        <v>4.2234636871508382</v>
      </c>
      <c r="AV9" s="19">
        <f t="shared" ref="AV9:BC9" si="6">W24/W4</f>
        <v>3.4027800670292843</v>
      </c>
      <c r="AW9" s="48">
        <f t="shared" si="6"/>
        <v>3.3641025641025641</v>
      </c>
      <c r="AX9" s="19">
        <f t="shared" si="6"/>
        <v>4.589078115439527</v>
      </c>
      <c r="AY9" s="48">
        <f t="shared" si="6"/>
        <v>4.3130434782608695</v>
      </c>
      <c r="AZ9" s="19">
        <f t="shared" si="6"/>
        <v>2.6654928400289744</v>
      </c>
      <c r="BA9" s="48">
        <f t="shared" si="6"/>
        <v>2.6623999999999999</v>
      </c>
      <c r="BB9" s="19">
        <f t="shared" si="6"/>
        <v>4.6915121857146298</v>
      </c>
      <c r="BC9" s="48">
        <f t="shared" si="6"/>
        <v>4.8563049853372435</v>
      </c>
      <c r="BD9" t="s">
        <v>92</v>
      </c>
      <c r="BE9" s="24">
        <f>MAX(AP9,AR9,AT9,AV9,AX9,AZ9,BB9)</f>
        <v>4.6915121857146298</v>
      </c>
      <c r="BF9" s="24">
        <f>MAX(,AQ9,AS9,AU9,AW9,AY9,BA9,BC9)</f>
        <v>4.8563049853372435</v>
      </c>
    </row>
    <row r="10" spans="2:58" ht="15.75" thickBot="1" x14ac:dyDescent="0.3">
      <c r="B10">
        <v>7</v>
      </c>
      <c r="C10" s="3">
        <v>24180</v>
      </c>
      <c r="D10" s="3">
        <v>124</v>
      </c>
      <c r="E10" s="11">
        <f t="shared" si="0"/>
        <v>23650.92153349784</v>
      </c>
      <c r="F10" s="11">
        <f t="shared" si="1"/>
        <v>163.34605597964372</v>
      </c>
      <c r="G10" s="4">
        <f>Tabelle3[[#This Row],[Werkzeuge (€)]]/$S$24*$G$24</f>
        <v>25452.213456001784</v>
      </c>
      <c r="H10" s="4">
        <f>Tabelle3[[#This Row],[Werkzeuge (Backer)]]/$T$24*$H$24</f>
        <v>135.40343915343917</v>
      </c>
      <c r="I10" s="11">
        <f>Tabelle3[[#This Row],[Mythos (€)]]/$U$24*$I$24</f>
        <v>32539.966882794135</v>
      </c>
      <c r="J10" s="11">
        <f>Tabelle3[[#This Row],[Mythos (Backer)]]/$V$24*$J$24</f>
        <v>190.98827941865915</v>
      </c>
      <c r="K10" s="4">
        <f>Tabelle3[[#This Row],[DSK (€)]]/$W$24*$I$24</f>
        <v>28176.247658798078</v>
      </c>
      <c r="L10" s="4">
        <f>Tabelle3[[#This Row],[DSK (Backer)]]/$X$24*$L$24</f>
        <v>162.92073170731706</v>
      </c>
      <c r="M10" s="4">
        <f>Tabelle3[[#This Row],[Mythen (€)]]/$Y$24*$M$24</f>
        <v>27863.056354929391</v>
      </c>
      <c r="N10" s="4">
        <f>Tabelle3[[#This Row],[Mythen (Backer)]]/$Z$24*$N$24</f>
        <v>165.10483870967744</v>
      </c>
      <c r="O10" s="4">
        <f>Tabelle3[[#This Row],[SOK (€)]]/$AA$24*$M$24</f>
        <v>38393.361978861816</v>
      </c>
      <c r="P10" s="4">
        <f>Tabelle3[[#This Row],[SOK (Backer)]]/$AB$24*$N$24</f>
        <v>217.70913461538461</v>
      </c>
      <c r="Q10" s="10">
        <f t="shared" si="2"/>
        <v>101000</v>
      </c>
      <c r="R10" s="10">
        <f t="shared" si="3"/>
        <v>740</v>
      </c>
      <c r="S10" s="3">
        <v>69623</v>
      </c>
      <c r="T10" s="3">
        <v>295</v>
      </c>
      <c r="U10" s="10">
        <f t="shared" si="4"/>
        <v>62305.333333333343</v>
      </c>
      <c r="V10" s="10">
        <f t="shared" si="5"/>
        <v>391.33333333333326</v>
      </c>
      <c r="W10" s="3">
        <v>55981</v>
      </c>
      <c r="X10" s="3">
        <v>308</v>
      </c>
      <c r="Y10" s="3">
        <v>40223</v>
      </c>
      <c r="Z10" s="3">
        <v>236</v>
      </c>
      <c r="AA10" s="3">
        <v>147297</v>
      </c>
      <c r="AB10" s="3">
        <v>1044</v>
      </c>
      <c r="AC10" s="439">
        <f>'Gunst der Göttin'!BE209</f>
        <v>164491</v>
      </c>
      <c r="AD10" s="439">
        <f>'Gunst der Göttin'!BF209</f>
        <v>709</v>
      </c>
      <c r="AE10" s="439">
        <f>'Gunst der Göttin'!AB209</f>
        <v>126713</v>
      </c>
      <c r="AF10" s="439">
        <f>'Gunst der Göttin'!AC209</f>
        <v>523</v>
      </c>
      <c r="AG10" s="9">
        <f>Tabelle3[[#This Row],[Nedime (€)]]/C$24</f>
        <v>0.38784184778250058</v>
      </c>
      <c r="AH10" s="9">
        <f>Tabelle3[[#This Row],[Nedime (Backer)]]/D$24</f>
        <v>0.35734870317002881</v>
      </c>
      <c r="AI10" s="9"/>
      <c r="AJ10" s="9"/>
      <c r="AK10" s="9">
        <f>Tabelle3[[#This Row],[Werkzeuge (€)]]/S$24</f>
        <v>0.40824787001366242</v>
      </c>
      <c r="AL10" s="9">
        <f>Tabelle3[[#This Row],[Werkzeuge (Backer)]]/T$24</f>
        <v>0.39021164021164023</v>
      </c>
      <c r="AM10" s="9"/>
      <c r="AN10" s="9"/>
      <c r="AP10" s="29"/>
      <c r="AQ10" s="33">
        <f>AP9-AQ9</f>
        <v>-0.53265422899183257</v>
      </c>
      <c r="AR10" s="34"/>
      <c r="AS10" s="33">
        <f>AR9-AS9</f>
        <v>0.95201538461538426</v>
      </c>
      <c r="AT10" s="34"/>
      <c r="AU10" s="33">
        <f>AT9-AU9</f>
        <v>-0.29729475283216988</v>
      </c>
      <c r="AV10" s="34"/>
      <c r="AW10" s="30">
        <f>AV9-AW9</f>
        <v>3.867750292672012E-2</v>
      </c>
      <c r="AX10" s="34"/>
      <c r="AY10" s="30">
        <f>AX9-AY9</f>
        <v>0.2760346371786575</v>
      </c>
      <c r="AZ10" s="34"/>
      <c r="BA10" s="30">
        <f>AZ9-BA9</f>
        <v>3.0928400289744751E-3</v>
      </c>
      <c r="BB10" s="34"/>
      <c r="BC10" s="30">
        <f>BB9-BC9</f>
        <v>-0.16479279962261373</v>
      </c>
    </row>
    <row r="11" spans="2:58" ht="15.75" thickBot="1" x14ac:dyDescent="0.3">
      <c r="B11">
        <v>8</v>
      </c>
      <c r="C11" s="3">
        <v>26679</v>
      </c>
      <c r="D11" s="3">
        <v>136</v>
      </c>
      <c r="E11" s="11">
        <f t="shared" si="0"/>
        <v>25055.926773111572</v>
      </c>
      <c r="F11" s="11">
        <f t="shared" si="1"/>
        <v>172.17557251908391</v>
      </c>
      <c r="G11" s="4">
        <f>Tabelle3[[#This Row],[Werkzeuge (€)]]/$S$24*$G$24</f>
        <v>26607.420708216792</v>
      </c>
      <c r="H11" s="4">
        <f>Tabelle3[[#This Row],[Werkzeuge (Backer)]]/$T$24*$H$24</f>
        <v>141.37037037037035</v>
      </c>
      <c r="I11" s="11">
        <f>Tabelle3[[#This Row],[Mythos (€)]]/$U$24*$I$24</f>
        <v>34668.897819737409</v>
      </c>
      <c r="J11" s="11">
        <f>Tabelle3[[#This Row],[Mythos (Backer)]]/$V$24*$J$24</f>
        <v>202.13197374589777</v>
      </c>
      <c r="K11" s="4">
        <f>Tabelle3[[#This Row],[DSK (€)]]/$W$24*$I$24</f>
        <v>29592.58464655924</v>
      </c>
      <c r="L11" s="4">
        <f>Tabelle3[[#This Row],[DSK (Backer)]]/$X$24*$L$24</f>
        <v>171.91310975609755</v>
      </c>
      <c r="M11" s="4">
        <f>Tabelle3[[#This Row],[Mythen (€)]]/$Y$24*$M$24</f>
        <v>30317.343918400908</v>
      </c>
      <c r="N11" s="4">
        <f>Tabelle3[[#This Row],[Mythen (Backer)]]/$Z$24*$N$24</f>
        <v>176.99798387096777</v>
      </c>
      <c r="O11" s="4">
        <f>Tabelle3[[#This Row],[SOK (€)]]/$AA$24*$M$24</f>
        <v>40180.657599879589</v>
      </c>
      <c r="P11" s="4">
        <f>Tabelle3[[#This Row],[SOK (Backer)]]/$AB$24*$N$24</f>
        <v>226.05048076923077</v>
      </c>
      <c r="Q11" s="10">
        <f t="shared" si="2"/>
        <v>107000</v>
      </c>
      <c r="R11" s="10">
        <f t="shared" si="3"/>
        <v>780</v>
      </c>
      <c r="S11" s="3">
        <v>72783</v>
      </c>
      <c r="T11" s="3">
        <v>308</v>
      </c>
      <c r="U11" s="10">
        <f t="shared" si="4"/>
        <v>66381.666666666672</v>
      </c>
      <c r="V11" s="10">
        <f t="shared" si="5"/>
        <v>414.16666666666657</v>
      </c>
      <c r="W11" s="3">
        <v>58795</v>
      </c>
      <c r="X11" s="3">
        <v>325</v>
      </c>
      <c r="Y11" s="3">
        <v>43766</v>
      </c>
      <c r="Z11" s="3">
        <v>253</v>
      </c>
      <c r="AA11" s="3">
        <v>154154</v>
      </c>
      <c r="AB11" s="3">
        <v>1084</v>
      </c>
      <c r="AC11" s="439">
        <f>'Gunst der Göttin'!BE210</f>
        <v>182858</v>
      </c>
      <c r="AD11" s="439">
        <f>'Gunst der Göttin'!BF210</f>
        <v>792</v>
      </c>
      <c r="AE11" s="439">
        <f>'Gunst der Göttin'!AB210</f>
        <v>130050</v>
      </c>
      <c r="AF11" s="439">
        <f>'Gunst der Göttin'!AC210</f>
        <v>539</v>
      </c>
      <c r="AG11" s="9">
        <f>Tabelle3[[#This Row],[Nedime (€)]]/C$24</f>
        <v>0.42792525463148606</v>
      </c>
      <c r="AH11" s="9">
        <f>Tabelle3[[#This Row],[Nedime (Backer)]]/D$24</f>
        <v>0.39193083573487031</v>
      </c>
      <c r="AI11" s="9"/>
      <c r="AJ11" s="9"/>
      <c r="AK11" s="9">
        <f>Tabelle3[[#This Row],[Werkzeuge (€)]]/S$24</f>
        <v>0.42677713863528416</v>
      </c>
      <c r="AL11" s="9">
        <f>Tabelle3[[#This Row],[Werkzeuge (Backer)]]/T$24</f>
        <v>0.40740740740740738</v>
      </c>
      <c r="AM11" s="9"/>
      <c r="AN11" s="9"/>
    </row>
    <row r="12" spans="2:58" x14ac:dyDescent="0.25">
      <c r="B12">
        <v>9</v>
      </c>
      <c r="C12" s="3">
        <v>27868</v>
      </c>
      <c r="D12" s="3">
        <v>142</v>
      </c>
      <c r="E12" s="11">
        <f t="shared" si="0"/>
        <v>26460.932012725305</v>
      </c>
      <c r="F12" s="11">
        <f t="shared" si="1"/>
        <v>181.00508905852411</v>
      </c>
      <c r="G12" s="4">
        <f>Tabelle3[[#This Row],[Werkzeuge (€)]]/$S$24*$G$24</f>
        <v>28001.711993010478</v>
      </c>
      <c r="H12" s="4">
        <f>Tabelle3[[#This Row],[Werkzeuge (Backer)]]/$T$24*$H$24</f>
        <v>151.00925925925927</v>
      </c>
      <c r="I12" s="11">
        <f>Tabelle3[[#This Row],[Mythos (€)]]/$U$24*$I$24</f>
        <v>36797.828756680683</v>
      </c>
      <c r="J12" s="11">
        <f>Tabelle3[[#This Row],[Mythos (Backer)]]/$V$24*$J$24</f>
        <v>213.27566807313639</v>
      </c>
      <c r="K12" s="4">
        <f>Tabelle3[[#This Row],[DSK (€)]]/$W$24*$I$24</f>
        <v>31860.032453902542</v>
      </c>
      <c r="L12" s="4">
        <f>Tabelle3[[#This Row],[DSK (Backer)]]/$X$24*$L$24</f>
        <v>185.13719512195124</v>
      </c>
      <c r="M12" s="4">
        <f>Tabelle3[[#This Row],[Mythen (€)]]/$Y$24*$M$24</f>
        <v>31844.779446895034</v>
      </c>
      <c r="N12" s="4">
        <f>Tabelle3[[#This Row],[Mythen (Backer)]]/$Z$24*$N$24</f>
        <v>186.79233870967744</v>
      </c>
      <c r="O12" s="4">
        <f>Tabelle3[[#This Row],[SOK (€)]]/$AA$24*$M$24</f>
        <v>41350.466954863958</v>
      </c>
      <c r="P12" s="4">
        <f>Tabelle3[[#This Row],[SOK (Backer)]]/$AB$24*$N$24</f>
        <v>231.88942307692307</v>
      </c>
      <c r="Q12" s="10">
        <f t="shared" si="2"/>
        <v>113000</v>
      </c>
      <c r="R12" s="10">
        <f t="shared" si="3"/>
        <v>820</v>
      </c>
      <c r="S12" s="3">
        <v>76597</v>
      </c>
      <c r="T12" s="3">
        <v>329</v>
      </c>
      <c r="U12" s="10">
        <f t="shared" si="4"/>
        <v>70458</v>
      </c>
      <c r="V12" s="10">
        <f t="shared" si="5"/>
        <v>436.99999999999989</v>
      </c>
      <c r="W12" s="3">
        <v>63300</v>
      </c>
      <c r="X12" s="3">
        <v>350</v>
      </c>
      <c r="Y12" s="3">
        <v>45971</v>
      </c>
      <c r="Z12" s="3">
        <v>267</v>
      </c>
      <c r="AA12" s="3">
        <v>158642</v>
      </c>
      <c r="AB12" s="3">
        <v>1112</v>
      </c>
      <c r="AC12" s="439">
        <f>'Gunst der Göttin'!BE211</f>
        <v>195000</v>
      </c>
      <c r="AD12" s="439">
        <f>'Gunst der Göttin'!BF211</f>
        <v>851</v>
      </c>
      <c r="AE12" s="439">
        <f>'Gunst der Göttin'!AB211</f>
        <v>133215</v>
      </c>
      <c r="AF12" s="439">
        <f>'Gunst der Göttin'!AC211</f>
        <v>551</v>
      </c>
      <c r="AG12" s="9">
        <f>Tabelle3[[#This Row],[Nedime (€)]]/C$24</f>
        <v>0.44699655144759004</v>
      </c>
      <c r="AH12" s="9">
        <f>Tabelle3[[#This Row],[Nedime (Backer)]]/D$24</f>
        <v>0.40922190201729108</v>
      </c>
      <c r="AI12" s="9"/>
      <c r="AJ12" s="9"/>
      <c r="AK12" s="9">
        <f>Tabelle3[[#This Row],[Werkzeuge (€)]]/S$24</f>
        <v>0.44914126221846945</v>
      </c>
      <c r="AL12" s="9">
        <f>Tabelle3[[#This Row],[Werkzeuge (Backer)]]/T$24</f>
        <v>0.43518518518518517</v>
      </c>
      <c r="AM12" s="9"/>
      <c r="AN12" s="9"/>
      <c r="AP12" s="25" t="s">
        <v>90</v>
      </c>
      <c r="AQ12" s="31" t="s">
        <v>90</v>
      </c>
      <c r="AR12" s="53"/>
      <c r="AS12" s="54"/>
      <c r="AT12" s="49" t="s">
        <v>90</v>
      </c>
      <c r="AU12" s="50" t="s">
        <v>90</v>
      </c>
      <c r="AV12" s="32" t="s">
        <v>90</v>
      </c>
      <c r="AW12" s="26" t="s">
        <v>90</v>
      </c>
      <c r="AX12" s="32" t="s">
        <v>90</v>
      </c>
      <c r="AY12" s="26" t="s">
        <v>90</v>
      </c>
      <c r="AZ12" s="32" t="s">
        <v>90</v>
      </c>
      <c r="BA12" s="26" t="s">
        <v>90</v>
      </c>
      <c r="BB12" s="32" t="s">
        <v>90</v>
      </c>
      <c r="BC12" s="26" t="s">
        <v>90</v>
      </c>
    </row>
    <row r="13" spans="2:58" x14ac:dyDescent="0.25">
      <c r="B13">
        <v>10</v>
      </c>
      <c r="C13" s="3">
        <v>31587</v>
      </c>
      <c r="D13" s="3">
        <v>161</v>
      </c>
      <c r="E13" s="11">
        <f t="shared" si="0"/>
        <v>27865.937252339038</v>
      </c>
      <c r="F13" s="11">
        <f t="shared" si="1"/>
        <v>189.8346055979643</v>
      </c>
      <c r="G13" s="4">
        <f>Tabelle3[[#This Row],[Werkzeuge (€)]]/$S$24*$G$24</f>
        <v>29730.867152180414</v>
      </c>
      <c r="H13" s="4">
        <f>Tabelle3[[#This Row],[Werkzeuge (Backer)]]/$T$24*$H$24</f>
        <v>160.64814814814815</v>
      </c>
      <c r="I13" s="11">
        <f>Tabelle3[[#This Row],[Mythos (€)]]/$U$24*$I$24</f>
        <v>38926.759693623957</v>
      </c>
      <c r="J13" s="11">
        <f>Tabelle3[[#This Row],[Mythos (Backer)]]/$V$24*$J$24</f>
        <v>224.41936240037501</v>
      </c>
      <c r="K13" s="4">
        <f>Tabelle3[[#This Row],[DSK (€)]]/$W$24*$I$24</f>
        <v>33546.147915522975</v>
      </c>
      <c r="L13" s="4">
        <f>Tabelle3[[#This Row],[DSK (Backer)]]/$X$24*$L$24</f>
        <v>195.1875</v>
      </c>
      <c r="M13" s="4">
        <f>Tabelle3[[#This Row],[Mythen (€)]]/$Y$24*$M$24</f>
        <v>33841.182709081011</v>
      </c>
      <c r="N13" s="4">
        <f>Tabelle3[[#This Row],[Mythen (Backer)]]/$Z$24*$N$24</f>
        <v>197.28629032258067</v>
      </c>
      <c r="O13" s="4">
        <f>Tabelle3[[#This Row],[SOK (€)]]/$AA$24*$M$24</f>
        <v>42536.958083181431</v>
      </c>
      <c r="P13" s="4">
        <f>Tabelle3[[#This Row],[SOK (Backer)]]/$AB$24*$N$24</f>
        <v>237.72836538461539</v>
      </c>
      <c r="Q13" s="10">
        <f t="shared" si="2"/>
        <v>119000</v>
      </c>
      <c r="R13" s="10">
        <f t="shared" si="3"/>
        <v>860</v>
      </c>
      <c r="S13" s="3">
        <v>81327</v>
      </c>
      <c r="T13" s="3">
        <v>350</v>
      </c>
      <c r="U13" s="10">
        <f t="shared" si="4"/>
        <v>74534.333333333328</v>
      </c>
      <c r="V13" s="10">
        <f t="shared" si="5"/>
        <v>459.8333333333332</v>
      </c>
      <c r="W13" s="3">
        <v>66650</v>
      </c>
      <c r="X13" s="3">
        <v>369</v>
      </c>
      <c r="Y13" s="3">
        <v>48853</v>
      </c>
      <c r="Z13" s="3">
        <v>282</v>
      </c>
      <c r="AA13" s="3">
        <v>163194</v>
      </c>
      <c r="AB13" s="3">
        <v>1140</v>
      </c>
      <c r="AC13" s="439">
        <f>'Gunst der Göttin'!BE212</f>
        <v>203877</v>
      </c>
      <c r="AD13" s="439">
        <f>'Gunst der Göttin'!BF212</f>
        <v>893</v>
      </c>
      <c r="AE13" s="439">
        <f>'Gunst der Göttin'!AB212</f>
        <v>136715</v>
      </c>
      <c r="AF13" s="439">
        <f>'Gunst der Göttin'!AC212</f>
        <v>565</v>
      </c>
      <c r="AG13" s="9">
        <f>Tabelle3[[#This Row],[Nedime (€)]]/C$24</f>
        <v>0.50664848825086217</v>
      </c>
      <c r="AH13" s="9">
        <f>Tabelle3[[#This Row],[Nedime (Backer)]]/D$24</f>
        <v>0.46397694524495675</v>
      </c>
      <c r="AI13" s="9"/>
      <c r="AJ13" s="9"/>
      <c r="AK13" s="9">
        <f>Tabelle3[[#This Row],[Werkzeuge (€)]]/S$24</f>
        <v>0.47687652822488436</v>
      </c>
      <c r="AL13" s="9">
        <f>Tabelle3[[#This Row],[Werkzeuge (Backer)]]/T$24</f>
        <v>0.46296296296296297</v>
      </c>
      <c r="AM13" s="9"/>
      <c r="AN13" s="9"/>
      <c r="AP13" s="27" t="s">
        <v>82</v>
      </c>
      <c r="AQ13" s="8" t="s">
        <v>83</v>
      </c>
      <c r="AR13" s="47"/>
      <c r="AS13" s="55"/>
      <c r="AT13" s="5" t="s">
        <v>124</v>
      </c>
      <c r="AU13" s="8" t="s">
        <v>125</v>
      </c>
      <c r="AV13" s="5" t="s">
        <v>88</v>
      </c>
      <c r="AW13" s="28" t="s">
        <v>89</v>
      </c>
      <c r="AX13" s="5" t="s">
        <v>154</v>
      </c>
      <c r="AY13" s="28" t="s">
        <v>155</v>
      </c>
      <c r="AZ13" s="5" t="s">
        <v>205</v>
      </c>
      <c r="BA13" s="28" t="s">
        <v>206</v>
      </c>
      <c r="BB13" s="5" t="s">
        <v>361</v>
      </c>
      <c r="BC13" s="28" t="s">
        <v>362</v>
      </c>
      <c r="BD13" s="16" t="s">
        <v>91</v>
      </c>
      <c r="BE13" s="23">
        <f>MIN(AP14,AR14,AT14,AV14,AX14,AZ14,BB14)</f>
        <v>2.0980851381104006</v>
      </c>
      <c r="BF13" s="23">
        <f>MIN(AQ14,AS14,AU14,AW14,AY14,BA14,BC14)</f>
        <v>2.1089987325728772</v>
      </c>
    </row>
    <row r="14" spans="2:58" x14ac:dyDescent="0.25">
      <c r="B14">
        <v>11</v>
      </c>
      <c r="C14" s="3">
        <v>34703</v>
      </c>
      <c r="D14" s="3">
        <v>178</v>
      </c>
      <c r="E14" s="4">
        <f>Tabelle3[[#This Row],[Thorwal (€)]]/Q24*E24</f>
        <v>29270.942491952781</v>
      </c>
      <c r="F14" s="4">
        <f>Tabelle3[[#This Row],[Thorwal (Backer)]]/R24*F24</f>
        <v>198.66412213740458</v>
      </c>
      <c r="G14" s="4">
        <f>Tabelle3[[#This Row],[Werkzeuge (€)]]/$S$24*$G$24</f>
        <v>30365.134425152894</v>
      </c>
      <c r="H14" s="4">
        <f>Tabelle3[[#This Row],[Werkzeuge (Backer)]]/$T$24*$H$24</f>
        <v>163.40211640211641</v>
      </c>
      <c r="I14" s="11">
        <f>Tabelle3[[#This Row],[Mythos (€)]]/$U$24*$I$24</f>
        <v>41055.690630567231</v>
      </c>
      <c r="J14" s="11">
        <f>Tabelle3[[#This Row],[Mythos (Backer)]]/$V$24*$J$24</f>
        <v>235.56305672761363</v>
      </c>
      <c r="K14" s="4">
        <f>Tabelle3[[#This Row],[DSK (€)]]/$W$24*$I$24</f>
        <v>35065.161785126103</v>
      </c>
      <c r="L14" s="4">
        <f>Tabelle3[[#This Row],[DSK (Backer)]]/$X$24*$L$24</f>
        <v>204.17987804878047</v>
      </c>
      <c r="M14" s="4">
        <f>Tabelle3[[#This Row],[Mythen (€)]]/$Y$24*$M$24</f>
        <v>34832.457194920054</v>
      </c>
      <c r="N14" s="4">
        <f>Tabelle3[[#This Row],[Mythen (Backer)]]/$Z$24*$N$24</f>
        <v>203.58266129032256</v>
      </c>
      <c r="O14" s="4">
        <f>Tabelle3[[#This Row],[SOK (€)]]/$AA$24*$M$24</f>
        <v>43373.913929628579</v>
      </c>
      <c r="P14" s="4">
        <f>Tabelle3[[#This Row],[SOK (Backer)]]/$AB$24*$N$24</f>
        <v>242.52463942307693</v>
      </c>
      <c r="Q14" s="3">
        <v>125000</v>
      </c>
      <c r="R14" s="3">
        <v>900</v>
      </c>
      <c r="S14" s="3">
        <v>83062</v>
      </c>
      <c r="T14" s="3">
        <v>356</v>
      </c>
      <c r="U14" s="10">
        <f t="shared" si="4"/>
        <v>78610.666666666657</v>
      </c>
      <c r="V14" s="10">
        <f t="shared" si="5"/>
        <v>482.66666666666652</v>
      </c>
      <c r="W14" s="3">
        <v>69668</v>
      </c>
      <c r="X14" s="3">
        <v>386</v>
      </c>
      <c r="Y14" s="3">
        <v>50284</v>
      </c>
      <c r="Z14" s="3">
        <v>291</v>
      </c>
      <c r="AA14" s="3">
        <v>166405</v>
      </c>
      <c r="AB14" s="3">
        <v>1163</v>
      </c>
      <c r="AC14" s="439">
        <f>'Gunst der Göttin'!BE213</f>
        <v>212794</v>
      </c>
      <c r="AD14" s="439">
        <f>'Gunst der Göttin'!BF213</f>
        <v>935</v>
      </c>
      <c r="AE14" s="439">
        <f>'Gunst der Göttin'!AB213</f>
        <v>139670</v>
      </c>
      <c r="AF14" s="439">
        <f>'Gunst der Göttin'!AC213</f>
        <v>582</v>
      </c>
      <c r="AG14" s="9">
        <f>Tabelle3[[#This Row],[Nedime (€)]]/C$24</f>
        <v>0.55662843852754829</v>
      </c>
      <c r="AH14" s="9">
        <f>Tabelle3[[#This Row],[Nedime (Backer)]]/D$24</f>
        <v>0.51296829971181557</v>
      </c>
      <c r="AI14" s="9">
        <f>Tabelle3[[#This Row],[Thorwal (€)]]/Q$24</f>
        <v>0.46949943847867159</v>
      </c>
      <c r="AJ14" s="9">
        <f>Tabelle3[[#This Row],[Thorwal (Backer)]]/R$24</f>
        <v>0.5725190839694656</v>
      </c>
      <c r="AK14" s="9">
        <f>Tabelle3[[#This Row],[Werkzeuge (€)]]/S$24</f>
        <v>0.48705003488897097</v>
      </c>
      <c r="AL14" s="9">
        <f>Tabelle3[[#This Row],[Werkzeuge (Backer)]]/T$24</f>
        <v>0.47089947089947087</v>
      </c>
      <c r="AM14" s="9"/>
      <c r="AN14" s="9"/>
      <c r="AP14" s="27">
        <f>C24/C5</f>
        <v>3.7189811500835122</v>
      </c>
      <c r="AQ14" s="8">
        <f>D24/D5</f>
        <v>4.2317073170731705</v>
      </c>
      <c r="AR14" s="47"/>
      <c r="AS14" s="55"/>
      <c r="AT14" s="19">
        <f>S24/S5</f>
        <v>3.4437421751948629</v>
      </c>
      <c r="AU14" s="20">
        <f>T24/T5</f>
        <v>3.6699029126213594</v>
      </c>
      <c r="AV14" s="19">
        <f t="shared" ref="AV14:BC14" si="7">W24/W5</f>
        <v>2.903678004641459</v>
      </c>
      <c r="AW14" s="48">
        <f t="shared" si="7"/>
        <v>2.8154506437768241</v>
      </c>
      <c r="AX14" s="19">
        <f t="shared" si="7"/>
        <v>3.6687184086091635</v>
      </c>
      <c r="AY14" s="48">
        <f t="shared" si="7"/>
        <v>3.420689655172414</v>
      </c>
      <c r="AZ14" s="19">
        <f t="shared" si="7"/>
        <v>2.0980851381104006</v>
      </c>
      <c r="BA14" s="48">
        <f t="shared" si="7"/>
        <v>2.1089987325728772</v>
      </c>
      <c r="BB14" s="19">
        <f t="shared" si="7"/>
        <v>4.0407358192841123</v>
      </c>
      <c r="BC14" s="48">
        <f t="shared" si="7"/>
        <v>4.0990099009900991</v>
      </c>
      <c r="BD14" t="s">
        <v>92</v>
      </c>
      <c r="BE14" s="24">
        <f>MAX(AP14,AR14,AT14,AV14,AX14,AZ14,BB14)</f>
        <v>4.0407358192841123</v>
      </c>
      <c r="BF14" s="24">
        <f>MAX(,AQ14,AS14,AU14,AW14,AY14,BA14,BC14)</f>
        <v>4.2317073170731705</v>
      </c>
    </row>
    <row r="15" spans="2:58" ht="15.75" thickBot="1" x14ac:dyDescent="0.3">
      <c r="B15">
        <v>12</v>
      </c>
      <c r="C15" s="3">
        <v>36986</v>
      </c>
      <c r="D15" s="3">
        <v>193</v>
      </c>
      <c r="E15" s="11">
        <f>E14+($E$24-$E$14)/10</f>
        <v>32578.348242757504</v>
      </c>
      <c r="F15" s="11">
        <f>F14+($F$24-$F$14)/10</f>
        <v>213.4977099236641</v>
      </c>
      <c r="G15" s="4">
        <f>Tabelle3[[#This Row],[Werkzeuge (€)]]/$S$24*$G$24</f>
        <v>31495.482787130364</v>
      </c>
      <c r="H15" s="4">
        <f>Tabelle3[[#This Row],[Werkzeuge (Backer)]]/$T$24*$H$24</f>
        <v>170.28703703703704</v>
      </c>
      <c r="I15" s="11">
        <f>Tabelle3[[#This Row],[Mythos (€)]]/$U$24*$I$24</f>
        <v>43184.621567510505</v>
      </c>
      <c r="J15" s="11">
        <f>Tabelle3[[#This Row],[Mythos (Backer)]]/$V$24*$J$24</f>
        <v>246.70675105485225</v>
      </c>
      <c r="K15" s="4">
        <f>Tabelle3[[#This Row],[DSK (€)]]/$W$24*$I$24</f>
        <v>35879.530387186358</v>
      </c>
      <c r="L15" s="4">
        <f>Tabelle3[[#This Row],[DSK (Backer)]]/$X$24*$L$24</f>
        <v>208.94054878048783</v>
      </c>
      <c r="M15" s="4">
        <f>Tabelle3[[#This Row],[Mythen (€)]]/$Y$24*$M$24</f>
        <v>37557.596137820692</v>
      </c>
      <c r="N15" s="4">
        <f>Tabelle3[[#This Row],[Mythen (Backer)]]/$Z$24*$N$24</f>
        <v>217.57459677419357</v>
      </c>
      <c r="O15" s="4">
        <f>Tabelle3[[#This Row],[SOK (€)]]/$AA$24*$M$24</f>
        <v>44253.616820241819</v>
      </c>
      <c r="P15" s="4">
        <f>Tabelle3[[#This Row],[SOK (Backer)]]/$AB$24*$N$24</f>
        <v>247.94651442307693</v>
      </c>
      <c r="Q15" s="10">
        <f>Q14+($Q$24-$Q$14)/10</f>
        <v>139124.1</v>
      </c>
      <c r="R15" s="10">
        <f>R14+($R$24-$R$14)/10</f>
        <v>967.2</v>
      </c>
      <c r="S15" s="3">
        <v>86154</v>
      </c>
      <c r="T15" s="3">
        <v>371</v>
      </c>
      <c r="U15" s="10">
        <f t="shared" si="4"/>
        <v>82686.999999999985</v>
      </c>
      <c r="V15" s="10">
        <f t="shared" si="5"/>
        <v>505.49999999999983</v>
      </c>
      <c r="W15" s="3">
        <v>71286</v>
      </c>
      <c r="X15" s="3">
        <v>395</v>
      </c>
      <c r="Y15" s="3">
        <v>54218</v>
      </c>
      <c r="Z15" s="3">
        <v>311</v>
      </c>
      <c r="AA15" s="3">
        <v>169780</v>
      </c>
      <c r="AB15" s="3">
        <v>1189</v>
      </c>
      <c r="AC15" s="439">
        <f>'Gunst der Göttin'!BE214</f>
        <v>221864</v>
      </c>
      <c r="AD15" s="439">
        <f>'Gunst der Göttin'!BF214</f>
        <v>976</v>
      </c>
      <c r="AE15" s="439">
        <f>'Gunst der Göttin'!AB214</f>
        <v>143057</v>
      </c>
      <c r="AF15" s="439">
        <f>'Gunst der Göttin'!AC214</f>
        <v>598</v>
      </c>
      <c r="AG15" s="9">
        <f>Tabelle3[[#This Row],[Nedime (€)]]/C$24</f>
        <v>0.59324725318790605</v>
      </c>
      <c r="AH15" s="9">
        <f>Tabelle3[[#This Row],[Nedime (Backer)]]/D$24</f>
        <v>0.55619596541786742</v>
      </c>
      <c r="AI15" s="9"/>
      <c r="AJ15" s="9"/>
      <c r="AK15" s="9">
        <f>Tabelle3[[#This Row],[Werkzeuge (€)]]/S$24</f>
        <v>0.50518057241367176</v>
      </c>
      <c r="AL15" s="9">
        <f>Tabelle3[[#This Row],[Werkzeuge (Backer)]]/T$24</f>
        <v>0.49074074074074076</v>
      </c>
      <c r="AM15" s="9"/>
      <c r="AN15" s="9"/>
      <c r="AP15" s="29"/>
      <c r="AQ15" s="33">
        <f>AP14-AQ14</f>
        <v>-0.51272616698965834</v>
      </c>
      <c r="AR15" s="56"/>
      <c r="AS15" s="57"/>
      <c r="AT15" s="51"/>
      <c r="AU15" s="52">
        <f>AT14-AU14</f>
        <v>-0.22616073742649645</v>
      </c>
      <c r="AV15" s="34"/>
      <c r="AW15" s="30">
        <f>AV14-AW14</f>
        <v>8.8227360864634896E-2</v>
      </c>
      <c r="AX15" s="34"/>
      <c r="AY15" s="30">
        <f>AX14-AY14</f>
        <v>0.24802875343674957</v>
      </c>
      <c r="AZ15" s="34"/>
      <c r="BA15" s="30">
        <f>AZ14-BA14</f>
        <v>-1.0913594462476528E-2</v>
      </c>
      <c r="BB15" s="34"/>
      <c r="BC15" s="30">
        <f>BB14-BC14</f>
        <v>-5.8274081705986802E-2</v>
      </c>
    </row>
    <row r="16" spans="2:58" ht="15.75" thickBot="1" x14ac:dyDescent="0.3">
      <c r="B16">
        <v>13</v>
      </c>
      <c r="C16" s="3">
        <v>37704</v>
      </c>
      <c r="D16" s="3">
        <v>197</v>
      </c>
      <c r="E16" s="11">
        <f t="shared" ref="E16:E23" si="8">E15+($E$24-$E$14)/10</f>
        <v>35885.753993562226</v>
      </c>
      <c r="F16" s="11">
        <f t="shared" ref="F16:F23" si="9">F15+($F$24-$F$14)/10</f>
        <v>228.33129770992366</v>
      </c>
      <c r="G16" s="4">
        <f>Tabelle3[[#This Row],[Werkzeuge (€)]]/$S$24*$G$24</f>
        <v>32558.56591670038</v>
      </c>
      <c r="H16" s="4">
        <f>Tabelle3[[#This Row],[Werkzeuge (Backer)]]/$T$24*$H$24</f>
        <v>177.17195767195767</v>
      </c>
      <c r="I16" s="11">
        <f>Tabelle3[[#This Row],[Mythos (€)]]/$U$24*$I$24</f>
        <v>45313.552504453779</v>
      </c>
      <c r="J16" s="11">
        <f>Tabelle3[[#This Row],[Mythos (Backer)]]/$V$24*$J$24</f>
        <v>257.85044538209087</v>
      </c>
      <c r="K16" s="4">
        <f>Tabelle3[[#This Row],[DSK (€)]]/$W$24*$I$24</f>
        <v>37285.297695934387</v>
      </c>
      <c r="L16" s="4">
        <f>Tabelle3[[#This Row],[DSK (Backer)]]/$X$24*$L$24</f>
        <v>216.875</v>
      </c>
      <c r="M16" s="4">
        <f>Tabelle3[[#This Row],[Mythen (€)]]/$Y$24*$M$24</f>
        <v>38504.536894034507</v>
      </c>
      <c r="N16" s="4">
        <f>Tabelle3[[#This Row],[Mythen (Backer)]]/$Z$24*$N$24</f>
        <v>223.17137096774195</v>
      </c>
      <c r="O16" s="4">
        <f>Tabelle3[[#This Row],[SOK (€)]]/$AA$24*$M$24</f>
        <v>44945.9104135659</v>
      </c>
      <c r="P16" s="4">
        <f>Tabelle3[[#This Row],[SOK (Backer)]]/$AB$24*$N$24</f>
        <v>251.28305288461539</v>
      </c>
      <c r="Q16" s="10">
        <f t="shared" ref="Q16:Q23" si="10">Q15+($Q$24-$Q$14)/10</f>
        <v>153248.20000000001</v>
      </c>
      <c r="R16" s="10">
        <f t="shared" ref="R16:R23" si="11">R15+($R$24-$R$14)/10</f>
        <v>1034.4000000000001</v>
      </c>
      <c r="S16" s="3">
        <v>89062</v>
      </c>
      <c r="T16" s="3">
        <v>386</v>
      </c>
      <c r="U16" s="10">
        <f t="shared" si="4"/>
        <v>86763.333333333314</v>
      </c>
      <c r="V16" s="10">
        <f t="shared" si="5"/>
        <v>528.33333333333314</v>
      </c>
      <c r="W16" s="3">
        <v>74079</v>
      </c>
      <c r="X16" s="3">
        <v>410</v>
      </c>
      <c r="Y16" s="3">
        <v>55585</v>
      </c>
      <c r="Z16" s="3">
        <v>319</v>
      </c>
      <c r="AA16" s="3">
        <v>172436</v>
      </c>
      <c r="AB16" s="3">
        <v>1205</v>
      </c>
      <c r="AC16" s="439">
        <f>'Gunst der Göttin'!BE215</f>
        <v>229701</v>
      </c>
      <c r="AD16" s="439">
        <f>'Gunst der Göttin'!BF215</f>
        <v>1011</v>
      </c>
      <c r="AE16" s="439">
        <f>'Gunst der Göttin'!AB215</f>
        <v>149744</v>
      </c>
      <c r="AF16" s="439">
        <f>'Gunst der Göttin'!AC215</f>
        <v>624</v>
      </c>
      <c r="AG16" s="9">
        <f>Tabelle3[[#This Row],[Nedime (€)]]/C$24</f>
        <v>0.60476381425936321</v>
      </c>
      <c r="AH16" s="9">
        <f>Tabelle3[[#This Row],[Nedime (Backer)]]/D$24</f>
        <v>0.56772334293948123</v>
      </c>
      <c r="AI16" s="9"/>
      <c r="AJ16" s="9"/>
      <c r="AK16" s="9">
        <f>Tabelle3[[#This Row],[Werkzeuge (€)]]/S$24</f>
        <v>0.5222321904996452</v>
      </c>
      <c r="AL16" s="9">
        <f>Tabelle3[[#This Row],[Werkzeuge (Backer)]]/T$24</f>
        <v>0.51058201058201058</v>
      </c>
      <c r="AM16" s="9"/>
      <c r="AN16" s="9"/>
      <c r="AQ16" s="8"/>
      <c r="AS16" s="8"/>
      <c r="AU16" s="20"/>
      <c r="AW16" s="8"/>
      <c r="AY16" s="8"/>
      <c r="BA16" s="8"/>
      <c r="BC16" s="8"/>
    </row>
    <row r="17" spans="2:59" x14ac:dyDescent="0.25">
      <c r="B17">
        <v>14</v>
      </c>
      <c r="C17" s="3">
        <v>38541</v>
      </c>
      <c r="D17" s="3">
        <v>205</v>
      </c>
      <c r="E17" s="11">
        <f t="shared" si="8"/>
        <v>39193.159744366945</v>
      </c>
      <c r="F17" s="11">
        <f t="shared" si="9"/>
        <v>243.16488549618322</v>
      </c>
      <c r="G17" s="4">
        <f>Tabelle3[[#This Row],[Werkzeuge (€)]]/$S$24*$G$24</f>
        <v>34038.035457749167</v>
      </c>
      <c r="H17" s="4">
        <f>Tabelle3[[#This Row],[Werkzeuge (Backer)]]/$T$24*$H$24</f>
        <v>184.97486772486772</v>
      </c>
      <c r="I17" s="11">
        <f>Tabelle3[[#This Row],[Mythos (€)]]/$U$24*$I$24</f>
        <v>47442.483441397053</v>
      </c>
      <c r="J17" s="11">
        <f>Tabelle3[[#This Row],[Mythos (Backer)]]/$V$24*$J$24</f>
        <v>268.99413970932949</v>
      </c>
      <c r="K17" s="4">
        <f>Tabelle3[[#This Row],[DSK (€)]]/$W$24*$I$24</f>
        <v>37955.717336196598</v>
      </c>
      <c r="L17" s="4">
        <f>Tabelle3[[#This Row],[DSK (Backer)]]/$X$24*$L$24</f>
        <v>220.57774390243901</v>
      </c>
      <c r="M17" s="4">
        <f>Tabelle3[[#This Row],[Mythen (€)]]/$Y$24*$M$24</f>
        <v>39940.534105176608</v>
      </c>
      <c r="N17" s="4">
        <f>Tabelle3[[#This Row],[Mythen (Backer)]]/$Z$24*$N$24</f>
        <v>230.86693548387095</v>
      </c>
      <c r="O17" s="4">
        <f>Tabelle3[[#This Row],[SOK (€)]]/$AA$24*$M$24</f>
        <v>46038.82721959296</v>
      </c>
      <c r="P17" s="4">
        <f>Tabelle3[[#This Row],[SOK (Backer)]]/$AB$24*$N$24</f>
        <v>256.91346153846155</v>
      </c>
      <c r="Q17" s="10">
        <f t="shared" si="10"/>
        <v>167372.30000000002</v>
      </c>
      <c r="R17" s="10">
        <f t="shared" si="11"/>
        <v>1101.6000000000001</v>
      </c>
      <c r="S17" s="3">
        <v>93109</v>
      </c>
      <c r="T17" s="3">
        <v>403</v>
      </c>
      <c r="U17" s="10">
        <f t="shared" si="4"/>
        <v>90839.666666666642</v>
      </c>
      <c r="V17" s="10">
        <f t="shared" si="5"/>
        <v>551.16666666666652</v>
      </c>
      <c r="W17" s="3">
        <v>75411</v>
      </c>
      <c r="X17" s="3">
        <v>417</v>
      </c>
      <c r="Y17" s="3">
        <v>57658</v>
      </c>
      <c r="Z17" s="3">
        <v>330</v>
      </c>
      <c r="AA17" s="3">
        <v>176629</v>
      </c>
      <c r="AB17" s="3">
        <v>1232</v>
      </c>
      <c r="AC17" s="439">
        <f>'Gunst der Göttin'!BE216</f>
        <v>240791</v>
      </c>
      <c r="AD17" s="439">
        <f>'Gunst der Göttin'!BF216</f>
        <v>1060</v>
      </c>
      <c r="AE17" s="439">
        <f>'Gunst der Göttin'!AB216</f>
        <v>155980</v>
      </c>
      <c r="AF17" s="439">
        <f>'Gunst der Göttin'!AC216</f>
        <v>650</v>
      </c>
      <c r="AG17" s="9">
        <f>Tabelle3[[#This Row],[Nedime (€)]]/C$24</f>
        <v>0.61818910899029589</v>
      </c>
      <c r="AH17" s="9">
        <f>Tabelle3[[#This Row],[Nedime (Backer)]]/D$24</f>
        <v>0.59077809798270897</v>
      </c>
      <c r="AI17" s="9"/>
      <c r="AJ17" s="9"/>
      <c r="AK17" s="9">
        <f>Tabelle3[[#This Row],[Werkzeuge (€)]]/S$24</f>
        <v>0.54596255445904507</v>
      </c>
      <c r="AL17" s="9">
        <f>Tabelle3[[#This Row],[Werkzeuge (Backer)]]/T$24</f>
        <v>0.53306878306878303</v>
      </c>
      <c r="AM17" s="9"/>
      <c r="AN17" s="9"/>
      <c r="AP17" s="25" t="s">
        <v>159</v>
      </c>
      <c r="AQ17" s="31" t="s">
        <v>159</v>
      </c>
      <c r="AR17" s="53"/>
      <c r="AS17" s="54"/>
      <c r="AT17" s="49" t="s">
        <v>159</v>
      </c>
      <c r="AU17" s="50" t="s">
        <v>159</v>
      </c>
      <c r="AV17" s="32" t="s">
        <v>159</v>
      </c>
      <c r="AW17" s="26" t="s">
        <v>159</v>
      </c>
      <c r="AX17" s="32" t="s">
        <v>159</v>
      </c>
      <c r="AY17" s="26" t="s">
        <v>159</v>
      </c>
      <c r="AZ17" s="32" t="s">
        <v>159</v>
      </c>
      <c r="BA17" s="26" t="s">
        <v>159</v>
      </c>
      <c r="BB17" s="32" t="s">
        <v>159</v>
      </c>
      <c r="BC17" s="26" t="s">
        <v>159</v>
      </c>
    </row>
    <row r="18" spans="2:59" x14ac:dyDescent="0.25">
      <c r="B18">
        <v>15</v>
      </c>
      <c r="C18" s="3">
        <v>40401</v>
      </c>
      <c r="D18" s="3">
        <v>214</v>
      </c>
      <c r="E18" s="11">
        <f t="shared" si="8"/>
        <v>42500.565495171664</v>
      </c>
      <c r="F18" s="11">
        <f t="shared" si="9"/>
        <v>257.99847328244277</v>
      </c>
      <c r="G18" s="4">
        <f>Tabelle3[[#This Row],[Werkzeuge (€)]]/$S$24*$G$24</f>
        <v>35630.832292527899</v>
      </c>
      <c r="H18" s="4">
        <f>Tabelle3[[#This Row],[Werkzeuge (Backer)]]/$T$24*$H$24</f>
        <v>193.69576719576722</v>
      </c>
      <c r="I18" s="11">
        <f>Tabelle3[[#This Row],[Mythos (€)]]/$U$24*$I$24</f>
        <v>49571.414378340327</v>
      </c>
      <c r="J18" s="11">
        <f>Tabelle3[[#This Row],[Mythos (Backer)]]/$V$24*$J$24</f>
        <v>280.13783403656817</v>
      </c>
      <c r="K18" s="4">
        <f>Tabelle3[[#This Row],[DSK (€)]]/$W$24*$I$24</f>
        <v>38763.542803629673</v>
      </c>
      <c r="L18" s="4">
        <f>Tabelle3[[#This Row],[DSK (Backer)]]/$X$24*$L$24</f>
        <v>225.86737804878047</v>
      </c>
      <c r="M18" s="4">
        <f>Tabelle3[[#This Row],[Mythen (€)]]/$Y$24*$M$24</f>
        <v>40976.835035166274</v>
      </c>
      <c r="N18" s="4">
        <f>Tabelle3[[#This Row],[Mythen (Backer)]]/$Z$24*$N$24</f>
        <v>235.76411290322582</v>
      </c>
      <c r="O18" s="4">
        <f>Tabelle3[[#This Row],[SOK (€)]]/$AA$24*$M$24</f>
        <v>49073.867355385722</v>
      </c>
      <c r="P18" s="4">
        <f>Tabelle3[[#This Row],[SOK (Backer)]]/$AB$24*$N$24</f>
        <v>273.8046875</v>
      </c>
      <c r="Q18" s="10">
        <f t="shared" si="10"/>
        <v>181496.40000000002</v>
      </c>
      <c r="R18" s="10">
        <f t="shared" si="11"/>
        <v>1168.8000000000002</v>
      </c>
      <c r="S18" s="3">
        <v>97466</v>
      </c>
      <c r="T18" s="3">
        <v>422</v>
      </c>
      <c r="U18" s="10">
        <f t="shared" si="4"/>
        <v>94915.999999999971</v>
      </c>
      <c r="V18" s="10">
        <f t="shared" si="5"/>
        <v>573.99999999999989</v>
      </c>
      <c r="W18" s="3">
        <v>77016</v>
      </c>
      <c r="X18" s="3">
        <v>427</v>
      </c>
      <c r="Y18" s="3">
        <v>59154</v>
      </c>
      <c r="Z18" s="3">
        <v>337</v>
      </c>
      <c r="AA18" s="3">
        <v>188273</v>
      </c>
      <c r="AB18" s="3">
        <v>1313</v>
      </c>
      <c r="AC18" s="439">
        <f>'Gunst der Göttin'!BE217</f>
        <v>249000</v>
      </c>
      <c r="AD18" s="439">
        <f>'Gunst der Göttin'!BF217</f>
        <v>1096</v>
      </c>
      <c r="AE18" s="439">
        <f>'Gunst der Göttin'!AB217</f>
        <v>165152</v>
      </c>
      <c r="AF18" s="439">
        <f>'Gunst der Göttin'!AC217</f>
        <v>690</v>
      </c>
      <c r="AG18" s="9">
        <f>Tabelle3[[#This Row],[Nedime (€)]]/C$24</f>
        <v>0.64802309728125751</v>
      </c>
      <c r="AH18" s="9">
        <f>Tabelle3[[#This Row],[Nedime (Backer)]]/D$24</f>
        <v>0.61671469740634011</v>
      </c>
      <c r="AI18" s="9"/>
      <c r="AJ18" s="9"/>
      <c r="AK18" s="9">
        <f>Tabelle3[[#This Row],[Werkzeuge (€)]]/S$24</f>
        <v>0.57151066312499632</v>
      </c>
      <c r="AL18" s="9">
        <f>Tabelle3[[#This Row],[Werkzeuge (Backer)]]/T$24</f>
        <v>0.55820105820105825</v>
      </c>
      <c r="AM18" s="9"/>
      <c r="AN18" s="9"/>
      <c r="AP18" s="27" t="s">
        <v>82</v>
      </c>
      <c r="AQ18" s="8" t="s">
        <v>83</v>
      </c>
      <c r="AR18" s="47"/>
      <c r="AS18" s="55"/>
      <c r="AT18" s="5" t="s">
        <v>124</v>
      </c>
      <c r="AU18" s="8" t="s">
        <v>125</v>
      </c>
      <c r="AV18" s="5" t="s">
        <v>88</v>
      </c>
      <c r="AW18" s="28" t="s">
        <v>89</v>
      </c>
      <c r="AX18" s="5" t="s">
        <v>154</v>
      </c>
      <c r="AY18" s="28" t="s">
        <v>155</v>
      </c>
      <c r="AZ18" s="5" t="s">
        <v>205</v>
      </c>
      <c r="BA18" s="28" t="s">
        <v>206</v>
      </c>
      <c r="BB18" s="5" t="s">
        <v>361</v>
      </c>
      <c r="BC18" s="28" t="s">
        <v>362</v>
      </c>
      <c r="BD18" s="16" t="s">
        <v>91</v>
      </c>
      <c r="BE18" s="23">
        <f>MIN(AP19,AR19,AT19,AV19,AX19,AZ19,BB19)</f>
        <v>1.9522523037243202</v>
      </c>
      <c r="BF18" s="23">
        <f>MIN(AQ19,AS19,AU19,AW19,AY19,BA19,BC19)</f>
        <v>1.9530516431924883</v>
      </c>
    </row>
    <row r="19" spans="2:59" x14ac:dyDescent="0.25">
      <c r="B19">
        <v>16</v>
      </c>
      <c r="C19" s="3">
        <v>42277</v>
      </c>
      <c r="D19" s="3">
        <v>224</v>
      </c>
      <c r="E19" s="11">
        <f t="shared" si="8"/>
        <v>45807.971245976383</v>
      </c>
      <c r="F19" s="11">
        <f t="shared" si="9"/>
        <v>272.83206106870233</v>
      </c>
      <c r="G19" s="4">
        <f>Tabelle3[[#This Row],[Werkzeuge (€)]]/$S$24*$G$24</f>
        <v>37819.145777261772</v>
      </c>
      <c r="H19" s="4">
        <f>Tabelle3[[#This Row],[Werkzeuge (Backer)]]/$T$24*$H$24</f>
        <v>204.25264550264549</v>
      </c>
      <c r="I19" s="11">
        <f>Tabelle3[[#This Row],[Mythos (€)]]/$U$24*$I$24</f>
        <v>51700.345315283601</v>
      </c>
      <c r="J19" s="11">
        <f>Tabelle3[[#This Row],[Mythos (Backer)]]/$V$24*$J$24</f>
        <v>291.28152836380679</v>
      </c>
      <c r="K19" s="4">
        <f>Tabelle3[[#This Row],[DSK (€)]]/$W$24*$I$24</f>
        <v>40290.106443956465</v>
      </c>
      <c r="L19" s="4">
        <f>Tabelle3[[#This Row],[DSK (Backer)]]/$X$24*$L$24</f>
        <v>234.85975609756099</v>
      </c>
      <c r="M19" s="4">
        <f>Tabelle3[[#This Row],[Mythen (€)]]/$Y$24*$M$24</f>
        <v>42838.851679425781</v>
      </c>
      <c r="N19" s="4">
        <f>Tabelle3[[#This Row],[Mythen (Backer)]]/$Z$24*$N$24</f>
        <v>244.15927419354838</v>
      </c>
      <c r="O19" s="4">
        <f>Tabelle3[[#This Row],[SOK (€)]]/$AA$24*$M$24</f>
        <v>50374.785022659999</v>
      </c>
      <c r="P19" s="4">
        <f>Tabelle3[[#This Row],[SOK (Backer)]]/$AB$24*$N$24</f>
        <v>281.52043269230768</v>
      </c>
      <c r="Q19" s="10">
        <f t="shared" si="10"/>
        <v>195620.50000000003</v>
      </c>
      <c r="R19" s="10">
        <f t="shared" si="11"/>
        <v>1236.0000000000002</v>
      </c>
      <c r="S19" s="3">
        <v>103452</v>
      </c>
      <c r="T19" s="3">
        <v>445</v>
      </c>
      <c r="U19" s="10">
        <f t="shared" si="4"/>
        <v>98992.333333333299</v>
      </c>
      <c r="V19" s="10">
        <f t="shared" si="5"/>
        <v>596.83333333333326</v>
      </c>
      <c r="W19" s="3">
        <v>80049</v>
      </c>
      <c r="X19" s="3">
        <v>444</v>
      </c>
      <c r="Y19" s="3">
        <v>61842</v>
      </c>
      <c r="Z19" s="3">
        <v>349</v>
      </c>
      <c r="AA19" s="3">
        <v>193264</v>
      </c>
      <c r="AB19" s="3">
        <v>1350</v>
      </c>
      <c r="AC19" s="439">
        <f>'Gunst der Göttin'!BE218</f>
        <v>257666</v>
      </c>
      <c r="AD19" s="439">
        <f>'Gunst der Göttin'!BF218</f>
        <v>1134</v>
      </c>
      <c r="AE19" s="439">
        <f>'Gunst der Göttin'!AB218</f>
        <v>174081</v>
      </c>
      <c r="AF19" s="439">
        <f>'Gunst der Göttin'!AC218</f>
        <v>729</v>
      </c>
      <c r="AG19" s="9">
        <f>Tabelle3[[#This Row],[Nedime (€)]]/C$24</f>
        <v>0.67811372203063602</v>
      </c>
      <c r="AH19" s="9">
        <f>Tabelle3[[#This Row],[Nedime (Backer)]]/D$24</f>
        <v>0.64553314121037464</v>
      </c>
      <c r="AI19" s="9"/>
      <c r="AJ19" s="9"/>
      <c r="AK19" s="9">
        <f>Tabelle3[[#This Row],[Werkzeuge (€)]]/S$24</f>
        <v>0.60661072703924568</v>
      </c>
      <c r="AL19" s="9">
        <f>Tabelle3[[#This Row],[Werkzeuge (Backer)]]/T$24</f>
        <v>0.58862433862433861</v>
      </c>
      <c r="AM19" s="9"/>
      <c r="AN19" s="9"/>
      <c r="AP19" s="27">
        <f>C24/C6</f>
        <v>3.5274980196899399</v>
      </c>
      <c r="AQ19" s="8">
        <f>D24/D6</f>
        <v>3.8555555555555556</v>
      </c>
      <c r="AR19" s="47"/>
      <c r="AS19" s="55"/>
      <c r="AT19" s="19">
        <f>S24/S6</f>
        <v>3.1639672733344466</v>
      </c>
      <c r="AU19" s="20">
        <f>T24/T6</f>
        <v>3.375</v>
      </c>
      <c r="AV19" s="19">
        <f t="shared" ref="AV19:BC19" si="12">W24/W6</f>
        <v>2.7360236785722174</v>
      </c>
      <c r="AW19" s="48">
        <f t="shared" si="12"/>
        <v>2.6451612903225805</v>
      </c>
      <c r="AX19" s="19">
        <f t="shared" si="12"/>
        <v>3.252538758989556</v>
      </c>
      <c r="AY19" s="48">
        <f t="shared" si="12"/>
        <v>3.0617283950617282</v>
      </c>
      <c r="AZ19" s="19">
        <f t="shared" si="12"/>
        <v>1.9522523037243202</v>
      </c>
      <c r="BA19" s="48">
        <f t="shared" si="12"/>
        <v>1.9530516431924883</v>
      </c>
      <c r="BB19" s="19">
        <f t="shared" si="12"/>
        <v>3.3803399133281804</v>
      </c>
      <c r="BC19" s="48">
        <f t="shared" si="12"/>
        <v>3.45</v>
      </c>
      <c r="BD19" t="s">
        <v>92</v>
      </c>
      <c r="BE19" s="24">
        <f>MAX(AP19,AR19,AT19,AV19,AX19,AZ19,BB19)</f>
        <v>3.5274980196899399</v>
      </c>
      <c r="BF19" s="24">
        <f>MAX(,AQ19,AS19,AU19,AW19,AY19,BA19,BC19)</f>
        <v>3.8555555555555556</v>
      </c>
    </row>
    <row r="20" spans="2:59" ht="15.75" thickBot="1" x14ac:dyDescent="0.3">
      <c r="B20">
        <v>17</v>
      </c>
      <c r="C20" s="3">
        <v>44039</v>
      </c>
      <c r="D20" s="3">
        <v>233</v>
      </c>
      <c r="E20" s="11">
        <f t="shared" si="8"/>
        <v>49115.376996781102</v>
      </c>
      <c r="F20" s="11">
        <f t="shared" si="9"/>
        <v>287.66564885496189</v>
      </c>
      <c r="G20" s="12">
        <f>Tabelle3[[#This Row],[Werkzeuge (€)]]/$S$24*$G$24</f>
        <v>40047.306600758762</v>
      </c>
      <c r="H20" s="4">
        <f>Tabelle3[[#This Row],[Werkzeuge (Backer)]]/$T$24*$H$24</f>
        <v>216.18650793650795</v>
      </c>
      <c r="I20" s="11">
        <f>Tabelle3[[#This Row],[Mythos (€)]]/$U$24*$I$24</f>
        <v>53829.276252226875</v>
      </c>
      <c r="J20" s="11">
        <f>Tabelle3[[#This Row],[Mythos (Backer)]]/$V$24*$J$24</f>
        <v>302.42522269104546</v>
      </c>
      <c r="K20" s="4">
        <f>Tabelle3[[#This Row],[DSK (€)]]/$W$24*$I$24</f>
        <v>43704.616083249915</v>
      </c>
      <c r="L20" s="4">
        <f>Tabelle3[[#This Row],[DSK (Backer)]]/$X$24*$L$24</f>
        <v>257.60518292682929</v>
      </c>
      <c r="M20" s="4">
        <f>Tabelle3[[#This Row],[Mythen (€)]]/$Y$24*$M$24</f>
        <v>44512.449972778079</v>
      </c>
      <c r="N20" s="4">
        <f>Tabelle3[[#This Row],[Mythen (Backer)]]/$Z$24*$N$24</f>
        <v>253.95362903225805</v>
      </c>
      <c r="O20" s="4">
        <f>Tabelle3[[#This Row],[SOK (€)]]/$AA$24*$M$24</f>
        <v>51677.266606184254</v>
      </c>
      <c r="P20" s="4">
        <f>Tabelle3[[#This Row],[SOK (Backer)]]/$AB$24*$N$24</f>
        <v>288.61057692307696</v>
      </c>
      <c r="Q20" s="10">
        <f t="shared" si="10"/>
        <v>209744.60000000003</v>
      </c>
      <c r="R20" s="10">
        <f t="shared" si="11"/>
        <v>1303.2000000000003</v>
      </c>
      <c r="S20" s="13">
        <v>109547</v>
      </c>
      <c r="T20" s="13">
        <v>471</v>
      </c>
      <c r="U20" s="10">
        <f t="shared" si="4"/>
        <v>103068.66666666663</v>
      </c>
      <c r="V20" s="10">
        <f t="shared" si="5"/>
        <v>619.66666666666663</v>
      </c>
      <c r="W20" s="3">
        <v>86833</v>
      </c>
      <c r="X20" s="3">
        <v>487</v>
      </c>
      <c r="Y20" s="3">
        <v>64258</v>
      </c>
      <c r="Z20" s="3">
        <v>363</v>
      </c>
      <c r="AA20" s="3">
        <v>198261</v>
      </c>
      <c r="AB20" s="3">
        <v>1384</v>
      </c>
      <c r="AC20" s="439">
        <f>'Gunst der Göttin'!BE219</f>
        <v>268894</v>
      </c>
      <c r="AD20" s="439">
        <f>'Gunst der Göttin'!BF219</f>
        <v>1160</v>
      </c>
      <c r="AE20" s="439">
        <f>'Gunst der Göttin'!AB219</f>
        <v>181054</v>
      </c>
      <c r="AF20" s="439">
        <f>'Gunst der Göttin'!AC219</f>
        <v>757</v>
      </c>
      <c r="AG20" s="14">
        <f>Tabelle3[[#This Row],[Nedime (€)]]/C$24</f>
        <v>0.70637581201379418</v>
      </c>
      <c r="AH20" s="9">
        <f>Tabelle3[[#This Row],[Nedime (Backer)]]/D$24</f>
        <v>0.67146974063400577</v>
      </c>
      <c r="AI20" s="9"/>
      <c r="AJ20" s="9"/>
      <c r="AK20" s="14">
        <f>Tabelle3[[#This Row],[Werkzeuge (€)]]/S$24</f>
        <v>0.64234993344708902</v>
      </c>
      <c r="AL20" s="14">
        <f>Tabelle3[[#This Row],[Werkzeuge (Backer)]]/T$24</f>
        <v>0.62301587301587302</v>
      </c>
      <c r="AM20" s="15"/>
      <c r="AN20" s="15"/>
      <c r="AP20" s="29"/>
      <c r="AQ20" s="33">
        <f>AP19-AQ19</f>
        <v>-0.3280575358656157</v>
      </c>
      <c r="AR20" s="56"/>
      <c r="AS20" s="57"/>
      <c r="AT20" s="51"/>
      <c r="AU20" s="52">
        <f>AT19-AU19</f>
        <v>-0.21103272666555339</v>
      </c>
      <c r="AV20" s="34"/>
      <c r="AW20" s="30">
        <f>AV19-AW19</f>
        <v>9.0862388249636883E-2</v>
      </c>
      <c r="AX20" s="34"/>
      <c r="AY20" s="30">
        <f>AX19-AY19</f>
        <v>0.1908103639278278</v>
      </c>
      <c r="AZ20" s="34"/>
      <c r="BA20" s="30">
        <f>AZ19-BA19</f>
        <v>-7.9933946816801438E-4</v>
      </c>
      <c r="BB20" s="34"/>
      <c r="BC20" s="30">
        <f>BB19-BC19</f>
        <v>-6.9660086671819776E-2</v>
      </c>
    </row>
    <row r="21" spans="2:59" ht="15.75" thickBot="1" x14ac:dyDescent="0.3">
      <c r="B21">
        <v>18</v>
      </c>
      <c r="C21" s="3">
        <v>46661</v>
      </c>
      <c r="D21" s="3">
        <v>250</v>
      </c>
      <c r="E21" s="11">
        <f t="shared" si="8"/>
        <v>52422.782747585821</v>
      </c>
      <c r="F21" s="11">
        <f t="shared" si="9"/>
        <v>302.49923664122144</v>
      </c>
      <c r="G21" s="12">
        <f>Tabelle3[[#This Row],[Werkzeuge (€)]]/$S$24*$G$24</f>
        <v>42194.310459068496</v>
      </c>
      <c r="H21" s="4">
        <f>Tabelle3[[#This Row],[Werkzeuge (Backer)]]/$T$24*$H$24</f>
        <v>229.95634920634919</v>
      </c>
      <c r="I21" s="11">
        <f>Tabelle3[[#This Row],[Mythos (€)]]/$U$24*$I$24</f>
        <v>55958.207189170149</v>
      </c>
      <c r="J21" s="11">
        <f>Tabelle3[[#This Row],[Mythos (Backer)]]/$V$24*$J$24</f>
        <v>313.56891701828408</v>
      </c>
      <c r="K21" s="4">
        <f>Tabelle3[[#This Row],[DSK (€)]]/$W$24*$I$24</f>
        <v>46292.174169276972</v>
      </c>
      <c r="L21" s="4">
        <f>Tabelle3[[#This Row],[DSK (Backer)]]/$X$24*$L$24</f>
        <v>271.88719512195121</v>
      </c>
      <c r="M21" s="4">
        <f>Tabelle3[[#This Row],[Mythen (€)]]/$Y$24*$M$24</f>
        <v>46238.001855534945</v>
      </c>
      <c r="N21" s="4">
        <f>Tabelle3[[#This Row],[Mythen (Backer)]]/$Z$24*$N$24</f>
        <v>263.74798387096774</v>
      </c>
      <c r="O21" s="4">
        <f>Tabelle3[[#This Row],[SOK (€)]]/$AA$24*$M$24</f>
        <v>52943.517463250668</v>
      </c>
      <c r="P21" s="4">
        <f>Tabelle3[[#This Row],[SOK (Backer)]]/$AB$24*$N$24</f>
        <v>295.90925480769232</v>
      </c>
      <c r="Q21" s="10">
        <f t="shared" si="10"/>
        <v>223868.70000000004</v>
      </c>
      <c r="R21" s="10">
        <f t="shared" si="11"/>
        <v>1370.4000000000003</v>
      </c>
      <c r="S21" s="13">
        <v>115420</v>
      </c>
      <c r="T21" s="13">
        <v>501</v>
      </c>
      <c r="U21" s="10">
        <f t="shared" si="4"/>
        <v>107144.99999999996</v>
      </c>
      <c r="V21" s="10">
        <f t="shared" si="5"/>
        <v>642.5</v>
      </c>
      <c r="W21" s="3">
        <v>91974</v>
      </c>
      <c r="X21" s="3">
        <v>514</v>
      </c>
      <c r="Y21" s="3">
        <v>66749</v>
      </c>
      <c r="Z21" s="3">
        <v>377</v>
      </c>
      <c r="AA21" s="3">
        <v>203119</v>
      </c>
      <c r="AB21" s="3">
        <v>1419</v>
      </c>
      <c r="AC21" s="439">
        <f>'Gunst der Göttin'!BE220</f>
        <v>280832</v>
      </c>
      <c r="AD21" s="439">
        <f>'Gunst der Göttin'!BF220</f>
        <v>1210</v>
      </c>
      <c r="AE21" s="439">
        <f>'Gunst der Göttin'!AB220</f>
        <v>187527</v>
      </c>
      <c r="AF21" s="439">
        <f>'Gunst der Göttin'!AC220</f>
        <v>781</v>
      </c>
      <c r="AG21" s="14">
        <f>Tabelle3[[#This Row],[Nedime (€)]]/C$24</f>
        <v>0.74843211163685941</v>
      </c>
      <c r="AH21" s="9">
        <f>Tabelle3[[#This Row],[Nedime (Backer)]]/D$24</f>
        <v>0.72046109510086453</v>
      </c>
      <c r="AI21" s="9"/>
      <c r="AJ21" s="9"/>
      <c r="AK21" s="14">
        <f>Tabelle3[[#This Row],[Werkzeuge (€)]]/S$24</f>
        <v>0.67678740009733729</v>
      </c>
      <c r="AL21" s="14">
        <f>Tabelle3[[#This Row],[Werkzeuge (Backer)]]/T$24</f>
        <v>0.66269841269841268</v>
      </c>
      <c r="AM21" s="15"/>
      <c r="AN21" s="15"/>
    </row>
    <row r="22" spans="2:59" x14ac:dyDescent="0.25">
      <c r="B22">
        <v>19</v>
      </c>
      <c r="C22" s="3">
        <v>49576</v>
      </c>
      <c r="D22" s="3">
        <v>267</v>
      </c>
      <c r="E22" s="11">
        <f t="shared" si="8"/>
        <v>55730.18849839054</v>
      </c>
      <c r="F22" s="11">
        <f t="shared" si="9"/>
        <v>317.332824427481</v>
      </c>
      <c r="G22" s="12">
        <f>Tabelle3[[#This Row],[Werkzeuge (€)]]/$S$24*$G$24</f>
        <v>45163.485554793275</v>
      </c>
      <c r="H22" s="4">
        <f>Tabelle3[[#This Row],[Werkzeuge (Backer)]]/$T$24*$H$24</f>
        <v>246.48015873015873</v>
      </c>
      <c r="I22" s="11">
        <f>Tabelle3[[#This Row],[Mythos (€)]]/$U$24*$I$24</f>
        <v>58087.138126113423</v>
      </c>
      <c r="J22" s="11">
        <f>Tabelle3[[#This Row],[Mythos (Backer)]]/$V$24*$J$24</f>
        <v>324.71261134552276</v>
      </c>
      <c r="K22" s="4">
        <f>Tabelle3[[#This Row],[DSK (€)]]/$W$24*$I$24</f>
        <v>50920.686940937128</v>
      </c>
      <c r="L22" s="4">
        <f>Tabelle3[[#This Row],[DSK (Backer)]]/$X$24*$L$24</f>
        <v>290.40091463414637</v>
      </c>
      <c r="M22" s="4">
        <f>Tabelle3[[#This Row],[Mythen (€)]]/$Y$24*$M$24</f>
        <v>49482.676692481196</v>
      </c>
      <c r="N22" s="4">
        <f>Tabelle3[[#This Row],[Mythen (Backer)]]/$Z$24*$N$24</f>
        <v>280.53830645161293</v>
      </c>
      <c r="O22" s="4">
        <f>Tabelle3[[#This Row],[SOK (€)]]/$AA$24*$M$24</f>
        <v>55306.855569677406</v>
      </c>
      <c r="P22" s="4">
        <f>Tabelle3[[#This Row],[SOK (Backer)]]/$AB$24*$N$24</f>
        <v>309.25540865384619</v>
      </c>
      <c r="Q22" s="10">
        <f t="shared" si="10"/>
        <v>237992.80000000005</v>
      </c>
      <c r="R22" s="10">
        <f t="shared" si="11"/>
        <v>1437.6000000000004</v>
      </c>
      <c r="S22" s="13">
        <v>123542</v>
      </c>
      <c r="T22" s="13">
        <v>537</v>
      </c>
      <c r="U22" s="10">
        <f t="shared" si="4"/>
        <v>111221.33333333328</v>
      </c>
      <c r="V22" s="10">
        <f t="shared" si="5"/>
        <v>665.33333333333337</v>
      </c>
      <c r="W22" s="3">
        <v>101170</v>
      </c>
      <c r="X22" s="3">
        <v>549</v>
      </c>
      <c r="Y22" s="3">
        <v>71433</v>
      </c>
      <c r="Z22" s="3">
        <v>401</v>
      </c>
      <c r="AA22" s="3">
        <v>212186</v>
      </c>
      <c r="AB22" s="3">
        <v>1483</v>
      </c>
      <c r="AC22" s="439">
        <f>'Gunst der Göttin'!BE221</f>
        <v>299641</v>
      </c>
      <c r="AD22" s="439">
        <f>'Gunst der Göttin'!BF221</f>
        <v>1290</v>
      </c>
      <c r="AE22" s="439">
        <f>'Gunst der Göttin'!AB221</f>
        <v>197700</v>
      </c>
      <c r="AF22" s="439">
        <f>'Gunst der Göttin'!AC221</f>
        <v>827</v>
      </c>
      <c r="AG22" s="14">
        <f>Tabelle3[[#This Row],[Nedime (€)]]/C$24</f>
        <v>0.79518806640468365</v>
      </c>
      <c r="AH22" s="9">
        <f>Tabelle3[[#This Row],[Nedime (Backer)]]/D$24</f>
        <v>0.7694524495677233</v>
      </c>
      <c r="AI22" s="9"/>
      <c r="AJ22" s="9"/>
      <c r="AK22" s="14">
        <f>Tabelle3[[#This Row],[Werkzeuge (€)]]/S$24</f>
        <v>0.72441231140898665</v>
      </c>
      <c r="AL22" s="14">
        <f>Tabelle3[[#This Row],[Werkzeuge (Backer)]]/T$24</f>
        <v>0.71031746031746035</v>
      </c>
      <c r="AM22" s="15"/>
      <c r="AN22" s="15"/>
      <c r="AP22" s="25" t="s">
        <v>160</v>
      </c>
      <c r="AQ22" s="31" t="s">
        <v>160</v>
      </c>
      <c r="AR22" s="53"/>
      <c r="AS22" s="54"/>
      <c r="AT22" s="49" t="s">
        <v>160</v>
      </c>
      <c r="AU22" s="50" t="s">
        <v>160</v>
      </c>
      <c r="AV22" s="32" t="s">
        <v>160</v>
      </c>
      <c r="AW22" s="26" t="s">
        <v>160</v>
      </c>
      <c r="AX22" s="32" t="s">
        <v>160</v>
      </c>
      <c r="AY22" s="26" t="s">
        <v>160</v>
      </c>
      <c r="AZ22" s="32" t="s">
        <v>160</v>
      </c>
      <c r="BA22" s="26" t="s">
        <v>160</v>
      </c>
      <c r="BB22" s="32" t="s">
        <v>160</v>
      </c>
      <c r="BC22" s="26" t="s">
        <v>160</v>
      </c>
    </row>
    <row r="23" spans="2:59" s="16" customFormat="1" x14ac:dyDescent="0.25">
      <c r="B23" s="16">
        <v>20</v>
      </c>
      <c r="C23" s="13">
        <v>54612</v>
      </c>
      <c r="D23" s="13">
        <v>300</v>
      </c>
      <c r="E23" s="17">
        <f t="shared" si="8"/>
        <v>59037.594249195259</v>
      </c>
      <c r="F23" s="17">
        <f t="shared" si="9"/>
        <v>332.16641221374056</v>
      </c>
      <c r="G23" s="12">
        <f>Tabelle3[[#This Row],[Werkzeuge (€)]]/$S$24*$G$24</f>
        <v>47642.79428407245</v>
      </c>
      <c r="H23" s="12">
        <f>Tabelle3[[#This Row],[Werkzeuge (Backer)]]/$T$24*$H$24</f>
        <v>264.38095238095235</v>
      </c>
      <c r="I23" s="17">
        <f>Tabelle3[[#This Row],[Mythos (€)]]/$U$24*$I$24</f>
        <v>60216.069063056697</v>
      </c>
      <c r="J23" s="17">
        <f>Tabelle3[[#This Row],[Mythos (Backer)]]/$V$24*$J$24</f>
        <v>335.85630567276144</v>
      </c>
      <c r="K23" s="4">
        <f>Tabelle3[[#This Row],[DSK (€)]]/$W$24*$I$24</f>
        <v>54792.209368036936</v>
      </c>
      <c r="L23" s="4">
        <f>Tabelle3[[#This Row],[DSK (Backer)]]/$X$24*$L$24</f>
        <v>308.91463414634148</v>
      </c>
      <c r="M23" s="4">
        <f>Tabelle3[[#This Row],[Mythen (€)]]/$Y$24*$M$24</f>
        <v>54719.598504461064</v>
      </c>
      <c r="N23" s="4">
        <f>Tabelle3[[#This Row],[Mythen (Backer)]]/$Z$24*$N$24</f>
        <v>307.82258064516128</v>
      </c>
      <c r="O23" s="4">
        <f>Tabelle3[[#This Row],[SOK (€)]]/$AA$24*$M$24</f>
        <v>57577.401311938731</v>
      </c>
      <c r="P23" s="4">
        <f>Tabelle3[[#This Row],[SOK (Backer)]]/$AB$24*$N$24</f>
        <v>322.18449519230768</v>
      </c>
      <c r="Q23" s="18">
        <f t="shared" si="10"/>
        <v>252116.90000000005</v>
      </c>
      <c r="R23" s="18">
        <f t="shared" si="11"/>
        <v>1504.8000000000004</v>
      </c>
      <c r="S23" s="13">
        <v>130324</v>
      </c>
      <c r="T23" s="13">
        <v>576</v>
      </c>
      <c r="U23" s="18">
        <f t="shared" si="4"/>
        <v>115297.66666666661</v>
      </c>
      <c r="V23" s="18">
        <f t="shared" si="5"/>
        <v>688.16666666666674</v>
      </c>
      <c r="W23" s="13">
        <v>108862</v>
      </c>
      <c r="X23" s="13">
        <v>584</v>
      </c>
      <c r="Y23" s="3">
        <v>78993</v>
      </c>
      <c r="Z23" s="3">
        <v>440</v>
      </c>
      <c r="AA23" s="3">
        <v>220897</v>
      </c>
      <c r="AB23" s="3">
        <v>1545</v>
      </c>
      <c r="AC23" s="439">
        <f>'Gunst der Göttin'!BE222</f>
        <v>330836</v>
      </c>
      <c r="AD23" s="439">
        <f>'Gunst der Göttin'!BF222</f>
        <v>1421</v>
      </c>
      <c r="AE23" s="439">
        <f>'Gunst der Göttin'!AB222</f>
        <v>205967</v>
      </c>
      <c r="AF23" s="439">
        <f>'Gunst der Göttin'!AC222</f>
        <v>863</v>
      </c>
      <c r="AG23" s="14">
        <f>Tabelle3[[#This Row],[Nedime (€)]]/C$24</f>
        <v>0.87596439169139462</v>
      </c>
      <c r="AH23" s="14">
        <f>Tabelle3[[#This Row],[Nedime (Backer)]]/D$24</f>
        <v>0.86455331412103742</v>
      </c>
      <c r="AI23" s="14"/>
      <c r="AJ23" s="14"/>
      <c r="AK23" s="14">
        <f>Tabelle3[[#This Row],[Werkzeuge (€)]]/S$24</f>
        <v>0.76417987463425219</v>
      </c>
      <c r="AL23" s="14">
        <f>Tabelle3[[#This Row],[Werkzeuge (Backer)]]/T$24</f>
        <v>0.76190476190476186</v>
      </c>
      <c r="AM23" s="14"/>
      <c r="AN23" s="14"/>
      <c r="AP23" s="27" t="s">
        <v>82</v>
      </c>
      <c r="AQ23" s="8" t="s">
        <v>83</v>
      </c>
      <c r="AR23" s="47"/>
      <c r="AS23" s="55"/>
      <c r="AT23" s="5" t="s">
        <v>124</v>
      </c>
      <c r="AU23" s="8" t="s">
        <v>125</v>
      </c>
      <c r="AV23" s="5" t="s">
        <v>88</v>
      </c>
      <c r="AW23" s="28" t="s">
        <v>89</v>
      </c>
      <c r="AX23" s="5" t="s">
        <v>154</v>
      </c>
      <c r="AY23" s="28" t="s">
        <v>155</v>
      </c>
      <c r="AZ23" s="5" t="s">
        <v>205</v>
      </c>
      <c r="BA23" s="28" t="s">
        <v>206</v>
      </c>
      <c r="BB23" s="5" t="s">
        <v>361</v>
      </c>
      <c r="BC23" s="28" t="s">
        <v>362</v>
      </c>
      <c r="BD23" s="16" t="s">
        <v>91</v>
      </c>
      <c r="BE23" s="23">
        <f>MIN(AP24,AR24,AT24,AV24,AX24,AZ24,BB24)</f>
        <v>1.874455346227391</v>
      </c>
      <c r="BF23" s="23">
        <f>MIN(AQ24,AS24,AU24,AW24,AY24,BA24,BC24)</f>
        <v>1.8675645342312008</v>
      </c>
      <c r="BG23"/>
    </row>
    <row r="24" spans="2:59" x14ac:dyDescent="0.25">
      <c r="B24">
        <v>21</v>
      </c>
      <c r="C24" s="3">
        <v>62345</v>
      </c>
      <c r="D24" s="3">
        <v>347</v>
      </c>
      <c r="E24" s="4">
        <f>Tabelle3[[#This Row],[Nedime (€)]]</f>
        <v>62345</v>
      </c>
      <c r="F24" s="4">
        <f>Tabelle3[[#This Row],[Nedime (Backer)]]</f>
        <v>347</v>
      </c>
      <c r="G24" s="12">
        <f>Tabelle3[[#This Row],[Nedime (€)]]</f>
        <v>62345</v>
      </c>
      <c r="H24" s="12">
        <f>Tabelle3[[#This Row],[Nedime (Backer)]]</f>
        <v>347</v>
      </c>
      <c r="I24" s="12">
        <f>Tabelle3[[#This Row],[Nedime (€)]]</f>
        <v>62345</v>
      </c>
      <c r="J24" s="12">
        <f>Tabelle3[[#This Row],[Nedime (Backer)]]</f>
        <v>347</v>
      </c>
      <c r="K24" s="12">
        <f>Tabelle3[[#This Row],[Nedime (€)]]</f>
        <v>62345</v>
      </c>
      <c r="L24" s="12">
        <f>Tabelle3[[#This Row],[Nedime (Backer)]]</f>
        <v>347</v>
      </c>
      <c r="M24" s="12">
        <f>Tabelle3[[#This Row],[Nedime (€)]]</f>
        <v>62345</v>
      </c>
      <c r="N24" s="12">
        <f>Tabelle3[[#This Row],[Nedime (Backer)]]</f>
        <v>347</v>
      </c>
      <c r="O24" s="4">
        <f>Tabelle3[[#This Row],[SOK (€)]]/$AA$24*$M$24</f>
        <v>62345</v>
      </c>
      <c r="P24" s="4">
        <f>Tabelle3[[#This Row],[SOK (Backer)]]/$AB$24*$N$24</f>
        <v>347</v>
      </c>
      <c r="Q24" s="3">
        <v>266241</v>
      </c>
      <c r="R24" s="3">
        <v>1572</v>
      </c>
      <c r="S24" s="13">
        <v>170541</v>
      </c>
      <c r="T24" s="13">
        <v>756</v>
      </c>
      <c r="U24" s="13">
        <v>119374</v>
      </c>
      <c r="V24" s="13">
        <v>711</v>
      </c>
      <c r="W24" s="13">
        <v>123868</v>
      </c>
      <c r="X24" s="13">
        <v>656</v>
      </c>
      <c r="Y24" s="3">
        <v>90001</v>
      </c>
      <c r="Z24" s="3">
        <v>496</v>
      </c>
      <c r="AA24" s="3">
        <v>239188</v>
      </c>
      <c r="AB24" s="3">
        <v>1664</v>
      </c>
      <c r="AC24" s="439">
        <f>'Gunst der Göttin'!BE223</f>
        <v>389236</v>
      </c>
      <c r="AD24" s="439">
        <f>'Gunst der Göttin'!BF223</f>
        <v>1656</v>
      </c>
      <c r="AE24" s="439">
        <f>'Gunst der Göttin'!AB223</f>
        <v>232540</v>
      </c>
      <c r="AF24" s="439">
        <f>'Gunst der Göttin'!AC223</f>
        <v>977</v>
      </c>
      <c r="AG24" s="14">
        <f>Tabelle3[[#This Row],[Nedime (€)]]/C$24</f>
        <v>1</v>
      </c>
      <c r="AH24" s="14">
        <f>Tabelle3[[#This Row],[Nedime (Backer)]]/D$24</f>
        <v>1</v>
      </c>
      <c r="AI24" s="9">
        <f>Tabelle3[[#This Row],[Thorwal (€)]]/Q$24</f>
        <v>1</v>
      </c>
      <c r="AJ24" s="9">
        <f>Tabelle3[[#This Row],[Thorwal (Backer)]]/R$24</f>
        <v>1</v>
      </c>
      <c r="AK24" s="14">
        <f>Tabelle3[[#This Row],[Werkzeuge (€)]]/S$24</f>
        <v>1</v>
      </c>
      <c r="AL24" s="14">
        <f>Tabelle3[[#This Row],[Werkzeuge (Backer)]]/T$24</f>
        <v>1</v>
      </c>
      <c r="AM24" s="14">
        <f>Tabelle3[[#This Row],[Mythos (€)]]/U$24</f>
        <v>1</v>
      </c>
      <c r="AN24" s="14">
        <f>Tabelle3[[#This Row],[Mythos (Backer)]]/V$24</f>
        <v>1</v>
      </c>
      <c r="AP24" s="27">
        <f>C24/C7</f>
        <v>3.301996716275621</v>
      </c>
      <c r="AQ24" s="8">
        <f>D24/D7</f>
        <v>3.6526315789473682</v>
      </c>
      <c r="AR24" s="47"/>
      <c r="AS24" s="55"/>
      <c r="AT24" s="19">
        <f>S24/S7</f>
        <v>2.8441038640494973</v>
      </c>
      <c r="AU24" s="20">
        <f>T24/T7</f>
        <v>3.0607287449392713</v>
      </c>
      <c r="AV24" s="19">
        <f t="shared" ref="AV24:BC24" si="13">W24/W7</f>
        <v>2.5828971787226056</v>
      </c>
      <c r="AW24" s="48">
        <f t="shared" si="13"/>
        <v>2.4848484848484849</v>
      </c>
      <c r="AX24" s="19">
        <f t="shared" si="13"/>
        <v>2.9679791584223718</v>
      </c>
      <c r="AY24" s="48">
        <f t="shared" si="13"/>
        <v>2.7865168539325844</v>
      </c>
      <c r="AZ24" s="19">
        <f t="shared" si="13"/>
        <v>1.874455346227391</v>
      </c>
      <c r="BA24" s="48">
        <f t="shared" si="13"/>
        <v>1.8675645342312008</v>
      </c>
      <c r="BB24" s="19">
        <f t="shared" si="13"/>
        <v>3.1432078427572394</v>
      </c>
      <c r="BC24" s="48">
        <f t="shared" si="13"/>
        <v>3.1846153846153844</v>
      </c>
      <c r="BD24" t="s">
        <v>92</v>
      </c>
      <c r="BE24" s="24">
        <f>MAX(AP24,AR24,AT24,AV24,AX24,AZ24,BB24)</f>
        <v>3.301996716275621</v>
      </c>
      <c r="BF24" s="24">
        <f>MAX(,AQ24,AS24,AU24,AW24,AY24,BA24,BC24)</f>
        <v>3.6526315789473682</v>
      </c>
    </row>
    <row r="25" spans="2:59" ht="15.75" thickBot="1" x14ac:dyDescent="0.3">
      <c r="G25" s="12"/>
      <c r="H25" s="12"/>
      <c r="I25" s="12"/>
      <c r="J25" s="12"/>
      <c r="K25" s="12"/>
      <c r="L25" s="12"/>
      <c r="M25" s="12"/>
      <c r="N25" s="12"/>
      <c r="O25" s="12"/>
      <c r="P25" s="12"/>
      <c r="AP25" s="29"/>
      <c r="AQ25" s="33">
        <f>AP24-AQ24</f>
        <v>-0.35063486267174726</v>
      </c>
      <c r="AR25" s="56"/>
      <c r="AS25" s="57"/>
      <c r="AT25" s="51"/>
      <c r="AU25" s="52">
        <f>AT24-AU24</f>
        <v>-0.21662488088977394</v>
      </c>
      <c r="AV25" s="34"/>
      <c r="AW25" s="30">
        <f>AV24-AW24</f>
        <v>9.804869387412074E-2</v>
      </c>
      <c r="AX25" s="34"/>
      <c r="AY25" s="30">
        <f>AX24-AY24</f>
        <v>0.1814623044897874</v>
      </c>
      <c r="AZ25" s="34"/>
      <c r="BA25" s="30">
        <f>AZ24-BA24</f>
        <v>6.8908119961901271E-3</v>
      </c>
      <c r="BB25" s="34"/>
      <c r="BC25" s="30">
        <f>BB24-BC24</f>
        <v>-4.1407541858144992E-2</v>
      </c>
    </row>
    <row r="26" spans="2:59" ht="15.75" thickBot="1" x14ac:dyDescent="0.3">
      <c r="V26"/>
      <c r="W26"/>
      <c r="X26"/>
      <c r="AC26" s="35" t="s">
        <v>126</v>
      </c>
      <c r="AD26" s="37" t="s">
        <v>128</v>
      </c>
      <c r="AE26" s="61">
        <f>$AE$4*BE8</f>
        <v>203819.57550565555</v>
      </c>
      <c r="AF26" s="61">
        <f>$AF$4*BF8</f>
        <v>843.98079999999993</v>
      </c>
      <c r="AI26" s="36">
        <f>AE26/AF26</f>
        <v>241.49788183055298</v>
      </c>
      <c r="AJ26" s="36"/>
    </row>
    <row r="27" spans="2:59" x14ac:dyDescent="0.25">
      <c r="V27"/>
      <c r="W27"/>
      <c r="X27"/>
      <c r="AC27" s="35"/>
      <c r="AD27" s="35" t="s">
        <v>129</v>
      </c>
      <c r="AE27" s="61">
        <f>$AE$4*BE9</f>
        <v>358741.17079285486</v>
      </c>
      <c r="AF27" s="61">
        <f>$AF$4*BF9</f>
        <v>1539.4486803519062</v>
      </c>
      <c r="AG27" s="36"/>
      <c r="AH27" s="36"/>
      <c r="AI27" s="36">
        <f>AE27/AF27</f>
        <v>233.03223769099557</v>
      </c>
      <c r="AJ27" s="36"/>
      <c r="AP27" s="25" t="s">
        <v>161</v>
      </c>
      <c r="AQ27" s="31" t="s">
        <v>161</v>
      </c>
      <c r="AR27" s="53"/>
      <c r="AS27" s="54"/>
      <c r="AT27" s="49" t="s">
        <v>161</v>
      </c>
      <c r="AU27" s="50" t="s">
        <v>161</v>
      </c>
      <c r="AV27" s="32" t="s">
        <v>161</v>
      </c>
      <c r="AW27" s="26" t="s">
        <v>161</v>
      </c>
      <c r="AX27" s="32" t="s">
        <v>161</v>
      </c>
      <c r="AY27" s="26" t="s">
        <v>161</v>
      </c>
      <c r="AZ27" s="32" t="s">
        <v>161</v>
      </c>
      <c r="BA27" s="26" t="s">
        <v>161</v>
      </c>
      <c r="BB27" s="32" t="s">
        <v>161</v>
      </c>
      <c r="BC27" s="26" t="s">
        <v>161</v>
      </c>
    </row>
    <row r="28" spans="2:59" x14ac:dyDescent="0.25">
      <c r="AC28" s="35"/>
      <c r="AD28" s="35"/>
      <c r="AG28" s="3">
        <f>AVERAGE(AE26:AE27)</f>
        <v>281280.37314925517</v>
      </c>
      <c r="AH28" s="3">
        <f>AVERAGE(AF26:AF27)</f>
        <v>1191.714740175953</v>
      </c>
      <c r="AI28" s="36"/>
      <c r="AJ28" s="36">
        <f>AG28/AH28</f>
        <v>236.0299521911804</v>
      </c>
      <c r="AP28" s="27" t="s">
        <v>82</v>
      </c>
      <c r="AQ28" s="8" t="s">
        <v>83</v>
      </c>
      <c r="AR28" s="47"/>
      <c r="AS28" s="55"/>
      <c r="AT28" s="5" t="s">
        <v>124</v>
      </c>
      <c r="AU28" s="8" t="s">
        <v>125</v>
      </c>
      <c r="AV28" s="5" t="s">
        <v>88</v>
      </c>
      <c r="AW28" s="28" t="s">
        <v>89</v>
      </c>
      <c r="AX28" s="5" t="s">
        <v>154</v>
      </c>
      <c r="AY28" s="28" t="s">
        <v>155</v>
      </c>
      <c r="AZ28" s="5" t="s">
        <v>205</v>
      </c>
      <c r="BA28" s="28" t="s">
        <v>206</v>
      </c>
      <c r="BB28" s="5" t="s">
        <v>361</v>
      </c>
      <c r="BC28" s="28" t="s">
        <v>362</v>
      </c>
      <c r="BD28" s="16" t="s">
        <v>91</v>
      </c>
      <c r="BE28" s="23">
        <f>MIN(AP29,AR29,AT29,AV29,AX29,AZ29,BB29)</f>
        <v>1.8220515867574691</v>
      </c>
      <c r="BF28" s="23">
        <f>MIN(AQ29,AS29,AU29,AW29,AY29,BA29,BC29)</f>
        <v>1.812636165577342</v>
      </c>
    </row>
    <row r="29" spans="2:59" x14ac:dyDescent="0.25">
      <c r="AC29" s="35" t="s">
        <v>127</v>
      </c>
      <c r="AD29" s="35" t="s">
        <v>128</v>
      </c>
      <c r="AE29" s="61">
        <f>$AE$5*BE13</f>
        <v>210221.83658324782</v>
      </c>
      <c r="AF29" s="61">
        <f>$AF$5*BF13</f>
        <v>879.45247148288979</v>
      </c>
      <c r="AG29" s="35"/>
      <c r="AH29" s="35"/>
      <c r="AI29" s="36">
        <f>AE29/AF29</f>
        <v>239.03717756205975</v>
      </c>
      <c r="AJ29" s="36"/>
      <c r="AP29" s="27">
        <f>C24/C8</f>
        <v>2.8486246915836606</v>
      </c>
      <c r="AQ29" s="8">
        <f>D24/D8</f>
        <v>3.1261261261261262</v>
      </c>
      <c r="AR29" s="47"/>
      <c r="AS29" s="55"/>
      <c r="AT29" s="19">
        <f>S24/S8</f>
        <v>2.7020676542818665</v>
      </c>
      <c r="AU29" s="20">
        <f>T24/T8</f>
        <v>2.8636363636363638</v>
      </c>
      <c r="AV29" s="19">
        <f t="shared" ref="AV29:BC29" si="14">W24/W8</f>
        <v>2.4401237121525519</v>
      </c>
      <c r="AW29" s="48">
        <f t="shared" si="14"/>
        <v>2.342857142857143</v>
      </c>
      <c r="AX29" s="19">
        <f t="shared" si="14"/>
        <v>2.7589896079212779</v>
      </c>
      <c r="AY29" s="48">
        <f t="shared" si="14"/>
        <v>2.5968586387434556</v>
      </c>
      <c r="AZ29" s="19">
        <f t="shared" si="14"/>
        <v>1.8220515867574691</v>
      </c>
      <c r="BA29" s="48">
        <f t="shared" si="14"/>
        <v>1.812636165577342</v>
      </c>
      <c r="BB29" s="19">
        <f t="shared" si="14"/>
        <v>2.9487128982894197</v>
      </c>
      <c r="BC29" s="48">
        <f t="shared" si="14"/>
        <v>2.9361702127659575</v>
      </c>
      <c r="BD29" t="s">
        <v>92</v>
      </c>
      <c r="BE29" s="24">
        <f>MAX(AP29,AR29,AT29,AV29,AX29,AZ29,BB29)</f>
        <v>2.9487128982894197</v>
      </c>
      <c r="BF29" s="24">
        <f>MAX(,AQ29,AS29,AU29,AW29,AY29,BA29,BC29)</f>
        <v>3.1261261261261262</v>
      </c>
    </row>
    <row r="30" spans="2:59" ht="15.75" thickBot="1" x14ac:dyDescent="0.3">
      <c r="V30"/>
      <c r="W30"/>
      <c r="X30"/>
      <c r="AC30" s="35"/>
      <c r="AD30" s="35" t="s">
        <v>129</v>
      </c>
      <c r="AE30" s="61">
        <f>$AE$5*BE14</f>
        <v>404869.6068848102</v>
      </c>
      <c r="AF30" s="61">
        <f>$AF$5*BF14</f>
        <v>1764.6219512195121</v>
      </c>
      <c r="AG30" s="36"/>
      <c r="AH30" s="36"/>
      <c r="AI30" s="36">
        <f>AE30/AF30</f>
        <v>229.43702281670528</v>
      </c>
      <c r="AJ30" s="36"/>
      <c r="AP30" s="29"/>
      <c r="AQ30" s="33">
        <f>AP29-AQ29</f>
        <v>-0.27750143454246556</v>
      </c>
      <c r="AR30" s="56"/>
      <c r="AS30" s="57"/>
      <c r="AT30" s="51"/>
      <c r="AU30" s="52">
        <f>AT29-AU29</f>
        <v>-0.1615687093544973</v>
      </c>
      <c r="AV30" s="34"/>
      <c r="AW30" s="30">
        <f>AV29-AW29</f>
        <v>9.7266569295408889E-2</v>
      </c>
      <c r="AX30" s="34"/>
      <c r="AY30" s="30">
        <f>AX29-AY29</f>
        <v>0.16213096917782233</v>
      </c>
      <c r="AZ30" s="34"/>
      <c r="BA30" s="30">
        <f>AZ29-BA29</f>
        <v>9.4154211801271703E-3</v>
      </c>
      <c r="BB30" s="34"/>
      <c r="BC30" s="30">
        <f>BB29-BC29</f>
        <v>1.2542685523462271E-2</v>
      </c>
    </row>
    <row r="31" spans="2:59" ht="15.75" thickBot="1" x14ac:dyDescent="0.3">
      <c r="V31"/>
      <c r="W31"/>
      <c r="X31"/>
      <c r="AC31" s="35"/>
      <c r="AD31" s="35"/>
      <c r="AG31" s="3">
        <f>AVERAGE(AE29:AE30)</f>
        <v>307545.72173402901</v>
      </c>
      <c r="AH31" s="3">
        <f>AVERAGE(AF29:AF30)</f>
        <v>1322.037211351201</v>
      </c>
      <c r="AI31" s="36"/>
      <c r="AJ31" s="36">
        <f t="shared" ref="AJ31" si="15">AG31/AH31</f>
        <v>232.63015525841283</v>
      </c>
    </row>
    <row r="32" spans="2:59" x14ac:dyDescent="0.25">
      <c r="AC32" s="35" t="s">
        <v>149</v>
      </c>
      <c r="AD32" s="35" t="s">
        <v>128</v>
      </c>
      <c r="AE32" s="61">
        <f>$AE$6*BE18</f>
        <v>215700.45253389271</v>
      </c>
      <c r="AF32" s="61">
        <f>$AF$6*BF18</f>
        <v>894.49765258215962</v>
      </c>
      <c r="AG32" s="35"/>
      <c r="AH32" s="35"/>
      <c r="AI32" s="36">
        <f>AE32/AF32</f>
        <v>241.14144057418935</v>
      </c>
      <c r="AJ32" s="36"/>
      <c r="AP32" s="25" t="s">
        <v>164</v>
      </c>
      <c r="AQ32" s="31" t="s">
        <v>164</v>
      </c>
      <c r="AR32" s="53"/>
      <c r="AS32" s="54"/>
      <c r="AT32" s="49" t="s">
        <v>164</v>
      </c>
      <c r="AU32" s="50" t="s">
        <v>164</v>
      </c>
      <c r="AV32" s="32" t="s">
        <v>164</v>
      </c>
      <c r="AW32" s="26" t="s">
        <v>164</v>
      </c>
      <c r="AX32" s="32" t="s">
        <v>164</v>
      </c>
      <c r="AY32" s="26" t="s">
        <v>164</v>
      </c>
      <c r="AZ32" s="32" t="s">
        <v>164</v>
      </c>
      <c r="BA32" s="26" t="s">
        <v>164</v>
      </c>
      <c r="BB32" s="32" t="s">
        <v>164</v>
      </c>
      <c r="BC32" s="26" t="s">
        <v>164</v>
      </c>
    </row>
    <row r="33" spans="25:58" x14ac:dyDescent="0.25">
      <c r="AC33" s="35"/>
      <c r="AD33" s="35" t="s">
        <v>129</v>
      </c>
      <c r="AE33" s="61">
        <f>$AE$6*BE19</f>
        <v>389746.2011995021</v>
      </c>
      <c r="AF33" s="61">
        <f>$AF$6*BF19</f>
        <v>1765.8444444444444</v>
      </c>
      <c r="AI33" s="36">
        <f>AE33/AF33</f>
        <v>220.71377941907045</v>
      </c>
      <c r="AJ33" s="36"/>
      <c r="AP33" s="27" t="s">
        <v>82</v>
      </c>
      <c r="AQ33" s="8" t="s">
        <v>83</v>
      </c>
      <c r="AR33" s="47"/>
      <c r="AS33" s="55"/>
      <c r="AT33" s="5" t="s">
        <v>124</v>
      </c>
      <c r="AU33" s="8" t="s">
        <v>125</v>
      </c>
      <c r="AV33" s="5" t="s">
        <v>88</v>
      </c>
      <c r="AW33" s="28" t="s">
        <v>89</v>
      </c>
      <c r="AX33" s="5" t="s">
        <v>154</v>
      </c>
      <c r="AY33" s="28" t="s">
        <v>155</v>
      </c>
      <c r="AZ33" s="5" t="s">
        <v>205</v>
      </c>
      <c r="BA33" s="28" t="s">
        <v>206</v>
      </c>
      <c r="BB33" s="5" t="s">
        <v>361</v>
      </c>
      <c r="BC33" s="28" t="s">
        <v>362</v>
      </c>
      <c r="BD33" s="16" t="s">
        <v>91</v>
      </c>
      <c r="BE33" s="23">
        <f>MIN(AP34,AR34,AT34,AV34,AX34,AZ34,BB34)</f>
        <v>1.7640143665233456</v>
      </c>
      <c r="BF33" s="23">
        <f>MIN(AQ34,AS34,AU34,AW34,AY34,BA34,BC34)</f>
        <v>1.746065057712487</v>
      </c>
    </row>
    <row r="34" spans="25:58" x14ac:dyDescent="0.25">
      <c r="AC34" s="35"/>
      <c r="AD34" s="35"/>
      <c r="AG34" s="3">
        <f>AVERAGE(AE32:AE33)</f>
        <v>302723.3268666974</v>
      </c>
      <c r="AH34" s="3">
        <f>AVERAGE(AF32:AF33)</f>
        <v>1330.1710485133021</v>
      </c>
      <c r="AI34" s="36"/>
      <c r="AJ34" s="36">
        <f t="shared" ref="AJ34" si="16">AG34/AH34</f>
        <v>227.582255082941</v>
      </c>
      <c r="AP34" s="27">
        <f>C24/C9</f>
        <v>2.7621726994816358</v>
      </c>
      <c r="AQ34" s="8">
        <f>D24/D9</f>
        <v>3.0173913043478264</v>
      </c>
      <c r="AR34" s="47"/>
      <c r="AS34" s="55"/>
      <c r="AT34" s="19">
        <f>S24/S9</f>
        <v>2.6177472831092281</v>
      </c>
      <c r="AU34" s="20">
        <f>T24/T9</f>
        <v>2.7591240875912408</v>
      </c>
      <c r="AV34" s="19">
        <f t="shared" ref="AV34:BC34" si="17">W24/W9</f>
        <v>2.3011387913578183</v>
      </c>
      <c r="AW34" s="48">
        <f t="shared" si="17"/>
        <v>2.2312925170068025</v>
      </c>
      <c r="AX34" s="19">
        <f t="shared" si="17"/>
        <v>2.4012432966036124</v>
      </c>
      <c r="AY34" s="48">
        <f t="shared" si="17"/>
        <v>2.2545454545454544</v>
      </c>
      <c r="AZ34" s="19">
        <f t="shared" si="17"/>
        <v>1.7640143665233456</v>
      </c>
      <c r="BA34" s="48">
        <f t="shared" si="17"/>
        <v>1.746065057712487</v>
      </c>
      <c r="BB34" s="19">
        <f t="shared" si="17"/>
        <v>2.5784561166424877</v>
      </c>
      <c r="BC34" s="48">
        <f t="shared" si="17"/>
        <v>2.5398773006134969</v>
      </c>
      <c r="BD34" t="s">
        <v>92</v>
      </c>
      <c r="BE34" s="24">
        <f>MAX(AP34,AR34,AT34,AV34,AX34,AZ34,BB34)</f>
        <v>2.7621726994816358</v>
      </c>
      <c r="BF34" s="24">
        <f>MAX(,AQ34,AS34,AU34,AW34,AY34,BA34,BC34)</f>
        <v>3.0173913043478264</v>
      </c>
    </row>
    <row r="35" spans="25:58" ht="15.75" thickBot="1" x14ac:dyDescent="0.3">
      <c r="AC35" s="35" t="s">
        <v>162</v>
      </c>
      <c r="AD35" s="35" t="s">
        <v>128</v>
      </c>
      <c r="AE35" s="61">
        <f>$AE$7*BE23</f>
        <v>219920.47349612863</v>
      </c>
      <c r="AF35" s="61">
        <f>$AF$7*BF23</f>
        <v>907.63636363636363</v>
      </c>
      <c r="AI35" s="36">
        <f>AE35/AF35</f>
        <v>242.30020116760969</v>
      </c>
      <c r="AJ35" s="36"/>
      <c r="AP35" s="29"/>
      <c r="AQ35" s="33">
        <f>AP34-AQ34</f>
        <v>-0.25521860486619063</v>
      </c>
      <c r="AR35" s="56"/>
      <c r="AS35" s="57"/>
      <c r="AT35" s="51"/>
      <c r="AU35" s="52">
        <f>AT34-AU34</f>
        <v>-0.14137680448201273</v>
      </c>
      <c r="AV35" s="34"/>
      <c r="AW35" s="30">
        <f>AV34-AW34</f>
        <v>6.9846274351015758E-2</v>
      </c>
      <c r="AX35" s="34"/>
      <c r="AY35" s="30">
        <f>AX34-AY34</f>
        <v>0.14669784205815795</v>
      </c>
      <c r="AZ35" s="34"/>
      <c r="BA35" s="30">
        <f>AZ34-BA34</f>
        <v>1.7949308810858655E-2</v>
      </c>
      <c r="BB35" s="34"/>
      <c r="BC35" s="30">
        <f>BB34-BC34</f>
        <v>3.8578816028990826E-2</v>
      </c>
    </row>
    <row r="36" spans="25:58" ht="15.75" thickBot="1" x14ac:dyDescent="0.3">
      <c r="AC36" s="35"/>
      <c r="AD36" s="35" t="s">
        <v>129</v>
      </c>
      <c r="AE36" s="61">
        <f>$AE$7*BE24</f>
        <v>387406.76473703724</v>
      </c>
      <c r="AF36" s="61">
        <f>$AF$7*BF24</f>
        <v>1775.1789473684209</v>
      </c>
      <c r="AI36" s="36">
        <f>AE36/AF36</f>
        <v>218.23533075994439</v>
      </c>
      <c r="AJ36" s="36"/>
    </row>
    <row r="37" spans="25:58" x14ac:dyDescent="0.25">
      <c r="AC37" s="35"/>
      <c r="AD37" s="35"/>
      <c r="AG37" s="3">
        <f>AVERAGE(AE35:AE36)</f>
        <v>303663.61911658291</v>
      </c>
      <c r="AH37" s="3">
        <f>AVERAGE(AF35:AF36)</f>
        <v>1341.4076555023923</v>
      </c>
      <c r="AI37" s="36"/>
      <c r="AJ37" s="36">
        <f t="shared" ref="AJ37" si="18">AG37/AH37</f>
        <v>226.37683471610495</v>
      </c>
      <c r="AP37" s="25" t="s">
        <v>167</v>
      </c>
      <c r="AQ37" s="31" t="s">
        <v>167</v>
      </c>
      <c r="AR37" s="53"/>
      <c r="AS37" s="54"/>
      <c r="AT37" s="49" t="s">
        <v>167</v>
      </c>
      <c r="AU37" s="50" t="s">
        <v>167</v>
      </c>
      <c r="AV37" s="32" t="s">
        <v>167</v>
      </c>
      <c r="AW37" s="26" t="s">
        <v>167</v>
      </c>
      <c r="AX37" s="32" t="s">
        <v>167</v>
      </c>
      <c r="AY37" s="26" t="s">
        <v>167</v>
      </c>
      <c r="AZ37" s="32" t="s">
        <v>167</v>
      </c>
      <c r="BA37" s="26" t="s">
        <v>167</v>
      </c>
      <c r="BB37" s="32" t="s">
        <v>167</v>
      </c>
      <c r="BC37" s="26" t="s">
        <v>167</v>
      </c>
    </row>
    <row r="38" spans="25:58" x14ac:dyDescent="0.25">
      <c r="AC38" s="35" t="s">
        <v>163</v>
      </c>
      <c r="AD38" s="35" t="s">
        <v>128</v>
      </c>
      <c r="AE38" s="61">
        <f>$AE$8*BE28</f>
        <v>219316.70539482305</v>
      </c>
      <c r="AF38" s="61">
        <f>$AF$8*BF28</f>
        <v>900.88017429193894</v>
      </c>
      <c r="AI38" s="36">
        <f>AE38/AF38</f>
        <v>243.44714386372027</v>
      </c>
      <c r="AJ38" s="36"/>
      <c r="AP38" s="27" t="s">
        <v>82</v>
      </c>
      <c r="AQ38" s="8" t="s">
        <v>83</v>
      </c>
      <c r="AR38" s="47"/>
      <c r="AS38" s="55"/>
      <c r="AT38" s="5" t="s">
        <v>124</v>
      </c>
      <c r="AU38" s="8" t="s">
        <v>125</v>
      </c>
      <c r="AV38" s="5" t="s">
        <v>88</v>
      </c>
      <c r="AW38" s="28" t="s">
        <v>89</v>
      </c>
      <c r="AX38" s="5" t="s">
        <v>154</v>
      </c>
      <c r="AY38" s="28" t="s">
        <v>155</v>
      </c>
      <c r="AZ38" s="5" t="s">
        <v>205</v>
      </c>
      <c r="BA38" s="28" t="s">
        <v>206</v>
      </c>
      <c r="BB38" s="5" t="s">
        <v>361</v>
      </c>
      <c r="BC38" s="28" t="s">
        <v>362</v>
      </c>
      <c r="BD38" s="16" t="s">
        <v>91</v>
      </c>
      <c r="BE38" s="23">
        <f>MIN(AP39,AR39,AT39,AV39,AX39,AZ39,BB39)</f>
        <v>1.6238484151068928</v>
      </c>
      <c r="BF38" s="23">
        <f>MIN(AQ39,AS39,AU39,AW39,AY39,BA39,BC39)</f>
        <v>1.5938697318007662</v>
      </c>
    </row>
    <row r="39" spans="25:58" x14ac:dyDescent="0.25">
      <c r="AC39" s="35"/>
      <c r="AD39" s="35" t="s">
        <v>129</v>
      </c>
      <c r="AE39" s="61">
        <f>$AE$8*BE29</f>
        <v>354930.6741413009</v>
      </c>
      <c r="AF39" s="61">
        <f>$AF$8*BF29</f>
        <v>1553.6846846846847</v>
      </c>
      <c r="AI39" s="36">
        <f>AE39/AF39</f>
        <v>228.44446987216904</v>
      </c>
      <c r="AJ39" s="36"/>
      <c r="AP39" s="27">
        <f>C24/C10</f>
        <v>2.5783705541770057</v>
      </c>
      <c r="AQ39" s="8">
        <f>D24/D10</f>
        <v>2.7983870967741935</v>
      </c>
      <c r="AR39" s="47"/>
      <c r="AS39" s="55"/>
      <c r="AT39" s="19">
        <f>S24/S10</f>
        <v>2.4494922654869797</v>
      </c>
      <c r="AU39" s="20">
        <f>T24/T10</f>
        <v>2.5627118644067797</v>
      </c>
      <c r="AV39" s="19">
        <f t="shared" ref="AV39:BC39" si="19">W24/W10</f>
        <v>2.2126793019060038</v>
      </c>
      <c r="AW39" s="48">
        <f t="shared" si="19"/>
        <v>2.1298701298701297</v>
      </c>
      <c r="AX39" s="19">
        <f t="shared" si="19"/>
        <v>2.2375506550978295</v>
      </c>
      <c r="AY39" s="48">
        <f t="shared" si="19"/>
        <v>2.1016949152542375</v>
      </c>
      <c r="AZ39" s="19">
        <f t="shared" si="19"/>
        <v>1.6238484151068928</v>
      </c>
      <c r="BA39" s="48">
        <f t="shared" si="19"/>
        <v>1.5938697318007662</v>
      </c>
      <c r="BB39" s="19">
        <f t="shared" si="19"/>
        <v>2.366305755330079</v>
      </c>
      <c r="BC39" s="48">
        <f t="shared" si="19"/>
        <v>2.3356840620592383</v>
      </c>
      <c r="BD39" t="s">
        <v>92</v>
      </c>
      <c r="BE39" s="24">
        <f>MAX(AP39,AR39,AT39,AV39,AX39,AZ39,BB39)</f>
        <v>2.5783705541770057</v>
      </c>
      <c r="BF39" s="24">
        <f>MAX(,AQ39,AS39,AU39,AW39,AY39,BA39,BC39)</f>
        <v>2.7983870967741935</v>
      </c>
    </row>
    <row r="40" spans="25:58" ht="15.75" thickBot="1" x14ac:dyDescent="0.3">
      <c r="AC40" s="35"/>
      <c r="AD40" s="35"/>
      <c r="AG40" s="3">
        <f>AVERAGE(AE38:AE39)</f>
        <v>287123.68976806197</v>
      </c>
      <c r="AH40" s="3">
        <f>AVERAGE(AF38:AF39)</f>
        <v>1227.2824294883119</v>
      </c>
      <c r="AI40" s="36"/>
      <c r="AJ40" s="36">
        <f t="shared" ref="AJ40" si="20">AG40/AH40</f>
        <v>233.95078660726188</v>
      </c>
      <c r="AP40" s="29"/>
      <c r="AQ40" s="33">
        <f>AP39-AQ39</f>
        <v>-0.22001654259718784</v>
      </c>
      <c r="AR40" s="56"/>
      <c r="AS40" s="57"/>
      <c r="AT40" s="51"/>
      <c r="AU40" s="52">
        <f>AT39-AU39</f>
        <v>-0.11321959891979994</v>
      </c>
      <c r="AV40" s="34"/>
      <c r="AW40" s="30">
        <f>AV39-AW39</f>
        <v>8.2809172035874123E-2</v>
      </c>
      <c r="AX40" s="34"/>
      <c r="AY40" s="30">
        <f>AX39-AY39</f>
        <v>0.135855739843592</v>
      </c>
      <c r="AZ40" s="34"/>
      <c r="BA40" s="30">
        <f>AZ39-BA39</f>
        <v>2.997868330612663E-2</v>
      </c>
      <c r="BB40" s="34"/>
      <c r="BC40" s="30">
        <f>BB39-BC39</f>
        <v>3.0621693270840744E-2</v>
      </c>
    </row>
    <row r="41" spans="25:58" x14ac:dyDescent="0.25">
      <c r="AC41" s="35" t="s">
        <v>165</v>
      </c>
      <c r="AD41" s="35" t="s">
        <v>128</v>
      </c>
      <c r="AE41" s="61">
        <f>$AE$9*BE33</f>
        <v>217323.04192694314</v>
      </c>
      <c r="AF41" s="61">
        <f>$AF$9*BF33</f>
        <v>887.0010493179434</v>
      </c>
      <c r="AI41" s="36">
        <f>AE41/AF41</f>
        <v>245.00877658944484</v>
      </c>
      <c r="AJ41" s="36"/>
    </row>
    <row r="42" spans="25:58" x14ac:dyDescent="0.25">
      <c r="AC42" s="35"/>
      <c r="AD42" s="35" t="s">
        <v>129</v>
      </c>
      <c r="AE42" s="61">
        <f>$AE$9*BE34</f>
        <v>340294.15223073855</v>
      </c>
      <c r="AF42" s="61">
        <f>$AF$9*BF34</f>
        <v>1532.8347826086958</v>
      </c>
      <c r="AI42" s="36">
        <f>AE42/AF42</f>
        <v>222.00315134524794</v>
      </c>
      <c r="AJ42" s="36"/>
    </row>
    <row r="43" spans="25:58" x14ac:dyDescent="0.25">
      <c r="AC43" s="35"/>
      <c r="AD43" s="35"/>
      <c r="AG43" s="3">
        <f>AVERAGE(AE41:AE42)</f>
        <v>278808.59707884083</v>
      </c>
      <c r="AH43" s="3">
        <f>AVERAGE(AF41:AF42)</f>
        <v>1209.9179159633195</v>
      </c>
      <c r="AI43" s="36"/>
      <c r="AJ43" s="36">
        <f t="shared" ref="AJ43" si="21">AG43/AH43</f>
        <v>230.43596048981337</v>
      </c>
    </row>
    <row r="44" spans="25:58" x14ac:dyDescent="0.25">
      <c r="AC44" s="35" t="s">
        <v>166</v>
      </c>
      <c r="AD44" s="35" t="s">
        <v>128</v>
      </c>
      <c r="AE44" s="61">
        <f>$AE$10*BE38</f>
        <v>205762.70422343971</v>
      </c>
      <c r="AF44" s="61">
        <f>$AF$10*BF38</f>
        <v>833.59386973180074</v>
      </c>
      <c r="AI44" s="36">
        <f>AE44/AF44</f>
        <v>246.83807270516695</v>
      </c>
      <c r="AJ44" s="36"/>
    </row>
    <row r="45" spans="25:58" x14ac:dyDescent="0.25">
      <c r="AC45" s="35"/>
      <c r="AD45" s="35" t="s">
        <v>129</v>
      </c>
      <c r="AE45" s="61">
        <f>$AE$10*BE39</f>
        <v>326713.06803143094</v>
      </c>
      <c r="AF45" s="61">
        <f>$AF$10*BF39</f>
        <v>1463.5564516129032</v>
      </c>
      <c r="AI45" s="36">
        <f>AE45/AF45</f>
        <v>223.23229669165059</v>
      </c>
      <c r="AJ45" s="36"/>
    </row>
    <row r="46" spans="25:58" x14ac:dyDescent="0.25">
      <c r="AC46" s="35"/>
      <c r="AD46" s="35"/>
      <c r="AG46" s="3">
        <f>AVERAGE(AE44:AE45)</f>
        <v>266237.88612743531</v>
      </c>
      <c r="AH46" s="3">
        <f>AVERAGE(AF44:AF45)</f>
        <v>1148.575160672352</v>
      </c>
      <c r="AI46" s="36"/>
      <c r="AJ46" s="36">
        <f t="shared" ref="AJ46" si="22">AG46/AH46</f>
        <v>231.7984013963746</v>
      </c>
    </row>
    <row r="47" spans="25:58" x14ac:dyDescent="0.25">
      <c r="Y47" s="35"/>
      <c r="Z47" s="35"/>
      <c r="AC47" s="35"/>
      <c r="AD47" s="35"/>
      <c r="AE47" s="35"/>
      <c r="AF47" s="35"/>
      <c r="AI47" s="36"/>
      <c r="AJ47" s="36"/>
    </row>
    <row r="48" spans="25:58" x14ac:dyDescent="0.25">
      <c r="AI48" s="36"/>
      <c r="AJ48" s="36"/>
    </row>
    <row r="49" spans="31:34" x14ac:dyDescent="0.25">
      <c r="AE49" s="3">
        <f>AVERAGE(AE26:AE45)</f>
        <v>289626.17340584326</v>
      </c>
      <c r="AF49" s="3">
        <f>AVERAGE(AF26:AF45)</f>
        <v>1253.0151659524047</v>
      </c>
      <c r="AG49" s="3"/>
      <c r="AH49" s="3"/>
    </row>
    <row r="50" spans="31:34" x14ac:dyDescent="0.25">
      <c r="AE50" s="21">
        <f>AE49/AF49</f>
        <v>231.14339018051805</v>
      </c>
      <c r="AG50" s="21"/>
      <c r="AH50" s="21"/>
    </row>
    <row r="51" spans="31:34" x14ac:dyDescent="0.25">
      <c r="AG51" s="21"/>
      <c r="AH51" s="21"/>
    </row>
    <row r="52" spans="31:34" x14ac:dyDescent="0.25">
      <c r="AG52" s="21"/>
      <c r="AH52" s="21"/>
    </row>
  </sheetData>
  <phoneticPr fontId="5" type="noConversion"/>
  <conditionalFormatting sqref="AG3:AN24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14:BC14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9:BC9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19:BC19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24:BC24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29:BC29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26:AE45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34:BC34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P39:BC39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G28:AG4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H28:AH46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I26:AI46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28:AJ46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26:AF45">
    <cfRule type="colorScale" priority="9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Gunst der Göttin</vt:lpstr>
      <vt:lpstr>Vergleich</vt:lpstr>
      <vt:lpstr>'Gunst der Göttin'!Druckbereich</vt:lpstr>
      <vt:lpstr>'Gunst der Göttin'!Drucktitel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Gernot</dc:creator>
  <cp:lastModifiedBy>HdA-Zentrale</cp:lastModifiedBy>
  <cp:lastPrinted>2022-12-11T00:21:56Z</cp:lastPrinted>
  <dcterms:created xsi:type="dcterms:W3CDTF">2021-01-19T21:15:58Z</dcterms:created>
  <dcterms:modified xsi:type="dcterms:W3CDTF">2023-05-29T12:30:43Z</dcterms:modified>
</cp:coreProperties>
</file>